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D:\1. Normandie - Submitted App\"/>
    </mc:Choice>
  </mc:AlternateContent>
  <xr:revisionPtr revIDLastSave="0" documentId="13_ncr:1_{206574AD-4A42-441F-80A8-9551D66A9724}" xr6:coauthVersionLast="47" xr6:coauthVersionMax="47" xr10:uidLastSave="{00000000-0000-0000-0000-000000000000}"/>
  <bookViews>
    <workbookView xWindow="-120" yWindow="-120" windowWidth="29040" windowHeight="1584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1" i="3" l="1"/>
  <c r="Z792" i="3" l="1"/>
  <c r="L937" i="3"/>
  <c r="AG435" i="3"/>
  <c r="AG436" i="3" s="1"/>
  <c r="F74" i="4"/>
  <c r="F55" i="4"/>
  <c r="F98" i="4"/>
  <c r="M951" i="3" l="1"/>
  <c r="M947" i="3" l="1"/>
  <c r="X752" i="3" l="1"/>
  <c r="F22" i="4" l="1"/>
  <c r="F24" i="4"/>
  <c r="O702" i="3"/>
  <c r="O701" i="3"/>
  <c r="O700" i="3"/>
  <c r="O699" i="3"/>
  <c r="O698" i="3"/>
  <c r="O697" i="3"/>
  <c r="O696" i="3"/>
  <c r="O695" i="3"/>
  <c r="S27" i="4" l="1"/>
  <c r="S89" i="4"/>
  <c r="S91" i="4"/>
  <c r="S92" i="4"/>
  <c r="S85" i="4"/>
  <c r="S83" i="4"/>
  <c r="S78" i="4"/>
  <c r="S79" i="4"/>
  <c r="S68" i="4"/>
  <c r="S47" i="4"/>
  <c r="S48" i="4"/>
  <c r="S49" i="4"/>
  <c r="S50" i="4"/>
  <c r="S51" i="4"/>
  <c r="S52" i="4"/>
  <c r="S46" i="4"/>
  <c r="S43" i="4"/>
  <c r="S40" i="4"/>
  <c r="S18" i="4"/>
  <c r="S19" i="4"/>
  <c r="S20" i="4"/>
  <c r="S21" i="4"/>
  <c r="S22" i="4"/>
  <c r="S23" i="4"/>
  <c r="S24" i="4"/>
  <c r="S25" i="4"/>
  <c r="S17" i="4"/>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27" i="3" l="1"/>
  <c r="BH726" i="3"/>
  <c r="BH725" i="3"/>
  <c r="BH724" i="3"/>
  <c r="BH723" i="3"/>
  <c r="BH722" i="3"/>
  <c r="BH721" i="3"/>
  <c r="BH696" i="3"/>
  <c r="BI696" i="3" s="1"/>
  <c r="BH704" i="3"/>
  <c r="BI704" i="3" s="1"/>
  <c r="BH712" i="3"/>
  <c r="BI712" i="3" s="1"/>
  <c r="BH693" i="3"/>
  <c r="BI693" i="3" s="1"/>
  <c r="BH711" i="3"/>
  <c r="BI711" i="3" s="1"/>
  <c r="BH697" i="3"/>
  <c r="BI697" i="3" s="1"/>
  <c r="BH705" i="3"/>
  <c r="BI705" i="3" s="1"/>
  <c r="BH713" i="3"/>
  <c r="BI713" i="3" s="1"/>
  <c r="BH709" i="3"/>
  <c r="BI709" i="3" s="1"/>
  <c r="BH690" i="3"/>
  <c r="BI690" i="3" s="1"/>
  <c r="BH698" i="3"/>
  <c r="BI698" i="3" s="1"/>
  <c r="BH706" i="3"/>
  <c r="BI706" i="3" s="1"/>
  <c r="BH689" i="3"/>
  <c r="BI689" i="3" s="1"/>
  <c r="BH701" i="3"/>
  <c r="BI701" i="3" s="1"/>
  <c r="BH691" i="3"/>
  <c r="BI691" i="3" s="1"/>
  <c r="BH699" i="3"/>
  <c r="BI699" i="3" s="1"/>
  <c r="BH707" i="3"/>
  <c r="BI707" i="3" s="1"/>
  <c r="BH692" i="3"/>
  <c r="BI692" i="3" s="1"/>
  <c r="BH700" i="3"/>
  <c r="BI700" i="3" s="1"/>
  <c r="BH708" i="3"/>
  <c r="BI708" i="3" s="1"/>
  <c r="BH703" i="3"/>
  <c r="BI703" i="3" s="1"/>
  <c r="BH695" i="3"/>
  <c r="BI695" i="3" s="1"/>
  <c r="BH694" i="3"/>
  <c r="BI694" i="3" s="1"/>
  <c r="BH702" i="3"/>
  <c r="BI702" i="3" s="1"/>
  <c r="BH710" i="3"/>
  <c r="BI710" i="3" s="1"/>
  <c r="AO654" i="6"/>
  <c r="AO648" i="6"/>
  <c r="AO653" i="6"/>
  <c r="BI714" i="3" l="1"/>
  <c r="AH730" i="3" s="1"/>
  <c r="BH714" i="3"/>
  <c r="BH745" i="3"/>
  <c r="AJ969" i="3" l="1"/>
  <c r="AG811" i="3"/>
  <c r="AF242" i="3"/>
  <c r="AJ1000" i="3" l="1"/>
  <c r="AF1001" i="3"/>
  <c r="AF996" i="3"/>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G45" i="4" s="1"/>
  <c r="F107" i="4"/>
  <c r="E107" i="4"/>
  <c r="E18" i="4" s="1"/>
  <c r="F18" i="4" s="1"/>
  <c r="B100" i="15"/>
  <c r="C100" i="15"/>
  <c r="D100" i="15"/>
  <c r="B101" i="15"/>
  <c r="C101" i="15"/>
  <c r="E101" i="15" s="1"/>
  <c r="D101" i="15"/>
  <c r="B102" i="15"/>
  <c r="C102" i="15"/>
  <c r="E102" i="15"/>
  <c r="D102" i="15"/>
  <c r="B103" i="15"/>
  <c r="C103" i="15"/>
  <c r="E103" i="15" s="1"/>
  <c r="D103" i="15"/>
  <c r="E100" i="15"/>
  <c r="D99" i="15"/>
  <c r="C99" i="15"/>
  <c r="B99" i="15"/>
  <c r="E99" i="15" s="1"/>
  <c r="B84" i="15"/>
  <c r="C84" i="15"/>
  <c r="D84" i="15"/>
  <c r="B85" i="15"/>
  <c r="C85" i="15"/>
  <c r="E85" i="15" s="1"/>
  <c r="D85" i="15"/>
  <c r="B86" i="15"/>
  <c r="C86" i="15"/>
  <c r="D86" i="15"/>
  <c r="B87" i="15"/>
  <c r="C87" i="15"/>
  <c r="E87" i="15" s="1"/>
  <c r="D87" i="15"/>
  <c r="B88" i="15"/>
  <c r="C88" i="15"/>
  <c r="D88" i="15"/>
  <c r="B89" i="15"/>
  <c r="C89" i="15"/>
  <c r="D89" i="15"/>
  <c r="B90" i="15"/>
  <c r="C90" i="15"/>
  <c r="E90" i="15" s="1"/>
  <c r="D90" i="15"/>
  <c r="B91" i="15"/>
  <c r="C91" i="15"/>
  <c r="D91" i="15"/>
  <c r="B92" i="15"/>
  <c r="C92" i="15"/>
  <c r="D92" i="15"/>
  <c r="B93" i="15"/>
  <c r="C93" i="15"/>
  <c r="D93" i="15"/>
  <c r="B94" i="15"/>
  <c r="C94" i="15"/>
  <c r="E94" i="15" s="1"/>
  <c r="D94" i="15"/>
  <c r="B95" i="15"/>
  <c r="C95" i="15"/>
  <c r="E95" i="15" s="1"/>
  <c r="D95" i="15"/>
  <c r="E86" i="15"/>
  <c r="D83" i="15"/>
  <c r="C83" i="15"/>
  <c r="B83" i="15"/>
  <c r="B80" i="15"/>
  <c r="C80" i="15"/>
  <c r="D80" i="15"/>
  <c r="D79" i="15"/>
  <c r="C79" i="15"/>
  <c r="B79" i="15"/>
  <c r="B73" i="15"/>
  <c r="C73" i="15"/>
  <c r="D73" i="15"/>
  <c r="B74" i="15"/>
  <c r="E74" i="15"/>
  <c r="C74" i="15"/>
  <c r="D74" i="15"/>
  <c r="B75" i="15"/>
  <c r="C75" i="15"/>
  <c r="D75" i="15"/>
  <c r="B76" i="15"/>
  <c r="C76" i="15"/>
  <c r="D76" i="15"/>
  <c r="D72" i="15"/>
  <c r="C72" i="15"/>
  <c r="B72" i="15"/>
  <c r="B66" i="15"/>
  <c r="C66" i="15"/>
  <c r="E66" i="15" s="1"/>
  <c r="D66" i="15"/>
  <c r="B67" i="15"/>
  <c r="E67" i="15" s="1"/>
  <c r="C67" i="15"/>
  <c r="D67" i="15"/>
  <c r="B68" i="15"/>
  <c r="C68" i="15"/>
  <c r="E68" i="15" s="1"/>
  <c r="D68" i="15"/>
  <c r="B69" i="15"/>
  <c r="C69" i="15"/>
  <c r="E69" i="15" s="1"/>
  <c r="D69" i="15"/>
  <c r="D65" i="15"/>
  <c r="C65" i="15"/>
  <c r="E65" i="15" s="1"/>
  <c r="B65" i="15"/>
  <c r="B57" i="15"/>
  <c r="C57" i="15"/>
  <c r="D57" i="15"/>
  <c r="B58" i="15"/>
  <c r="E58" i="15" s="1"/>
  <c r="C58" i="15"/>
  <c r="D58" i="15"/>
  <c r="B59" i="15"/>
  <c r="C59" i="15"/>
  <c r="E59" i="15" s="1"/>
  <c r="D59" i="15"/>
  <c r="B60" i="15"/>
  <c r="C60" i="15"/>
  <c r="E60" i="15" s="1"/>
  <c r="D60" i="15"/>
  <c r="B61" i="15"/>
  <c r="C61" i="15"/>
  <c r="D61" i="15"/>
  <c r="D56" i="15"/>
  <c r="C56" i="15"/>
  <c r="B56" i="15"/>
  <c r="B47" i="15"/>
  <c r="C47" i="15"/>
  <c r="D47" i="15"/>
  <c r="B48" i="15"/>
  <c r="C48" i="15"/>
  <c r="D48" i="15"/>
  <c r="B49" i="15"/>
  <c r="C49" i="15"/>
  <c r="E49" i="15" s="1"/>
  <c r="D49" i="15"/>
  <c r="B50" i="15"/>
  <c r="E50" i="15" s="1"/>
  <c r="C50" i="15"/>
  <c r="D50" i="15"/>
  <c r="B51" i="15"/>
  <c r="C51" i="15"/>
  <c r="D51" i="15"/>
  <c r="B52" i="15"/>
  <c r="C52" i="15"/>
  <c r="D52" i="15"/>
  <c r="B53" i="15"/>
  <c r="E53" i="15" s="1"/>
  <c r="C53" i="15"/>
  <c r="D53" i="15"/>
  <c r="D46" i="15"/>
  <c r="C46" i="15"/>
  <c r="E46" i="15" s="1"/>
  <c r="B46" i="15"/>
  <c r="B44" i="15"/>
  <c r="C44" i="15"/>
  <c r="D44" i="15"/>
  <c r="B42" i="15"/>
  <c r="C42" i="15"/>
  <c r="D42" i="15"/>
  <c r="D41" i="15"/>
  <c r="C41" i="15"/>
  <c r="B41" i="15"/>
  <c r="B38" i="15"/>
  <c r="C38" i="15"/>
  <c r="E38" i="15" s="1"/>
  <c r="D38" i="15"/>
  <c r="B31" i="15"/>
  <c r="C31" i="15"/>
  <c r="D31" i="15"/>
  <c r="B32" i="15"/>
  <c r="C32" i="15"/>
  <c r="E32" i="15" s="1"/>
  <c r="D32" i="15"/>
  <c r="B33" i="15"/>
  <c r="C33" i="15"/>
  <c r="D33" i="15"/>
  <c r="B34" i="15"/>
  <c r="E34" i="15" s="1"/>
  <c r="C34" i="15"/>
  <c r="D34" i="15"/>
  <c r="B35" i="15"/>
  <c r="C35" i="15"/>
  <c r="D35" i="15"/>
  <c r="B36" i="15"/>
  <c r="C36" i="15"/>
  <c r="D36" i="15"/>
  <c r="B37" i="15"/>
  <c r="C37" i="15"/>
  <c r="D37" i="15"/>
  <c r="D30" i="15"/>
  <c r="C30" i="15"/>
  <c r="B30" i="15"/>
  <c r="B19" i="15"/>
  <c r="C19" i="15"/>
  <c r="E19" i="15" s="1"/>
  <c r="D19" i="15"/>
  <c r="B20" i="15"/>
  <c r="C20" i="15"/>
  <c r="E20" i="15" s="1"/>
  <c r="D20" i="15"/>
  <c r="B21" i="15"/>
  <c r="C21" i="15"/>
  <c r="E21" i="15" s="1"/>
  <c r="D21" i="15"/>
  <c r="B22" i="15"/>
  <c r="C22" i="15"/>
  <c r="D22" i="15"/>
  <c r="B23" i="15"/>
  <c r="C23" i="15"/>
  <c r="D23" i="15"/>
  <c r="B24" i="15"/>
  <c r="C24" i="15"/>
  <c r="E24" i="15" s="1"/>
  <c r="D24" i="15"/>
  <c r="B25" i="15"/>
  <c r="C25" i="15"/>
  <c r="D25" i="15"/>
  <c r="B26" i="15"/>
  <c r="C26" i="15"/>
  <c r="D26" i="15"/>
  <c r="B28" i="15"/>
  <c r="C28" i="15"/>
  <c r="E28" i="15" s="1"/>
  <c r="D28" i="15"/>
  <c r="B5" i="15"/>
  <c r="C5" i="15"/>
  <c r="B6" i="15"/>
  <c r="C6" i="15"/>
  <c r="B7" i="15"/>
  <c r="C7" i="15"/>
  <c r="C9" i="15" s="1"/>
  <c r="B8" i="15"/>
  <c r="E8" i="15" s="1"/>
  <c r="C8" i="15"/>
  <c r="B10" i="15"/>
  <c r="C10" i="15"/>
  <c r="B11" i="15"/>
  <c r="C11" i="15"/>
  <c r="B14" i="15"/>
  <c r="C14" i="15"/>
  <c r="E14" i="15" s="1"/>
  <c r="B15" i="15"/>
  <c r="E15" i="15" s="1"/>
  <c r="C15" i="15"/>
  <c r="B16" i="15"/>
  <c r="C16" i="15"/>
  <c r="B18" i="15"/>
  <c r="C18" i="15"/>
  <c r="E18" i="15" s="1"/>
  <c r="C38" i="10"/>
  <c r="E80" i="15"/>
  <c r="C5" i="10"/>
  <c r="H5" i="10" s="1"/>
  <c r="C6" i="10"/>
  <c r="H6" i="10" s="1"/>
  <c r="C7" i="10"/>
  <c r="H7" i="10" s="1"/>
  <c r="C8" i="10"/>
  <c r="H8" i="10" s="1"/>
  <c r="C9" i="10"/>
  <c r="H9" i="10" s="1"/>
  <c r="C10" i="10"/>
  <c r="H10" i="10" s="1"/>
  <c r="C11" i="10"/>
  <c r="H11" i="10" s="1"/>
  <c r="C12" i="10"/>
  <c r="C13" i="10"/>
  <c r="C14" i="10"/>
  <c r="C15" i="10"/>
  <c r="C16" i="10"/>
  <c r="C17" i="10"/>
  <c r="C18" i="10"/>
  <c r="C19" i="10"/>
  <c r="C20" i="10"/>
  <c r="C21" i="10"/>
  <c r="C22" i="10"/>
  <c r="C23" i="10"/>
  <c r="C24" i="10"/>
  <c r="C25" i="10"/>
  <c r="C26" i="10"/>
  <c r="C27" i="10"/>
  <c r="C4" i="10"/>
  <c r="H4" i="10" s="1"/>
  <c r="E25" i="15"/>
  <c r="E73" i="15"/>
  <c r="E91" i="15"/>
  <c r="E33" i="15"/>
  <c r="E79" i="15"/>
  <c r="E89" i="15"/>
  <c r="E16" i="15"/>
  <c r="E31" i="15"/>
  <c r="E51" i="15"/>
  <c r="E61" i="15"/>
  <c r="E57" i="15"/>
  <c r="E88" i="15"/>
  <c r="E84" i="15"/>
  <c r="E44" i="15"/>
  <c r="E52" i="15"/>
  <c r="E48" i="15"/>
  <c r="E42" i="15"/>
  <c r="E47" i="15"/>
  <c r="E72" i="15"/>
  <c r="C12" i="15"/>
  <c r="B12" i="15"/>
  <c r="E6" i="15"/>
  <c r="E23" i="15"/>
  <c r="E41" i="15"/>
  <c r="E11" i="15"/>
  <c r="E5" i="15"/>
  <c r="E35" i="15"/>
  <c r="E36" i="15"/>
  <c r="E30"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c r="K54" i="9"/>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C53" i="4"/>
  <c r="B53" i="4" s="1"/>
  <c r="C61" i="4"/>
  <c r="B62" i="15" s="1"/>
  <c r="C69" i="4"/>
  <c r="C76" i="4"/>
  <c r="D77" i="15" s="1"/>
  <c r="C80" i="4"/>
  <c r="C95" i="4"/>
  <c r="C103" i="4"/>
  <c r="C104" i="15" s="1"/>
  <c r="C66" i="25"/>
  <c r="Y20" i="5"/>
  <c r="Y22" i="5" s="1"/>
  <c r="AI20" i="5"/>
  <c r="AI22" i="5" s="1"/>
  <c r="S26" i="4"/>
  <c r="S38" i="4"/>
  <c r="S42" i="4"/>
  <c r="S53" i="4"/>
  <c r="E52" i="18" s="1"/>
  <c r="S69" i="4"/>
  <c r="S80" i="4"/>
  <c r="E79" i="18"/>
  <c r="S95" i="4"/>
  <c r="E94" i="18" s="1"/>
  <c r="S103" i="4"/>
  <c r="E102" i="18" s="1"/>
  <c r="F25" i="18"/>
  <c r="F37" i="18"/>
  <c r="F41" i="18"/>
  <c r="F52" i="18"/>
  <c r="F68" i="18"/>
  <c r="F79" i="18"/>
  <c r="F94" i="18"/>
  <c r="F102" i="18"/>
  <c r="T20" i="5"/>
  <c r="T22" i="5" s="1"/>
  <c r="T26" i="4"/>
  <c r="T38" i="4"/>
  <c r="T42" i="4"/>
  <c r="T53" i="4"/>
  <c r="T11" i="4"/>
  <c r="T69" i="4"/>
  <c r="H68" i="18" s="1"/>
  <c r="T80" i="4"/>
  <c r="H79" i="18" s="1"/>
  <c r="T95"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1" i="4"/>
  <c r="I12" i="4" s="1"/>
  <c r="I26" i="4"/>
  <c r="I42" i="4"/>
  <c r="I53" i="4"/>
  <c r="I61" i="4"/>
  <c r="I80" i="4"/>
  <c r="I69" i="4"/>
  <c r="I76" i="4"/>
  <c r="I95" i="4"/>
  <c r="J80" i="4"/>
  <c r="J8" i="4"/>
  <c r="J11" i="4"/>
  <c r="J26" i="4"/>
  <c r="J38" i="4"/>
  <c r="J42" i="4"/>
  <c r="J53" i="4"/>
  <c r="J61" i="4"/>
  <c r="J62" i="4" s="1"/>
  <c r="J96" i="4" s="1"/>
  <c r="J104" i="4" s="1"/>
  <c r="J69" i="4"/>
  <c r="J76" i="4"/>
  <c r="J95" i="4"/>
  <c r="K8" i="4"/>
  <c r="K11" i="4"/>
  <c r="K26" i="4"/>
  <c r="K38" i="4"/>
  <c r="K42" i="4"/>
  <c r="K62" i="4" s="1"/>
  <c r="K96" i="4" s="1"/>
  <c r="K104" i="4" s="1"/>
  <c r="K53" i="4"/>
  <c r="K61" i="4"/>
  <c r="K69" i="4"/>
  <c r="K76" i="4"/>
  <c r="K80" i="4"/>
  <c r="K95" i="4"/>
  <c r="L8" i="4"/>
  <c r="L11" i="4"/>
  <c r="L62" i="4" s="1"/>
  <c r="L96" i="4" s="1"/>
  <c r="L104" i="4" s="1"/>
  <c r="L26" i="4"/>
  <c r="L38" i="4"/>
  <c r="L42" i="4"/>
  <c r="L53" i="4"/>
  <c r="L61" i="4"/>
  <c r="L69" i="4"/>
  <c r="L76" i="4"/>
  <c r="L80" i="4"/>
  <c r="L95" i="4"/>
  <c r="M8" i="4"/>
  <c r="M11" i="4"/>
  <c r="M26" i="4"/>
  <c r="M38" i="4"/>
  <c r="M42" i="4"/>
  <c r="M53" i="4"/>
  <c r="M61" i="4"/>
  <c r="M62" i="4" s="1"/>
  <c r="M96" i="4" s="1"/>
  <c r="M104" i="4" s="1"/>
  <c r="M69" i="4"/>
  <c r="M76" i="4"/>
  <c r="M80" i="4"/>
  <c r="M95" i="4"/>
  <c r="N8" i="4"/>
  <c r="N11" i="4"/>
  <c r="N26" i="4"/>
  <c r="N38" i="4"/>
  <c r="N62" i="4" s="1"/>
  <c r="N96" i="4" s="1"/>
  <c r="N104" i="4" s="1"/>
  <c r="N42" i="4"/>
  <c r="N53" i="4"/>
  <c r="N61" i="4"/>
  <c r="N69" i="4"/>
  <c r="N76" i="4"/>
  <c r="N80" i="4"/>
  <c r="N95" i="4"/>
  <c r="O8" i="4"/>
  <c r="O62" i="4" s="1"/>
  <c r="O96" i="4" s="1"/>
  <c r="O104" i="4" s="1"/>
  <c r="O11" i="4"/>
  <c r="O26" i="4"/>
  <c r="O38" i="4"/>
  <c r="O42" i="4"/>
  <c r="O53" i="4"/>
  <c r="O61" i="4"/>
  <c r="O69" i="4"/>
  <c r="O76" i="4"/>
  <c r="O80" i="4"/>
  <c r="O95" i="4"/>
  <c r="P8" i="4"/>
  <c r="P12" i="4" s="1"/>
  <c r="P11" i="4"/>
  <c r="P26" i="4"/>
  <c r="P38" i="4"/>
  <c r="P42" i="4"/>
  <c r="P62" i="4" s="1"/>
  <c r="P96" i="4" s="1"/>
  <c r="P104" i="4" s="1"/>
  <c r="P53" i="4"/>
  <c r="P61" i="4"/>
  <c r="P69" i="4"/>
  <c r="P76" i="4"/>
  <c r="P80" i="4"/>
  <c r="P95" i="4"/>
  <c r="Q8" i="4"/>
  <c r="Q11" i="4"/>
  <c r="Q12" i="4" s="1"/>
  <c r="Q26" i="4"/>
  <c r="Q62" i="4" s="1"/>
  <c r="Q96" i="4" s="1"/>
  <c r="Q104" i="4" s="1"/>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61" i="18" s="1"/>
  <c r="D95" i="18" s="1"/>
  <c r="D103" i="18" s="1"/>
  <c r="C11" i="18"/>
  <c r="C12" i="18" s="1"/>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R47" i="4"/>
  <c r="R46" i="4"/>
  <c r="R43" i="4"/>
  <c r="R41" i="4"/>
  <c r="R40" i="4"/>
  <c r="R37" i="4"/>
  <c r="R35" i="4"/>
  <c r="R34" i="4"/>
  <c r="R33" i="4"/>
  <c r="R32" i="4"/>
  <c r="R30" i="4"/>
  <c r="R31" i="4"/>
  <c r="R29" i="4"/>
  <c r="R27" i="4"/>
  <c r="R25" i="4"/>
  <c r="R23" i="4"/>
  <c r="R22" i="4"/>
  <c r="R21" i="4"/>
  <c r="R20" i="4"/>
  <c r="R19" i="4"/>
  <c r="R18" i="4"/>
  <c r="R17" i="4"/>
  <c r="R15" i="4"/>
  <c r="R14" i="4"/>
  <c r="R7" i="4"/>
  <c r="R6" i="4"/>
  <c r="D5" i="15"/>
  <c r="D6" i="15"/>
  <c r="D7" i="15"/>
  <c r="D8" i="15"/>
  <c r="D10" i="15"/>
  <c r="D12" i="15" s="1"/>
  <c r="D11" i="15"/>
  <c r="D14" i="15"/>
  <c r="D15" i="15"/>
  <c r="D16" i="15"/>
  <c r="D18" i="15"/>
  <c r="E37" i="18"/>
  <c r="E41" i="18"/>
  <c r="E68" i="18"/>
  <c r="H25" i="18"/>
  <c r="H37" i="18"/>
  <c r="H52" i="18"/>
  <c r="H94"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H62" i="4" s="1"/>
  <c r="H96" i="4" s="1"/>
  <c r="B43" i="4"/>
  <c r="B45" i="4"/>
  <c r="B46" i="4"/>
  <c r="B47" i="4"/>
  <c r="B48" i="4"/>
  <c r="B49" i="4"/>
  <c r="B50" i="4"/>
  <c r="B51" i="4"/>
  <c r="B52" i="4"/>
  <c r="E53" i="4"/>
  <c r="F61" i="4"/>
  <c r="F95" i="4"/>
  <c r="F69" i="4"/>
  <c r="H53" i="4"/>
  <c r="B55" i="4"/>
  <c r="R55" i="4"/>
  <c r="R61" i="4" s="1"/>
  <c r="B56" i="4"/>
  <c r="B57" i="4"/>
  <c r="B58" i="4"/>
  <c r="B59" i="4"/>
  <c r="B60" i="4"/>
  <c r="E61" i="4"/>
  <c r="G61" i="4"/>
  <c r="H61" i="4"/>
  <c r="B64" i="4"/>
  <c r="R64" i="4"/>
  <c r="B68" i="4"/>
  <c r="R68" i="4"/>
  <c r="E69" i="4"/>
  <c r="G69" i="4"/>
  <c r="H69" i="4"/>
  <c r="B71" i="4"/>
  <c r="B72" i="4"/>
  <c r="B73" i="4"/>
  <c r="B74" i="4"/>
  <c r="AC865" i="3" s="1"/>
  <c r="B75" i="4"/>
  <c r="H76" i="4"/>
  <c r="B82" i="4"/>
  <c r="B83" i="4"/>
  <c r="B84" i="4"/>
  <c r="B85" i="4"/>
  <c r="B86" i="4"/>
  <c r="B87" i="4"/>
  <c r="B88" i="4"/>
  <c r="B89" i="4"/>
  <c r="B90" i="4"/>
  <c r="B91" i="4"/>
  <c r="B92" i="4"/>
  <c r="B93" i="4"/>
  <c r="B94" i="4"/>
  <c r="E95" i="4"/>
  <c r="G95" i="4"/>
  <c r="H95" i="4"/>
  <c r="B98" i="4"/>
  <c r="B99" i="4"/>
  <c r="R99" i="4"/>
  <c r="B100" i="4"/>
  <c r="R100" i="4"/>
  <c r="R102" i="4"/>
  <c r="E103" i="4"/>
  <c r="G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N12" i="4"/>
  <c r="E25" i="18"/>
  <c r="B80" i="4"/>
  <c r="D12" i="4"/>
  <c r="B43" i="15"/>
  <c r="C43" i="15"/>
  <c r="D43" i="15"/>
  <c r="G12" i="4"/>
  <c r="C39" i="15"/>
  <c r="D39" i="15"/>
  <c r="B39" i="15"/>
  <c r="F12" i="4"/>
  <c r="C81" i="15"/>
  <c r="B81" i="15"/>
  <c r="D81" i="15"/>
  <c r="B11" i="4"/>
  <c r="B12" i="4" s="1"/>
  <c r="B8" i="4"/>
  <c r="T62" i="4"/>
  <c r="B68" i="18"/>
  <c r="B70" i="15"/>
  <c r="C70" i="15"/>
  <c r="D70" i="15"/>
  <c r="C62" i="15"/>
  <c r="D62" i="15"/>
  <c r="B11" i="18"/>
  <c r="G52" i="25"/>
  <c r="AB47" i="26"/>
  <c r="I61" i="18"/>
  <c r="I95" i="18" s="1"/>
  <c r="I103" i="18" s="1"/>
  <c r="I105" i="18" s="1"/>
  <c r="J61" i="18"/>
  <c r="J95" i="18" s="1"/>
  <c r="J103" i="18" s="1"/>
  <c r="J105" i="18" s="1"/>
  <c r="K12" i="4"/>
  <c r="B42" i="4"/>
  <c r="J12" i="4"/>
  <c r="R11" i="4"/>
  <c r="R12" i="4" s="1"/>
  <c r="R8" i="4"/>
  <c r="C12" i="4"/>
  <c r="B12" i="18" s="1"/>
  <c r="D62" i="4"/>
  <c r="D96" i="4" s="1"/>
  <c r="D104" i="4" s="1"/>
  <c r="B8" i="18"/>
  <c r="S62" i="4"/>
  <c r="H12" i="4"/>
  <c r="H11" i="18"/>
  <c r="R38" i="4"/>
  <c r="R42" i="4"/>
  <c r="M12" i="4"/>
  <c r="B69" i="4"/>
  <c r="G61" i="18"/>
  <c r="G95" i="18"/>
  <c r="G103" i="18" s="1"/>
  <c r="G105" i="18" s="1"/>
  <c r="B38" i="4"/>
  <c r="F61" i="18"/>
  <c r="F95" i="18"/>
  <c r="F103" i="18" s="1"/>
  <c r="F105" i="18" s="1"/>
  <c r="S28" i="9"/>
  <c r="AC28" i="9"/>
  <c r="T24" i="27"/>
  <c r="T24" i="26"/>
  <c r="B54" i="15" l="1"/>
  <c r="C54" i="15"/>
  <c r="D54" i="15"/>
  <c r="E70" i="15"/>
  <c r="K53" i="9"/>
  <c r="I58" i="9"/>
  <c r="D12" i="18"/>
  <c r="I62" i="4"/>
  <c r="I96" i="4" s="1"/>
  <c r="I104" i="4" s="1"/>
  <c r="E43" i="15"/>
  <c r="AI20" i="26"/>
  <c r="E12" i="15"/>
  <c r="E7" i="15"/>
  <c r="E76" i="15"/>
  <c r="E92" i="15"/>
  <c r="L12" i="4"/>
  <c r="S96" i="4"/>
  <c r="S104" i="4" s="1"/>
  <c r="R69" i="4"/>
  <c r="O12" i="4"/>
  <c r="D9" i="15"/>
  <c r="E26" i="15"/>
  <c r="C61" i="18"/>
  <c r="C95" i="18" s="1"/>
  <c r="C103" i="18" s="1"/>
  <c r="B95" i="4"/>
  <c r="AB47" i="5"/>
  <c r="T96" i="4"/>
  <c r="H97" i="18" s="1"/>
  <c r="E75" i="15"/>
  <c r="E39" i="15"/>
  <c r="B9" i="15"/>
  <c r="E22" i="15"/>
  <c r="E93" i="15"/>
  <c r="G98" i="25"/>
  <c r="D100" i="25" s="1"/>
  <c r="D102" i="25" s="1"/>
  <c r="D104" i="25" s="1"/>
  <c r="D110" i="25" s="1"/>
  <c r="G38" i="25" s="1"/>
  <c r="G53" i="25" s="1"/>
  <c r="T103" i="4"/>
  <c r="H102" i="18" s="1"/>
  <c r="E9" i="15"/>
  <c r="E83" i="15"/>
  <c r="D96" i="15"/>
  <c r="B94" i="18"/>
  <c r="C96" i="15"/>
  <c r="B96" i="15"/>
  <c r="E62" i="15"/>
  <c r="E56" i="15"/>
  <c r="R76" i="4"/>
  <c r="C77" i="15"/>
  <c r="B77" i="15"/>
  <c r="B76" i="4"/>
  <c r="B75" i="18"/>
  <c r="B52" i="18"/>
  <c r="C62" i="4"/>
  <c r="C96" i="4" s="1"/>
  <c r="C104" i="4" s="1"/>
  <c r="AC448" i="3" s="1"/>
  <c r="E12" i="4"/>
  <c r="E62" i="4"/>
  <c r="E96" i="4" s="1"/>
  <c r="E104" i="4" s="1"/>
  <c r="R95" i="4"/>
  <c r="B26" i="4"/>
  <c r="R26" i="4"/>
  <c r="H61" i="18"/>
  <c r="I11" i="10"/>
  <c r="I10" i="10"/>
  <c r="I9" i="10"/>
  <c r="I8" i="10"/>
  <c r="I7" i="10"/>
  <c r="I6" i="10"/>
  <c r="I5" i="10"/>
  <c r="I4" i="10"/>
  <c r="R80" i="4"/>
  <c r="E61" i="18"/>
  <c r="H95" i="18"/>
  <c r="E54" i="15"/>
  <c r="E81" i="15"/>
  <c r="C27" i="15"/>
  <c r="B25" i="18"/>
  <c r="D27" i="15"/>
  <c r="B27" i="15"/>
  <c r="B13" i="15"/>
  <c r="D13" i="15"/>
  <c r="C13" i="15"/>
  <c r="BI745"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95" i="18" l="1"/>
  <c r="M53" i="9"/>
  <c r="K58" i="9"/>
  <c r="T104" i="4"/>
  <c r="T106" i="4" s="1"/>
  <c r="H103" i="4"/>
  <c r="H104" i="4" s="1"/>
  <c r="E13" i="15"/>
  <c r="E96" i="15"/>
  <c r="B62" i="4"/>
  <c r="E77" i="15"/>
  <c r="D97" i="15"/>
  <c r="B96" i="4"/>
  <c r="C97" i="15"/>
  <c r="B95" i="18"/>
  <c r="B97" i="15"/>
  <c r="B63" i="15"/>
  <c r="B61" i="18"/>
  <c r="C63" i="15"/>
  <c r="D63" i="15"/>
  <c r="E27" i="15"/>
  <c r="I40" i="10"/>
  <c r="Z788" i="3" s="1"/>
  <c r="E6" i="9" s="1"/>
  <c r="S106" i="4"/>
  <c r="E105" i="18" s="1"/>
  <c r="Y11" i="5" s="1"/>
  <c r="Y23" i="5" s="1"/>
  <c r="E103" i="18"/>
  <c r="Y112" i="6"/>
  <c r="BA203" i="6"/>
  <c r="AZ203" i="6"/>
  <c r="AO197" i="6" s="1"/>
  <c r="AP192"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K16" i="9"/>
  <c r="I22" i="9"/>
  <c r="I35" i="9" s="1"/>
  <c r="S15" i="9"/>
  <c r="M32" i="9"/>
  <c r="I8" i="9"/>
  <c r="G9" i="9"/>
  <c r="O53" i="9" l="1"/>
  <c r="M58" i="9"/>
  <c r="H103" i="18"/>
  <c r="F103" i="4"/>
  <c r="R98" i="4"/>
  <c r="R103" i="4" s="1"/>
  <c r="E63" i="15"/>
  <c r="E97" i="15"/>
  <c r="T11" i="27"/>
  <c r="T23" i="27" s="1"/>
  <c r="T26" i="27" s="1"/>
  <c r="T28" i="27" s="1"/>
  <c r="Y11" i="27"/>
  <c r="Y23" i="27" s="1"/>
  <c r="Y26" i="27" s="1"/>
  <c r="Y28" i="27" s="1"/>
  <c r="Y63" i="27" s="1"/>
  <c r="Y67" i="27" s="1"/>
  <c r="T11" i="5"/>
  <c r="T23" i="5" s="1"/>
  <c r="T26" i="5" s="1"/>
  <c r="T28" i="5" s="1"/>
  <c r="Y11" i="26"/>
  <c r="Y23" i="26" s="1"/>
  <c r="Y26" i="26" s="1"/>
  <c r="Y28" i="26" s="1"/>
  <c r="Y63" i="26" s="1"/>
  <c r="Y67" i="26" s="1"/>
  <c r="T11" i="26"/>
  <c r="T23" i="26" s="1"/>
  <c r="T26" i="26" s="1"/>
  <c r="T28" i="26" s="1"/>
  <c r="AC449" i="3"/>
  <c r="X1024" i="3"/>
  <c r="H105" i="18"/>
  <c r="J58" i="25"/>
  <c r="AB46" i="5"/>
  <c r="AB48" i="5" s="1"/>
  <c r="AB53" i="5" s="1"/>
  <c r="AB54" i="5" s="1"/>
  <c r="AJ961" i="3"/>
  <c r="E35" i="9"/>
  <c r="Y613" i="6"/>
  <c r="CE530" i="6" s="1"/>
  <c r="CE531" i="6" s="1"/>
  <c r="CC532" i="6" s="1"/>
  <c r="AB965" i="3"/>
  <c r="AJ965" i="3" s="1"/>
  <c r="AP193" i="6"/>
  <c r="AJ206" i="6" s="1"/>
  <c r="AK283" i="6" s="1"/>
  <c r="T703" i="6" s="1"/>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Y63" i="5"/>
  <c r="Y67" i="5" s="1"/>
  <c r="AD11" i="5"/>
  <c r="AI11" i="27"/>
  <c r="AI23" i="27" s="1"/>
  <c r="AI26" i="27" s="1"/>
  <c r="AI28" i="27" s="1"/>
  <c r="AD63" i="27" s="1"/>
  <c r="AD67" i="27" s="1"/>
  <c r="AI11" i="26"/>
  <c r="AI23" i="26" s="1"/>
  <c r="AI26" i="26" s="1"/>
  <c r="AI28" i="26" s="1"/>
  <c r="AD63" i="26" s="1"/>
  <c r="AD67" i="26" s="1"/>
  <c r="AD11" i="27"/>
  <c r="AD23" i="27" s="1"/>
  <c r="AD11" i="26"/>
  <c r="AD23" i="26" s="1"/>
  <c r="AI11" i="5"/>
  <c r="AI23" i="5" s="1"/>
  <c r="AI26" i="5" s="1"/>
  <c r="AI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AD26" i="26"/>
  <c r="AD28" i="26" s="1"/>
  <c r="T29" i="26" s="1"/>
  <c r="AD38" i="26"/>
  <c r="AD40" i="26" s="1"/>
  <c r="Y38" i="26"/>
  <c r="Y40" i="26" s="1"/>
  <c r="AD26" i="27"/>
  <c r="AD28" i="27" s="1"/>
  <c r="T29" i="27" s="1"/>
  <c r="Y38" i="27"/>
  <c r="Y40" i="27" s="1"/>
  <c r="AD38" i="27"/>
  <c r="AD40" i="27" s="1"/>
  <c r="AD23" i="5"/>
  <c r="BE16" i="28"/>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E66" i="9"/>
  <c r="G62" i="9"/>
  <c r="Y41" i="26"/>
  <c r="AB55" i="26" s="1"/>
  <c r="AB56" i="26" s="1"/>
  <c r="AB58" i="26" s="1"/>
  <c r="F59" i="26" s="1"/>
  <c r="AD26" i="5"/>
  <c r="AD28" i="5" s="1"/>
  <c r="Q71" i="25"/>
  <c r="O75" i="25" s="1"/>
  <c r="R75" i="25" s="1"/>
  <c r="Y41" i="27"/>
  <c r="AB55" i="27" s="1"/>
  <c r="AB56" i="27" s="1"/>
  <c r="AB58" i="27"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58" i="9" l="1"/>
  <c r="W53" i="9"/>
  <c r="T29" i="5"/>
  <c r="AD63" i="5"/>
  <c r="AD67" i="5" s="1"/>
  <c r="AB75" i="26"/>
  <c r="AB76" i="26" s="1"/>
  <c r="AB77" i="26" s="1"/>
  <c r="AB79" i="26" s="1"/>
  <c r="J80" i="26" s="1"/>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W4" i="9"/>
  <c r="Y4" i="9" s="1"/>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3" i="9" l="1"/>
  <c r="Y58"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3" i="9" l="1"/>
  <c r="AC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F45" i="4" l="1"/>
  <c r="R45" i="4"/>
  <c r="R53" i="4" s="1"/>
  <c r="R62" i="4" s="1"/>
  <c r="R96" i="4" s="1"/>
  <c r="R104" i="4" s="1"/>
  <c r="F53" i="4"/>
  <c r="F62" i="4" s="1"/>
  <c r="F96" i="4" s="1"/>
  <c r="F104" i="4" s="1"/>
  <c r="G53" i="4"/>
  <c r="G62" i="4"/>
  <c r="G96" i="4"/>
  <c r="G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color rgb="FF000000"/>
            <rFont val="Arial"/>
            <family val="2"/>
          </rPr>
          <t xml:space="preserve">Do not select item (ii) unless the project is applying under the Rural set-aside.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<sst xmlns="http://schemas.openxmlformats.org/spreadsheetml/2006/main" count="4675" uniqueCount="2474">
  <si>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</si>
  <si>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</si>
  <si>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</si>
  <si>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</si>
  <si>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</si>
  <si>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</si>
  <si>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</si>
  <si>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</si>
  <si>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</si>
  <si>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</si>
  <si>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</si>
  <si>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</si>
  <si>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</si>
  <si>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</si>
  <si>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</si>
  <si>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</si>
  <si>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</si>
  <si>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</si>
  <si>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</si>
  <si>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</si>
  <si>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</si>
  <si>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</si>
  <si>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</si>
  <si>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</si>
  <si>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</si>
  <si>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</si>
  <si>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</si>
  <si>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</si>
  <si>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</si>
  <si>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</si>
  <si>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</si>
  <si>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</si>
  <si>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</si>
  <si>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</si>
  <si>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</si>
  <si>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</si>
  <si>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</si>
  <si>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</si>
  <si>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</si>
  <si>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</si>
  <si>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</si>
  <si>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</si>
  <si>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</si>
  <si>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</si>
  <si>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</si>
  <si>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</si>
  <si>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</si>
  <si>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</si>
  <si>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</si>
  <si>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</si>
  <si>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</si>
  <si>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</si>
  <si>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</si>
  <si>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</si>
  <si>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</si>
  <si>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</si>
  <si>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</si>
  <si>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</si>
  <si>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</si>
  <si>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</si>
  <si>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</si>
  <si>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</si>
  <si>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</si>
  <si>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</si>
  <si>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</si>
  <si>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</si>
  <si>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</si>
  <si>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</si>
  <si>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</si>
  <si>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</si>
  <si>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</si>
  <si>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</si>
  <si>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</si>
  <si>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</si>
  <si>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</si>
  <si>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</si>
  <si>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</si>
  <si>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</si>
  <si>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</si>
  <si>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</si>
  <si>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</si>
  <si>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</si>
  <si>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</si>
  <si>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</si>
  <si>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</si>
  <si>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</si>
  <si>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</si>
  <si>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</si>
  <si>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</si>
  <si>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</si>
  <si>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</si>
  <si>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</si>
  <si>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</si>
  <si>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</si>
  <si>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</si>
  <si>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</si>
  <si>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</si>
  <si>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</si>
  <si>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</si>
  <si>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</si>
  <si>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</si>
  <si>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</si>
  <si>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</si>
  <si>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</si>
  <si>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</si>
  <si>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</si>
  <si>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</si>
  <si>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</si>
  <si>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</si>
  <si>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</si>
  <si>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</si>
  <si>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</si>
  <si>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</si>
  <si>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</si>
  <si>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</si>
  <si>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</si>
  <si>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</si>
  <si>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</si>
  <si>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</si>
  <si>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</si>
  <si>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</si>
  <si>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</si>
  <si>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</si>
  <si>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</si>
  <si>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</si>
  <si>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</si>
  <si>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</si>
  <si>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</si>
  <si>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</si>
  <si>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</si>
  <si>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</si>
  <si>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</si>
  <si>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</si>
  <si>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</si>
  <si>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</si>
  <si>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</si>
  <si>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</si>
  <si>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</si>
  <si>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</si>
  <si>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</si>
  <si>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</si>
  <si>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</si>
  <si>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</si>
  <si>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</si>
  <si>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</si>
  <si>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</si>
  <si>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</si>
  <si>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</si>
  <si>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</si>
  <si>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</si>
  <si>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</si>
  <si>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</si>
  <si>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</si>
  <si>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</si>
  <si>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</si>
  <si>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</si>
  <si>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</si>
  <si>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</si>
  <si>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</si>
  <si>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</si>
  <si>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</si>
  <si>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</si>
  <si>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</si>
  <si>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</si>
  <si>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</si>
  <si>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</si>
  <si>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</si>
  <si>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</si>
  <si>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</si>
  <si>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</si>
  <si>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</si>
  <si>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</si>
  <si>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</si>
  <si>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</si>
  <si>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</si>
  <si>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</si>
  <si>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</si>
  <si>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</si>
  <si>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</si>
  <si>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</si>
  <si>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</si>
  <si>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</si>
  <si>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</si>
  <si>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</si>
  <si>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</si>
  <si>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</si>
  <si>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</si>
  <si>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</si>
  <si>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</si>
  <si>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</si>
  <si>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</si>
  <si>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</si>
  <si>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</si>
  <si>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</si>
  <si>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</si>
  <si>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</si>
  <si>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</si>
  <si>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</si>
  <si>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</si>
  <si>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</si>
  <si>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</si>
  <si>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</si>
  <si>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</si>
  <si>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</si>
  <si>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</si>
  <si>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</si>
  <si>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</si>
  <si>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</si>
  <si>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</si>
  <si>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</si>
  <si>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</si>
  <si>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</si>
  <si>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</si>
  <si>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</si>
  <si>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</si>
  <si>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</si>
  <si>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</si>
  <si>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</si>
  <si>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</si>
  <si>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</si>
  <si>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</si>
  <si>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</si>
  <si>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</si>
  <si>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</si>
  <si>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</si>
  <si>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</si>
  <si>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</si>
  <si>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</si>
  <si>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</si>
  <si>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</si>
  <si>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</si>
  <si>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</si>
  <si>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</si>
  <si>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</si>
  <si>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</si>
  <si>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</si>
  <si>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</si>
  <si>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</si>
  <si>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</si>
  <si>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</si>
  <si>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</si>
  <si>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</si>
  <si>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</si>
  <si>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</si>
  <si>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</si>
  <si>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</si>
  <si>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</si>
  <si>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</si>
  <si>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</si>
  <si>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</si>
  <si>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</si>
  <si>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</si>
  <si>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</si>
  <si>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</si>
  <si>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</si>
  <si>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</si>
  <si>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</si>
  <si>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</si>
  <si>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</si>
  <si>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</si>
  <si>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</si>
  <si>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</si>
  <si>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</si>
  <si>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</si>
  <si>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</si>
  <si>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</si>
  <si>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</si>
  <si>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</si>
  <si>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</si>
  <si>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</si>
  <si>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</si>
  <si>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</si>
  <si>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</si>
  <si>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</si>
  <si>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</si>
  <si>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</si>
  <si>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</si>
  <si>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</si>
  <si>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</si>
  <si>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</si>
  <si>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</si>
  <si>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</si>
  <si>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</si>
  <si>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</si>
  <si>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</si>
  <si>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</si>
  <si>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</si>
  <si>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</si>
  <si>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</si>
  <si>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</si>
  <si>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</si>
  <si>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</si>
  <si>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</si>
  <si>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</si>
  <si>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</si>
  <si>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</si>
  <si>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</si>
  <si>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</si>
  <si>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</si>
  <si>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</si>
  <si>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</si>
  <si>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</si>
  <si>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</si>
  <si>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</si>
  <si>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</si>
  <si>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</si>
  <si>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</si>
  <si>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</si>
  <si>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</si>
  <si>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</si>
  <si>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</si>
  <si>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</si>
  <si>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</si>
  <si>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</si>
  <si>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</si>
  <si>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</si>
  <si>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</si>
  <si>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</si>
  <si>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</si>
  <si>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</si>
  <si>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</si>
  <si>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</si>
  <si>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</si>
  <si>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</si>
  <si>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</si>
  <si>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</si>
  <si>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</si>
  <si>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</si>
  <si>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</si>
  <si>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</si>
  <si>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</si>
  <si>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</si>
  <si>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</si>
  <si>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</si>
  <si>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</si>
  <si>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</si>
  <si>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</si>
  <si>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</si>
  <si>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</si>
  <si>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</si>
  <si>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</si>
  <si>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</si>
  <si>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</si>
  <si>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</si>
  <si>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</si>
  <si>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</si>
  <si>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</si>
  <si>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</si>
  <si>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</si>
  <si>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</si>
  <si>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</si>
  <si>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</si>
  <si>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</si>
  <si>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</si>
  <si>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</si>
  <si>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</si>
  <si>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</si>
  <si>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</si>
  <si>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</si>
  <si>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</si>
  <si>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</si>
  <si>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</si>
  <si>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</si>
  <si>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</si>
  <si>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</si>
  <si>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</si>
  <si>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</si>
  <si>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</si>
  <si>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</si>
  <si>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</si>
  <si>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</si>
  <si>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</si>
  <si>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</si>
  <si>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</si>
  <si>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</si>
  <si>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</si>
  <si>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</si>
  <si>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</si>
  <si>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</si>
  <si>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</si>
  <si>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</si>
  <si>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</si>
  <si>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</si>
  <si>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</si>
  <si>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</si>
  <si>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</si>
  <si>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</si>
  <si>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</si>
  <si>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</si>
  <si>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</si>
  <si>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</si>
  <si>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</si>
  <si>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</si>
  <si>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</si>
  <si>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</si>
  <si>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</si>
  <si>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</si>
  <si>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</si>
  <si>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</si>
  <si>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</si>
  <si>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</si>
  <si>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</si>
  <si>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</si>
  <si>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</si>
  <si>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</si>
  <si>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</si>
  <si>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</si>
  <si>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</si>
  <si>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</si>
  <si>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</si>
  <si>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</si>
  <si>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</si>
  <si>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</si>
  <si>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</si>
  <si>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</si>
  <si>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</si>
  <si>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</si>
  <si>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</si>
  <si>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</si>
  <si>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</si>
  <si>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</si>
  <si>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</si>
  <si>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</si>
  <si>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</si>
  <si>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</si>
  <si>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</si>
  <si>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</si>
  <si>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</si>
  <si>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</si>
  <si>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</si>
  <si>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</si>
  <si>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</si>
  <si>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</si>
  <si>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</si>
  <si>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</si>
  <si>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</si>
  <si>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</si>
  <si>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</si>
  <si>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</si>
  <si>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</si>
  <si>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</si>
  <si>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</si>
  <si>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</si>
  <si>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</si>
  <si>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</si>
  <si>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</si>
  <si>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</si>
  <si>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</si>
  <si>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</si>
  <si>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</si>
  <si>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</si>
  <si>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</si>
  <si>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</si>
  <si>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</si>
  <si>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</si>
  <si>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</si>
  <si>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</si>
  <si>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</si>
  <si>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</si>
  <si>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</si>
  <si>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</si>
  <si>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</si>
  <si>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</si>
  <si>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</si>
  <si>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</si>
  <si>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</si>
  <si>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</si>
  <si>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</si>
  <si>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</si>
  <si>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</si>
  <si>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</si>
  <si>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</si>
  <si>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</si>
  <si>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</si>
  <si>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</si>
  <si>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</si>
  <si>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</si>
  <si>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</si>
  <si>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</si>
  <si>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</si>
  <si>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</si>
  <si>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</si>
  <si>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</si>
  <si>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</si>
  <si>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</si>
  <si>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</si>
  <si>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</si>
  <si>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</si>
  <si>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</si>
  <si>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</si>
  <si>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</si>
  <si>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</si>
  <si>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</si>
  <si>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</si>
  <si>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</si>
  <si>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</si>
  <si>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</si>
  <si>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</si>
  <si>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</si>
  <si>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</si>
  <si>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</si>
  <si>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</si>
  <si>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</si>
  <si>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</si>
  <si>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</si>
  <si>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</si>
  <si>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</si>
  <si>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</si>
  <si>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</si>
  <si>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</si>
  <si>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</si>
  <si>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</si>
  <si>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</si>
  <si>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</si>
  <si>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</si>
  <si>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</si>
  <si>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</si>
  <si>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</si>
  <si>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</si>
  <si>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</si>
  <si>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</si>
  <si>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</si>
  <si>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</si>
  <si>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</si>
  <si>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</si>
  <si>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</si>
  <si>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</si>
  <si>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</si>
  <si>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</si>
  <si>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</si>
  <si>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</si>
  <si>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</si>
  <si>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</si>
  <si>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</si>
  <si>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</si>
  <si>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</si>
  <si>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</si>
  <si>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</si>
  <si>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</si>
  <si>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</si>
  <si>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</si>
  <si>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</si>
  <si>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</si>
  <si>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</si>
  <si>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</si>
  <si>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</si>
  <si>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</si>
  <si>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</si>
  <si>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</si>
  <si>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</si>
  <si>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</si>
  <si>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</si>
  <si>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</si>
  <si>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</si>
  <si>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</si>
  <si>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</si>
  <si>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</si>
  <si>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</si>
  <si>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</si>
  <si>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</si>
  <si>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</si>
  <si>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</si>
  <si>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</si>
  <si>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</si>
  <si>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</si>
  <si>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</si>
  <si>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</si>
  <si>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</si>
  <si>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</si>
  <si>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</si>
  <si>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</si>
  <si>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</si>
  <si>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</si>
  <si>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</si>
  <si>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</si>
  <si>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</si>
  <si>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</si>
  <si>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</si>
  <si>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</si>
  <si>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</si>
  <si>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</si>
  <si>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</si>
  <si>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</si>
  <si>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</si>
  <si>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</si>
  <si>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</si>
  <si>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</si>
  <si>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</si>
  <si>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</si>
  <si>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</si>
  <si>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</si>
  <si>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</si>
  <si>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</si>
  <si>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</si>
  <si>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</si>
  <si>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</si>
  <si>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</si>
  <si>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</si>
  <si>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</si>
  <si>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</si>
  <si>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</si>
  <si>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</si>
  <si>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</si>
  <si>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</si>
  <si>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</si>
  <si>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</si>
  <si>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</si>
  <si>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</si>
  <si>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</si>
  <si>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</si>
  <si>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</si>
  <si>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</si>
  <si>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</si>
  <si>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</si>
  <si>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</si>
  <si>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</si>
  <si>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</si>
  <si>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</si>
  <si>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</si>
  <si>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</si>
  <si>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</si>
  <si>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</si>
  <si>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</si>
  <si>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</si>
  <si>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</si>
  <si>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</si>
  <si>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</si>
  <si>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</si>
  <si>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</si>
  <si>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</si>
  <si>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</si>
  <si>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</si>
  <si>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</si>
  <si>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</si>
  <si>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</si>
  <si>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</si>
  <si>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</si>
  <si>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</si>
  <si>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</si>
  <si>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</si>
  <si>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</si>
  <si>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</si>
  <si>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</si>
  <si>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</si>
  <si>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</si>
  <si>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</si>
  <si>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</si>
  <si>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</si>
  <si>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</si>
  <si>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</si>
  <si>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</si>
  <si>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</si>
  <si>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</si>
  <si>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</si>
  <si>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</si>
  <si>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</si>
  <si>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</si>
  <si>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</si>
  <si>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</si>
  <si>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</si>
  <si>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</si>
  <si>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</si>
  <si>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</si>
  <si>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</si>
  <si>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</si>
  <si>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</si>
  <si>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</si>
  <si>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</si>
  <si>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</si>
  <si>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</si>
  <si>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</si>
  <si>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</si>
  <si>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</si>
  <si>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</si>
  <si>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</si>
  <si>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</si>
  <si>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</si>
  <si>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</si>
  <si>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</si>
  <si>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</si>
  <si>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</si>
  <si>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</si>
  <si>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</si>
  <si>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</si>
  <si>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</si>
  <si>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</si>
  <si>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</si>
  <si>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</si>
  <si>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</si>
  <si>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</si>
  <si>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</si>
  <si>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</si>
  <si>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</si>
  <si>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</si>
  <si>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</si>
  <si>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</si>
  <si>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</si>
  <si>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</si>
  <si>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</si>
  <si>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</si>
  <si>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</si>
  <si>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</si>
  <si>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</si>
  <si>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</si>
  <si>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</si>
  <si>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</si>
  <si>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</si>
  <si>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</si>
  <si>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</si>
  <si>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</si>
  <si>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</si>
  <si>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</si>
  <si>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</si>
  <si>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</si>
  <si>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</si>
  <si>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</si>
  <si>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</si>
  <si>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</si>
  <si>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</si>
  <si>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</si>
  <si>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</si>
  <si>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</si>
  <si>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</si>
  <si>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</si>
  <si>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</si>
  <si>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</si>
  <si>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</si>
  <si>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</si>
  <si>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</si>
  <si>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</si>
  <si>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</si>
  <si>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</si>
  <si>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</si>
  <si>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</si>
  <si>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</si>
  <si>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</si>
  <si>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</si>
  <si>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</si>
  <si>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</si>
  <si>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</si>
  <si>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</si>
  <si>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</si>
  <si>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</si>
  <si>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</si>
  <si>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</si>
  <si>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</si>
  <si>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</si>
  <si>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</si>
  <si>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</si>
  <si>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</si>
  <si>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</si>
  <si>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</si>
  <si>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</si>
  <si>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</si>
  <si>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</si>
  <si>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</si>
  <si>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</si>
  <si>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</si>
  <si>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</si>
  <si>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</si>
  <si>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</si>
  <si>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</si>
  <si>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</si>
  <si>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</si>
  <si>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</si>
  <si>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</si>
  <si>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</si>
  <si>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</si>
  <si>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</si>
  <si>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</si>
  <si>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</si>
  <si>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</si>
  <si>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</si>
  <si>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</si>
  <si>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</si>
  <si>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</si>
  <si>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</si>
  <si>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</si>
  <si>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</si>
  <si>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</si>
  <si>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</si>
  <si>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</si>
  <si>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</si>
  <si>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</si>
  <si>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</si>
  <si>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</si>
  <si>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</si>
  <si>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</si>
  <si>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</si>
  <si>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</si>
  <si>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</si>
  <si>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</si>
  <si>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</si>
  <si>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</si>
  <si>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</si>
  <si>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</si>
  <si>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</si>
  <si>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</si>
  <si>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</si>
  <si>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</si>
  <si>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</si>
  <si>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</si>
  <si>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</si>
  <si>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</si>
  <si>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</si>
  <si>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</si>
  <si>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</si>
  <si>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</si>
  <si>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</si>
  <si>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</si>
  <si>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</si>
  <si>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</si>
  <si>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</si>
  <si>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</si>
  <si>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</si>
  <si>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</si>
  <si>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</si>
  <si>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</si>
  <si>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</si>
  <si>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</si>
  <si>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</si>
  <si>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</si>
  <si>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</si>
  <si>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</si>
  <si>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</si>
  <si>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</si>
  <si>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</si>
  <si>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</si>
  <si>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</si>
  <si>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</si>
  <si>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</si>
  <si>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</si>
  <si>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</si>
  <si>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</si>
  <si>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</si>
  <si>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</si>
  <si>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</si>
  <si>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</si>
  <si>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</si>
  <si>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</si>
  <si>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</si>
  <si>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</si>
  <si>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</si>
  <si>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</si>
  <si>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</si>
  <si>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</si>
  <si>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</si>
  <si>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</si>
  <si>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</si>
  <si>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</si>
  <si>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</si>
  <si>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</si>
  <si>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</si>
  <si>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</si>
  <si>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</si>
  <si>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</si>
  <si>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</si>
  <si>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</si>
  <si>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</si>
  <si>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</si>
  <si>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</si>
  <si>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</si>
  <si>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</si>
  <si>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</si>
  <si>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</si>
  <si>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</si>
  <si>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</si>
  <si>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</si>
  <si>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</si>
  <si>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</si>
  <si>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</si>
  <si>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</si>
  <si>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</si>
  <si>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</si>
  <si>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</si>
  <si>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</si>
  <si>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</si>
  <si>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</si>
  <si>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</si>
  <si>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</si>
  <si>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</si>
  <si>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</si>
  <si>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</si>
  <si>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</si>
  <si>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</si>
  <si>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</si>
  <si>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</si>
  <si>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</si>
  <si>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</si>
  <si>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</si>
  <si>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</si>
  <si>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</si>
  <si>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</si>
  <si>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</si>
  <si>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</si>
  <si>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</si>
  <si>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</si>
  <si>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</si>
  <si>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</si>
  <si>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</si>
  <si>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</si>
  <si>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</si>
  <si>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</si>
  <si>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</si>
  <si>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</si>
  <si>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</si>
  <si>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</si>
  <si>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</si>
  <si>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</si>
  <si>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</si>
  <si>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</si>
  <si>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</si>
  <si>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</si>
  <si>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</si>
  <si>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</si>
  <si>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</si>
  <si>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</si>
  <si>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</si>
  <si>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</si>
  <si>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</si>
  <si>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</si>
  <si>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</si>
  <si>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</si>
  <si>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</si>
  <si>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</si>
  <si>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</si>
  <si>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</si>
  <si>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</si>
  <si>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</si>
  <si>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</si>
  <si>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</si>
  <si>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</si>
  <si>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</si>
  <si>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</si>
  <si>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</si>
  <si>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</si>
  <si>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</si>
  <si>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</si>
  <si>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</si>
  <si>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</si>
  <si>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</si>
  <si>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</si>
  <si>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</si>
  <si>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</si>
  <si>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</si>
  <si>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</si>
  <si>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</si>
  <si>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</si>
  <si>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</si>
  <si>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</si>
  <si>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</si>
  <si>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</si>
  <si>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</si>
  <si>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</si>
  <si>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</si>
  <si>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</si>
  <si>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</si>
  <si>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</si>
  <si>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</si>
  <si>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</si>
  <si>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</si>
  <si>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</si>
  <si>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</si>
  <si>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</si>
  <si>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</si>
  <si>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</si>
  <si>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</si>
  <si>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</si>
  <si>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</si>
  <si>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</si>
  <si>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</si>
  <si>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</si>
  <si>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</si>
  <si>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</si>
  <si>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</si>
  <si>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</si>
  <si>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</si>
  <si>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</si>
  <si>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</si>
  <si>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</si>
  <si>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</si>
  <si>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</si>
  <si>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</si>
  <si>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</si>
  <si>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</si>
  <si>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</si>
  <si>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</si>
  <si>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</si>
  <si>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</si>
  <si>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</si>
  <si>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</si>
  <si>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</si>
  <si>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</si>
  <si>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</si>
  <si>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</si>
  <si>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</si>
  <si>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</si>
  <si>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</si>
  <si>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</si>
  <si>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</si>
  <si>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</si>
  <si>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</si>
  <si>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</si>
  <si>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</si>
  <si>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</si>
  <si>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</si>
  <si>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</si>
  <si>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</si>
  <si>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</si>
  <si>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</si>
  <si>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</si>
  <si>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</si>
  <si>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</si>
  <si>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</si>
  <si>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</si>
  <si>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</si>
  <si>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</si>
  <si>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</si>
  <si>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</si>
  <si>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</si>
  <si>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</si>
  <si>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</si>
  <si>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</si>
  <si>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</si>
  <si>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</si>
  <si>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</si>
  <si>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</si>
  <si>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</si>
  <si>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</si>
  <si>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</si>
  <si>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</si>
  <si>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</si>
  <si>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</si>
  <si>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</si>
  <si>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</si>
  <si>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</si>
  <si>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</si>
  <si>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</si>
  <si>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</si>
  <si>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</si>
  <si>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</si>
  <si>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</si>
  <si>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</si>
  <si>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</si>
  <si>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</si>
  <si>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</si>
  <si>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</si>
  <si>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</si>
  <si>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</si>
  <si>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</si>
  <si>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</si>
  <si>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</si>
  <si>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</si>
  <si>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</si>
  <si>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</si>
  <si>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</si>
  <si>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</si>
  <si>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</si>
  <si>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</si>
  <si>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</si>
  <si>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</si>
  <si>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</si>
  <si>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</si>
  <si>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</si>
  <si>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</si>
  <si>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</si>
  <si>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</si>
  <si>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</si>
  <si>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</si>
  <si>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</si>
  <si>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</si>
  <si>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</si>
  <si>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</si>
  <si>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</si>
  <si>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</si>
  <si>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</si>
  <si>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</si>
  <si>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</si>
  <si>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</si>
  <si>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</si>
  <si>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</si>
  <si>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</si>
  <si>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</si>
  <si>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</si>
  <si>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</si>
  <si>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</si>
  <si>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</si>
  <si>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</si>
  <si>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</si>
  <si>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</si>
  <si>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</si>
  <si>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</si>
  <si>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</si>
  <si>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</si>
  <si>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</si>
  <si>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</si>
  <si>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</si>
  <si>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</si>
  <si>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</si>
  <si>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</si>
  <si>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</si>
  <si>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</si>
  <si>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</si>
  <si>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</si>
  <si>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</si>
  <si>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</si>
  <si>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</si>
  <si>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</si>
  <si>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</si>
  <si>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</si>
  <si>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</si>
  <si>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</si>
  <si>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</si>
  <si>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</si>
  <si>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</si>
  <si>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</si>
  <si>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</si>
  <si>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</si>
  <si>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</si>
  <si>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</si>
  <si>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</si>
  <si>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</si>
  <si>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</si>
  <si>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</si>
  <si>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</si>
  <si>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</si>
  <si>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</si>
  <si>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</si>
  <si>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</si>
  <si>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</si>
  <si>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</si>
  <si>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</si>
  <si>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</si>
  <si>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</si>
  <si>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</si>
  <si>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</si>
  <si>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</si>
  <si>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</si>
  <si>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</si>
  <si>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</si>
  <si>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</si>
  <si>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</si>
  <si>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</si>
  <si>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</si>
  <si>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</si>
  <si>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</si>
  <si>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</si>
  <si>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</si>
  <si>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</si>
  <si>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</si>
  <si>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</si>
  <si>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</si>
  <si>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</si>
  <si>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</si>
  <si>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</si>
  <si>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</si>
  <si>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</si>
  <si>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</si>
  <si>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</si>
  <si>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</si>
  <si>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</si>
  <si>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</si>
  <si>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</si>
  <si>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</si>
  <si>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</si>
  <si>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</si>
  <si>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</si>
  <si>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</si>
  <si>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</si>
  <si>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</si>
  <si>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</si>
  <si>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</si>
  <si>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</si>
  <si>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</si>
  <si>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</si>
  <si>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</si>
  <si>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</si>
  <si>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</si>
  <si>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</si>
  <si>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</si>
  <si>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</si>
  <si>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</si>
  <si>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</si>
  <si>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</si>
  <si>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</si>
  <si>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</si>
  <si>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</si>
  <si>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</si>
  <si>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</si>
  <si>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</si>
  <si>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</si>
  <si>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</si>
  <si>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</si>
  <si>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</si>
  <si>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</si>
  <si>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</si>
  <si>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</si>
  <si>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</si>
  <si>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</si>
  <si>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</si>
  <si>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</si>
  <si>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</si>
  <si>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</si>
  <si>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</si>
  <si>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</si>
  <si>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</si>
  <si>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</si>
  <si>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</si>
  <si>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</si>
  <si>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</si>
  <si>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</si>
  <si>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</si>
  <si>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</si>
  <si>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</si>
  <si>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</si>
  <si>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</si>
  <si>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</si>
  <si>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</si>
  <si>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</si>
  <si>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</si>
  <si>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</si>
  <si>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</si>
  <si>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</si>
  <si>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</si>
  <si>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</si>
  <si>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</si>
  <si>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</si>
  <si>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</si>
  <si>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</si>
  <si>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</si>
  <si>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</si>
  <si>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</si>
  <si>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</si>
  <si>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</si>
  <si>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</si>
  <si>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</si>
  <si>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</si>
  <si>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</si>
  <si>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</si>
  <si>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</si>
  <si>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</si>
  <si>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</si>
  <si>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</si>
  <si>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</si>
  <si>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</si>
  <si>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</si>
  <si>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</si>
  <si>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</si>
  <si>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</si>
  <si>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</si>
  <si>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</si>
  <si>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</si>
  <si>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</si>
  <si>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</si>
  <si>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</si>
  <si>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</si>
  <si>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</si>
  <si>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</si>
  <si>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</si>
  <si>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</si>
  <si>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</si>
  <si>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</si>
  <si>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</si>
  <si>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</si>
  <si>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</si>
  <si>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</si>
  <si>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</si>
  <si>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</si>
  <si>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</si>
  <si>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</si>
  <si>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</si>
  <si>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</si>
  <si>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</si>
  <si>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</si>
  <si>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</si>
  <si>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</si>
  <si>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</si>
  <si>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</si>
  <si>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</si>
  <si>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</si>
  <si>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</si>
  <si>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</si>
  <si>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</si>
  <si>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</si>
  <si>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</si>
  <si>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</si>
  <si>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</si>
  <si>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</si>
  <si>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</si>
  <si>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</si>
  <si>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</si>
  <si>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</si>
  <si>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</si>
  <si>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</si>
  <si>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</si>
  <si>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</si>
  <si>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</si>
  <si>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</si>
  <si>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</si>
  <si>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</si>
  <si>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</si>
  <si>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</si>
  <si>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</si>
  <si>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</si>
  <si>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</si>
  <si>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</si>
  <si>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</si>
  <si>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</si>
  <si>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</si>
  <si>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</si>
  <si>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</si>
  <si>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</si>
  <si>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</si>
  <si>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</si>
  <si>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</si>
  <si>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</si>
  <si>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</si>
  <si>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</si>
  <si>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</si>
  <si>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</si>
  <si>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</si>
  <si>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</si>
  <si>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</si>
  <si>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</si>
  <si>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</si>
  <si>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</si>
  <si>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</si>
  <si>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</si>
  <si>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</si>
  <si>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</si>
  <si>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</si>
  <si>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</si>
  <si>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</si>
  <si>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</si>
  <si>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</si>
  <si>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</si>
  <si>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</si>
  <si>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</si>
  <si>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</si>
  <si>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</si>
  <si>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</si>
  <si>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</si>
  <si>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</si>
  <si>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</si>
  <si>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</si>
  <si>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</si>
  <si>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</si>
  <si>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</si>
  <si>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</si>
  <si>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</si>
  <si>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</si>
  <si>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</si>
  <si>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</si>
  <si>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</si>
  <si>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</si>
  <si>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</si>
  <si>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</si>
  <si>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</si>
  <si>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</si>
  <si>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</si>
  <si>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</si>
  <si>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</si>
  <si>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</si>
  <si>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</si>
  <si>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</si>
  <si>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</si>
  <si>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</si>
  <si>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</si>
  <si>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</si>
  <si>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</si>
  <si>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</si>
  <si>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</si>
  <si>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</si>
  <si>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</si>
  <si>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</si>
  <si>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</si>
  <si>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</si>
  <si>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</si>
  <si>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</si>
  <si>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</si>
  <si>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</si>
  <si>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</si>
  <si>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</si>
  <si>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</si>
  <si>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</si>
  <si>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</si>
  <si>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</si>
  <si>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</si>
  <si>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</si>
  <si>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</si>
  <si>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</si>
  <si>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</si>
  <si>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</si>
  <si>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</si>
  <si>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</si>
  <si>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</si>
  <si>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</si>
  <si>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</si>
  <si>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</si>
  <si>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</si>
  <si>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</si>
  <si>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</si>
  <si>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</si>
  <si>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</si>
  <si>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</si>
  <si>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</si>
  <si>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</si>
  <si>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</si>
  <si>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</si>
  <si>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</si>
  <si>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</si>
  <si>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</si>
  <si>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</si>
  <si>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</si>
  <si>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</si>
  <si>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</si>
  <si>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</si>
  <si>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</si>
  <si>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</si>
  <si>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</si>
  <si>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</si>
  <si>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</si>
  <si>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</si>
  <si>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</si>
  <si>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</si>
  <si>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</si>
  <si>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</si>
  <si>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</si>
  <si>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</si>
  <si>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</si>
  <si>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</si>
  <si>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</si>
  <si>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</si>
  <si>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</si>
  <si>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</si>
  <si>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</si>
  <si>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</si>
  <si>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</si>
  <si>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</si>
  <si>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</si>
  <si>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</si>
  <si>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</si>
  <si>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</si>
  <si>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</si>
  <si>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</si>
  <si>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</si>
  <si>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</si>
  <si>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</si>
  <si>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</si>
  <si>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</si>
  <si>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</si>
  <si>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</si>
  <si>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</si>
  <si>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</si>
  <si>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</si>
  <si>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</si>
  <si>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</si>
  <si>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</si>
  <si>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</si>
  <si>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</si>
  <si>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</si>
  <si>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</si>
  <si>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</si>
  <si>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</si>
  <si>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</si>
  <si>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</si>
  <si>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</si>
  <si>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</si>
  <si>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</si>
  <si>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</si>
  <si>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</si>
  <si>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</si>
  <si>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</si>
  <si>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</si>
  <si>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</si>
  <si>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</si>
  <si>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</si>
  <si>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</si>
  <si>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</si>
  <si>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</si>
  <si>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</si>
  <si>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</si>
  <si>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</si>
  <si>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</si>
  <si>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</si>
  <si>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</si>
  <si>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</si>
  <si>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</si>
  <si>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</si>
  <si>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</si>
  <si>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</si>
  <si>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</si>
  <si>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</si>
  <si>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</si>
  <si>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</si>
  <si>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</si>
  <si>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</si>
  <si>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</si>
  <si>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</si>
  <si>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</si>
  <si>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</si>
  <si>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</si>
  <si>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</si>
  <si>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</si>
  <si>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</si>
  <si>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</si>
  <si>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</si>
  <si>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</si>
  <si>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</si>
  <si>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</si>
  <si>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</si>
  <si>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</si>
  <si>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</si>
  <si>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</si>
  <si>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</si>
  <si>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</si>
  <si>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</si>
  <si>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</si>
  <si>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</si>
  <si>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</si>
  <si>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</si>
  <si>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</si>
  <si>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</si>
  <si>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</si>
  <si>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</si>
  <si>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</si>
  <si>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</si>
  <si>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</si>
  <si>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</si>
  <si>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</si>
  <si>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</si>
  <si>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</si>
  <si>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</si>
  <si>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</si>
  <si>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</si>
  <si>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</si>
  <si>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</si>
  <si>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</si>
  <si>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</si>
  <si>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</si>
  <si>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</si>
  <si>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</si>
  <si>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</si>
  <si>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</si>
  <si>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</si>
  <si>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</si>
  <si>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</si>
  <si>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</si>
  <si>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</si>
  <si>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</si>
  <si>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</si>
  <si>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</si>
  <si>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</si>
  <si>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</si>
  <si>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</si>
  <si>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</si>
  <si>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</si>
  <si>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</si>
  <si>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</si>
  <si>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</si>
  <si>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</si>
  <si>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</si>
  <si>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</si>
  <si>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</si>
  <si>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</si>
  <si>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</si>
  <si>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</si>
  <si>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</si>
  <si>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</si>
  <si>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</si>
  <si>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</si>
  <si>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</si>
  <si>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</si>
  <si>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</si>
  <si>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</si>
  <si>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</si>
  <si>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</si>
  <si>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</si>
  <si>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</si>
  <si>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</si>
  <si>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</si>
  <si>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</si>
  <si>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</si>
  <si>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</si>
  <si>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</si>
  <si>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</si>
  <si>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</si>
  <si>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</si>
  <si>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</si>
  <si>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</si>
  <si>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</si>
  <si>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</si>
  <si>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</si>
  <si>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</si>
  <si>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</si>
  <si>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</si>
  <si>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</si>
  <si>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</si>
  <si>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</si>
  <si>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</si>
  <si>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</si>
  <si>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</si>
  <si>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</si>
  <si>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</si>
  <si>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</si>
  <si>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</si>
  <si>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</si>
  <si>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</si>
  <si>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</si>
  <si>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</si>
  <si>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</si>
  <si>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</si>
  <si>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</si>
  <si>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</si>
  <si>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</si>
  <si>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</si>
  <si>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</si>
  <si>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</si>
  <si>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</si>
  <si>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</si>
  <si>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</si>
  <si>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</si>
  <si>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</si>
  <si>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</si>
  <si>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</si>
  <si>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</si>
  <si>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</si>
  <si>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</si>
  <si>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</si>
  <si>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</si>
  <si>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</si>
  <si>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</si>
  <si>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</si>
  <si>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</si>
  <si>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</si>
  <si>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</si>
  <si>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</si>
  <si>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</si>
  <si>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</si>
  <si>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</si>
  <si>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</si>
  <si>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</si>
  <si>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</si>
  <si>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</si>
  <si>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</si>
  <si>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</si>
  <si>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</si>
  <si>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</si>
  <si>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</si>
  <si>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</si>
  <si>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</si>
  <si>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</si>
  <si>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</si>
  <si>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</si>
  <si>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</si>
  <si>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</si>
  <si>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</si>
  <si>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</si>
  <si>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</si>
  <si>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</si>
  <si>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</si>
  <si>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</si>
  <si>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</si>
  <si>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</si>
  <si>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</si>
  <si>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</si>
  <si>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</si>
  <si>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</si>
  <si>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</si>
  <si>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</si>
  <si>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</si>
  <si>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</si>
  <si>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</si>
  <si>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</si>
  <si>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</si>
  <si>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</si>
  <si>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</si>
  <si>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</si>
  <si>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</si>
  <si>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</si>
  <si>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</si>
  <si>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</si>
  <si>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</si>
  <si>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</si>
  <si>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</si>
  <si>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</si>
  <si>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</si>
  <si>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</si>
  <si>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</si>
  <si>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</si>
  <si>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</si>
  <si>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</si>
  <si>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</si>
  <si>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</si>
  <si>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</si>
  <si>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</si>
  <si>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</si>
  <si>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</si>
  <si>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</si>
  <si>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</si>
  <si>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</si>
  <si>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</si>
  <si>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</si>
  <si>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</si>
  <si>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</si>
  <si>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</si>
  <si>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</si>
  <si>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</si>
  <si>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</si>
  <si>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</si>
  <si>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</si>
  <si>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</si>
  <si>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</si>
  <si>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</si>
  <si>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</si>
  <si>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</si>
  <si>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</si>
  <si>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</si>
  <si>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</si>
  <si>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</si>
  <si>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</si>
  <si>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</si>
  <si>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</si>
  <si>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</si>
  <si>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</si>
  <si>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</si>
  <si>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</si>
  <si>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</si>
  <si>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</si>
  <si>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</si>
  <si>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</si>
  <si>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</si>
  <si>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</si>
  <si>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</si>
  <si>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</si>
  <si>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</si>
  <si>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</si>
  <si>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</si>
  <si>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</si>
  <si>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</si>
  <si>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</si>
  <si>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</si>
  <si>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</si>
  <si>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</si>
  <si>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</si>
  <si>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</si>
  <si>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</si>
  <si>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</si>
  <si>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</si>
  <si>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</si>
  <si>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</si>
  <si>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</si>
  <si>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</si>
  <si>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</si>
  <si>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</si>
  <si>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</si>
  <si>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</si>
  <si>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</si>
  <si>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</si>
  <si>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</si>
  <si>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</si>
  <si>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</si>
  <si>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</si>
  <si>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</si>
  <si>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</si>
  <si>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</si>
  <si>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</si>
  <si>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</si>
  <si>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</si>
  <si>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</si>
  <si>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</si>
  <si>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</si>
  <si>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</si>
  <si>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</si>
  <si>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</si>
  <si>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</si>
  <si>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</si>
  <si>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</si>
  <si>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</si>
  <si>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</si>
  <si>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</si>
  <si>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</si>
  <si>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</si>
  <si>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</si>
  <si>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</si>
  <si>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</si>
  <si>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</si>
  <si>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</si>
  <si>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</si>
  <si>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</si>
  <si>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</si>
  <si>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</si>
  <si>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</si>
  <si>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</si>
  <si>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</si>
  <si>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</si>
  <si>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</si>
  <si>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</si>
  <si>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</si>
  <si>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</si>
  <si>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</si>
  <si>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</si>
  <si>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</si>
  <si>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</si>
  <si>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</si>
  <si>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</si>
  <si>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</si>
  <si>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</si>
  <si>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</si>
  <si>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</si>
  <si>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</si>
  <si>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</si>
  <si>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</si>
  <si>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</si>
  <si>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</si>
  <si>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</si>
  <si>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</si>
  <si>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</si>
  <si>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</si>
  <si>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</si>
  <si>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</si>
  <si>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</si>
  <si>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</si>
  <si>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</si>
  <si>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</si>
  <si>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</si>
  <si>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</si>
  <si>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</si>
  <si>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</si>
  <si>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</si>
  <si>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</si>
  <si>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</si>
  <si>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</si>
  <si>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</si>
  <si>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</si>
  <si>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</si>
  <si>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</si>
  <si>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</si>
  <si>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</si>
  <si>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</si>
  <si>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</si>
  <si>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</si>
  <si>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</si>
  <si>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</si>
  <si>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</si>
  <si>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</si>
  <si>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</si>
  <si>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</si>
  <si>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</si>
  <si>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</si>
  <si>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</si>
  <si>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</si>
  <si>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</si>
  <si>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</si>
  <si>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</si>
  <si>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</si>
  <si>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</si>
  <si>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</si>
  <si>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</si>
  <si>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</si>
  <si>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</si>
  <si>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</si>
  <si>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</si>
  <si>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</si>
  <si>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</si>
  <si>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</si>
  <si>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</si>
  <si>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</si>
  <si>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</si>
  <si>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</si>
  <si>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</si>
  <si>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</si>
  <si>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</si>
  <si>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</si>
  <si>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</si>
  <si>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</si>
  <si>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</si>
  <si>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</si>
  <si>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</si>
  <si>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</si>
  <si>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</si>
  <si>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</si>
  <si>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</si>
  <si>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</si>
  <si>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</si>
  <si>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</si>
  <si>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</si>
  <si>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</si>
  <si>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</si>
  <si>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</si>
  <si>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</si>
  <si>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</si>
  <si>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</si>
  <si>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</si>
  <si>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</si>
  <si>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</si>
  <si>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</si>
  <si>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</si>
  <si>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</si>
  <si>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</si>
  <si>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</si>
  <si>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</si>
  <si>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</si>
  <si>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</si>
  <si>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</si>
  <si>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</si>
  <si>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</si>
  <si>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</si>
  <si>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</si>
  <si>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</si>
  <si>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</si>
  <si>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</si>
  <si>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</si>
  <si>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</si>
  <si>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</si>
  <si>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</si>
  <si>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</si>
  <si>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</si>
  <si>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</si>
  <si>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</si>
  <si>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</si>
  <si>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</si>
  <si>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</si>
  <si>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</si>
  <si>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</si>
  <si>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</si>
  <si>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</si>
  <si>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</si>
  <si>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</si>
  <si>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</si>
  <si>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</si>
  <si>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</si>
  <si>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</si>
  <si>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</si>
  <si>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</si>
  <si>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</si>
  <si>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</si>
  <si>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</si>
  <si>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</si>
  <si>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</si>
  <si>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</si>
  <si>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</si>
  <si>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</si>
  <si>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</si>
  <si>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</si>
  <si>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</si>
  <si>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</si>
  <si>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</si>
  <si>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</si>
  <si>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</si>
  <si>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</si>
  <si>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</si>
  <si>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</si>
  <si>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</si>
  <si>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</si>
  <si>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</si>
  <si>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</si>
  <si>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</si>
  <si>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</si>
  <si>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</si>
  <si>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</si>
  <si>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</si>
  <si>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</si>
  <si>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</si>
  <si>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</si>
  <si>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</si>
  <si>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</si>
  <si>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</si>
  <si>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</si>
  <si>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</si>
  <si>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</si>
  <si>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</si>
  <si>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</si>
  <si>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</si>
  <si>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</si>
  <si>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</si>
  <si>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</si>
  <si>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</si>
  <si>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</si>
  <si>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</si>
  <si>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</si>
  <si>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</si>
  <si>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</si>
  <si>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</si>
  <si>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</si>
  <si>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</si>
  <si>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</si>
  <si>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</si>
  <si>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</si>
  <si>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</si>
  <si>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</si>
  <si>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</si>
  <si>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</si>
  <si>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</si>
  <si>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</si>
  <si>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</si>
  <si>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</si>
  <si>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</si>
  <si>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</si>
  <si>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</si>
  <si>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</si>
  <si>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</si>
  <si>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</si>
  <si>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</si>
  <si>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</si>
  <si>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</si>
  <si>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</si>
  <si>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</si>
  <si>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</si>
  <si>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</si>
  <si>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</si>
  <si>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</si>
  <si>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</si>
  <si>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</si>
  <si>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</si>
  <si>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</si>
  <si>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</si>
  <si>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</si>
  <si>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</si>
  <si>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</si>
  <si>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</si>
  <si>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</si>
  <si>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</si>
  <si>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</si>
  <si>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</si>
  <si>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</si>
  <si>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</si>
  <si>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</si>
  <si>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</si>
  <si>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</si>
  <si>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</si>
  <si>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</si>
  <si>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</si>
  <si>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</si>
  <si>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</si>
  <si>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</si>
  <si>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</si>
  <si>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</si>
  <si>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</si>
  <si>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</si>
  <si>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</si>
  <si>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</si>
  <si>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</si>
  <si>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</si>
  <si>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</si>
  <si>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</si>
  <si>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</si>
  <si>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</si>
  <si>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</si>
  <si>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</si>
  <si>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</si>
  <si>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</si>
  <si>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</si>
  <si>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</si>
  <si>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</si>
  <si>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</si>
  <si>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</si>
  <si>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</si>
  <si>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</si>
  <si>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</si>
  <si>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</si>
  <si>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</si>
  <si>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</si>
  <si>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</si>
  <si>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</si>
  <si>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</si>
  <si>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</si>
  <si>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</si>
  <si>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</si>
  <si>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</si>
  <si>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</si>
  <si>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</si>
  <si>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</si>
  <si>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</si>
  <si>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</si>
  <si>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</si>
  <si>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</si>
  <si>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</si>
  <si>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</si>
  <si>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</si>
  <si>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</si>
  <si>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</si>
  <si>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</si>
  <si>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</si>
  <si>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</si>
  <si>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</si>
  <si>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</si>
  <si>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</si>
  <si>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</si>
  <si>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</si>
  <si>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</si>
  <si>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</si>
  <si>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</si>
  <si>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</si>
  <si>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</si>
  <si>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</si>
  <si>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</si>
  <si>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</si>
  <si>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</si>
  <si>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</si>
  <si>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</si>
  <si>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</si>
  <si>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</si>
  <si>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</si>
  <si>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</si>
  <si>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</si>
  <si>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</si>
  <si>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</si>
  <si>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</si>
  <si>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</si>
  <si>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</si>
  <si>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</si>
  <si>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</si>
  <si>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</si>
  <si>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</si>
  <si>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</si>
  <si>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</si>
  <si>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</si>
  <si>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</si>
  <si>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</si>
  <si>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</si>
  <si>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</si>
  <si>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</si>
  <si>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</si>
  <si>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</si>
  <si>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</si>
  <si>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</si>
  <si>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</si>
  <si>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</si>
  <si>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</si>
  <si>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</si>
  <si>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</si>
  <si>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</si>
  <si>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</si>
  <si>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</si>
  <si>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</si>
  <si>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</si>
  <si>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</si>
  <si>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</si>
  <si>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</si>
  <si>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</si>
  <si>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</si>
  <si>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</si>
  <si>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</si>
  <si>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</si>
  <si>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</si>
  <si>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</si>
  <si>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</si>
  <si>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</si>
  <si>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</si>
  <si>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</si>
  <si>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</si>
  <si>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</si>
  <si>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</si>
  <si>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</si>
  <si>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</si>
  <si>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</si>
  <si>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</si>
  <si>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</si>
  <si>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</si>
  <si>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</si>
  <si>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</si>
  <si>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</si>
  <si>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</si>
  <si>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</si>
  <si>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</si>
  <si>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</si>
  <si>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</si>
  <si>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</si>
  <si>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</si>
  <si>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</si>
  <si>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</si>
  <si>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</si>
  <si>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</si>
  <si>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</si>
  <si>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</si>
  <si>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</si>
  <si>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</si>
  <si>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</si>
  <si>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</si>
  <si>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</si>
  <si>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</si>
  <si>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</si>
  <si>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</si>
  <si>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</si>
  <si>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</si>
  <si>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</si>
  <si>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</si>
  <si>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</si>
  <si>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</si>
  <si>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</si>
  <si>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</si>
  <si>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</si>
  <si>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</si>
  <si>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</si>
  <si>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</si>
  <si>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</si>
  <si>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</si>
  <si>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</si>
  <si>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</si>
  <si>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</si>
  <si>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</si>
  <si>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</si>
  <si>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</si>
  <si>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</si>
  <si>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</si>
  <si>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</si>
  <si>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</si>
  <si>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</si>
  <si>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</si>
  <si>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</si>
  <si>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</si>
  <si>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</si>
  <si>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</si>
  <si>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</si>
  <si>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</si>
  <si>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</si>
  <si>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</si>
  <si>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</si>
  <si>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</si>
  <si>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</si>
  <si>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</si>
  <si>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</si>
  <si>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</si>
  <si>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</si>
  <si>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</si>
  <si>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</si>
  <si>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</si>
  <si>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</si>
  <si>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</si>
  <si>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</si>
  <si>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</si>
  <si>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</si>
  <si>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</si>
  <si>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</si>
  <si>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</si>
  <si>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</si>
  <si>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</si>
  <si>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</si>
  <si>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</si>
  <si>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</si>
  <si>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</si>
  <si>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</si>
  <si>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</si>
  <si>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</si>
  <si>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</si>
  <si>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</si>
  <si>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</si>
  <si>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</si>
  <si>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</si>
  <si>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</si>
  <si>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</si>
  <si>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</si>
  <si>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</si>
  <si>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</si>
  <si>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</si>
  <si>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</si>
  <si>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</si>
  <si>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</si>
  <si>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</si>
  <si>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</si>
  <si>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</si>
  <si>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</si>
  <si>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</si>
  <si>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</si>
  <si>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</si>
  <si>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</si>
  <si>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</si>
  <si>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</si>
  <si>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</si>
  <si>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</si>
  <si>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</si>
  <si>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</si>
  <si>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</si>
  <si>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</si>
  <si>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</si>
  <si>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</si>
  <si>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</si>
  <si>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</si>
  <si>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</si>
  <si>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</si>
  <si>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</si>
  <si>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</si>
  <si>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</si>
  <si>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</si>
  <si>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</si>
  <si>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</si>
  <si>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</si>
  <si>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</si>
  <si>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</si>
  <si>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</si>
  <si>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</si>
  <si>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</si>
  <si>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</si>
  <si>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</si>
  <si>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</si>
  <si>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</si>
  <si>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</si>
  <si>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</si>
  <si>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</si>
  <si>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</si>
  <si>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</si>
  <si>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</si>
  <si>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</si>
  <si>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</si>
  <si>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</si>
  <si>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</si>
  <si>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</si>
  <si>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</si>
  <si>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</si>
  <si>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</si>
  <si>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</si>
  <si>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</si>
  <si>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</si>
  <si>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</si>
  <si>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</si>
  <si>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</si>
  <si>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</si>
  <si>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</si>
  <si>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Normandie Villas Community Partners, LP</t>
  </si>
  <si>
    <t>Normandie Villas Apartments</t>
  </si>
  <si>
    <t>Seth Gellis</t>
  </si>
  <si>
    <t>President</t>
  </si>
  <si>
    <t>Timothy Elliot</t>
  </si>
  <si>
    <t>1200 W 7th Street, 8th Floor</t>
  </si>
  <si>
    <t>213-808-8910</t>
  </si>
  <si>
    <t>timothy.elliot@lacity.org</t>
  </si>
  <si>
    <t>2633 Normandie Avenue</t>
  </si>
  <si>
    <t>17782 Sky Park Circle</t>
  </si>
  <si>
    <t>Irvine</t>
  </si>
  <si>
    <t>949-278-3658</t>
  </si>
  <si>
    <t>sgellis@cpp-housing.com</t>
  </si>
  <si>
    <t>CA</t>
  </si>
  <si>
    <t>Administrative GP</t>
  </si>
  <si>
    <t>Managing GP</t>
  </si>
  <si>
    <t>69 Newport Ave Suite 200</t>
  </si>
  <si>
    <t>Bend</t>
  </si>
  <si>
    <t>Mei Luu</t>
  </si>
  <si>
    <t>949-715-8497</t>
  </si>
  <si>
    <t>mei@ffah.com</t>
  </si>
  <si>
    <t>Community Preservation Partners</t>
  </si>
  <si>
    <t>Belinda Lee</t>
  </si>
  <si>
    <t>530-207-9893</t>
  </si>
  <si>
    <t>blee@cpp-housing.com</t>
  </si>
  <si>
    <t>Irvine, CA 92614</t>
  </si>
  <si>
    <t>Irwin Partners Architects</t>
  </si>
  <si>
    <t>245 Fischer Ave, Suite B-2</t>
  </si>
  <si>
    <t>Costa Mesa, CA 92626</t>
  </si>
  <si>
    <t>Melisa Pence</t>
  </si>
  <si>
    <t>714-557-2448</t>
  </si>
  <si>
    <t>mpence@ipaoc.com</t>
  </si>
  <si>
    <t>Cox Castle &amp; Nicholson, LLP</t>
  </si>
  <si>
    <t>50 California Sreet, Suite 3200</t>
  </si>
  <si>
    <t>San Francisco, CA 94111</t>
  </si>
  <si>
    <t>Ofer Elitzer</t>
  </si>
  <si>
    <t>415-252-5156</t>
  </si>
  <si>
    <t>oelitzer@coxcastle.com</t>
  </si>
  <si>
    <t>Paragon Construction Company</t>
  </si>
  <si>
    <t>2656 East Denim Trl</t>
  </si>
  <si>
    <t>San Tan Valley, AZ 85143</t>
  </si>
  <si>
    <t>Kyle Weaver</t>
  </si>
  <si>
    <t>602-695-5319</t>
  </si>
  <si>
    <t>kyle.weaver@paragonconstructionco.com</t>
  </si>
  <si>
    <t>Bowman &amp; Company, LLP</t>
  </si>
  <si>
    <t>10100 Trinity Parkway, Suite 310</t>
  </si>
  <si>
    <t>Stockton, CA 85219</t>
  </si>
  <si>
    <t>Nicole Schubert</t>
  </si>
  <si>
    <t>209-473-1040</t>
  </si>
  <si>
    <t>209-443-9771</t>
  </si>
  <si>
    <t>nschubert@cpabowman.com</t>
  </si>
  <si>
    <t>Partner Energy</t>
  </si>
  <si>
    <t>Propp Christensen Caniglia LLP</t>
  </si>
  <si>
    <t>9261 Sierra College Boulevard</t>
  </si>
  <si>
    <t>Roseville,California 9566</t>
  </si>
  <si>
    <t>Justin Gierth</t>
  </si>
  <si>
    <t>916-751-2900</t>
  </si>
  <si>
    <t>WNC &amp; Associates</t>
  </si>
  <si>
    <t>Warren Allen</t>
  </si>
  <si>
    <t>949-236-8165</t>
  </si>
  <si>
    <t>wallane@wncinc.com</t>
  </si>
  <si>
    <t>Kinetic Valuation Group, Inc.</t>
  </si>
  <si>
    <t>11060 Oak Street, Suite 6</t>
  </si>
  <si>
    <t>Omaha, NE 68144</t>
  </si>
  <si>
    <t>Brent Griffiths</t>
  </si>
  <si>
    <t>402-270-4516</t>
  </si>
  <si>
    <t>brent@kvgteam.com</t>
  </si>
  <si>
    <t>One or Two Story Garden</t>
  </si>
  <si>
    <t>Richardson Family Park</t>
  </si>
  <si>
    <t>2700 South Budlong Avenue</t>
  </si>
  <si>
    <t>Los Angeles, 90008</t>
  </si>
  <si>
    <t>Jimmy Kim</t>
  </si>
  <si>
    <t>818-756-8189</t>
  </si>
  <si>
    <t>.5 mile</t>
  </si>
  <si>
    <t>https://www.laparks.org/park/richardson-family</t>
  </si>
  <si>
    <t>Ralphs</t>
  </si>
  <si>
    <t>2600 S Vermont Avenue</t>
  </si>
  <si>
    <t>Los Angeles, 90007</t>
  </si>
  <si>
    <t>323-732-3863</t>
  </si>
  <si>
    <t>https://www.ralphs.com/stores/grocery/ca/los-angeles/renaissance-plaza/703/00294</t>
  </si>
  <si>
    <t>.6 mile</t>
  </si>
  <si>
    <t>Bob Price</t>
  </si>
  <si>
    <t>General Administrative</t>
  </si>
  <si>
    <t>Builder Bond</t>
  </si>
  <si>
    <t>Other 3rd Party Reports</t>
  </si>
  <si>
    <t>Partership legal</t>
  </si>
  <si>
    <t>Closing, Underwriting, monitoring</t>
  </si>
  <si>
    <t>Mansion  Tax</t>
  </si>
  <si>
    <t>NOI</t>
  </si>
  <si>
    <t>Fixed</t>
  </si>
  <si>
    <t>HUD</t>
  </si>
  <si>
    <t>40%/60%</t>
  </si>
  <si>
    <t>Property Insurance</t>
  </si>
  <si>
    <t>Transition Reserve</t>
  </si>
  <si>
    <t>WNC Development Partners 4, LLC</t>
  </si>
  <si>
    <t>LA Metro</t>
  </si>
  <si>
    <t>One Gateway Plaza</t>
  </si>
  <si>
    <t>Los Angeles, 90012-2952</t>
  </si>
  <si>
    <t>213-922-6000</t>
  </si>
  <si>
    <t>https://www.metro.net/</t>
  </si>
  <si>
    <t>0.5 mile</t>
  </si>
  <si>
    <t>2 bedroom</t>
  </si>
  <si>
    <t>3 bedroom</t>
  </si>
  <si>
    <t>CitiBank</t>
  </si>
  <si>
    <t>Citi Bank Perm Loan</t>
  </si>
  <si>
    <t>J.R. Lephew</t>
  </si>
  <si>
    <t>Jlephew@partnersi.com</t>
  </si>
  <si>
    <t>Albert Maddox</t>
  </si>
  <si>
    <t>Member</t>
  </si>
  <si>
    <t>Multifamily</t>
  </si>
  <si>
    <t>45 ft</t>
  </si>
  <si>
    <t>No changes to current zoning</t>
  </si>
  <si>
    <t>RD1.5-1-O-CPIO / R3-1VL-O-CPIO
RD Restricted Density Multiple Dwelling Zone / Multiple Dwelling Zone</t>
  </si>
  <si>
    <t>325 E Hillcrest Dr St160</t>
  </si>
  <si>
    <t>Thousand Oaks, CA 91360</t>
  </si>
  <si>
    <t>Mike Hemmens</t>
  </si>
  <si>
    <t>805-557-0933</t>
  </si>
  <si>
    <t>Construction/Perm Loan</t>
  </si>
  <si>
    <t>LIHTC Equity</t>
  </si>
  <si>
    <t>Permanent Loan</t>
  </si>
  <si>
    <t>2 BR WHC</t>
  </si>
  <si>
    <t>Multi Family Residential</t>
  </si>
  <si>
    <t>CPP - Normandie Villas GP, LLC</t>
  </si>
  <si>
    <t>FPI Management Corporation</t>
  </si>
  <si>
    <t>443-717-4910</t>
  </si>
  <si>
    <t>2154 Torrance Blvd</t>
  </si>
  <si>
    <t>Torrance, CA, 90501</t>
  </si>
  <si>
    <t>5053-035-030</t>
  </si>
  <si>
    <t>Normandie Villas LLC</t>
  </si>
  <si>
    <t>2633 Normandie Avenue, Los Angeles, CA 90007</t>
  </si>
  <si>
    <t>323-643-4334</t>
  </si>
  <si>
    <t>Vermont Avenue Elementary School</t>
  </si>
  <si>
    <t xml:space="preserve">1435 West 27th St. </t>
  </si>
  <si>
    <t>Los Angeles 90007</t>
  </si>
  <si>
    <t>David Owens</t>
  </si>
  <si>
    <t>0.7 mile</t>
  </si>
  <si>
    <t>323-733-2195</t>
  </si>
  <si>
    <t>https://vermontavees.lausd.org/</t>
  </si>
  <si>
    <t>800 Iron Point Rd</t>
  </si>
  <si>
    <t>Folsom, CA, 95630</t>
  </si>
  <si>
    <t>Michelle Scoullar</t>
  </si>
  <si>
    <t>916-357-5312</t>
  </si>
  <si>
    <t>michelle.scoullar@fpimgmt.com</t>
  </si>
  <si>
    <t>13th</t>
  </si>
  <si>
    <t>February</t>
  </si>
  <si>
    <t>Conan Cheung</t>
  </si>
  <si>
    <t>Project-based vouchers (PBVs)</t>
  </si>
  <si>
    <t xml:space="preserve">Development Manager </t>
  </si>
  <si>
    <t xml:space="preserve">None required for infill site. </t>
  </si>
  <si>
    <t>CPP - Normandie Villas GP, LLC, a California limited liability company</t>
  </si>
  <si>
    <t>FFAH V Normandie Villas, LLC</t>
  </si>
  <si>
    <t>Foundation for Affordable Housing V, Inc.</t>
  </si>
  <si>
    <t>Community Preservation Partners, LLC</t>
  </si>
  <si>
    <t>WNC &amp; Associates, Inc</t>
  </si>
  <si>
    <t>Department of Housing and Urban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</si>
</sst>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3" fillId="7" borderId="3"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7" fontId="3" fillId="7" borderId="4" xfId="0" applyNumberFormat="1" applyFont="1" applyFill="1" applyBorder="1" applyAlignment="1" applyProtection="1">
      <alignment horizontal="lef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2.75" zeroHeight="1"/>
  <cols>
    <col min="1" max="38" width="2.42578125" customWidth="1"/>
    <col min="39" max="16384" width="8.85546875" hidden="1"/>
  </cols>
  <sheetData>
    <row r="1" spans="1:38">
      <c r="A1" s="978" t="s">
        <v>1872</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2157</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2309</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2310</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2018</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2159</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2160</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2161</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1710</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1711</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548</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550</v>
      </c>
      <c r="G310" s="3"/>
      <c r="H310" s="3"/>
      <c r="I310" s="3"/>
      <c r="J310" s="3"/>
      <c r="K310" s="3"/>
      <c r="L310" s="3"/>
      <c r="M310" s="3"/>
      <c r="N310" s="3"/>
      <c r="O310" s="3"/>
      <c r="P310" s="3"/>
      <c r="Q310" s="3"/>
      <c r="R310" s="3"/>
    </row>
    <row r="311" spans="1:38">
      <c r="B311" s="3"/>
      <c r="D311" s="3"/>
      <c r="E311" t="s">
        <v>900</v>
      </c>
      <c r="F311" t="s">
        <v>551</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7" t="s">
        <v>1822</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1823</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1824</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1819</v>
      </c>
    </row>
    <row r="366" spans="1:38" s="974" customFormat="1">
      <c r="A366"/>
      <c r="B366" s="3"/>
      <c r="C366"/>
      <c r="D366"/>
    </row>
    <row r="367" spans="1:38">
      <c r="B367" s="3"/>
      <c r="F367" s="972" t="s">
        <v>1820</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H105" sqref="H105"/>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2" t="s">
        <v>1864</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2122</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2230</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2208</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2123</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1803</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1804</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1695</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4" t="s">
        <v>1608</v>
      </c>
      <c r="C29" s="1924"/>
      <c r="D29" s="1924"/>
      <c r="E29" s="1924"/>
      <c r="F29" s="1924"/>
      <c r="G29" s="1924"/>
      <c r="H29" s="376"/>
      <c r="I29" s="376"/>
      <c r="J29" s="376"/>
      <c r="K29" s="376"/>
      <c r="L29" s="376"/>
      <c r="M29" s="376"/>
      <c r="N29" s="376"/>
      <c r="O29" s="1922" t="s">
        <v>1617</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992</v>
      </c>
      <c r="K32" s="1928">
        <v>1</v>
      </c>
      <c r="M32" s="509"/>
      <c r="O32" s="1923"/>
      <c r="P32" s="1927" t="s">
        <v>1943</v>
      </c>
    </row>
    <row r="33" spans="1:21" ht="15" customHeight="1">
      <c r="B33" s="1929" t="s">
        <v>1612</v>
      </c>
      <c r="C33" s="1929"/>
      <c r="D33" s="1929"/>
      <c r="E33" s="1929"/>
      <c r="F33" s="1929"/>
      <c r="G33" s="1929"/>
      <c r="I33" s="1926"/>
      <c r="J33" s="1927"/>
      <c r="K33" s="1928"/>
      <c r="M33" s="510"/>
      <c r="O33" s="1929"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1602</v>
      </c>
      <c r="C37" s="1933"/>
      <c r="D37" s="1933"/>
      <c r="E37" s="1933"/>
      <c r="F37" s="516"/>
      <c r="G37" s="516"/>
      <c r="H37" s="517"/>
      <c r="I37" s="376"/>
      <c r="J37" s="376"/>
      <c r="L37" s="529"/>
      <c r="M37" s="529"/>
      <c r="N37" s="529"/>
      <c r="O37" s="529"/>
      <c r="P37" s="529"/>
      <c r="Q37" s="529"/>
      <c r="R37" s="529"/>
      <c r="S37" s="529"/>
    </row>
    <row r="38" spans="1:21" ht="15" customHeight="1">
      <c r="B38" s="1938" t="s">
        <v>1618</v>
      </c>
      <c r="C38" s="1938"/>
      <c r="D38" s="1938"/>
      <c r="E38" s="1938"/>
      <c r="F38" s="650"/>
      <c r="G38" s="518">
        <f>D110</f>
        <v>4827388.3430287223</v>
      </c>
      <c r="H38" s="384"/>
      <c r="I38" s="519"/>
      <c r="J38" s="384"/>
      <c r="K38" s="1945" t="s">
        <v>2227</v>
      </c>
      <c r="L38" s="1945"/>
      <c r="M38" s="1945"/>
      <c r="N38" s="1945"/>
      <c r="O38" s="1945"/>
      <c r="P38" s="1945"/>
      <c r="Q38" s="1945"/>
      <c r="R38" s="1945"/>
      <c r="S38" s="1945"/>
    </row>
    <row r="39" spans="1:21" ht="15" customHeight="1">
      <c r="B39" s="1939" t="s">
        <v>1283</v>
      </c>
      <c r="C39" s="1939"/>
      <c r="D39" s="1939"/>
      <c r="E39" s="1939"/>
      <c r="F39" s="650"/>
      <c r="G39" s="632"/>
      <c r="H39" s="384"/>
      <c r="I39" s="519"/>
      <c r="J39" s="384"/>
      <c r="K39" s="1945"/>
      <c r="L39" s="1945"/>
      <c r="M39" s="1945"/>
      <c r="N39" s="1945"/>
      <c r="O39" s="1945"/>
      <c r="P39" s="1945"/>
      <c r="Q39" s="1945"/>
      <c r="R39" s="1945"/>
      <c r="S39" s="1945"/>
    </row>
    <row r="40" spans="1:21" ht="15" customHeight="1">
      <c r="B40" s="1939" t="s">
        <v>1284</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1613</v>
      </c>
      <c r="C41" s="1940"/>
      <c r="D41" s="1940"/>
      <c r="E41" s="1940"/>
      <c r="F41" s="650"/>
      <c r="G41" s="384"/>
      <c r="H41" s="384"/>
      <c r="I41" s="519"/>
      <c r="J41" s="384"/>
      <c r="K41" s="1944" t="s">
        <v>124</v>
      </c>
      <c r="L41" s="1944"/>
      <c r="M41" s="1944"/>
      <c r="N41" s="1944"/>
      <c r="O41" s="1944"/>
      <c r="P41" s="1944"/>
      <c r="Q41" s="1944"/>
      <c r="R41" s="1944"/>
      <c r="S41" s="1944"/>
    </row>
    <row r="42" spans="1:21" ht="15" customHeight="1">
      <c r="B42" s="634"/>
      <c r="C42" s="634"/>
      <c r="D42" s="628"/>
      <c r="E42" s="652"/>
      <c r="F42" s="650"/>
      <c r="G42" s="384"/>
      <c r="H42" s="384"/>
      <c r="I42" s="519"/>
      <c r="J42" s="384"/>
      <c r="K42" s="1943"/>
      <c r="L42" s="1943"/>
      <c r="M42" s="1943"/>
      <c r="N42" s="1943"/>
      <c r="O42" s="1943"/>
      <c r="Q42" s="1946"/>
      <c r="R42" s="1946"/>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46"/>
      <c r="R44" s="1946"/>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0" t="s">
        <v>1851</v>
      </c>
      <c r="L46" s="1920"/>
      <c r="M46" s="1920"/>
      <c r="N46" s="1920"/>
      <c r="O46" s="1920"/>
      <c r="Q46" s="1917"/>
      <c r="R46" s="1917"/>
    </row>
    <row r="47" spans="1:21" ht="15" customHeight="1">
      <c r="B47" s="634"/>
      <c r="C47" s="634"/>
      <c r="D47" s="504"/>
      <c r="E47" s="652"/>
      <c r="F47" s="650"/>
      <c r="G47" s="384"/>
      <c r="H47" s="384"/>
      <c r="I47" s="519"/>
      <c r="J47" s="384"/>
      <c r="K47" s="1921" t="s">
        <v>1852</v>
      </c>
      <c r="L47" s="1921"/>
      <c r="M47" s="1921"/>
      <c r="N47" s="1921"/>
      <c r="O47" s="1921"/>
      <c r="Q47" s="1919"/>
      <c r="R47" s="1919"/>
    </row>
    <row r="48" spans="1:21" ht="15" customHeight="1">
      <c r="B48" s="634"/>
      <c r="C48" s="634"/>
      <c r="D48" s="504"/>
      <c r="E48" s="652"/>
      <c r="F48" s="650"/>
      <c r="G48" s="384"/>
      <c r="H48" s="384"/>
      <c r="I48" s="519"/>
      <c r="J48" s="384"/>
      <c r="K48" s="1918" t="s">
        <v>1853</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8" t="s">
        <v>1609</v>
      </c>
      <c r="C52" s="1938"/>
      <c r="D52" s="1938"/>
      <c r="E52" s="1938"/>
      <c r="F52" s="650"/>
      <c r="G52" s="518">
        <f>SUM(E42:E49)-ABS(E50)-ABS(E51)</f>
        <v>0</v>
      </c>
      <c r="H52" s="384"/>
      <c r="I52" s="519"/>
      <c r="J52" s="384"/>
    </row>
    <row r="53" spans="1:29" ht="15" customHeight="1">
      <c r="C53" s="523"/>
      <c r="D53" s="523" t="s">
        <v>875</v>
      </c>
      <c r="E53" s="523"/>
      <c r="F53" s="523"/>
      <c r="G53" s="524">
        <f>SUM(G38:G40)+G52</f>
        <v>4827388.3430287223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1" t="s">
        <v>1264</v>
      </c>
      <c r="C56" s="1941"/>
      <c r="D56" s="650"/>
      <c r="E56" s="650"/>
      <c r="F56" s="650"/>
      <c r="G56" s="650"/>
      <c r="H56" s="650"/>
      <c r="I56" s="650"/>
      <c r="J56" s="650"/>
      <c r="K56" s="650"/>
      <c r="L56" s="650"/>
      <c r="M56" s="650"/>
      <c r="N56" s="650"/>
      <c r="O56" s="650"/>
      <c r="P56" s="650"/>
      <c r="U56" s="952" t="s">
        <v>1798</v>
      </c>
      <c r="AC56" s="953">
        <v>0.2</v>
      </c>
    </row>
    <row r="57" spans="1:29" ht="15" customHeight="1">
      <c r="A57" s="521"/>
      <c r="B57" s="1942" t="s">
        <v>1604</v>
      </c>
      <c r="C57" s="1942"/>
      <c r="D57" s="1942"/>
      <c r="E57" s="1942"/>
      <c r="F57" s="1942"/>
      <c r="G57" s="1942"/>
      <c r="H57" s="1942"/>
      <c r="I57" s="1942"/>
      <c r="J57" s="1942"/>
      <c r="K57" s="1942"/>
      <c r="L57" s="1942"/>
      <c r="M57" s="1942"/>
      <c r="N57" s="1942"/>
      <c r="O57" s="1942"/>
      <c r="P57" s="650"/>
      <c r="U57" s="952" t="s">
        <v>1799</v>
      </c>
      <c r="AC57" s="953">
        <v>0.1</v>
      </c>
    </row>
    <row r="58" spans="1:29" ht="15" customHeight="1">
      <c r="B58" s="1933" t="s">
        <v>2225</v>
      </c>
      <c r="C58" s="1934"/>
      <c r="D58" s="1934"/>
      <c r="E58" s="1934"/>
      <c r="F58" s="526"/>
      <c r="G58" s="526"/>
      <c r="H58" s="516"/>
      <c r="I58" s="516"/>
      <c r="J58" s="1935">
        <f>('Sources and Uses Budget'!D104+Q47)/('Sources and Uses Budget'!B104+Q48)</f>
        <v>0</v>
      </c>
      <c r="K58" s="1936"/>
      <c r="L58" s="1936"/>
      <c r="M58" s="1936"/>
      <c r="N58" s="1937"/>
      <c r="O58" s="516"/>
      <c r="P58" s="516"/>
      <c r="U58" s="952" t="s">
        <v>1800</v>
      </c>
      <c r="AC58" s="953">
        <v>0.1</v>
      </c>
    </row>
    <row r="59" spans="1:29" ht="15" customHeight="1">
      <c r="B59" s="1916" t="s">
        <v>2124</v>
      </c>
      <c r="C59" s="1916"/>
      <c r="D59" s="1916"/>
      <c r="E59" s="1916"/>
      <c r="F59" s="1916"/>
      <c r="G59" s="1916"/>
      <c r="H59" s="1916"/>
      <c r="I59" s="1916"/>
      <c r="J59" s="1916"/>
      <c r="K59" s="1916"/>
      <c r="L59" s="1916"/>
      <c r="M59" s="1916"/>
      <c r="N59" s="1916"/>
      <c r="O59" s="1916"/>
      <c r="P59" s="516"/>
      <c r="U59" s="952" t="s">
        <v>1801</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2228</v>
      </c>
      <c r="K63" s="1949"/>
      <c r="L63" s="1949"/>
      <c r="M63" s="1949"/>
      <c r="N63" s="1949"/>
      <c r="O63" s="1949"/>
      <c r="P63" s="1949"/>
      <c r="Q63" s="1949"/>
      <c r="R63" s="1949"/>
    </row>
    <row r="64" spans="1:29" ht="15" customHeight="1" thickBot="1">
      <c r="B64" s="1941" t="s">
        <v>1614</v>
      </c>
      <c r="C64" s="1941"/>
      <c r="D64" s="376"/>
      <c r="F64" s="376"/>
      <c r="G64" s="523" t="s">
        <v>1854</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1856</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1683</v>
      </c>
      <c r="C66" s="638">
        <f>Application!AG430-Application!AG431</f>
        <v>25</v>
      </c>
      <c r="D66" s="788"/>
      <c r="E66" s="528" t="s">
        <v>1857</v>
      </c>
      <c r="F66" s="788"/>
      <c r="G66" s="655"/>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25</v>
      </c>
      <c r="H67" s="529"/>
      <c r="I67" s="759"/>
      <c r="J67" s="1947" t="s">
        <v>124</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1611</v>
      </c>
      <c r="C70" s="508"/>
      <c r="D70" s="508"/>
      <c r="E70" s="508"/>
      <c r="F70" s="508"/>
      <c r="G70" s="508"/>
      <c r="U70" s="1931"/>
      <c r="V70" s="373" t="s">
        <v>1802</v>
      </c>
    </row>
    <row r="71" spans="1:22" ht="15" customHeight="1">
      <c r="B71" s="1938" t="s">
        <v>1615</v>
      </c>
      <c r="C71" s="1938"/>
      <c r="D71" s="1938"/>
      <c r="E71" s="508"/>
      <c r="F71" s="508"/>
      <c r="G71" s="518">
        <f>G53*(1-J58)</f>
        <v>4827388.3430287223</v>
      </c>
      <c r="J71" s="530"/>
      <c r="K71" s="687" t="s">
        <v>1617</v>
      </c>
      <c r="L71" s="687"/>
      <c r="M71" s="687"/>
      <c r="N71" s="687"/>
      <c r="O71" s="687"/>
      <c r="Q71" s="1920">
        <f>'Basis &amp; Credits'!T23+'Basis &amp; Credits'!Y23+'Basis &amp; Credits'!AD23+'Basis &amp; Credits'!AI23</f>
        <v>17430835</v>
      </c>
      <c r="R71" s="1920"/>
    </row>
    <row r="72" spans="1:22" ht="15" customHeight="1">
      <c r="B72" s="1952" t="s">
        <v>1616</v>
      </c>
      <c r="C72" s="1952"/>
      <c r="D72" s="1952"/>
      <c r="E72" s="508"/>
      <c r="F72" s="508"/>
      <c r="G72" s="518">
        <f>G71*C67</f>
        <v>4827388.3430287223</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4827388.3430287223</v>
      </c>
      <c r="C75" s="1954"/>
      <c r="D75" s="1954"/>
      <c r="E75" s="1954"/>
      <c r="F75" s="1954"/>
      <c r="G75" s="1954"/>
      <c r="H75" s="531"/>
      <c r="I75" s="1926" t="s">
        <v>139</v>
      </c>
      <c r="J75" s="1927" t="s">
        <v>992</v>
      </c>
      <c r="K75" s="1926">
        <v>1</v>
      </c>
      <c r="M75" s="395"/>
      <c r="N75" s="510"/>
      <c r="O75" s="657">
        <f>$Q$71</f>
        <v>17430835</v>
      </c>
      <c r="P75" s="1927" t="s">
        <v>1943</v>
      </c>
      <c r="Q75" s="1955" t="s">
        <v>138</v>
      </c>
      <c r="R75" s="1958">
        <f>((B75/B76)+((1-(O75/O76))/2))+U69</f>
        <v>0.31052272494488714</v>
      </c>
    </row>
    <row r="76" spans="1:22" ht="15" customHeight="1" thickBot="1">
      <c r="B76" s="1956">
        <f>'Sources and Uses Budget'!$C$104+$Q$46-($E$50+$E$51)*(1-$J$58)</f>
        <v>20519765</v>
      </c>
      <c r="C76" s="1957"/>
      <c r="D76" s="1957"/>
      <c r="E76" s="1957"/>
      <c r="F76" s="1957"/>
      <c r="G76" s="1956"/>
      <c r="I76" s="1926"/>
      <c r="J76" s="1927"/>
      <c r="K76" s="1926"/>
      <c r="M76" s="648"/>
      <c r="O76" s="656">
        <f>B76</f>
        <v>20519765</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7"/>
      <c r="R84" s="1917"/>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7"/>
      <c r="R89" s="1917"/>
    </row>
    <row r="90" spans="2:18" ht="15" customHeight="1">
      <c r="B90" s="497" t="s">
        <v>2420</v>
      </c>
      <c r="C90" s="498">
        <v>2</v>
      </c>
      <c r="D90" s="499">
        <v>1135</v>
      </c>
      <c r="E90" s="499">
        <v>2585</v>
      </c>
      <c r="F90" s="540"/>
      <c r="G90" s="384">
        <f>MAX(($E90-$D90)*$C90*12,0)</f>
        <v>34800</v>
      </c>
      <c r="I90" s="519"/>
      <c r="K90" s="756" t="s">
        <v>1626</v>
      </c>
      <c r="L90" s="684"/>
      <c r="M90" s="684"/>
      <c r="N90" s="684"/>
      <c r="O90" s="684"/>
      <c r="P90" s="684"/>
      <c r="Q90" s="1960"/>
      <c r="R90" s="1960"/>
    </row>
    <row r="91" spans="2:18" ht="15" customHeight="1">
      <c r="B91" s="497" t="s">
        <v>2421</v>
      </c>
      <c r="C91" s="498">
        <v>10</v>
      </c>
      <c r="D91" s="499">
        <v>1311</v>
      </c>
      <c r="E91" s="499">
        <v>3361</v>
      </c>
      <c r="F91" s="540"/>
      <c r="G91" s="384">
        <f t="shared" ref="G91:G97" si="0">MAX(($E91-$D91)*$C91*12,0)</f>
        <v>246000</v>
      </c>
      <c r="I91" s="519"/>
      <c r="K91" s="756" t="s">
        <v>1629</v>
      </c>
      <c r="L91" s="684"/>
      <c r="M91" s="684"/>
      <c r="N91" s="684"/>
      <c r="O91" s="684"/>
      <c r="P91" s="684"/>
      <c r="Q91" s="1921">
        <f>IFERROR(Q89/Q90,0)</f>
        <v>0</v>
      </c>
      <c r="R91" s="1921"/>
    </row>
    <row r="92" spans="2:18" ht="15" customHeight="1">
      <c r="B92" s="497" t="s">
        <v>2420</v>
      </c>
      <c r="C92" s="498">
        <v>13</v>
      </c>
      <c r="D92" s="499">
        <v>1135</v>
      </c>
      <c r="E92" s="499">
        <v>2660</v>
      </c>
      <c r="F92" s="540"/>
      <c r="G92" s="384">
        <f t="shared" si="0"/>
        <v>237900</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518700</v>
      </c>
      <c r="I98" s="519"/>
    </row>
    <row r="99" spans="2:9" ht="15" customHeight="1">
      <c r="I99" s="519"/>
    </row>
    <row r="100" spans="2:9" ht="15" customHeight="1">
      <c r="B100" s="376" t="s">
        <v>1627</v>
      </c>
      <c r="D100" s="520">
        <f>G98+Q93</f>
        <v>518700</v>
      </c>
      <c r="I100" s="519"/>
    </row>
    <row r="101" spans="2:9" ht="15" customHeight="1">
      <c r="B101" s="376" t="s">
        <v>988</v>
      </c>
      <c r="D101" s="536">
        <v>0.05</v>
      </c>
      <c r="I101" s="519"/>
    </row>
    <row r="102" spans="2:9" ht="15" customHeight="1">
      <c r="B102" s="376" t="s">
        <v>1017</v>
      </c>
      <c r="D102" s="520">
        <f>D100-(D100*D101)</f>
        <v>492765</v>
      </c>
    </row>
    <row r="103" spans="2:9" ht="15" customHeight="1">
      <c r="B103" s="376" t="s">
        <v>1619</v>
      </c>
      <c r="D103" s="537"/>
    </row>
    <row r="104" spans="2:9" ht="15" customHeight="1">
      <c r="B104" s="376" t="s">
        <v>1628</v>
      </c>
      <c r="D104" s="520">
        <f>D102/D108</f>
        <v>428491.30434782611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4827388.3430287223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24" sqref="C24"/>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434292</v>
      </c>
      <c r="F4" s="384"/>
      <c r="G4" s="384">
        <f>E4*$C$4</f>
        <v>445149.3</v>
      </c>
      <c r="H4" s="384"/>
      <c r="I4" s="384">
        <f>G4*$C$4</f>
        <v>456278.03249999997</v>
      </c>
      <c r="J4" s="384"/>
      <c r="K4" s="384">
        <f>I4*$C$4</f>
        <v>467684.98331249994</v>
      </c>
      <c r="L4" s="384"/>
      <c r="M4" s="384">
        <f>K4*$C$4</f>
        <v>479377.10789531242</v>
      </c>
      <c r="N4" s="384"/>
      <c r="O4" s="384">
        <f>M4*$C$4</f>
        <v>491361.53559269517</v>
      </c>
      <c r="P4" s="384"/>
      <c r="Q4" s="384">
        <f>O4*$C$4</f>
        <v>503645.57398251252</v>
      </c>
      <c r="R4" s="384"/>
      <c r="S4" s="384">
        <f>Q4*$C$4</f>
        <v>516236.71333207528</v>
      </c>
      <c r="T4" s="384"/>
      <c r="U4" s="384">
        <f>S4*$C$4</f>
        <v>529142.6311653771</v>
      </c>
      <c r="V4" s="384"/>
      <c r="W4" s="384">
        <f>U4*$C$4</f>
        <v>542371.1969445115</v>
      </c>
      <c r="X4" s="384"/>
      <c r="Y4" s="384">
        <f>W4*$C$4</f>
        <v>555930.47686812421</v>
      </c>
      <c r="Z4" s="384"/>
      <c r="AA4" s="384">
        <f>Y4*$C$4</f>
        <v>569828.73878982721</v>
      </c>
      <c r="AB4" s="384"/>
      <c r="AC4" s="384">
        <f>AA4*$C$4</f>
        <v>584074.45725957281</v>
      </c>
      <c r="AD4" s="384"/>
      <c r="AE4" s="384">
        <f>AC4*$C$4</f>
        <v>598676.31869106204</v>
      </c>
      <c r="AF4" s="384"/>
      <c r="AG4" s="384">
        <f>AE4*$C$4</f>
        <v>613643.22665833856</v>
      </c>
      <c r="AH4" s="384"/>
    </row>
    <row r="5" spans="1:34" ht="14.25">
      <c r="A5" s="376"/>
      <c r="B5" s="376" t="s">
        <v>988</v>
      </c>
      <c r="C5" s="408">
        <f>IF(Application!$D$214="Special Needs",0.1,0.05)</f>
        <v>0.05</v>
      </c>
      <c r="D5" s="376"/>
      <c r="E5" s="386">
        <f>-E4*$C$5</f>
        <v>-21714.600000000002</v>
      </c>
      <c r="F5" s="386"/>
      <c r="G5" s="386">
        <f>-G4*$C$5</f>
        <v>-22257.465</v>
      </c>
      <c r="H5" s="386"/>
      <c r="I5" s="386">
        <f>-I4*$C$5</f>
        <v>-22813.901624999999</v>
      </c>
      <c r="J5" s="386"/>
      <c r="K5" s="386">
        <f>-K4*$C$5</f>
        <v>-23384.249165624999</v>
      </c>
      <c r="L5" s="386"/>
      <c r="M5" s="386">
        <f>-M4*$C$5</f>
        <v>-23968.855394765622</v>
      </c>
      <c r="N5" s="386"/>
      <c r="O5" s="386">
        <f>-O4*$C$5</f>
        <v>-24568.076779634761</v>
      </c>
      <c r="P5" s="386"/>
      <c r="Q5" s="386">
        <f>-Q4*$C$5</f>
        <v>-25182.278699125629</v>
      </c>
      <c r="R5" s="386"/>
      <c r="S5" s="386">
        <f>-S4*$C$5</f>
        <v>-25811.835666603765</v>
      </c>
      <c r="T5" s="386"/>
      <c r="U5" s="386">
        <f>-U4*$C$5</f>
        <v>-26457.131558268855</v>
      </c>
      <c r="V5" s="386"/>
      <c r="W5" s="386">
        <f>-W4*$C$5</f>
        <v>-27118.559847225577</v>
      </c>
      <c r="X5" s="386"/>
      <c r="Y5" s="386">
        <f>-Y4*$C$5</f>
        <v>-27796.523843406212</v>
      </c>
      <c r="Z5" s="386"/>
      <c r="AA5" s="386">
        <f>-AA4*$C$5</f>
        <v>-28491.436939491363</v>
      </c>
      <c r="AB5" s="386"/>
      <c r="AC5" s="386">
        <f>-AC4*$C$5</f>
        <v>-29203.72286297864</v>
      </c>
      <c r="AD5" s="386"/>
      <c r="AE5" s="386">
        <f>-AE4*$C$5</f>
        <v>-29933.815934553102</v>
      </c>
      <c r="AF5" s="386"/>
      <c r="AG5" s="386">
        <f>-AG4*$C$5</f>
        <v>-30682.16133291693</v>
      </c>
      <c r="AH5" s="376"/>
    </row>
    <row r="6" spans="1:34" ht="14.25">
      <c r="A6" s="376" t="s">
        <v>1074</v>
      </c>
      <c r="B6" s="376"/>
      <c r="C6" s="407">
        <v>1.0249999999999999</v>
      </c>
      <c r="D6" s="376"/>
      <c r="E6" s="387">
        <f>Application!Z788</f>
        <v>549948</v>
      </c>
      <c r="F6" s="387"/>
      <c r="G6" s="387">
        <f>E6*$C$6</f>
        <v>563696.69999999995</v>
      </c>
      <c r="H6" s="387"/>
      <c r="I6" s="387">
        <f>G6*$C$6</f>
        <v>577789.11749999993</v>
      </c>
      <c r="J6" s="387"/>
      <c r="K6" s="387">
        <f>I6*$C$6</f>
        <v>592233.84543749993</v>
      </c>
      <c r="L6" s="387"/>
      <c r="M6" s="387">
        <f>K6*$C$6</f>
        <v>607039.69157343742</v>
      </c>
      <c r="N6" s="387"/>
      <c r="O6" s="387">
        <f>M6*$C$6</f>
        <v>622215.68386277335</v>
      </c>
      <c r="P6" s="387"/>
      <c r="Q6" s="387">
        <f>O6*$C$6</f>
        <v>637771.07595934265</v>
      </c>
      <c r="R6" s="387"/>
      <c r="S6" s="387">
        <f>Q6*$C$6</f>
        <v>653715.35285832617</v>
      </c>
      <c r="T6" s="387"/>
      <c r="U6" s="387">
        <f>S6*$C$6</f>
        <v>670058.23667978426</v>
      </c>
      <c r="V6" s="387"/>
      <c r="W6" s="387">
        <f>U6*$C$6</f>
        <v>686809.69259677886</v>
      </c>
      <c r="X6" s="387"/>
      <c r="Y6" s="387">
        <f>W6*$C$6</f>
        <v>703979.93491169822</v>
      </c>
      <c r="Z6" s="387"/>
      <c r="AA6" s="387">
        <f>Y6*$C$6</f>
        <v>721579.4332844906</v>
      </c>
      <c r="AB6" s="387"/>
      <c r="AC6" s="387">
        <f>AA6*$C$6</f>
        <v>739618.91911660274</v>
      </c>
      <c r="AD6" s="387"/>
      <c r="AE6" s="387">
        <f>AC6*$C$6</f>
        <v>758109.39209451771</v>
      </c>
      <c r="AF6" s="387"/>
      <c r="AG6" s="387">
        <f>AE6*$C$6</f>
        <v>777062.12689688057</v>
      </c>
      <c r="AH6" s="376"/>
    </row>
    <row r="7" spans="1:34" ht="14.25">
      <c r="A7" s="376"/>
      <c r="B7" s="376" t="s">
        <v>988</v>
      </c>
      <c r="C7" s="408">
        <f>IF(Application!$D$214="Special Needs",0.1,0.05)</f>
        <v>0.05</v>
      </c>
      <c r="D7" s="376"/>
      <c r="E7" s="386">
        <f>-E6*$C$7</f>
        <v>-27497.4</v>
      </c>
      <c r="F7" s="386"/>
      <c r="G7" s="386">
        <f>-G6*$C$7</f>
        <v>-28184.834999999999</v>
      </c>
      <c r="H7" s="386"/>
      <c r="I7" s="386">
        <f>-I6*$C$7</f>
        <v>-28889.455875</v>
      </c>
      <c r="J7" s="386"/>
      <c r="K7" s="386">
        <f>-K6*$C$7</f>
        <v>-29611.692271874999</v>
      </c>
      <c r="L7" s="386"/>
      <c r="M7" s="386">
        <f>-M6*$C$7</f>
        <v>-30351.984578671872</v>
      </c>
      <c r="N7" s="386"/>
      <c r="O7" s="386">
        <f>-O6*$C$7</f>
        <v>-31110.784193138668</v>
      </c>
      <c r="P7" s="386"/>
      <c r="Q7" s="386">
        <f>-Q6*$C$7</f>
        <v>-31888.553797967135</v>
      </c>
      <c r="R7" s="386"/>
      <c r="S7" s="386">
        <f>-S6*$C$7</f>
        <v>-32685.767642916311</v>
      </c>
      <c r="T7" s="386"/>
      <c r="U7" s="386">
        <f>-U6*$C$7</f>
        <v>-33502.911833989216</v>
      </c>
      <c r="V7" s="386"/>
      <c r="W7" s="386">
        <f>-W6*$C$7</f>
        <v>-34340.484629838946</v>
      </c>
      <c r="X7" s="386"/>
      <c r="Y7" s="386">
        <f>-Y6*$C$7</f>
        <v>-35198.996745584911</v>
      </c>
      <c r="Z7" s="386"/>
      <c r="AA7" s="386">
        <f>-AA6*$C$7</f>
        <v>-36078.971664224533</v>
      </c>
      <c r="AB7" s="386"/>
      <c r="AC7" s="386">
        <f>-AC6*$C$7</f>
        <v>-36980.945955830139</v>
      </c>
      <c r="AD7" s="386"/>
      <c r="AE7" s="386">
        <f>-AE6*$C$7</f>
        <v>-37905.469604725884</v>
      </c>
      <c r="AF7" s="386"/>
      <c r="AG7" s="386">
        <f>-AG6*$C$7</f>
        <v>-38853.106344844033</v>
      </c>
      <c r="AH7" s="376"/>
    </row>
    <row r="8" spans="1:34" ht="14.25">
      <c r="A8" s="376" t="s">
        <v>261</v>
      </c>
      <c r="B8" s="376"/>
      <c r="C8" s="407">
        <v>1.0249999999999999</v>
      </c>
      <c r="D8" s="376"/>
      <c r="E8" s="387">
        <f>Application!Z796</f>
        <v>3000</v>
      </c>
      <c r="F8" s="387"/>
      <c r="G8" s="387">
        <f>E8*$C$8</f>
        <v>3074.9999999999995</v>
      </c>
      <c r="H8" s="387"/>
      <c r="I8" s="387">
        <f>G8*$C$8</f>
        <v>3151.8749999999991</v>
      </c>
      <c r="J8" s="387"/>
      <c r="K8" s="387">
        <f>I8*$C$8</f>
        <v>3230.6718749999986</v>
      </c>
      <c r="L8" s="387"/>
      <c r="M8" s="387">
        <f>K8*$C$8</f>
        <v>3311.4386718749984</v>
      </c>
      <c r="N8" s="387"/>
      <c r="O8" s="387">
        <f>M8*$C$8</f>
        <v>3394.224638671873</v>
      </c>
      <c r="P8" s="387"/>
      <c r="Q8" s="387">
        <f>O8*$C$8</f>
        <v>3479.0802546386694</v>
      </c>
      <c r="R8" s="387"/>
      <c r="S8" s="387">
        <f>Q8*$C$8</f>
        <v>3566.0572610046361</v>
      </c>
      <c r="T8" s="387"/>
      <c r="U8" s="387">
        <f>S8*$C$8</f>
        <v>3655.2086925297517</v>
      </c>
      <c r="V8" s="387"/>
      <c r="W8" s="387">
        <f>U8*$C$8</f>
        <v>3746.5889098429952</v>
      </c>
      <c r="X8" s="387"/>
      <c r="Y8" s="387">
        <f>W8*$C$8</f>
        <v>3840.2536325890696</v>
      </c>
      <c r="Z8" s="387"/>
      <c r="AA8" s="387">
        <f>Y8*$C$8</f>
        <v>3936.2599734037958</v>
      </c>
      <c r="AB8" s="387"/>
      <c r="AC8" s="387">
        <f>AA8*$C$8</f>
        <v>4034.6664727388902</v>
      </c>
      <c r="AD8" s="387"/>
      <c r="AE8" s="387">
        <f>AC8*$C$8</f>
        <v>4135.5331345573622</v>
      </c>
      <c r="AF8" s="387"/>
      <c r="AG8" s="387">
        <f>AE8*$C$8</f>
        <v>4238.9214629212956</v>
      </c>
      <c r="AH8" s="376"/>
    </row>
    <row r="9" spans="1:34" ht="14.25">
      <c r="A9" s="376"/>
      <c r="B9" s="376" t="s">
        <v>988</v>
      </c>
      <c r="C9" s="408">
        <f>IF(Application!$D$214="Special Needs",0.1,0.05)</f>
        <v>0.05</v>
      </c>
      <c r="D9" s="376"/>
      <c r="E9" s="386">
        <f>-E8*$C$9</f>
        <v>-150</v>
      </c>
      <c r="F9" s="386"/>
      <c r="G9" s="386">
        <f>-G8*$C$9</f>
        <v>-153.75</v>
      </c>
      <c r="H9" s="386"/>
      <c r="I9" s="386">
        <f>-I8*$C$9</f>
        <v>-157.59374999999997</v>
      </c>
      <c r="J9" s="386"/>
      <c r="K9" s="386">
        <f>-K8*$C$9</f>
        <v>-161.53359374999994</v>
      </c>
      <c r="L9" s="386"/>
      <c r="M9" s="386">
        <f>-M8*$C$9</f>
        <v>-165.57193359374992</v>
      </c>
      <c r="N9" s="386"/>
      <c r="O9" s="386">
        <f>-O8*$C$9</f>
        <v>-169.71123193359367</v>
      </c>
      <c r="P9" s="386"/>
      <c r="Q9" s="386">
        <f>-Q8*$C$9</f>
        <v>-173.95401273193349</v>
      </c>
      <c r="R9" s="386"/>
      <c r="S9" s="386">
        <f>-S8*$C$9</f>
        <v>-178.30286305023182</v>
      </c>
      <c r="T9" s="386"/>
      <c r="U9" s="386">
        <f>-U8*$C$9</f>
        <v>-182.76043462648761</v>
      </c>
      <c r="V9" s="386"/>
      <c r="W9" s="386">
        <f>-W8*$C$9</f>
        <v>-187.32944549214977</v>
      </c>
      <c r="X9" s="386"/>
      <c r="Y9" s="386">
        <f>-Y8*$C$9</f>
        <v>-192.01268162945348</v>
      </c>
      <c r="Z9" s="386"/>
      <c r="AA9" s="386">
        <f>-AA8*$C$9</f>
        <v>-196.81299867018981</v>
      </c>
      <c r="AB9" s="386"/>
      <c r="AC9" s="386">
        <f>-AC8*$C$9</f>
        <v>-201.73332363694453</v>
      </c>
      <c r="AD9" s="386"/>
      <c r="AE9" s="386">
        <f>-AE8*$C$9</f>
        <v>-206.77665672786813</v>
      </c>
      <c r="AF9" s="386"/>
      <c r="AG9" s="386">
        <f>-AG8*$C$9</f>
        <v>-211.9460731460648</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937878</v>
      </c>
      <c r="F11" s="388"/>
      <c r="G11" s="388">
        <f>SUM(G4:G10)</f>
        <v>961324.95</v>
      </c>
      <c r="H11" s="388"/>
      <c r="I11" s="388">
        <f>SUM(I4:I10)</f>
        <v>985358.07374999998</v>
      </c>
      <c r="J11" s="388"/>
      <c r="K11" s="388">
        <f>SUM(K4:K10)</f>
        <v>1009992.0255937498</v>
      </c>
      <c r="L11" s="388"/>
      <c r="M11" s="388">
        <f>SUM(M4:M10)</f>
        <v>1035241.8262335936</v>
      </c>
      <c r="N11" s="388"/>
      <c r="O11" s="388">
        <f>SUM(O4:O10)</f>
        <v>1061122.8718894334</v>
      </c>
      <c r="P11" s="388"/>
      <c r="Q11" s="388">
        <f>SUM(Q4:Q10)</f>
        <v>1087650.943686669</v>
      </c>
      <c r="R11" s="388"/>
      <c r="S11" s="388">
        <f>SUM(S4:S10)</f>
        <v>1114842.2172788356</v>
      </c>
      <c r="T11" s="388"/>
      <c r="U11" s="388">
        <f>SUM(U4:U10)</f>
        <v>1142713.2727108065</v>
      </c>
      <c r="V11" s="388"/>
      <c r="W11" s="388">
        <f>SUM(W4:W10)</f>
        <v>1171281.1045285766</v>
      </c>
      <c r="X11" s="388"/>
      <c r="Y11" s="388">
        <f>SUM(Y4:Y10)</f>
        <v>1200563.1321417906</v>
      </c>
      <c r="Z11" s="388"/>
      <c r="AA11" s="388">
        <f>SUM(AA4:AA10)</f>
        <v>1230577.2104453356</v>
      </c>
      <c r="AB11" s="388"/>
      <c r="AC11" s="388">
        <f>SUM(AC4:AC10)</f>
        <v>1261341.6407064686</v>
      </c>
      <c r="AD11" s="388"/>
      <c r="AE11" s="388">
        <f>SUM(AE4:AE10)</f>
        <v>1292875.1817241302</v>
      </c>
      <c r="AF11" s="388"/>
      <c r="AG11" s="388">
        <f>SUM(AG4:AG10)</f>
        <v>1325197.0612672335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25500</v>
      </c>
      <c r="F15" s="384"/>
      <c r="G15" s="384">
        <f t="shared" ref="G15:G21" si="0">E15*$C$14</f>
        <v>26392.499999999996</v>
      </c>
      <c r="H15" s="384"/>
      <c r="I15" s="384">
        <f t="shared" ref="I15:I21" si="1">G15*$C$14</f>
        <v>27316.237499999996</v>
      </c>
      <c r="J15" s="384"/>
      <c r="K15" s="384">
        <f t="shared" ref="K15:K21" si="2">I15*$C$14</f>
        <v>28272.305812499992</v>
      </c>
      <c r="L15" s="384"/>
      <c r="M15" s="384">
        <f t="shared" ref="M15:M21" si="3">K15*$C$14</f>
        <v>29261.836515937488</v>
      </c>
      <c r="N15" s="384"/>
      <c r="O15" s="384">
        <f t="shared" ref="O15:O21" si="4">M15*$C$14</f>
        <v>30286.000793995299</v>
      </c>
      <c r="P15" s="384"/>
      <c r="Q15" s="384">
        <f t="shared" ref="Q15:Q21" si="5">O15*$C$14</f>
        <v>31346.010821785134</v>
      </c>
      <c r="R15" s="384"/>
      <c r="S15" s="384">
        <f t="shared" ref="S15:S21" si="6">Q15*$C$14</f>
        <v>32443.121200547612</v>
      </c>
      <c r="T15" s="384"/>
      <c r="U15" s="384">
        <f t="shared" ref="U15:U21" si="7">S15*$C$14</f>
        <v>33578.630442566777</v>
      </c>
      <c r="V15" s="384"/>
      <c r="W15" s="384">
        <f t="shared" ref="W15:W21" si="8">U15*$C$14</f>
        <v>34753.882508056609</v>
      </c>
      <c r="X15" s="384"/>
      <c r="Y15" s="384">
        <f t="shared" ref="Y15:Y21" si="9">W15*$C$14</f>
        <v>35970.26839583859</v>
      </c>
      <c r="Z15" s="384"/>
      <c r="AA15" s="384">
        <f t="shared" ref="AA15:AA21" si="10">Y15*$C$14</f>
        <v>37229.227789692937</v>
      </c>
      <c r="AB15" s="384"/>
      <c r="AC15" s="384">
        <f t="shared" ref="AC15:AC21" si="11">AA15*$C$14</f>
        <v>38532.250762332187</v>
      </c>
      <c r="AD15" s="384"/>
      <c r="AE15" s="384">
        <f t="shared" ref="AE15:AE21" si="12">AC15*$C$14</f>
        <v>39880.879539013811</v>
      </c>
      <c r="AF15" s="384"/>
      <c r="AG15" s="384">
        <f t="shared" ref="AG15:AG21" si="13">AE15*$C$14</f>
        <v>41276.710322879291</v>
      </c>
      <c r="AH15" s="384"/>
    </row>
    <row r="16" spans="1:34" ht="14.25">
      <c r="A16" s="376" t="s">
        <v>469</v>
      </c>
      <c r="B16" s="376"/>
      <c r="C16" s="398"/>
      <c r="D16" s="376"/>
      <c r="E16" s="387">
        <f>Application!W828</f>
        <v>30000</v>
      </c>
      <c r="F16" s="387"/>
      <c r="G16" s="387">
        <f t="shared" si="0"/>
        <v>31049.999999999996</v>
      </c>
      <c r="H16" s="387"/>
      <c r="I16" s="387">
        <f t="shared" si="1"/>
        <v>32136.749999999993</v>
      </c>
      <c r="J16" s="387"/>
      <c r="K16" s="387">
        <f t="shared" si="2"/>
        <v>33261.53624999999</v>
      </c>
      <c r="L16" s="387"/>
      <c r="M16" s="387">
        <f t="shared" si="3"/>
        <v>34425.690018749985</v>
      </c>
      <c r="N16" s="387"/>
      <c r="O16" s="387">
        <f t="shared" si="4"/>
        <v>35630.58916940623</v>
      </c>
      <c r="P16" s="387"/>
      <c r="Q16" s="387">
        <f t="shared" si="5"/>
        <v>36877.659790335449</v>
      </c>
      <c r="R16" s="387"/>
      <c r="S16" s="387">
        <f t="shared" si="6"/>
        <v>38168.377882997185</v>
      </c>
      <c r="T16" s="387"/>
      <c r="U16" s="387">
        <f t="shared" si="7"/>
        <v>39504.271108902081</v>
      </c>
      <c r="V16" s="387"/>
      <c r="W16" s="387">
        <f t="shared" si="8"/>
        <v>40886.920597713652</v>
      </c>
      <c r="X16" s="387"/>
      <c r="Y16" s="387">
        <f t="shared" si="9"/>
        <v>42317.962818633627</v>
      </c>
      <c r="Z16" s="387"/>
      <c r="AA16" s="387">
        <f t="shared" si="10"/>
        <v>43799.0915172858</v>
      </c>
      <c r="AB16" s="387"/>
      <c r="AC16" s="387">
        <f t="shared" si="11"/>
        <v>45332.059720390796</v>
      </c>
      <c r="AD16" s="387"/>
      <c r="AE16" s="387">
        <f t="shared" si="12"/>
        <v>46918.681810604474</v>
      </c>
      <c r="AF16" s="387"/>
      <c r="AG16" s="387">
        <f t="shared" si="13"/>
        <v>48560.835673975627</v>
      </c>
      <c r="AH16" s="376"/>
    </row>
    <row r="17" spans="1:34" ht="14.25">
      <c r="A17" s="376" t="s">
        <v>734</v>
      </c>
      <c r="B17" s="376"/>
      <c r="C17" s="398"/>
      <c r="D17" s="376"/>
      <c r="E17" s="387">
        <f>Application!W834</f>
        <v>70161</v>
      </c>
      <c r="F17" s="387"/>
      <c r="G17" s="387">
        <f t="shared" si="0"/>
        <v>72616.634999999995</v>
      </c>
      <c r="H17" s="387"/>
      <c r="I17" s="387">
        <f t="shared" si="1"/>
        <v>75158.217224999986</v>
      </c>
      <c r="J17" s="387"/>
      <c r="K17" s="387">
        <f t="shared" si="2"/>
        <v>77788.754827874975</v>
      </c>
      <c r="L17" s="387"/>
      <c r="M17" s="387">
        <f t="shared" si="3"/>
        <v>80511.361246850589</v>
      </c>
      <c r="N17" s="387"/>
      <c r="O17" s="387">
        <f t="shared" si="4"/>
        <v>83329.258890490353</v>
      </c>
      <c r="P17" s="387"/>
      <c r="Q17" s="387">
        <f t="shared" si="5"/>
        <v>86245.782951657515</v>
      </c>
      <c r="R17" s="387"/>
      <c r="S17" s="387">
        <f t="shared" si="6"/>
        <v>89264.385354965518</v>
      </c>
      <c r="T17" s="387"/>
      <c r="U17" s="387">
        <f t="shared" si="7"/>
        <v>92388.638842389308</v>
      </c>
      <c r="V17" s="387"/>
      <c r="W17" s="387">
        <f t="shared" si="8"/>
        <v>95622.241201872923</v>
      </c>
      <c r="X17" s="387"/>
      <c r="Y17" s="387">
        <f t="shared" si="9"/>
        <v>98969.019643938474</v>
      </c>
      <c r="Z17" s="387"/>
      <c r="AA17" s="387">
        <f t="shared" si="10"/>
        <v>102432.93533147631</v>
      </c>
      <c r="AB17" s="387"/>
      <c r="AC17" s="387">
        <f t="shared" si="11"/>
        <v>106018.08806807798</v>
      </c>
      <c r="AD17" s="387"/>
      <c r="AE17" s="387">
        <f t="shared" si="12"/>
        <v>109728.7211504607</v>
      </c>
      <c r="AF17" s="387"/>
      <c r="AG17" s="387">
        <f t="shared" si="13"/>
        <v>113569.22639072681</v>
      </c>
      <c r="AH17" s="376"/>
    </row>
    <row r="18" spans="1:34" ht="14.25">
      <c r="A18" s="376" t="s">
        <v>1079</v>
      </c>
      <c r="B18" s="376"/>
      <c r="C18" s="398"/>
      <c r="D18" s="376"/>
      <c r="E18" s="387">
        <f>Application!W841</f>
        <v>85000</v>
      </c>
      <c r="F18" s="387"/>
      <c r="G18" s="387">
        <f t="shared" si="0"/>
        <v>87975</v>
      </c>
      <c r="H18" s="387"/>
      <c r="I18" s="387">
        <f t="shared" si="1"/>
        <v>91054.125</v>
      </c>
      <c r="J18" s="387"/>
      <c r="K18" s="387">
        <f t="shared" si="2"/>
        <v>94241.019374999989</v>
      </c>
      <c r="L18" s="387"/>
      <c r="M18" s="387">
        <f t="shared" si="3"/>
        <v>97539.455053124984</v>
      </c>
      <c r="N18" s="387"/>
      <c r="O18" s="387">
        <f t="shared" si="4"/>
        <v>100953.33597998435</v>
      </c>
      <c r="P18" s="387"/>
      <c r="Q18" s="387">
        <f t="shared" si="5"/>
        <v>104486.70273928379</v>
      </c>
      <c r="R18" s="387"/>
      <c r="S18" s="387">
        <f t="shared" si="6"/>
        <v>108143.73733515872</v>
      </c>
      <c r="T18" s="387"/>
      <c r="U18" s="387">
        <f t="shared" si="7"/>
        <v>111928.76814188926</v>
      </c>
      <c r="V18" s="387"/>
      <c r="W18" s="387">
        <f t="shared" si="8"/>
        <v>115846.27502685538</v>
      </c>
      <c r="X18" s="387"/>
      <c r="Y18" s="387">
        <f t="shared" si="9"/>
        <v>119900.89465279531</v>
      </c>
      <c r="Z18" s="387"/>
      <c r="AA18" s="387">
        <f t="shared" si="10"/>
        <v>124097.42596564314</v>
      </c>
      <c r="AB18" s="387"/>
      <c r="AC18" s="387">
        <f t="shared" si="11"/>
        <v>128440.83587444064</v>
      </c>
      <c r="AD18" s="387"/>
      <c r="AE18" s="387">
        <f t="shared" si="12"/>
        <v>132936.26513004606</v>
      </c>
      <c r="AF18" s="387"/>
      <c r="AG18" s="387">
        <f t="shared" si="13"/>
        <v>137589.03440959766</v>
      </c>
    </row>
    <row r="19" spans="1:34" ht="14.25">
      <c r="A19" s="376" t="s">
        <v>931</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4.25">
      <c r="A20" s="376" t="s">
        <v>55</v>
      </c>
      <c r="B20" s="376"/>
      <c r="C20" s="398"/>
      <c r="D20" s="376"/>
      <c r="E20" s="387">
        <f>Application!W851</f>
        <v>27500</v>
      </c>
      <c r="F20" s="387"/>
      <c r="G20" s="387">
        <f t="shared" si="0"/>
        <v>28462.499999999996</v>
      </c>
      <c r="H20" s="387"/>
      <c r="I20" s="387">
        <f t="shared" si="1"/>
        <v>29458.687499999993</v>
      </c>
      <c r="J20" s="387"/>
      <c r="K20" s="387">
        <f t="shared" si="2"/>
        <v>30489.741562499989</v>
      </c>
      <c r="L20" s="387"/>
      <c r="M20" s="387">
        <f t="shared" si="3"/>
        <v>31556.882517187485</v>
      </c>
      <c r="N20" s="387"/>
      <c r="O20" s="387">
        <f t="shared" si="4"/>
        <v>32661.373405289043</v>
      </c>
      <c r="P20" s="387"/>
      <c r="Q20" s="387">
        <f t="shared" si="5"/>
        <v>33804.521474474161</v>
      </c>
      <c r="R20" s="387"/>
      <c r="S20" s="387">
        <f t="shared" si="6"/>
        <v>34987.679726080751</v>
      </c>
      <c r="T20" s="387"/>
      <c r="U20" s="387">
        <f t="shared" si="7"/>
        <v>36212.248516493572</v>
      </c>
      <c r="V20" s="387"/>
      <c r="W20" s="387">
        <f t="shared" si="8"/>
        <v>37479.677214570846</v>
      </c>
      <c r="X20" s="387"/>
      <c r="Y20" s="387">
        <f t="shared" si="9"/>
        <v>38791.465917080823</v>
      </c>
      <c r="Z20" s="387"/>
      <c r="AA20" s="387">
        <f t="shared" si="10"/>
        <v>40149.167224178651</v>
      </c>
      <c r="AB20" s="387"/>
      <c r="AC20" s="387">
        <f t="shared" si="11"/>
        <v>41554.388077024902</v>
      </c>
      <c r="AD20" s="387"/>
      <c r="AE20" s="387">
        <f t="shared" si="12"/>
        <v>43008.791659720773</v>
      </c>
      <c r="AF20" s="387"/>
      <c r="AG20" s="387">
        <f t="shared" si="13"/>
        <v>44514.099367810995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238161</v>
      </c>
      <c r="F22" s="388"/>
      <c r="G22" s="388">
        <f>SUM(G15:G21)</f>
        <v>246496.63499999998</v>
      </c>
      <c r="H22" s="388"/>
      <c r="I22" s="388">
        <f>SUM(I15:I21)</f>
        <v>255124.01722499996</v>
      </c>
      <c r="J22" s="388"/>
      <c r="K22" s="388">
        <f>SUM(K15:K21)</f>
        <v>264053.35782787495</v>
      </c>
      <c r="L22" s="388"/>
      <c r="M22" s="388">
        <f>SUM(M15:M21)</f>
        <v>273295.22535185056</v>
      </c>
      <c r="N22" s="388"/>
      <c r="O22" s="388">
        <f>SUM(O15:O21)</f>
        <v>282860.55823916529</v>
      </c>
      <c r="P22" s="388"/>
      <c r="Q22" s="388">
        <f>SUM(Q15:Q21)</f>
        <v>292760.67777753604</v>
      </c>
      <c r="R22" s="388"/>
      <c r="S22" s="388">
        <f>SUM(S15:S21)</f>
        <v>303007.30149974977</v>
      </c>
      <c r="T22" s="388"/>
      <c r="U22" s="388">
        <f>SUM(U15:U21)</f>
        <v>313612.557052241</v>
      </c>
      <c r="V22" s="388"/>
      <c r="W22" s="388">
        <f>SUM(W15:W21)</f>
        <v>324588.99654906947</v>
      </c>
      <c r="X22" s="388"/>
      <c r="Y22" s="388">
        <f>SUM(Y15:Y21)</f>
        <v>335949.61142828682</v>
      </c>
      <c r="Z22" s="388"/>
      <c r="AA22" s="388">
        <f>SUM(AA15:AA21)</f>
        <v>347707.84782827686</v>
      </c>
      <c r="AB22" s="388"/>
      <c r="AC22" s="388">
        <f>SUM(AC15:AC21)</f>
        <v>359877.62250226649</v>
      </c>
      <c r="AD22" s="388"/>
      <c r="AE22" s="388">
        <f>SUM(AE15:AE21)</f>
        <v>372473.33928984578</v>
      </c>
      <c r="AF22" s="388"/>
      <c r="AG22" s="388">
        <f>SUM(AG15:AG21)</f>
        <v>385509.90616499039</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1082</v>
      </c>
      <c r="B28" s="376"/>
      <c r="C28" s="407"/>
      <c r="D28" s="376"/>
      <c r="E28" s="387">
        <f>Application!AC868</f>
        <v>7500</v>
      </c>
      <c r="F28" s="387"/>
      <c r="G28" s="387">
        <f>$E$28</f>
        <v>7500</v>
      </c>
      <c r="H28" s="387"/>
      <c r="I28" s="387">
        <f>$E$28</f>
        <v>7500</v>
      </c>
      <c r="J28" s="387"/>
      <c r="K28" s="387">
        <f>$E$28</f>
        <v>7500</v>
      </c>
      <c r="L28" s="387"/>
      <c r="M28" s="387">
        <f>$E$28</f>
        <v>7500</v>
      </c>
      <c r="N28" s="387"/>
      <c r="O28" s="387">
        <f>$E$28</f>
        <v>7500</v>
      </c>
      <c r="P28" s="387"/>
      <c r="Q28" s="387">
        <f>$E$28</f>
        <v>7500</v>
      </c>
      <c r="R28" s="387"/>
      <c r="S28" s="387">
        <f>$E$28</f>
        <v>7500</v>
      </c>
      <c r="T28" s="387"/>
      <c r="U28" s="387">
        <f>$E$28</f>
        <v>7500</v>
      </c>
      <c r="V28" s="387"/>
      <c r="W28" s="387">
        <f>$E$28</f>
        <v>7500</v>
      </c>
      <c r="X28" s="387"/>
      <c r="Y28" s="387">
        <f>$E$28</f>
        <v>7500</v>
      </c>
      <c r="Z28" s="387"/>
      <c r="AA28" s="387">
        <f>$E$28</f>
        <v>7500</v>
      </c>
      <c r="AB28" s="387"/>
      <c r="AC28" s="387">
        <f>$E$28</f>
        <v>7500</v>
      </c>
      <c r="AD28" s="387"/>
      <c r="AE28" s="387">
        <f>$E$28</f>
        <v>7500</v>
      </c>
      <c r="AF28" s="387"/>
      <c r="AG28" s="387">
        <f>$E$28</f>
        <v>7500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10000</v>
      </c>
      <c r="F30" s="387"/>
      <c r="G30" s="387">
        <f>E30*$C$30</f>
        <v>10200</v>
      </c>
      <c r="H30" s="387"/>
      <c r="I30" s="387">
        <f>G30*$C$30</f>
        <v>10404</v>
      </c>
      <c r="J30" s="387"/>
      <c r="K30" s="387">
        <f>I30*$C$30</f>
        <v>10612.08</v>
      </c>
      <c r="L30" s="387"/>
      <c r="M30" s="387">
        <f>K30*$C$30</f>
        <v>10824.321599999999</v>
      </c>
      <c r="N30" s="387"/>
      <c r="O30" s="387">
        <f>M30*$C$30</f>
        <v>11040.808031999999</v>
      </c>
      <c r="P30" s="387"/>
      <c r="Q30" s="387">
        <f>O30*$C$30</f>
        <v>11261.62419264</v>
      </c>
      <c r="R30" s="387"/>
      <c r="S30" s="387">
        <f>Q30*$C$30</f>
        <v>11486.8566764928</v>
      </c>
      <c r="T30" s="387"/>
      <c r="U30" s="387">
        <f>S30*$C$30</f>
        <v>11716.593810022656</v>
      </c>
      <c r="V30" s="387"/>
      <c r="W30" s="387">
        <f>U30*$C$30</f>
        <v>11950.925686223109</v>
      </c>
      <c r="X30" s="387"/>
      <c r="Y30" s="387">
        <f>W30*$C$30</f>
        <v>12189.944199947571</v>
      </c>
      <c r="Z30" s="387"/>
      <c r="AA30" s="387">
        <f>Y30*$C$30</f>
        <v>12433.743083946523</v>
      </c>
      <c r="AB30" s="387"/>
      <c r="AC30" s="387">
        <f>AA30*$C$30</f>
        <v>12682.417945625453</v>
      </c>
      <c r="AD30" s="387"/>
      <c r="AE30" s="387">
        <f>AC30*$C$30</f>
        <v>12936.066304537962</v>
      </c>
      <c r="AF30" s="387"/>
      <c r="AG30" s="387">
        <f>AE30*$C$30</f>
        <v>13194.787630628722</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Property Insurance</v>
      </c>
      <c r="B32" s="376"/>
      <c r="C32" s="488">
        <v>1.0349999999999999</v>
      </c>
      <c r="D32" s="376"/>
      <c r="E32" s="387">
        <f>Application!AC872</f>
        <v>22500</v>
      </c>
      <c r="F32" s="387"/>
      <c r="G32" s="387">
        <f>E32*$C$32</f>
        <v>23287.5</v>
      </c>
      <c r="H32" s="387"/>
      <c r="I32" s="387">
        <f>G32*$C$32</f>
        <v>24102.562499999996</v>
      </c>
      <c r="J32" s="387"/>
      <c r="K32" s="387">
        <f>I32*$C$32</f>
        <v>24946.152187499993</v>
      </c>
      <c r="L32" s="387"/>
      <c r="M32" s="387">
        <f>K32*$C$32</f>
        <v>25819.267514062489</v>
      </c>
      <c r="N32" s="387"/>
      <c r="O32" s="387">
        <f>M32*$C$32</f>
        <v>26722.941877054673</v>
      </c>
      <c r="P32" s="387"/>
      <c r="Q32" s="387">
        <f>O32*$C$32</f>
        <v>27658.244842751585</v>
      </c>
      <c r="R32" s="387"/>
      <c r="S32" s="387">
        <f>Q32*$C$32</f>
        <v>28626.283412247889</v>
      </c>
      <c r="T32" s="387"/>
      <c r="U32" s="387">
        <f>S32*$C$32</f>
        <v>29628.203331676563</v>
      </c>
      <c r="V32" s="387"/>
      <c r="W32" s="387">
        <f>U32*$C$32</f>
        <v>30665.190448285241</v>
      </c>
      <c r="X32" s="387"/>
      <c r="Y32" s="387">
        <f>W32*$C$32</f>
        <v>31738.472113975222</v>
      </c>
      <c r="Z32" s="387"/>
      <c r="AA32" s="387">
        <f>Y32*$C$32</f>
        <v>32849.318637964352</v>
      </c>
      <c r="AB32" s="387"/>
      <c r="AC32" s="387">
        <f>AA32*$C$32</f>
        <v>33999.044790293105</v>
      </c>
      <c r="AD32" s="387"/>
      <c r="AE32" s="387">
        <f>AC32*$C$32</f>
        <v>35189.011357953357</v>
      </c>
      <c r="AF32" s="387"/>
      <c r="AG32" s="387">
        <f>AE32*$C$32</f>
        <v>36420.626755481724</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300961</v>
      </c>
      <c r="F35" s="388"/>
      <c r="G35" s="388">
        <f>SUM(G22:G33)</f>
        <v>311082.13499999995</v>
      </c>
      <c r="H35" s="388"/>
      <c r="I35" s="388">
        <f>SUM(I22:I33)</f>
        <v>321554.50972499995</v>
      </c>
      <c r="J35" s="388"/>
      <c r="K35" s="388">
        <f>SUM(K22:K33)</f>
        <v>332390.35756537493</v>
      </c>
      <c r="L35" s="388"/>
      <c r="M35" s="388">
        <f>SUM(M22:M33)</f>
        <v>343602.33888016304</v>
      </c>
      <c r="N35" s="388"/>
      <c r="O35" s="388">
        <f>SUM(O22:O33)</f>
        <v>355203.55591696867</v>
      </c>
      <c r="P35" s="388"/>
      <c r="Q35" s="388">
        <f>SUM(Q22:Q33)</f>
        <v>367207.56825358258</v>
      </c>
      <c r="R35" s="388"/>
      <c r="S35" s="388">
        <f>SUM(S22:S33)</f>
        <v>379628.40877956833</v>
      </c>
      <c r="T35" s="388"/>
      <c r="U35" s="388">
        <f>SUM(U22:U33)</f>
        <v>392480.60023670574</v>
      </c>
      <c r="V35" s="388"/>
      <c r="W35" s="388">
        <f>SUM(W22:W33)</f>
        <v>405779.17233784019</v>
      </c>
      <c r="X35" s="388"/>
      <c r="Y35" s="388">
        <f>SUM(Y22:Y33)</f>
        <v>419539.67948437115</v>
      </c>
      <c r="Z35" s="388"/>
      <c r="AA35" s="388">
        <f>SUM(AA22:AA33)</f>
        <v>433778.21910332498</v>
      </c>
      <c r="AB35" s="388"/>
      <c r="AC35" s="388">
        <f>SUM(AC22:AC33)</f>
        <v>448511.45062568202</v>
      </c>
      <c r="AD35" s="388"/>
      <c r="AE35" s="388">
        <f>SUM(AE22:AE33)</f>
        <v>463756.61512839649</v>
      </c>
      <c r="AF35" s="388"/>
      <c r="AG35" s="388">
        <f>SUM(AG22:AG33)</f>
        <v>479531.55566332233</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636917</v>
      </c>
      <c r="F37" s="388"/>
      <c r="G37" s="388">
        <f>G11-G35</f>
        <v>650242.81499999994</v>
      </c>
      <c r="H37" s="388"/>
      <c r="I37" s="388">
        <f>I11-I35</f>
        <v>663803.56402499997</v>
      </c>
      <c r="J37" s="388"/>
      <c r="K37" s="388">
        <f>K11-K35</f>
        <v>677601.6680283749</v>
      </c>
      <c r="L37" s="388"/>
      <c r="M37" s="388">
        <f>M11-M35</f>
        <v>691639.4873534306</v>
      </c>
      <c r="N37" s="388"/>
      <c r="O37" s="388">
        <f>O11-O35</f>
        <v>705919.31597246462</v>
      </c>
      <c r="P37" s="388"/>
      <c r="Q37" s="388">
        <f>Q11-Q35</f>
        <v>720443.37543308642</v>
      </c>
      <c r="R37" s="388"/>
      <c r="S37" s="388">
        <f>S11-S35</f>
        <v>735213.80849926732</v>
      </c>
      <c r="T37" s="388"/>
      <c r="U37" s="388">
        <f>U11-U35</f>
        <v>750232.67247410072</v>
      </c>
      <c r="V37" s="388"/>
      <c r="W37" s="388">
        <f>W11-W35</f>
        <v>765501.93219073641</v>
      </c>
      <c r="X37" s="388"/>
      <c r="Y37" s="388">
        <f>Y11-Y35</f>
        <v>781023.45265741949</v>
      </c>
      <c r="Z37" s="388"/>
      <c r="AA37" s="388">
        <f>AA11-AA35</f>
        <v>796798.99134201067</v>
      </c>
      <c r="AB37" s="388"/>
      <c r="AC37" s="388">
        <f>AC11-AC35</f>
        <v>812830.19008078659</v>
      </c>
      <c r="AD37" s="388"/>
      <c r="AE37" s="388">
        <f>AE11-AE35</f>
        <v>829118.56659573363</v>
      </c>
      <c r="AF37" s="388"/>
      <c r="AG37" s="388">
        <f>AG11-AG35</f>
        <v>845665.50560391112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
        <v>2423</v>
      </c>
      <c r="B40" s="391"/>
      <c r="C40" s="385"/>
      <c r="D40" s="376"/>
      <c r="E40" s="384">
        <f>Application!AF621</f>
        <v>550165</v>
      </c>
      <c r="F40" s="384"/>
      <c r="G40" s="384">
        <f>$E$40</f>
        <v>550165</v>
      </c>
      <c r="H40" s="384"/>
      <c r="I40" s="384">
        <f>$E$40</f>
        <v>550165</v>
      </c>
      <c r="J40" s="384"/>
      <c r="K40" s="384">
        <f>$E$40</f>
        <v>550165</v>
      </c>
      <c r="L40" s="384"/>
      <c r="M40" s="384">
        <f>$E$40</f>
        <v>550165</v>
      </c>
      <c r="N40" s="384"/>
      <c r="O40" s="384">
        <f>$E$40</f>
        <v>550165</v>
      </c>
      <c r="P40" s="384"/>
      <c r="Q40" s="384">
        <f>$E$40</f>
        <v>550165</v>
      </c>
      <c r="R40" s="384"/>
      <c r="S40" s="384">
        <f>$E$40</f>
        <v>550165</v>
      </c>
      <c r="T40" s="384"/>
      <c r="U40" s="384">
        <f>$E$40</f>
        <v>550165</v>
      </c>
      <c r="V40" s="384"/>
      <c r="W40" s="384">
        <f>$E$40</f>
        <v>550165</v>
      </c>
      <c r="X40" s="384"/>
      <c r="Y40" s="384">
        <f>$E$40</f>
        <v>550165</v>
      </c>
      <c r="Z40" s="384"/>
      <c r="AA40" s="384">
        <f>$E$40</f>
        <v>550165</v>
      </c>
      <c r="AB40" s="384"/>
      <c r="AC40" s="384">
        <f>$E$40</f>
        <v>550165</v>
      </c>
      <c r="AD40" s="384"/>
      <c r="AE40" s="384">
        <f>$E$40</f>
        <v>550165</v>
      </c>
      <c r="AF40" s="384"/>
      <c r="AG40" s="384">
        <f>$E$40</f>
        <v>550165</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550165</v>
      </c>
      <c r="F43" s="388"/>
      <c r="G43" s="388">
        <f>SUM(G40:G42)</f>
        <v>550165</v>
      </c>
      <c r="H43" s="388"/>
      <c r="I43" s="388">
        <f>SUM(I40:I42)</f>
        <v>550165</v>
      </c>
      <c r="J43" s="388"/>
      <c r="K43" s="388">
        <f>SUM(K40:K42)</f>
        <v>550165</v>
      </c>
      <c r="L43" s="388"/>
      <c r="M43" s="388">
        <f>SUM(M40:M42)</f>
        <v>550165</v>
      </c>
      <c r="N43" s="388"/>
      <c r="O43" s="388">
        <f>SUM(O40:O42)</f>
        <v>550165</v>
      </c>
      <c r="P43" s="388"/>
      <c r="Q43" s="388">
        <f>SUM(Q40:Q42)</f>
        <v>550165</v>
      </c>
      <c r="R43" s="388"/>
      <c r="S43" s="388">
        <f>SUM(S40:S42)</f>
        <v>550165</v>
      </c>
      <c r="T43" s="388"/>
      <c r="U43" s="388">
        <f>SUM(U40:U42)</f>
        <v>550165</v>
      </c>
      <c r="V43" s="388"/>
      <c r="W43" s="388">
        <f>SUM(W40:W42)</f>
        <v>550165</v>
      </c>
      <c r="X43" s="388"/>
      <c r="Y43" s="388">
        <f>SUM(Y40:Y42)</f>
        <v>550165</v>
      </c>
      <c r="Z43" s="388"/>
      <c r="AA43" s="388">
        <f>SUM(AA40:AA42)</f>
        <v>550165</v>
      </c>
      <c r="AB43" s="388"/>
      <c r="AC43" s="388">
        <f>SUM(AC40:AC42)</f>
        <v>550165</v>
      </c>
      <c r="AD43" s="388"/>
      <c r="AE43" s="388">
        <f>SUM(AE40:AE42)</f>
        <v>550165</v>
      </c>
      <c r="AF43" s="388"/>
      <c r="AG43" s="388">
        <f>SUM(AG40:AG42)</f>
        <v>550165</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86752</v>
      </c>
      <c r="F45" s="388"/>
      <c r="G45" s="388">
        <f>G37-G43</f>
        <v>100077.81499999994</v>
      </c>
      <c r="H45" s="388"/>
      <c r="I45" s="388">
        <f>I37-I43</f>
        <v>113638.56402499997</v>
      </c>
      <c r="J45" s="388"/>
      <c r="K45" s="388">
        <f>K37-K43</f>
        <v>127436.6680283749</v>
      </c>
      <c r="L45" s="388"/>
      <c r="M45" s="388">
        <f>M37-M43</f>
        <v>141474.4873534306</v>
      </c>
      <c r="N45" s="388"/>
      <c r="O45" s="388">
        <f>O37-O43</f>
        <v>155754.31597246462</v>
      </c>
      <c r="P45" s="388"/>
      <c r="Q45" s="388">
        <f>Q37-Q43</f>
        <v>170278.37543308642</v>
      </c>
      <c r="R45" s="388"/>
      <c r="S45" s="388">
        <f>S37-S43</f>
        <v>185048.80849926732</v>
      </c>
      <c r="T45" s="388"/>
      <c r="U45" s="388">
        <f>U37-U43</f>
        <v>200067.67247410072</v>
      </c>
      <c r="V45" s="388"/>
      <c r="W45" s="388">
        <f>W37-W43</f>
        <v>215336.93219073641</v>
      </c>
      <c r="X45" s="388"/>
      <c r="Y45" s="388">
        <f>Y37-Y43</f>
        <v>230858.45265741949</v>
      </c>
      <c r="Z45" s="388"/>
      <c r="AA45" s="388">
        <f>AA37-AA43</f>
        <v>246633.99134201067</v>
      </c>
      <c r="AB45" s="388"/>
      <c r="AC45" s="388">
        <f>AC37-AC43</f>
        <v>262665.19008078659</v>
      </c>
      <c r="AD45" s="388"/>
      <c r="AE45" s="388">
        <f>AE37-AE43</f>
        <v>278953.56659573363</v>
      </c>
      <c r="AF45" s="388"/>
      <c r="AG45" s="388">
        <f>AG37-AG43</f>
        <v>295500.50560391112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8.7873262833758764E-2</v>
      </c>
      <c r="F47" s="392"/>
      <c r="G47" s="392">
        <f>G45/(G4+G6+G8)</f>
        <v>9.889884190564277E-2</v>
      </c>
      <c r="H47" s="392"/>
      <c r="I47" s="392">
        <f>I45/(I4+I6+I8)</f>
        <v>0.10956081722951426</v>
      </c>
      <c r="J47" s="392"/>
      <c r="K47" s="392">
        <f>K45/(K4+K6+K8)</f>
        <v>0.11986711930303119</v>
      </c>
      <c r="L47" s="392"/>
      <c r="M47" s="392">
        <f>M45/(M4+M6+M8)</f>
        <v>0.12982547611579273</v>
      </c>
      <c r="N47" s="392"/>
      <c r="O47" s="392">
        <f>O45/(O4+O6+O8)</f>
        <v>0.13944341799962559</v>
      </c>
      <c r="P47" s="392"/>
      <c r="Q47" s="392">
        <f>Q45/(Q4+Q6+Q8)</f>
        <v>0.14872828235970645</v>
      </c>
      <c r="R47" s="392"/>
      <c r="S47" s="392">
        <f>S45/(S4+S6+S8)</f>
        <v>0.15768721828941568</v>
      </c>
      <c r="T47" s="392"/>
      <c r="U47" s="392">
        <f>U45/(U4+U6+U8)</f>
        <v>0.16632719107175054</v>
      </c>
      <c r="V47" s="392"/>
      <c r="W47" s="392">
        <f>W45/(W4+W6+W8)</f>
        <v>0.1746549865700566</v>
      </c>
      <c r="X47" s="392"/>
      <c r="Y47" s="392">
        <f>Y45/(Y4+Y6+Y8)</f>
        <v>0.18267721551076796</v>
      </c>
      <c r="Z47" s="392"/>
      <c r="AA47" s="392">
        <f>AA45/(AA4+AA6+AA8)</f>
        <v>0.19040031766078139</v>
      </c>
      <c r="AB47" s="392"/>
      <c r="AC47" s="392">
        <f>AC45/(AC4+AC6+AC8)</f>
        <v>0.1978305659020233</v>
      </c>
      <c r="AD47" s="392"/>
      <c r="AE47" s="392">
        <f>AE45/(AE4+AE6+AE8)</f>
        <v>0.20497407020571387</v>
      </c>
      <c r="AF47" s="392"/>
      <c r="AG47" s="392">
        <f>AG45/(AG4+AG6+AG8)</f>
        <v>0.21183678150875834</v>
      </c>
      <c r="AH47" s="392"/>
      <c r="AI47" s="392"/>
    </row>
    <row r="48" spans="1:35" ht="14.25">
      <c r="A48" s="392" t="s">
        <v>1089</v>
      </c>
      <c r="B48" s="392"/>
      <c r="C48" s="385"/>
      <c r="D48" s="392"/>
      <c r="E48" s="392">
        <f>E45/E43</f>
        <v>0.15768360400970619</v>
      </c>
      <c r="F48" s="392"/>
      <c r="G48" s="392">
        <f>G45/G43</f>
        <v>0.1819050921087309</v>
      </c>
      <c r="H48" s="392"/>
      <c r="I48" s="392">
        <f>I45/I43</f>
        <v>0.20655360487308347</v>
      </c>
      <c r="J48" s="392"/>
      <c r="K48" s="392">
        <f>K45/K43</f>
        <v>0.23163354271604863</v>
      </c>
      <c r="L48" s="392"/>
      <c r="M48" s="392">
        <f>M45/M43</f>
        <v>0.25714919588383595</v>
      </c>
      <c r="N48" s="392"/>
      <c r="O48" s="392">
        <f>O45/O43</f>
        <v>0.28310473398428587</v>
      </c>
      <c r="P48" s="392"/>
      <c r="Q48" s="392">
        <f>Q45/Q43</f>
        <v>0.30950419498348025</v>
      </c>
      <c r="R48" s="392"/>
      <c r="S48" s="392">
        <f>S45/S43</f>
        <v>0.33635147364748269</v>
      </c>
      <c r="T48" s="392"/>
      <c r="U48" s="392">
        <f>U45/U43</f>
        <v>0.36365030940554327</v>
      </c>
      <c r="V48" s="392"/>
      <c r="W48" s="392">
        <f>W45/W43</f>
        <v>0.39140427361016494</v>
      </c>
      <c r="X48" s="392"/>
      <c r="Y48" s="392">
        <f>Y45/Y43</f>
        <v>0.41961675616845762</v>
      </c>
      <c r="Z48" s="392"/>
      <c r="AA48" s="392">
        <f>AA45/AA43</f>
        <v>0.44829095151820031</v>
      </c>
      <c r="AB48" s="392"/>
      <c r="AC48" s="392">
        <f>AC45/AC43</f>
        <v>0.47742984392098115</v>
      </c>
      <c r="AD48" s="392"/>
      <c r="AE48" s="392">
        <f>AE45/AE43</f>
        <v>0.50703619204372075</v>
      </c>
      <c r="AF48" s="392"/>
      <c r="AG48" s="392">
        <f>AG45/AG43</f>
        <v>0.53711251279872607</v>
      </c>
      <c r="AH48" s="392"/>
      <c r="AI48" s="392"/>
    </row>
    <row r="49" spans="1:35" ht="14.25">
      <c r="A49" s="393" t="s">
        <v>1090</v>
      </c>
      <c r="B49" s="393"/>
      <c r="C49" s="394"/>
      <c r="D49" s="393"/>
      <c r="E49" s="393">
        <f>E37/E43</f>
        <v>1.1576836040097063</v>
      </c>
      <c r="F49" s="393"/>
      <c r="G49" s="393">
        <f>G37/G43</f>
        <v>1.1819050921087308</v>
      </c>
      <c r="H49" s="393"/>
      <c r="I49" s="393">
        <f>I37/I43</f>
        <v>1.2065536048730834</v>
      </c>
      <c r="J49" s="393"/>
      <c r="K49" s="393">
        <f>K37/K43</f>
        <v>1.2316335427160487</v>
      </c>
      <c r="L49" s="393"/>
      <c r="M49" s="393">
        <f>M37/M43</f>
        <v>1.2571491958838359</v>
      </c>
      <c r="N49" s="393"/>
      <c r="O49" s="393">
        <f>O37/O43</f>
        <v>1.2831047339842858</v>
      </c>
      <c r="P49" s="393"/>
      <c r="Q49" s="393">
        <f>Q37/Q43</f>
        <v>1.3095041949834803</v>
      </c>
      <c r="R49" s="393"/>
      <c r="S49" s="393">
        <f>S37/S43</f>
        <v>1.3363514736474826</v>
      </c>
      <c r="T49" s="393"/>
      <c r="U49" s="393">
        <f>U37/U43</f>
        <v>1.3636503094055432</v>
      </c>
      <c r="V49" s="393"/>
      <c r="W49" s="393">
        <f>W37/W43</f>
        <v>1.3914042736101651</v>
      </c>
      <c r="X49" s="393"/>
      <c r="Y49" s="393">
        <f>Y37/Y43</f>
        <v>1.4196167561684576</v>
      </c>
      <c r="Z49" s="393"/>
      <c r="AA49" s="393">
        <f>AA37/AA43</f>
        <v>1.4482909515182003</v>
      </c>
      <c r="AB49" s="393"/>
      <c r="AC49" s="393">
        <f>AC37/AC43</f>
        <v>1.4774298439209812</v>
      </c>
      <c r="AD49" s="393"/>
      <c r="AE49" s="393">
        <f>AE37/AE43</f>
        <v>1.5070361920437207</v>
      </c>
      <c r="AF49" s="393"/>
      <c r="AG49" s="393">
        <f>AG37/AG43</f>
        <v>1.537112512798726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86752</v>
      </c>
      <c r="F60" s="374"/>
      <c r="G60" s="374">
        <f>G45-G58</f>
        <v>100077.81499999994</v>
      </c>
      <c r="H60" s="374"/>
      <c r="I60" s="374">
        <f>I45-I58</f>
        <v>113638.56402499997</v>
      </c>
      <c r="J60" s="374"/>
      <c r="K60" s="374">
        <f>K45-K58</f>
        <v>127436.6680283749</v>
      </c>
      <c r="L60" s="374"/>
      <c r="M60" s="374">
        <f>M45-M58</f>
        <v>141474.4873534306</v>
      </c>
      <c r="N60" s="374"/>
      <c r="O60" s="374">
        <f>O45-O58</f>
        <v>155754.31597246462</v>
      </c>
      <c r="P60" s="374"/>
      <c r="Q60" s="374">
        <f>Q45-Q58</f>
        <v>170278.37543308642</v>
      </c>
      <c r="R60" s="374"/>
      <c r="S60" s="374">
        <f>S45-S58</f>
        <v>185048.80849926732</v>
      </c>
      <c r="T60" s="374"/>
      <c r="U60" s="374">
        <f>U45-U58</f>
        <v>200067.67247410072</v>
      </c>
      <c r="V60" s="374"/>
      <c r="W60" s="374">
        <f>W45-W58</f>
        <v>215336.93219073641</v>
      </c>
      <c r="X60" s="374"/>
      <c r="Y60" s="374">
        <f>Y45-Y58</f>
        <v>230858.45265741949</v>
      </c>
      <c r="Z60" s="374"/>
      <c r="AA60" s="374">
        <f>AA45-AA58</f>
        <v>246633.99134201067</v>
      </c>
      <c r="AB60" s="374"/>
      <c r="AC60" s="374">
        <f>AC45-AC58</f>
        <v>262665.19008078659</v>
      </c>
      <c r="AD60" s="374"/>
      <c r="AE60" s="374">
        <f>AE45-AE58</f>
        <v>278953.56659573363</v>
      </c>
      <c r="AF60" s="374"/>
      <c r="AG60" s="374">
        <f>AG45-AG58</f>
        <v>295500.50560391112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+'Sources and Uses Budget'!H107-'15 Year Pro Forma'!E62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86752</v>
      </c>
      <c r="F72" s="380"/>
      <c r="G72" s="374">
        <f>G60-G62-G70</f>
        <v>100077.81499999994</v>
      </c>
      <c r="H72" s="380"/>
      <c r="I72" s="374">
        <f>I60-I62-I70</f>
        <v>113638.56402499997</v>
      </c>
      <c r="J72" s="380"/>
      <c r="K72" s="374">
        <f>K60-K62-K70</f>
        <v>127436.6680283749</v>
      </c>
      <c r="L72" s="380"/>
      <c r="M72" s="374">
        <f>M60-M62-M70</f>
        <v>141474.4873534306</v>
      </c>
      <c r="N72" s="380"/>
      <c r="O72" s="374">
        <f>O60-O62-O70</f>
        <v>155754.31597246462</v>
      </c>
      <c r="P72" s="380"/>
      <c r="Q72" s="374">
        <f>Q60-Q62-Q70</f>
        <v>170278.37543308642</v>
      </c>
      <c r="R72" s="380"/>
      <c r="S72" s="374">
        <f>S60-S62-S70</f>
        <v>185048.80849926732</v>
      </c>
      <c r="T72" s="380"/>
      <c r="U72" s="374">
        <f>U60-U62-U70</f>
        <v>200067.67247410072</v>
      </c>
      <c r="V72" s="380"/>
      <c r="W72" s="374">
        <f>W60-W62-W70</f>
        <v>215336.93219073641</v>
      </c>
      <c r="X72" s="380"/>
      <c r="Y72" s="374">
        <f>Y60-Y62-Y70</f>
        <v>230858.45265741949</v>
      </c>
      <c r="Z72" s="380"/>
      <c r="AA72" s="374">
        <f>AA60-AA62-AA70</f>
        <v>246633.99134201067</v>
      </c>
      <c r="AB72" s="380"/>
      <c r="AC72" s="374">
        <f>AC60-AC62-AC70</f>
        <v>262665.19008078659</v>
      </c>
      <c r="AD72" s="380"/>
      <c r="AE72" s="374">
        <f>AE60-AE62-AE70</f>
        <v>278953.56659573363</v>
      </c>
      <c r="AF72" s="380"/>
      <c r="AG72" s="374">
        <f>AG60-AG62-AG70</f>
        <v>295500.50560391112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P10" sqref="P10"/>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2</v>
      </c>
      <c r="C4" s="602">
        <f>Application!$O695</f>
        <v>788</v>
      </c>
      <c r="D4" s="603"/>
      <c r="E4" s="942">
        <v>2850</v>
      </c>
      <c r="F4" s="602">
        <f>$E4*$B4</f>
        <v>5700</v>
      </c>
      <c r="G4" s="603"/>
      <c r="H4" s="602">
        <f>IF($E4=0,0,MAX($E4-$C4,0))</f>
        <v>2062</v>
      </c>
      <c r="I4" s="602">
        <f>IF($H4=0,0,($H4*$B4))</f>
        <v>4124</v>
      </c>
    </row>
    <row r="5" spans="1:9">
      <c r="A5" s="602" t="str">
        <f>Application!$B696</f>
        <v>3 Bedrooms</v>
      </c>
      <c r="B5" s="943">
        <f>Application!$G696</f>
        <v>1</v>
      </c>
      <c r="C5" s="602">
        <f>Application!$O696</f>
        <v>872</v>
      </c>
      <c r="D5" s="603"/>
      <c r="E5" s="942">
        <v>3810</v>
      </c>
      <c r="F5" s="602">
        <f t="shared" ref="F5:F38" si="0">$E5*$B5</f>
        <v>3810</v>
      </c>
      <c r="G5" s="603"/>
      <c r="H5" s="602">
        <f t="shared" ref="H5:H38" si="1">IF($E5=0,0,MAX($E5-$C5,0))</f>
        <v>2938</v>
      </c>
      <c r="I5" s="602">
        <f t="shared" ref="I5:I38" si="2">IF($H5=0,0,($H5*$B5))</f>
        <v>2938</v>
      </c>
    </row>
    <row r="6" spans="1:9">
      <c r="A6" s="602" t="str">
        <f>Application!$B697</f>
        <v>2 Bedrooms</v>
      </c>
      <c r="B6" s="943">
        <f>Application!$G697</f>
        <v>3</v>
      </c>
      <c r="C6" s="602">
        <f>Application!$O697</f>
        <v>1083</v>
      </c>
      <c r="D6" s="603"/>
      <c r="E6" s="942">
        <v>2940</v>
      </c>
      <c r="F6" s="602">
        <f t="shared" si="0"/>
        <v>8820</v>
      </c>
      <c r="G6" s="603"/>
      <c r="H6" s="602">
        <f t="shared" si="1"/>
        <v>1857</v>
      </c>
      <c r="I6" s="602">
        <f t="shared" si="2"/>
        <v>5571</v>
      </c>
    </row>
    <row r="7" spans="1:9">
      <c r="A7" s="602" t="str">
        <f>Application!$B698</f>
        <v>3 Bedrooms</v>
      </c>
      <c r="B7" s="943">
        <f>Application!$G698</f>
        <v>1</v>
      </c>
      <c r="C7" s="602">
        <f>Application!$O698</f>
        <v>1200</v>
      </c>
      <c r="D7" s="603"/>
      <c r="E7" s="942">
        <v>3810</v>
      </c>
      <c r="F7" s="602">
        <f t="shared" si="0"/>
        <v>3810</v>
      </c>
      <c r="G7" s="603"/>
      <c r="H7" s="602">
        <f t="shared" si="1"/>
        <v>2610</v>
      </c>
      <c r="I7" s="602">
        <f t="shared" si="2"/>
        <v>2610</v>
      </c>
    </row>
    <row r="8" spans="1:9">
      <c r="A8" s="602" t="str">
        <f>Application!$B699</f>
        <v>2 Bedrooms</v>
      </c>
      <c r="B8" s="943">
        <f>Application!$G699</f>
        <v>6</v>
      </c>
      <c r="C8" s="602">
        <f>Application!$O699</f>
        <v>1366</v>
      </c>
      <c r="D8" s="603"/>
      <c r="E8" s="942">
        <v>2940</v>
      </c>
      <c r="F8" s="602">
        <f t="shared" si="0"/>
        <v>17640</v>
      </c>
      <c r="G8" s="603"/>
      <c r="H8" s="602">
        <f t="shared" si="1"/>
        <v>1574</v>
      </c>
      <c r="I8" s="602">
        <f t="shared" si="2"/>
        <v>9444</v>
      </c>
    </row>
    <row r="9" spans="1:9">
      <c r="A9" s="602" t="str">
        <f>Application!$B700</f>
        <v>3 Bedrooms</v>
      </c>
      <c r="B9" s="943">
        <f>Application!$G700</f>
        <v>5</v>
      </c>
      <c r="C9" s="602">
        <f>Application!$O700</f>
        <v>1528</v>
      </c>
      <c r="D9" s="603"/>
      <c r="E9" s="942">
        <v>3810</v>
      </c>
      <c r="F9" s="602">
        <f t="shared" si="0"/>
        <v>19050</v>
      </c>
      <c r="G9" s="603"/>
      <c r="H9" s="602">
        <f t="shared" si="1"/>
        <v>2282</v>
      </c>
      <c r="I9" s="602">
        <f t="shared" si="2"/>
        <v>11410</v>
      </c>
    </row>
    <row r="10" spans="1:9">
      <c r="A10" s="602" t="str">
        <f>Application!$B701</f>
        <v>2 Bedrooms</v>
      </c>
      <c r="B10" s="943">
        <f>Application!$G701</f>
        <v>3</v>
      </c>
      <c r="C10" s="602">
        <f>Application!$O701</f>
        <v>1650</v>
      </c>
      <c r="D10" s="603"/>
      <c r="E10" s="942">
        <v>2940</v>
      </c>
      <c r="F10" s="602">
        <f t="shared" si="0"/>
        <v>8820</v>
      </c>
      <c r="G10" s="603"/>
      <c r="H10" s="602">
        <f t="shared" si="1"/>
        <v>1290</v>
      </c>
      <c r="I10" s="602">
        <f t="shared" si="2"/>
        <v>3870</v>
      </c>
    </row>
    <row r="11" spans="1:9">
      <c r="A11" s="602" t="str">
        <f>Application!$B702</f>
        <v>3 Bedrooms</v>
      </c>
      <c r="B11" s="943">
        <f>Application!$G702</f>
        <v>3</v>
      </c>
      <c r="C11" s="602">
        <f>Application!$O702</f>
        <v>1856</v>
      </c>
      <c r="D11" s="603"/>
      <c r="E11" s="942">
        <v>3810</v>
      </c>
      <c r="F11" s="602">
        <f t="shared" si="0"/>
        <v>11430</v>
      </c>
      <c r="G11" s="603"/>
      <c r="H11" s="602">
        <f t="shared" si="1"/>
        <v>1954</v>
      </c>
      <c r="I11" s="602">
        <f t="shared" si="2"/>
        <v>5862</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399012</v>
      </c>
      <c r="D40" s="603"/>
      <c r="E40" s="603"/>
      <c r="F40" s="606">
        <f>SUM(F4:F38)*12</f>
        <v>948960</v>
      </c>
      <c r="G40" s="607"/>
      <c r="H40" s="605"/>
      <c r="I40" s="606">
        <f>SUM(I4:I38)*12</f>
        <v>549948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T23" sqref="T23"/>
    </sheetView>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65"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1100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1606</v>
      </c>
      <c r="U7" s="1612"/>
      <c r="V7" s="1612"/>
      <c r="W7" s="1612"/>
      <c r="X7" s="1612"/>
      <c r="Y7" s="1612" t="s">
        <v>1749</v>
      </c>
      <c r="Z7" s="1612"/>
      <c r="AA7" s="1612"/>
      <c r="AB7" s="1612"/>
      <c r="AC7" s="1612"/>
      <c r="AD7" s="1612" t="s">
        <v>1360</v>
      </c>
      <c r="AE7" s="1612"/>
      <c r="AF7" s="1612"/>
      <c r="AG7" s="1612"/>
      <c r="AH7" s="1612"/>
      <c r="AI7" s="1612" t="s">
        <v>1750</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6970372</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10460463</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448</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1713</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6" t="s">
        <v>1364</v>
      </c>
      <c r="D18" s="1617"/>
      <c r="E18" s="1617"/>
      <c r="F18" s="1617"/>
      <c r="G18" s="1617"/>
      <c r="H18" s="1617"/>
      <c r="I18" s="1617"/>
      <c r="J18" s="1617"/>
      <c r="K18" s="1617"/>
      <c r="L18" s="1617"/>
      <c r="M18" s="1617"/>
      <c r="N18" s="1617"/>
      <c r="O18" s="1617"/>
      <c r="P18" s="1617"/>
      <c r="Q18" s="1617"/>
      <c r="R18" s="1617"/>
      <c r="S18" s="1618"/>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5">
        <f>T11+T22</f>
        <v>6970372</v>
      </c>
      <c r="U23" s="1202"/>
      <c r="V23" s="1202"/>
      <c r="W23" s="1202"/>
      <c r="X23" s="1202"/>
      <c r="Y23" s="1605">
        <f>Y11+Y22</f>
        <v>0</v>
      </c>
      <c r="Z23" s="1202"/>
      <c r="AA23" s="1202"/>
      <c r="AB23" s="1202"/>
      <c r="AC23" s="1202"/>
      <c r="AD23" s="1605">
        <f>AD11+AD22</f>
        <v>10460463</v>
      </c>
      <c r="AE23" s="1202"/>
      <c r="AF23" s="1202"/>
      <c r="AG23" s="1202"/>
      <c r="AH23" s="1202"/>
      <c r="AI23" s="1605">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1748</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6970372</v>
      </c>
      <c r="U26" s="1608"/>
      <c r="V26" s="1608"/>
      <c r="W26" s="1608"/>
      <c r="X26" s="1608"/>
      <c r="Y26" s="1226">
        <f>Y23*Y25</f>
        <v>0</v>
      </c>
      <c r="Z26" s="1608"/>
      <c r="AA26" s="1608"/>
      <c r="AB26" s="1608"/>
      <c r="AC26" s="1608"/>
      <c r="AD26" s="1226">
        <f>AD23*AD25</f>
        <v>10460463</v>
      </c>
      <c r="AE26" s="1608"/>
      <c r="AF26" s="1608"/>
      <c r="AG26" s="1608"/>
      <c r="AH26" s="1608"/>
      <c r="AI26" s="1226">
        <f>AI23*AI25</f>
        <v>0</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6970372</v>
      </c>
      <c r="U28" s="1608"/>
      <c r="V28" s="1608"/>
      <c r="W28" s="1608"/>
      <c r="X28" s="1608"/>
      <c r="Y28" s="1226">
        <f>IF(ISERROR((Y26*Y27)),0,(Y26*Y27))</f>
        <v>0</v>
      </c>
      <c r="Z28" s="1608"/>
      <c r="AA28" s="1608"/>
      <c r="AB28" s="1608"/>
      <c r="AC28" s="1608"/>
      <c r="AD28" s="1226">
        <f>IF(ISERROR((AD26*AD27)),0,(AD26*AD27))</f>
        <v>10460463</v>
      </c>
      <c r="AE28" s="1608"/>
      <c r="AF28" s="1608"/>
      <c r="AG28" s="1608"/>
      <c r="AH28" s="1608"/>
      <c r="AI28" s="1226">
        <f>IF(ISERROR((AI26*AI27)),0,(AI26*AI27))</f>
        <v>0</v>
      </c>
      <c r="AJ28" s="1608"/>
      <c r="AK28" s="1608"/>
      <c r="AL28" s="1608"/>
      <c r="AM28" s="1608"/>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3">
        <f>T28+Y28+AD28+AI28</f>
        <v>17430835</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0" ht="12.95" customHeight="1">
      <c r="B36" s="204"/>
      <c r="X36" s="71"/>
      <c r="Y36" s="1612"/>
      <c r="Z36" s="1612"/>
      <c r="AA36" s="1612"/>
      <c r="AB36" s="1612"/>
      <c r="AC36" s="1612"/>
      <c r="AD36" s="1500"/>
      <c r="AE36" s="1500"/>
      <c r="AF36" s="1500"/>
      <c r="AG36" s="1500"/>
      <c r="AH36" s="150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643">
        <v>0.04</v>
      </c>
      <c r="AE39" s="1643"/>
      <c r="AF39" s="1643"/>
      <c r="AG39" s="1643"/>
      <c r="AH39" s="1643"/>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5"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20519765</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379</v>
      </c>
      <c r="AB48" s="1193">
        <f>AB46-AB47</f>
        <v>20519765</v>
      </c>
      <c r="AC48" s="1194"/>
      <c r="AD48" s="1194"/>
      <c r="AE48" s="1194"/>
      <c r="AF48" s="1195"/>
    </row>
    <row r="49" spans="1:40" ht="12.95" customHeight="1">
      <c r="D49" s="3" t="s">
        <v>872</v>
      </c>
      <c r="AA49" s="34"/>
      <c r="AB49" s="1632"/>
      <c r="AC49" s="1633"/>
      <c r="AD49" s="1633"/>
      <c r="AE49" s="1633"/>
      <c r="AF49" s="1634"/>
    </row>
    <row r="50" spans="1:40" s="323" customFormat="1" ht="12.95"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20519765</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1751</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0</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941</v>
      </c>
      <c r="Y67" s="1202">
        <f>ROUND(Y63*Y66,0)</f>
        <v>0</v>
      </c>
      <c r="Z67" s="1635"/>
      <c r="AA67" s="1635"/>
      <c r="AB67" s="1635"/>
      <c r="AC67" s="1635"/>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2"/>
      <c r="AC70" s="1633"/>
      <c r="AD70" s="1633"/>
      <c r="AE70" s="1633"/>
      <c r="AF70" s="1634"/>
    </row>
    <row r="71" spans="1:34" ht="12.95" customHeight="1">
      <c r="A71" s="3"/>
      <c r="C71" s="3"/>
      <c r="D71" s="3"/>
      <c r="E71" s="1636" t="s">
        <v>1746</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9">
        <f>ROUND(IF(ISERROR((AB58/AB70)),0,(AB58/AB70)),0)</f>
        <v>0</v>
      </c>
      <c r="AC75" s="1519"/>
      <c r="AD75" s="1519"/>
      <c r="AE75" s="1519"/>
      <c r="AF75" s="1519"/>
    </row>
    <row r="76" spans="1:34" ht="12.95" customHeight="1">
      <c r="C76" s="3"/>
      <c r="D76" s="3" t="s">
        <v>105</v>
      </c>
      <c r="AB76" s="1554">
        <f>IF((Y67+AD67&lt;AB75),Y67+AD67,AB75)</f>
        <v>0</v>
      </c>
      <c r="AC76" s="1555"/>
      <c r="AD76" s="1555"/>
      <c r="AE76" s="1555"/>
      <c r="AF76" s="1556"/>
    </row>
    <row r="77" spans="1:34" ht="12.95" customHeight="1">
      <c r="C77" s="3"/>
      <c r="D77" s="3" t="s">
        <v>942</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20519765</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1354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1606</v>
      </c>
      <c r="U7" s="1612"/>
      <c r="V7" s="1612"/>
      <c r="W7" s="1612"/>
      <c r="X7" s="1612"/>
      <c r="Y7" s="1612" t="s">
        <v>1749</v>
      </c>
      <c r="Z7" s="1612"/>
      <c r="AA7" s="1612"/>
      <c r="AB7" s="1612"/>
      <c r="AC7" s="1612"/>
      <c r="AD7" s="1612" t="s">
        <v>1360</v>
      </c>
      <c r="AE7" s="1612"/>
      <c r="AF7" s="1612"/>
      <c r="AG7" s="1612"/>
      <c r="AH7" s="1612"/>
      <c r="AI7" s="1612" t="s">
        <v>1750</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6970372</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10460463</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448</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1713</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6" t="s">
        <v>1364</v>
      </c>
      <c r="D18" s="1617"/>
      <c r="E18" s="1617"/>
      <c r="F18" s="1617"/>
      <c r="G18" s="1617"/>
      <c r="H18" s="1617"/>
      <c r="I18" s="1617"/>
      <c r="J18" s="1617"/>
      <c r="K18" s="1617"/>
      <c r="L18" s="1617"/>
      <c r="M18" s="1617"/>
      <c r="N18" s="1617"/>
      <c r="O18" s="1617"/>
      <c r="P18" s="1617"/>
      <c r="Q18" s="1617"/>
      <c r="R18" s="1617"/>
      <c r="S18" s="1618"/>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Credits'!T21</f>
        <v>0</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5">
        <f>T11+T22</f>
        <v>6970372</v>
      </c>
      <c r="U23" s="1202"/>
      <c r="V23" s="1202"/>
      <c r="W23" s="1202"/>
      <c r="X23" s="1202"/>
      <c r="Y23" s="1605">
        <f>Y11+Y22</f>
        <v>0</v>
      </c>
      <c r="Z23" s="1202"/>
      <c r="AA23" s="1202"/>
      <c r="AB23" s="1202"/>
      <c r="AC23" s="1202"/>
      <c r="AD23" s="1605">
        <f>AD11+AD22</f>
        <v>10460463</v>
      </c>
      <c r="AE23" s="1202"/>
      <c r="AF23" s="1202"/>
      <c r="AG23" s="1202"/>
      <c r="AH23" s="1202"/>
      <c r="AI23" s="1605">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1748</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6970372</v>
      </c>
      <c r="U26" s="1608"/>
      <c r="V26" s="1608"/>
      <c r="W26" s="1608"/>
      <c r="X26" s="1608"/>
      <c r="Y26" s="1226">
        <f>Y23*Y25</f>
        <v>0</v>
      </c>
      <c r="Z26" s="1608"/>
      <c r="AA26" s="1608"/>
      <c r="AB26" s="1608"/>
      <c r="AC26" s="1608"/>
      <c r="AD26" s="1226">
        <f>AD23*AD25</f>
        <v>10460463</v>
      </c>
      <c r="AE26" s="1608"/>
      <c r="AF26" s="1608"/>
      <c r="AG26" s="1608"/>
      <c r="AH26" s="1608"/>
      <c r="AI26" s="1226">
        <f>AI23*AI25</f>
        <v>0</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6970372</v>
      </c>
      <c r="U28" s="1608"/>
      <c r="V28" s="1608"/>
      <c r="W28" s="1608"/>
      <c r="X28" s="1608"/>
      <c r="Y28" s="1226">
        <f>IF(ISERROR((Y26*Y27)),0,(Y26*Y27))</f>
        <v>0</v>
      </c>
      <c r="Z28" s="1608"/>
      <c r="AA28" s="1608"/>
      <c r="AB28" s="1608"/>
      <c r="AC28" s="1608"/>
      <c r="AD28" s="1226">
        <f>IF(ISERROR((AD26*AD27)),0,(AD26*AD27))</f>
        <v>10460463</v>
      </c>
      <c r="AE28" s="1608"/>
      <c r="AF28" s="1608"/>
      <c r="AG28" s="1608"/>
      <c r="AH28" s="1608"/>
      <c r="AI28" s="1226">
        <f>IF(ISERROR((AI26*AI27)),0,(AI26*AI27))</f>
        <v>0</v>
      </c>
      <c r="AJ28" s="1608"/>
      <c r="AK28" s="1608"/>
      <c r="AL28" s="1608"/>
      <c r="AM28" s="1608"/>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3">
        <f>T28+Y28+AD28+AI28</f>
        <v>17430835</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0" ht="12.95" customHeight="1">
      <c r="B36" s="204"/>
      <c r="X36" s="71"/>
      <c r="Y36" s="1612"/>
      <c r="Z36" s="1612"/>
      <c r="AA36" s="1612"/>
      <c r="AB36" s="1612"/>
      <c r="AC36" s="1612"/>
      <c r="AD36" s="1500"/>
      <c r="AE36" s="1500"/>
      <c r="AF36" s="1500"/>
      <c r="AG36" s="1500"/>
      <c r="AH36" s="150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963">
        <f>'Basis &amp; Credits'!AD39:AH39</f>
        <v>0.04</v>
      </c>
      <c r="AE39" s="1963"/>
      <c r="AF39" s="1963"/>
      <c r="AG39" s="1963"/>
      <c r="AH39" s="1963"/>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5">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IF((Y40+AD40)&gt;2500000,2500000,Y40+AD40)</f>
        <v>0</v>
      </c>
      <c r="Z41" s="1604"/>
      <c r="AA41" s="1604"/>
      <c r="AB41" s="1604"/>
      <c r="AC41" s="1604"/>
      <c r="AD41" s="1604"/>
      <c r="AE41" s="1604"/>
      <c r="AF41" s="1604"/>
      <c r="AG41" s="1604"/>
      <c r="AH41" s="1605"/>
    </row>
    <row r="42" spans="1:40" ht="12.95"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20519765</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379</v>
      </c>
      <c r="AB48" s="1193">
        <f>AB46-AB47</f>
        <v>20519765</v>
      </c>
      <c r="AC48" s="1194"/>
      <c r="AD48" s="1194"/>
      <c r="AE48" s="1194"/>
      <c r="AF48" s="1195"/>
    </row>
    <row r="49" spans="1:40" ht="12.95" customHeight="1">
      <c r="D49" s="3" t="s">
        <v>872</v>
      </c>
      <c r="AA49" s="34"/>
      <c r="AB49" s="1632"/>
      <c r="AC49" s="1633"/>
      <c r="AD49" s="1633"/>
      <c r="AE49" s="1633"/>
      <c r="AF49" s="1634"/>
    </row>
    <row r="50" spans="1:40" s="323" customFormat="1" ht="12.95"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5">
        <f>(IF((Y41&lt;AB54),Y41,AB54))</f>
        <v>0</v>
      </c>
      <c r="AC55" s="1966"/>
      <c r="AD55" s="1966"/>
      <c r="AE55" s="1966"/>
      <c r="AF55" s="1967"/>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20519765</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1751</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5"/>
      <c r="AA63" s="1635"/>
      <c r="AB63" s="1635"/>
      <c r="AC63" s="1635"/>
      <c r="AD63" s="1202">
        <f>AI28</f>
        <v>0</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941</v>
      </c>
      <c r="Y67" s="1202">
        <f>ROUND(Y63*Y66,0)</f>
        <v>0</v>
      </c>
      <c r="Z67" s="1635"/>
      <c r="AA67" s="1635"/>
      <c r="AB67" s="1635"/>
      <c r="AC67" s="1635"/>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2"/>
      <c r="AC70" s="1633"/>
      <c r="AD70" s="1633"/>
      <c r="AE70" s="1633"/>
      <c r="AF70" s="1634"/>
    </row>
    <row r="71" spans="1:34" ht="12.95" customHeight="1">
      <c r="A71" s="3"/>
      <c r="C71" s="3"/>
      <c r="D71" s="3"/>
      <c r="E71" s="1636" t="s">
        <v>1746</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9">
        <f>ROUND(IF(ISERROR((AB58/AB70)),0,(AB58/AB70)),0)</f>
        <v>0</v>
      </c>
      <c r="AC75" s="1519"/>
      <c r="AD75" s="1519"/>
      <c r="AE75" s="1519"/>
      <c r="AF75" s="1519"/>
    </row>
    <row r="76" spans="1:34" ht="12.95" customHeight="1">
      <c r="C76" s="3"/>
      <c r="D76" s="3" t="s">
        <v>105</v>
      </c>
      <c r="AB76" s="1554">
        <f>IF((Y67+AD67&lt;AB75),Y67+AD67,AB75)</f>
        <v>0</v>
      </c>
      <c r="AC76" s="1555"/>
      <c r="AD76" s="1555"/>
      <c r="AE76" s="1555"/>
      <c r="AF76" s="1556"/>
    </row>
    <row r="77" spans="1:34" ht="12.95" customHeight="1">
      <c r="C77" s="3"/>
      <c r="D77" s="3" t="s">
        <v>942</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20519765</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343</v>
      </c>
      <c r="B4" s="327"/>
      <c r="C4" s="327"/>
      <c r="D4" s="327"/>
      <c r="E4" s="327"/>
      <c r="F4" s="327"/>
      <c r="G4" s="327"/>
    </row>
    <row r="5" spans="1:7" s="568" customFormat="1" ht="12.75">
      <c r="A5" s="884" t="s">
        <v>956</v>
      </c>
      <c r="B5" s="329">
        <f>'Sources and Uses Budget'!C4</f>
        <v>1272654</v>
      </c>
      <c r="C5" s="329">
        <f>'Sources and Uses Budget'!C4</f>
        <v>1272654</v>
      </c>
      <c r="D5" s="329">
        <f>'Sources and Uses Budget'!C4</f>
        <v>1272654</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1272654</v>
      </c>
      <c r="C9" s="331">
        <f>SUM(C5:C8)</f>
        <v>1272654</v>
      </c>
      <c r="D9" s="331">
        <f>SUM(D5:D8)</f>
        <v>1272654</v>
      </c>
      <c r="E9" s="331">
        <f t="shared" si="0"/>
        <v>0</v>
      </c>
      <c r="F9" s="330"/>
      <c r="G9" s="330"/>
    </row>
    <row r="10" spans="1:7" s="568" customFormat="1" ht="12.75">
      <c r="A10" s="884" t="s">
        <v>585</v>
      </c>
      <c r="B10" s="329">
        <f>'Sources and Uses Budget'!C9</f>
        <v>10227346</v>
      </c>
      <c r="C10" s="329">
        <f>'Sources and Uses Budget'!C9</f>
        <v>10227346</v>
      </c>
      <c r="D10" s="329">
        <f>'Sources and Uses Budget'!C9</f>
        <v>10227346</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10227346</v>
      </c>
      <c r="C12" s="331">
        <f>SUM(C10:C11)</f>
        <v>10227346</v>
      </c>
      <c r="D12" s="331">
        <f>SUM(D10:D11)</f>
        <v>10227346</v>
      </c>
      <c r="E12" s="331">
        <f t="shared" si="0"/>
        <v>0</v>
      </c>
      <c r="F12" s="330"/>
      <c r="G12" s="330"/>
    </row>
    <row r="13" spans="1:7" s="568" customFormat="1" ht="12.75">
      <c r="A13" s="885" t="s">
        <v>711</v>
      </c>
      <c r="B13" s="331">
        <f>SUM(B9+B12)</f>
        <v>11500000</v>
      </c>
      <c r="C13" s="331">
        <f>SUM(C9+C12)</f>
        <v>11500000</v>
      </c>
      <c r="D13" s="331">
        <f>SUM(D9+D12)</f>
        <v>11500000</v>
      </c>
      <c r="E13" s="331">
        <f t="shared" si="0"/>
        <v>0</v>
      </c>
      <c r="F13" s="330"/>
      <c r="G13" s="330"/>
    </row>
    <row r="14" spans="1:7" s="568" customFormat="1" ht="12.75">
      <c r="A14" s="886" t="s">
        <v>1110</v>
      </c>
      <c r="B14" s="329">
        <f>'Sources and Uses Budget'!C13</f>
        <v>20000</v>
      </c>
      <c r="C14" s="329">
        <f>'Sources and Uses Budget'!C13</f>
        <v>20000</v>
      </c>
      <c r="D14" s="329">
        <f>'Sources and Uses Budget'!C13</f>
        <v>20000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3000000</v>
      </c>
      <c r="C19" s="329">
        <f>'Sources and Uses Budget'!C18</f>
        <v>3000000</v>
      </c>
      <c r="D19" s="329">
        <f>'Sources and Uses Budget'!C18</f>
        <v>3000000</v>
      </c>
      <c r="E19" s="331">
        <f t="shared" ref="E19:E26" si="1">C19-B19</f>
        <v>0</v>
      </c>
      <c r="F19" s="330"/>
      <c r="G19" s="330"/>
    </row>
    <row r="20" spans="1:7" s="568" customFormat="1" ht="12.75">
      <c r="A20" s="239" t="s">
        <v>912</v>
      </c>
      <c r="B20" s="329">
        <f>'Sources and Uses Budget'!C19</f>
        <v>180000</v>
      </c>
      <c r="C20" s="329">
        <f>'Sources and Uses Budget'!C19</f>
        <v>180000</v>
      </c>
      <c r="D20" s="329">
        <f>'Sources and Uses Budget'!C19</f>
        <v>180000</v>
      </c>
      <c r="E20" s="331">
        <f t="shared" si="1"/>
        <v>0</v>
      </c>
      <c r="F20" s="330"/>
      <c r="G20" s="330"/>
    </row>
    <row r="21" spans="1:7" s="568" customFormat="1" ht="12.75">
      <c r="A21" s="239" t="s">
        <v>913</v>
      </c>
      <c r="B21" s="329">
        <f>'Sources and Uses Budget'!C20</f>
        <v>120000</v>
      </c>
      <c r="C21" s="329">
        <f>'Sources and Uses Budget'!C20</f>
        <v>120000</v>
      </c>
      <c r="D21" s="329">
        <f>'Sources and Uses Budget'!C20</f>
        <v>120000</v>
      </c>
      <c r="E21" s="331">
        <f t="shared" si="1"/>
        <v>0</v>
      </c>
      <c r="F21" s="330"/>
      <c r="G21" s="330"/>
    </row>
    <row r="22" spans="1:7" s="568" customFormat="1" ht="12.75">
      <c r="A22" s="239" t="s">
        <v>914</v>
      </c>
      <c r="B22" s="329">
        <f>'Sources and Uses Budget'!C21</f>
        <v>120000</v>
      </c>
      <c r="C22" s="329">
        <f>'Sources and Uses Budget'!C21</f>
        <v>120000</v>
      </c>
      <c r="D22" s="329">
        <f>'Sources and Uses Budget'!C21</f>
        <v>120000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34500</v>
      </c>
      <c r="C24" s="329">
        <f>'Sources and Uses Budget'!C23</f>
        <v>34500</v>
      </c>
      <c r="D24" s="329">
        <f>'Sources and Uses Budget'!C23</f>
        <v>34500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34500</v>
      </c>
      <c r="C26" s="329">
        <f>'Sources and Uses Budget'!C25</f>
        <v>34500</v>
      </c>
      <c r="D26" s="329">
        <f>'Sources and Uses Budget'!C25</f>
        <v>34500</v>
      </c>
      <c r="E26" s="331">
        <f t="shared" si="1"/>
        <v>0</v>
      </c>
      <c r="F26" s="330"/>
      <c r="G26" s="330"/>
    </row>
    <row r="27" spans="1:7" s="568" customFormat="1" ht="12.75">
      <c r="A27" s="332" t="s">
        <v>222</v>
      </c>
      <c r="B27" s="894">
        <f>'Sources and Uses Budget'!C26</f>
        <v>3489000</v>
      </c>
      <c r="C27" s="894">
        <f>'Sources and Uses Budget'!C26</f>
        <v>3489000</v>
      </c>
      <c r="D27" s="894">
        <f>'Sources and Uses Budget'!C26</f>
        <v>3489000</v>
      </c>
      <c r="E27" s="331">
        <f>C27-B27</f>
        <v>0</v>
      </c>
      <c r="F27" s="330"/>
      <c r="G27" s="330"/>
    </row>
    <row r="28" spans="1:7" s="568" customFormat="1" ht="12.75">
      <c r="A28" s="887" t="s">
        <v>917</v>
      </c>
      <c r="B28" s="329">
        <f>'Sources and Uses Budget'!C27</f>
        <v>62500</v>
      </c>
      <c r="C28" s="329">
        <f>'Sources and Uses Budget'!C27</f>
        <v>62500</v>
      </c>
      <c r="D28" s="329">
        <f>'Sources and Uses Budget'!C27</f>
        <v>62500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0</v>
      </c>
      <c r="C31" s="329">
        <f>'Sources and Uses Budget'!C30</f>
        <v>0</v>
      </c>
      <c r="D31" s="329">
        <f>'Sources and Uses Budget'!C30</f>
        <v>0</v>
      </c>
      <c r="E31" s="331">
        <f t="shared" si="0"/>
        <v>0</v>
      </c>
      <c r="F31" s="330"/>
      <c r="G31" s="330"/>
    </row>
    <row r="32" spans="1:7" s="568" customFormat="1" ht="12.75">
      <c r="A32" s="239" t="s">
        <v>912</v>
      </c>
      <c r="B32" s="329">
        <f>'Sources and Uses Budget'!C31</f>
        <v>0</v>
      </c>
      <c r="C32" s="329">
        <f>'Sources and Uses Budget'!C31</f>
        <v>0</v>
      </c>
      <c r="D32" s="329">
        <f>'Sources and Uses Budget'!C31</f>
        <v>0</v>
      </c>
      <c r="E32" s="331">
        <f t="shared" si="0"/>
        <v>0</v>
      </c>
      <c r="F32" s="330"/>
      <c r="G32" s="330"/>
    </row>
    <row r="33" spans="1:7" s="568" customFormat="1" ht="12.75">
      <c r="A33" s="239" t="s">
        <v>913</v>
      </c>
      <c r="B33" s="329">
        <f>'Sources and Uses Budget'!C32</f>
        <v>0</v>
      </c>
      <c r="C33" s="329">
        <f>'Sources and Uses Budget'!C32</f>
        <v>0</v>
      </c>
      <c r="D33" s="329">
        <f>'Sources and Uses Budget'!C32</f>
        <v>0</v>
      </c>
      <c r="E33" s="331">
        <f t="shared" si="0"/>
        <v>0</v>
      </c>
      <c r="F33" s="330"/>
      <c r="G33" s="330"/>
    </row>
    <row r="34" spans="1:7" s="568" customFormat="1" ht="12.75">
      <c r="A34" s="239" t="s">
        <v>914</v>
      </c>
      <c r="B34" s="329">
        <f>'Sources and Uses Budget'!C33</f>
        <v>0</v>
      </c>
      <c r="C34" s="329">
        <f>'Sources and Uses Budget'!C33</f>
        <v>0</v>
      </c>
      <c r="D34" s="329">
        <f>'Sources and Uses Budget'!C33</f>
        <v>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0</v>
      </c>
      <c r="C36" s="329">
        <f>'Sources and Uses Budget'!C35</f>
        <v>0</v>
      </c>
      <c r="D36" s="329">
        <f>'Sources and Uses Budget'!C35</f>
        <v>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0</v>
      </c>
      <c r="C39" s="894">
        <f>'Sources and Uses Budget'!C38</f>
        <v>0</v>
      </c>
      <c r="D39" s="894">
        <f>'Sources and Uses Budget'!C38</f>
        <v>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85000</v>
      </c>
      <c r="C41" s="329">
        <f>'Sources and Uses Budget'!C40</f>
        <v>85000</v>
      </c>
      <c r="D41" s="329">
        <f>'Sources and Uses Budget'!C40</f>
        <v>85000</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85000</v>
      </c>
      <c r="C43" s="894">
        <f>'Sources and Uses Budget'!C42</f>
        <v>85000</v>
      </c>
      <c r="D43" s="894">
        <f>'Sources and Uses Budget'!C42</f>
        <v>85000</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1511145</v>
      </c>
      <c r="C46" s="329">
        <f>'Sources and Uses Budget'!C45</f>
        <v>1511145</v>
      </c>
      <c r="D46" s="329">
        <f>'Sources and Uses Budget'!C45</f>
        <v>1511145</v>
      </c>
      <c r="E46" s="331">
        <f t="shared" si="0"/>
        <v>0</v>
      </c>
      <c r="F46" s="330"/>
      <c r="G46" s="330"/>
    </row>
    <row r="47" spans="1:7" s="568" customFormat="1" ht="12.75">
      <c r="A47" s="239" t="s">
        <v>927</v>
      </c>
      <c r="B47" s="329">
        <f>'Sources and Uses Budget'!C46</f>
        <v>170783</v>
      </c>
      <c r="C47" s="329">
        <f>'Sources and Uses Budget'!C46</f>
        <v>170783</v>
      </c>
      <c r="D47" s="329">
        <f>'Sources and Uses Budget'!C46</f>
        <v>170783</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105000</v>
      </c>
      <c r="C50" s="329">
        <f>'Sources and Uses Budget'!C49</f>
        <v>105000</v>
      </c>
      <c r="D50" s="329">
        <f>'Sources and Uses Budget'!C49</f>
        <v>105000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22500</v>
      </c>
      <c r="C52" s="329">
        <f>'Sources and Uses Budget'!C51</f>
        <v>22500</v>
      </c>
      <c r="D52" s="329">
        <f>'Sources and Uses Budget'!C51</f>
        <v>22500</v>
      </c>
      <c r="E52" s="331">
        <f t="shared" si="0"/>
        <v>0</v>
      </c>
      <c r="F52" s="330"/>
      <c r="G52" s="330"/>
    </row>
    <row r="53" spans="1:7" s="568" customFormat="1" ht="12.75">
      <c r="A53" s="246" t="s">
        <v>534</v>
      </c>
      <c r="B53" s="329">
        <f>'Sources and Uses Budget'!C52</f>
        <v>195000</v>
      </c>
      <c r="C53" s="329">
        <f>'Sources and Uses Budget'!C52</f>
        <v>195000</v>
      </c>
      <c r="D53" s="329">
        <f>'Sources and Uses Budget'!C52</f>
        <v>195000</v>
      </c>
      <c r="E53" s="331">
        <f t="shared" si="0"/>
        <v>0</v>
      </c>
      <c r="F53" s="330"/>
      <c r="G53" s="330"/>
    </row>
    <row r="54" spans="1:7" s="568" customFormat="1" ht="12.75">
      <c r="A54" s="243" t="s">
        <v>933</v>
      </c>
      <c r="B54" s="894">
        <f>'Sources and Uses Budget'!C53</f>
        <v>2004428</v>
      </c>
      <c r="C54" s="894">
        <f>'Sources and Uses Budget'!C53</f>
        <v>2004428</v>
      </c>
      <c r="D54" s="894">
        <f>'Sources and Uses Budget'!C53</f>
        <v>2004428</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78310</v>
      </c>
      <c r="C56" s="329">
        <f>'Sources and Uses Budget'!C55</f>
        <v>78310</v>
      </c>
      <c r="D56" s="329">
        <f>'Sources and Uses Budget'!C55</f>
        <v>78310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4.1"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78310</v>
      </c>
      <c r="C62" s="894">
        <f>'Sources and Uses Budget'!C61</f>
        <v>78310</v>
      </c>
      <c r="D62" s="894">
        <f>'Sources and Uses Budget'!C61</f>
        <v>78310</v>
      </c>
      <c r="E62" s="331">
        <f t="shared" si="0"/>
        <v>0</v>
      </c>
      <c r="F62" s="330"/>
      <c r="G62" s="330"/>
    </row>
    <row r="63" spans="1:7" s="568" customFormat="1" ht="12.75">
      <c r="A63" s="890" t="s">
        <v>502</v>
      </c>
      <c r="B63" s="894">
        <f>'Sources and Uses Budget'!C62</f>
        <v>17339238</v>
      </c>
      <c r="C63" s="894">
        <f>'Sources and Uses Budget'!C62</f>
        <v>17339238</v>
      </c>
      <c r="D63" s="894">
        <f>'Sources and Uses Budget'!C62</f>
        <v>17339238</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112500</v>
      </c>
      <c r="C65" s="329">
        <f>'Sources and Uses Budget'!C64</f>
        <v>112500</v>
      </c>
      <c r="D65" s="329">
        <f>'Sources and Uses Budget'!C64</f>
        <v>112500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0</v>
      </c>
      <c r="C69" s="329">
        <f>'Sources and Uses Budget'!C68</f>
        <v>0</v>
      </c>
      <c r="D69" s="329">
        <f>'Sources and Uses Budget'!C68</f>
        <v>0</v>
      </c>
      <c r="E69" s="331">
        <f t="shared" si="0"/>
        <v>0</v>
      </c>
      <c r="F69" s="330"/>
      <c r="G69" s="330"/>
    </row>
    <row r="70" spans="1:7" s="568" customFormat="1" ht="12.75">
      <c r="A70" s="243" t="s">
        <v>1960</v>
      </c>
      <c r="B70" s="894">
        <f>'Sources and Uses Budget'!C69</f>
        <v>112500</v>
      </c>
      <c r="C70" s="894">
        <f>'Sources and Uses Budget'!C69</f>
        <v>112500</v>
      </c>
      <c r="D70" s="894">
        <f>'Sources and Uses Budget'!C69</f>
        <v>112500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214000</v>
      </c>
      <c r="C75" s="329">
        <f>'Sources and Uses Budget'!C74</f>
        <v>214000</v>
      </c>
      <c r="D75" s="329">
        <f>'Sources and Uses Budget'!C74</f>
        <v>214000</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214000</v>
      </c>
      <c r="C77" s="894">
        <f>'Sources and Uses Budget'!C76</f>
        <v>214000</v>
      </c>
      <c r="D77" s="894">
        <f>'Sources and Uses Budget'!C76</f>
        <v>214000</v>
      </c>
      <c r="E77" s="331">
        <f>C77-B77</f>
        <v>0</v>
      </c>
      <c r="F77" s="330"/>
      <c r="G77" s="330"/>
    </row>
    <row r="78" spans="1:7" s="568" customFormat="1" ht="12.75">
      <c r="A78" s="883" t="s">
        <v>1744</v>
      </c>
      <c r="B78" s="327"/>
      <c r="C78" s="327"/>
      <c r="D78" s="327"/>
      <c r="E78" s="327"/>
      <c r="F78" s="327"/>
      <c r="G78" s="327"/>
    </row>
    <row r="79" spans="1:7" s="568" customFormat="1" ht="14.1" customHeight="1">
      <c r="A79" s="888" t="s">
        <v>1742</v>
      </c>
      <c r="B79" s="329">
        <f>'Sources and Uses Budget'!C78</f>
        <v>348900</v>
      </c>
      <c r="C79" s="329">
        <f>'Sources and Uses Budget'!C78</f>
        <v>348900</v>
      </c>
      <c r="D79" s="329">
        <f>'Sources and Uses Budget'!C78</f>
        <v>348900</v>
      </c>
      <c r="E79" s="331">
        <f t="shared" ref="E79:E105" si="2">C79-B79</f>
        <v>0</v>
      </c>
      <c r="F79" s="330"/>
      <c r="G79" s="330"/>
    </row>
    <row r="80" spans="1:7" s="568" customFormat="1" ht="12.75">
      <c r="A80" s="888" t="s">
        <v>539</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1743</v>
      </c>
      <c r="B81" s="894">
        <f>'Sources and Uses Budget'!C80</f>
        <v>498900</v>
      </c>
      <c r="C81" s="894">
        <f>'Sources and Uses Budget'!C80</f>
        <v>498900</v>
      </c>
      <c r="D81" s="894">
        <f>'Sources and Uses Budget'!C80</f>
        <v>498900</v>
      </c>
      <c r="E81" s="331">
        <f t="shared" si="2"/>
        <v>0</v>
      </c>
      <c r="F81" s="330"/>
      <c r="G81" s="330"/>
    </row>
    <row r="82" spans="1:7" s="568" customFormat="1" ht="12.75">
      <c r="A82" s="883" t="s">
        <v>516</v>
      </c>
      <c r="B82" s="327"/>
      <c r="C82" s="327"/>
      <c r="D82" s="327"/>
      <c r="E82" s="327"/>
      <c r="F82" s="327"/>
      <c r="G82" s="327"/>
    </row>
    <row r="83" spans="1:7" s="568" customFormat="1" ht="12.75">
      <c r="A83" s="239" t="s">
        <v>2116</v>
      </c>
      <c r="B83" s="329">
        <f>'Sources and Uses Budget'!C82</f>
        <v>54080</v>
      </c>
      <c r="C83" s="329">
        <f>'Sources and Uses Budget'!C82</f>
        <v>54080</v>
      </c>
      <c r="D83" s="329">
        <f>'Sources and Uses Budget'!C82</f>
        <v>54080</v>
      </c>
      <c r="E83" s="331">
        <f t="shared" si="2"/>
        <v>0</v>
      </c>
      <c r="F83" s="330"/>
      <c r="G83" s="330"/>
    </row>
    <row r="84" spans="1:7" s="568" customFormat="1" ht="12.75">
      <c r="A84" s="239" t="s">
        <v>517</v>
      </c>
      <c r="B84" s="329">
        <f>'Sources and Uses Budget'!C83</f>
        <v>42500</v>
      </c>
      <c r="C84" s="329">
        <f>'Sources and Uses Budget'!C83</f>
        <v>42500</v>
      </c>
      <c r="D84" s="329">
        <f>'Sources and Uses Budget'!C83</f>
        <v>42500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75000</v>
      </c>
      <c r="C86" s="329">
        <f>'Sources and Uses Budget'!C85</f>
        <v>75000</v>
      </c>
      <c r="D86" s="329">
        <f>'Sources and Uses Budget'!C85</f>
        <v>75000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0</v>
      </c>
      <c r="C88" s="329">
        <f>'Sources and Uses Budget'!C87</f>
        <v>0</v>
      </c>
      <c r="D88" s="329">
        <f>'Sources and Uses Budget'!C87</f>
        <v>0</v>
      </c>
      <c r="E88" s="331">
        <f t="shared" si="2"/>
        <v>0</v>
      </c>
      <c r="F88" s="330"/>
      <c r="G88" s="330"/>
    </row>
    <row r="89" spans="1:7" s="568" customFormat="1" ht="12.75">
      <c r="A89" s="239" t="s">
        <v>522</v>
      </c>
      <c r="B89" s="329">
        <f>'Sources and Uses Budget'!C88</f>
        <v>0</v>
      </c>
      <c r="C89" s="329">
        <f>'Sources and Uses Budget'!C88</f>
        <v>0</v>
      </c>
      <c r="D89" s="329">
        <f>'Sources and Uses Budget'!C88</f>
        <v>0</v>
      </c>
      <c r="E89" s="331">
        <f t="shared" si="2"/>
        <v>0</v>
      </c>
      <c r="F89" s="330"/>
      <c r="G89" s="330"/>
    </row>
    <row r="90" spans="1:7" s="568" customFormat="1" ht="12.75">
      <c r="A90" s="239" t="s">
        <v>523</v>
      </c>
      <c r="B90" s="329">
        <f>'Sources and Uses Budget'!C89</f>
        <v>7500</v>
      </c>
      <c r="C90" s="329">
        <f>'Sources and Uses Budget'!C89</f>
        <v>7500</v>
      </c>
      <c r="D90" s="329">
        <f>'Sources and Uses Budget'!C89</f>
        <v>7500</v>
      </c>
      <c r="E90" s="331">
        <f t="shared" si="2"/>
        <v>0</v>
      </c>
      <c r="F90" s="330"/>
      <c r="G90" s="330"/>
    </row>
    <row r="91" spans="1:7" s="568" customFormat="1" ht="12.75">
      <c r="A91" s="250" t="s">
        <v>1315</v>
      </c>
      <c r="B91" s="329">
        <f>'Sources and Uses Budget'!C90</f>
        <v>15000</v>
      </c>
      <c r="C91" s="329">
        <f>'Sources and Uses Budget'!C90</f>
        <v>15000</v>
      </c>
      <c r="D91" s="329">
        <f>'Sources and Uses Budget'!C90</f>
        <v>15000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534</v>
      </c>
      <c r="B93" s="329">
        <f>'Sources and Uses Budget'!C92</f>
        <v>24500</v>
      </c>
      <c r="C93" s="329">
        <f>'Sources and Uses Budget'!C92</f>
        <v>24500</v>
      </c>
      <c r="D93" s="329">
        <f>'Sources and Uses Budget'!C92</f>
        <v>24500</v>
      </c>
      <c r="E93" s="331">
        <f t="shared" si="2"/>
        <v>0</v>
      </c>
      <c r="F93" s="330"/>
      <c r="G93" s="330"/>
    </row>
    <row r="94" spans="1:7" s="568" customFormat="1" ht="12.75">
      <c r="A94" s="246" t="s">
        <v>534</v>
      </c>
      <c r="B94" s="329">
        <f>'Sources and Uses Budget'!C93</f>
        <v>37500</v>
      </c>
      <c r="C94" s="329">
        <f>'Sources and Uses Budget'!C93</f>
        <v>37500</v>
      </c>
      <c r="D94" s="329">
        <f>'Sources and Uses Budget'!C93</f>
        <v>37500</v>
      </c>
      <c r="E94" s="331">
        <f t="shared" si="2"/>
        <v>0</v>
      </c>
      <c r="F94" s="330"/>
      <c r="G94" s="330"/>
    </row>
    <row r="95" spans="1:7" s="568" customFormat="1" ht="12.75">
      <c r="A95" s="246" t="s">
        <v>534</v>
      </c>
      <c r="B95" s="329">
        <f>'Sources and Uses Budget'!C94</f>
        <v>684251</v>
      </c>
      <c r="C95" s="329">
        <f>'Sources and Uses Budget'!C94</f>
        <v>684251</v>
      </c>
      <c r="D95" s="329">
        <f>'Sources and Uses Budget'!C94</f>
        <v>684251</v>
      </c>
      <c r="E95" s="331">
        <f t="shared" si="2"/>
        <v>0</v>
      </c>
      <c r="F95" s="330"/>
      <c r="G95" s="330"/>
    </row>
    <row r="96" spans="1:7" s="568" customFormat="1" ht="12.75">
      <c r="A96" s="243" t="s">
        <v>524</v>
      </c>
      <c r="B96" s="894">
        <f>'Sources and Uses Budget'!C95</f>
        <v>947831</v>
      </c>
      <c r="C96" s="894">
        <f>'Sources and Uses Budget'!C95</f>
        <v>947831</v>
      </c>
      <c r="D96" s="894">
        <f>'Sources and Uses Budget'!C95</f>
        <v>947831</v>
      </c>
      <c r="E96" s="331">
        <f t="shared" si="2"/>
        <v>0</v>
      </c>
      <c r="F96" s="330"/>
      <c r="G96" s="330"/>
    </row>
    <row r="97" spans="1:7" s="568" customFormat="1" ht="12.75">
      <c r="A97" s="243" t="s">
        <v>525</v>
      </c>
      <c r="B97" s="894">
        <f>'Sources and Uses Budget'!C96</f>
        <v>19112469</v>
      </c>
      <c r="C97" s="894">
        <f>'Sources and Uses Budget'!C96</f>
        <v>19112469</v>
      </c>
      <c r="D97" s="894">
        <f>'Sources and Uses Budget'!C96</f>
        <v>19112469</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1407296</v>
      </c>
      <c r="C99" s="329">
        <f>'Sources and Uses Budget'!C98</f>
        <v>1407296</v>
      </c>
      <c r="D99" s="329">
        <f>'Sources and Uses Budget'!C98</f>
        <v>1407296</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1407296</v>
      </c>
      <c r="C104" s="894">
        <f>'Sources and Uses Budget'!C103</f>
        <v>1407296</v>
      </c>
      <c r="D104" s="894">
        <f>'Sources and Uses Budget'!C103</f>
        <v>1407296</v>
      </c>
      <c r="E104" s="331">
        <f t="shared" si="2"/>
        <v>0</v>
      </c>
      <c r="F104" s="330"/>
      <c r="G104" s="330"/>
    </row>
    <row r="105" spans="1:7" s="568" customFormat="1" ht="12.75">
      <c r="A105" s="887" t="s">
        <v>530</v>
      </c>
      <c r="B105" s="894">
        <f>'Sources and Uses Budget'!C104</f>
        <v>20519765</v>
      </c>
      <c r="C105" s="894">
        <f>'Sources and Uses Budget'!C104</f>
        <v>20519765</v>
      </c>
      <c r="D105" s="894">
        <f>'Sources and Uses Budget'!C104</f>
        <v>20519765</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2100</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A2" sqref="A2:G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9" t="s">
        <v>2304</v>
      </c>
      <c r="B2" s="1039"/>
      <c r="C2" s="986"/>
      <c r="D2" s="986"/>
      <c r="E2" s="986"/>
      <c r="F2" s="986"/>
      <c r="G2" s="986"/>
      <c r="I2" t="s">
        <v>79</v>
      </c>
    </row>
    <row r="3" spans="1:9" ht="12.75">
      <c r="A3" s="190"/>
      <c r="B3" s="190"/>
      <c r="C3"/>
      <c r="D3"/>
      <c r="E3"/>
      <c r="F3"/>
      <c r="G3"/>
      <c r="I3" s="5" t="s">
        <v>1392</v>
      </c>
    </row>
    <row r="4" spans="1:9" ht="12.75">
      <c r="A4" s="1040" t="s">
        <v>2136</v>
      </c>
      <c r="B4" s="1040"/>
      <c r="C4" s="1041"/>
      <c r="D4" s="1041"/>
      <c r="E4" s="1041"/>
      <c r="F4" s="1041"/>
      <c r="G4" s="1041"/>
      <c r="I4" s="5" t="s">
        <v>1376</v>
      </c>
    </row>
    <row r="5" spans="1:9" ht="12.75">
      <c r="A5" s="1040" t="s">
        <v>1041</v>
      </c>
      <c r="B5" s="1040"/>
      <c r="C5" s="1041"/>
      <c r="D5" s="1041"/>
      <c r="E5" s="1041"/>
      <c r="F5" s="1041"/>
      <c r="G5" s="1041"/>
      <c r="I5" t="s">
        <v>124</v>
      </c>
    </row>
    <row r="6" spans="1:9" ht="13.7" customHeight="1"/>
    <row r="7" spans="1:9" ht="12.75">
      <c r="A7" s="1043" t="s">
        <v>2316</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1376</v>
      </c>
      <c r="C16" s="191"/>
      <c r="D16" s="968" t="s">
        <v>2065</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2066</v>
      </c>
      <c r="F19" s="24"/>
      <c r="G19" s="354"/>
    </row>
    <row r="20" spans="1:7" ht="12.75">
      <c r="A20" s="191"/>
      <c r="B20" s="191"/>
      <c r="C20" s="191"/>
    </row>
    <row r="21" spans="1:7" ht="14.25">
      <c r="A21" s="271"/>
      <c r="B21" s="609" t="s">
        <v>1376</v>
      </c>
      <c r="D21" s="968" t="s">
        <v>2067</v>
      </c>
      <c r="E21" s="975"/>
      <c r="F21" s="975"/>
    </row>
    <row r="22" spans="1:7" ht="12.75">
      <c r="D22" s="975"/>
      <c r="E22" s="975"/>
      <c r="F22" s="975"/>
    </row>
    <row r="23" spans="1:7" ht="12.75">
      <c r="D23" s="102"/>
      <c r="E23" s="104" t="s">
        <v>2068</v>
      </c>
      <c r="F23" s="102"/>
    </row>
    <row r="24" spans="1:7" ht="14.25">
      <c r="A24" s="271"/>
      <c r="B24" s="271"/>
      <c r="D24" s="44"/>
    </row>
    <row r="25" spans="1:7" ht="14.25">
      <c r="A25" s="271"/>
      <c r="B25" s="609" t="s">
        <v>124</v>
      </c>
      <c r="D25" s="975" t="s">
        <v>1408</v>
      </c>
      <c r="E25" s="975"/>
      <c r="F25" s="975"/>
    </row>
    <row r="26" spans="1:7" ht="14.25">
      <c r="A26" s="271"/>
      <c r="B26" s="271"/>
      <c r="D26" s="975"/>
      <c r="E26" s="975"/>
      <c r="F26" s="975"/>
    </row>
    <row r="27" spans="1:7" ht="14.25">
      <c r="A27" s="271"/>
      <c r="B27" s="271"/>
      <c r="D27" s="44"/>
    </row>
    <row r="28" spans="1:7" ht="14.25" customHeight="1">
      <c r="A28" s="271"/>
      <c r="B28" s="609" t="s">
        <v>1376</v>
      </c>
      <c r="D28" s="968" t="s">
        <v>2137</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2138</v>
      </c>
      <c r="E34" s="975"/>
      <c r="F34" s="975"/>
    </row>
    <row r="35" spans="1:6" ht="14.25">
      <c r="A35" s="271"/>
      <c r="B35" s="271"/>
      <c r="D35" s="975"/>
      <c r="E35" s="975"/>
      <c r="F35" s="975"/>
    </row>
    <row r="36" spans="1:6" ht="14.25">
      <c r="A36" s="271"/>
      <c r="B36" s="271"/>
      <c r="D36" s="209"/>
      <c r="E36" s="209"/>
      <c r="F36" s="209"/>
    </row>
    <row r="37" spans="1:6" ht="14.25">
      <c r="A37" s="271"/>
      <c r="B37" s="609" t="s">
        <v>1376</v>
      </c>
      <c r="D37" s="968" t="s">
        <v>1754</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124</v>
      </c>
      <c r="D52" s="968" t="s">
        <v>1886</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1376</v>
      </c>
      <c r="D59" s="968" t="s">
        <v>1928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2139</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1376</v>
      </c>
      <c r="D68" s="968" t="s">
        <v>2069</v>
      </c>
      <c r="E68" s="975"/>
      <c r="F68" s="975"/>
    </row>
    <row r="69" spans="1:6" ht="12.75">
      <c r="D69" s="975"/>
      <c r="E69" s="975"/>
      <c r="F69" s="975"/>
    </row>
    <row r="70" spans="1:6" ht="12.75">
      <c r="D70" s="975"/>
      <c r="E70" s="975"/>
      <c r="F70" s="975"/>
    </row>
    <row r="71" spans="1:6" ht="14.25">
      <c r="A71" s="271"/>
      <c r="B71" s="271"/>
      <c r="D71" s="209"/>
      <c r="E71" s="128" t="s">
        <v>2066</v>
      </c>
      <c r="F71" s="209"/>
    </row>
    <row r="72" spans="1:6" ht="14.25">
      <c r="A72" s="271"/>
      <c r="B72" s="271"/>
    </row>
    <row r="73" spans="1:6" ht="14.25">
      <c r="A73" s="271"/>
      <c r="B73" s="609" t="s">
        <v>124</v>
      </c>
      <c r="D73" s="975" t="s">
        <v>1542</v>
      </c>
      <c r="E73" s="975"/>
      <c r="F73" s="975"/>
    </row>
    <row r="74" spans="1:6" ht="12.75">
      <c r="D74" s="975"/>
      <c r="E74" s="975"/>
      <c r="F74" s="975"/>
    </row>
    <row r="75" spans="1:6" ht="12.75">
      <c r="D75" s="975"/>
      <c r="E75" s="975"/>
      <c r="F75" s="975"/>
    </row>
    <row r="76" spans="1:6" ht="12.75"/>
    <row r="77" spans="1:6" ht="14.25">
      <c r="A77" s="271" t="s">
        <v>229</v>
      </c>
      <c r="B77" s="609" t="s">
        <v>124</v>
      </c>
      <c r="D77" s="975" t="s">
        <v>1444</v>
      </c>
      <c r="E77" s="975"/>
      <c r="F77" s="975"/>
    </row>
    <row r="78" spans="1:6" ht="12.75">
      <c r="D78" s="975"/>
      <c r="E78" s="975"/>
      <c r="F78" s="975"/>
    </row>
    <row r="79" spans="1:6" ht="12.75"/>
    <row r="80" spans="1:6" ht="14.25">
      <c r="A80" s="271" t="s">
        <v>229</v>
      </c>
      <c r="B80" s="609" t="s">
        <v>1376</v>
      </c>
      <c r="D80" s="975" t="s">
        <v>1445</v>
      </c>
      <c r="E80" s="975"/>
      <c r="F80" s="975"/>
    </row>
    <row r="81" spans="1:7" ht="12.75">
      <c r="D81" s="975"/>
      <c r="E81" s="975"/>
      <c r="F81" s="975"/>
    </row>
    <row r="82" spans="1:7" ht="12.75">
      <c r="D82" s="975"/>
      <c r="E82" s="975"/>
      <c r="F82" s="975"/>
    </row>
    <row r="83" spans="1:7" ht="12.75">
      <c r="D83" s="44"/>
    </row>
    <row r="84" spans="1:7" ht="14.25">
      <c r="A84" s="271" t="s">
        <v>229</v>
      </c>
      <c r="B84" s="609" t="s">
        <v>1376</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1376</v>
      </c>
      <c r="D92" s="968" t="s">
        <v>1859</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1860</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1376</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1376</v>
      </c>
      <c r="D128" s="975" t="s">
        <v>1548</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124</v>
      </c>
      <c r="D141" s="968" t="s">
        <v>1731</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1732</v>
      </c>
      <c r="E159" s="1024"/>
      <c r="F159" s="1024"/>
      <c r="G159"/>
    </row>
    <row r="160" spans="1:7" ht="14.1" customHeight="1">
      <c r="A160" s="18"/>
      <c r="B160" s="18"/>
      <c r="D160" s="44"/>
      <c r="G160"/>
    </row>
    <row r="161" spans="1:7" ht="14.1" customHeight="1">
      <c r="A161" s="271"/>
      <c r="B161" s="609" t="s">
        <v>124</v>
      </c>
      <c r="D161" s="1022" t="s">
        <v>2301</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1376</v>
      </c>
      <c r="D167" s="1023" t="s">
        <v>1549</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124</v>
      </c>
      <c r="C172" s="370"/>
      <c r="D172" s="1026" t="s">
        <v>2140</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124</v>
      </c>
      <c r="D181" s="1028" t="s">
        <v>1734</v>
      </c>
      <c r="E181" s="1005"/>
      <c r="F181" s="1005"/>
    </row>
    <row r="182" spans="1:6" ht="14.25">
      <c r="A182" s="271"/>
      <c r="D182" s="312"/>
      <c r="E182" s="102"/>
      <c r="F182" s="102"/>
    </row>
    <row r="183" spans="1:6" ht="14.25">
      <c r="A183" s="271"/>
      <c r="B183" s="609" t="s">
        <v>124</v>
      </c>
      <c r="D183" s="1005" t="s">
        <v>1550</v>
      </c>
      <c r="E183" s="1005"/>
      <c r="F183" s="1005"/>
    </row>
    <row r="184" spans="1:6" ht="14.25">
      <c r="A184" s="271"/>
      <c r="D184" s="102"/>
      <c r="E184" s="102"/>
      <c r="F184" s="102"/>
    </row>
    <row r="185" spans="1:6" ht="14.25">
      <c r="A185" s="271"/>
      <c r="B185" s="609" t="s">
        <v>124</v>
      </c>
      <c r="D185" s="1030" t="s">
        <v>1812</v>
      </c>
      <c r="E185" s="1030"/>
      <c r="F185" s="1030"/>
    </row>
    <row r="186" spans="1:6" ht="13.7" customHeight="1">
      <c r="A186" s="271"/>
      <c r="D186" s="41" t="s">
        <v>900</v>
      </c>
      <c r="E186" s="968" t="s">
        <v>2135</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901</v>
      </c>
      <c r="E190" s="968" t="s">
        <v>1813</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2305</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2307</v>
      </c>
      <c r="E202" s="1024"/>
      <c r="F202" s="1024"/>
    </row>
    <row r="203" spans="1:7" ht="12.75">
      <c r="D203" s="625"/>
      <c r="E203" s="625"/>
      <c r="F203" s="625"/>
    </row>
    <row r="204" spans="1:7" ht="14.25">
      <c r="A204" s="271"/>
      <c r="B204" s="609" t="s">
        <v>124</v>
      </c>
      <c r="D204" s="997" t="s">
        <v>2308</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697</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2141</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1111</v>
      </c>
      <c r="E225" s="1005"/>
      <c r="F225" s="1005"/>
    </row>
    <row r="226" spans="1:6" ht="14.25">
      <c r="A226" s="271"/>
      <c r="B226" s="271"/>
      <c r="C226" s="191"/>
      <c r="D226" s="104" t="s">
        <v>1430</v>
      </c>
      <c r="E226" s="1035" t="s">
        <v>2070</v>
      </c>
      <c r="F226" s="1035"/>
    </row>
    <row r="227" spans="1:6" ht="12.75">
      <c r="D227" s="1028" t="s">
        <v>1409</v>
      </c>
      <c r="E227" s="1005"/>
      <c r="F227" s="1005"/>
    </row>
    <row r="228" spans="1:6" ht="12.75"/>
    <row r="229" spans="1:6" ht="14.25">
      <c r="A229" s="271"/>
      <c r="B229" s="609" t="s">
        <v>124</v>
      </c>
      <c r="D229" s="1005" t="s">
        <v>293</v>
      </c>
      <c r="E229" s="1005"/>
      <c r="F229" s="1005"/>
    </row>
    <row r="230" spans="1:6" ht="14.25">
      <c r="A230" s="271"/>
      <c r="D230" s="995" t="s">
        <v>1111</v>
      </c>
      <c r="E230" s="995"/>
      <c r="F230" s="995"/>
    </row>
    <row r="231" spans="1:6" ht="14.25">
      <c r="A231" s="271"/>
      <c r="B231" s="271"/>
      <c r="D231" s="63" t="s">
        <v>1431</v>
      </c>
      <c r="E231" s="1035" t="s">
        <v>2071</v>
      </c>
      <c r="F231" s="1035"/>
    </row>
    <row r="232" spans="1:6" ht="12.75">
      <c r="D232" s="1005" t="s">
        <v>1410</v>
      </c>
      <c r="E232" s="1005"/>
      <c r="F232" s="1005"/>
    </row>
    <row r="233" spans="1:6" ht="12.75"/>
    <row r="234" spans="1:6" ht="14.25">
      <c r="A234" s="271"/>
      <c r="B234" s="609" t="s">
        <v>124</v>
      </c>
      <c r="D234" s="1005" t="s">
        <v>641</v>
      </c>
      <c r="E234" s="1005"/>
      <c r="F234" s="1005"/>
    </row>
    <row r="235" spans="1:6" ht="14.25">
      <c r="A235" s="271"/>
      <c r="D235" s="44" t="s">
        <v>1111</v>
      </c>
    </row>
    <row r="236" spans="1:6" ht="14.25">
      <c r="A236" s="271"/>
      <c r="B236" s="271"/>
      <c r="D236" s="63" t="s">
        <v>1430</v>
      </c>
      <c r="E236" s="1035" t="s">
        <v>2072</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1376</v>
      </c>
      <c r="D244" s="1005" t="s">
        <v>642</v>
      </c>
      <c r="E244" s="1005"/>
      <c r="F244" s="1005"/>
    </row>
    <row r="245" spans="1:6" ht="14.25">
      <c r="A245" s="271"/>
      <c r="D245" s="1005" t="s">
        <v>1111</v>
      </c>
      <c r="E245" s="1005"/>
      <c r="F245" s="1005"/>
    </row>
    <row r="246" spans="1:6" ht="14.25">
      <c r="A246" s="271"/>
      <c r="B246" s="271"/>
      <c r="D246" s="63" t="s">
        <v>1430</v>
      </c>
      <c r="E246" s="1035" t="s">
        <v>2073</v>
      </c>
      <c r="F246" s="1035"/>
    </row>
    <row r="247" spans="1:6" ht="12.75">
      <c r="D247" s="1028" t="s">
        <v>1932</v>
      </c>
      <c r="E247" s="1005"/>
      <c r="F247" s="1005"/>
    </row>
    <row r="248" spans="1:6" ht="12.75">
      <c r="D248" s="102"/>
      <c r="E248" s="102"/>
      <c r="F248" s="102"/>
    </row>
    <row r="249" spans="1:6" ht="14.25">
      <c r="A249" s="271"/>
      <c r="B249" s="609" t="s">
        <v>124</v>
      </c>
      <c r="D249" s="1028" t="s">
        <v>1931</v>
      </c>
      <c r="E249" s="1005"/>
      <c r="F249" s="1005"/>
    </row>
    <row r="250" spans="1:6" ht="14.25">
      <c r="A250" s="271"/>
      <c r="D250" s="1005" t="s">
        <v>1111</v>
      </c>
      <c r="E250" s="1005"/>
      <c r="F250" s="1005"/>
    </row>
    <row r="251" spans="1:6" ht="14.25">
      <c r="A251" s="271"/>
      <c r="B251" s="271"/>
      <c r="D251" s="63" t="s">
        <v>1430</v>
      </c>
      <c r="E251" s="1035" t="s">
        <v>2074</v>
      </c>
      <c r="F251" s="1035"/>
    </row>
    <row r="252" spans="1:6" ht="12.75">
      <c r="D252" s="1028" t="s">
        <v>1933</v>
      </c>
      <c r="E252" s="1005"/>
      <c r="F252" s="1005"/>
    </row>
    <row r="253" spans="1:6" ht="12.75">
      <c r="D253" s="44"/>
    </row>
    <row r="254" spans="1:6" ht="14.25">
      <c r="A254" s="271"/>
      <c r="B254" s="609" t="s">
        <v>124</v>
      </c>
      <c r="D254" s="102" t="s">
        <v>1453</v>
      </c>
      <c r="E254" s="102"/>
      <c r="F254" s="102"/>
    </row>
    <row r="255" spans="1:6" ht="14.25">
      <c r="A255" s="271"/>
      <c r="B255"/>
      <c r="D255" s="968" t="s">
        <v>1755</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1022</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1376</v>
      </c>
      <c r="C267" s="880"/>
      <c r="D267" s="1016" t="s">
        <v>2010</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1376</v>
      </c>
      <c r="C272" s="880"/>
      <c r="D272" s="1016" t="s">
        <v>2011</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1926</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5" t="s">
        <v>1112</v>
      </c>
      <c r="E289" s="995"/>
      <c r="F289" s="995"/>
      <c r="G289"/>
    </row>
    <row r="290" spans="1:7" ht="14.25">
      <c r="A290" s="271"/>
      <c r="B290" s="271"/>
      <c r="D290" s="995" t="s">
        <v>1560</v>
      </c>
      <c r="E290" s="995"/>
      <c r="F290" s="995"/>
      <c r="G290"/>
    </row>
    <row r="291" spans="1:7" ht="14.25">
      <c r="A291" s="271"/>
      <c r="B291" s="271"/>
      <c r="D291" s="3" t="s">
        <v>1042</v>
      </c>
      <c r="E291" s="927" t="s">
        <v>2076</v>
      </c>
      <c r="F291" s="3"/>
    </row>
    <row r="292" spans="1:7" ht="12.75">
      <c r="D292" s="28"/>
    </row>
    <row r="293" spans="1:7" ht="14.25">
      <c r="A293" s="271"/>
      <c r="B293" s="609" t="s">
        <v>1376</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1883</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1927</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2077</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1563</v>
      </c>
      <c r="E316" s="1020"/>
      <c r="F316" s="1020"/>
    </row>
    <row r="317" spans="1:7" ht="12" customHeight="1"/>
    <row r="318" spans="1:7" ht="14.45" customHeight="1">
      <c r="A318" s="271"/>
      <c r="B318" s="609" t="s">
        <v>1376</v>
      </c>
      <c r="D318" s="975" t="s">
        <v>1564</v>
      </c>
      <c r="E318" s="975"/>
      <c r="F318" s="975"/>
    </row>
    <row r="319" spans="1:7" ht="14.25">
      <c r="A319" s="271"/>
      <c r="B319" s="271"/>
      <c r="D319" s="975"/>
      <c r="E319" s="975"/>
      <c r="F319" s="975"/>
    </row>
    <row r="320" spans="1:7" ht="12.75"/>
    <row r="321" spans="1:7" ht="14.45" customHeight="1">
      <c r="A321" s="271"/>
      <c r="B321" s="609" t="s">
        <v>1376</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1418</v>
      </c>
      <c r="E331" s="995"/>
      <c r="F331" s="995"/>
      <c r="G331"/>
    </row>
    <row r="332" spans="1:7" ht="12.75">
      <c r="C332" s="18"/>
      <c r="D332" s="182"/>
      <c r="G332"/>
    </row>
    <row r="333" spans="1:7" ht="12.75">
      <c r="B333" s="609" t="s">
        <v>1376</v>
      </c>
      <c r="D333" s="995" t="s">
        <v>1567</v>
      </c>
      <c r="E333" s="995"/>
      <c r="F333" s="995"/>
      <c r="G333"/>
    </row>
    <row r="334" spans="1:7" ht="14.25">
      <c r="A334" s="271"/>
      <c r="B334" s="271"/>
      <c r="D334" s="420"/>
      <c r="G334"/>
    </row>
    <row r="335" spans="1:7" ht="14.25">
      <c r="A335" s="271"/>
      <c r="B335" s="609" t="s">
        <v>1376</v>
      </c>
      <c r="D335" s="995" t="s">
        <v>1568</v>
      </c>
      <c r="E335" s="995"/>
      <c r="F335" s="995"/>
      <c r="G335"/>
    </row>
    <row r="336" spans="1:7" ht="12.75">
      <c r="G336"/>
    </row>
    <row r="337" spans="1:7" ht="14.45" customHeight="1">
      <c r="A337" s="271"/>
      <c r="B337" s="609" t="s">
        <v>1376</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1376</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44" t="s">
        <v>1266</v>
      </c>
      <c r="E370" s="1044"/>
      <c r="F370" s="1044"/>
    </row>
    <row r="371" spans="1:6" ht="13.5" thickTop="1">
      <c r="D371" s="1045" t="s">
        <v>1570</v>
      </c>
      <c r="E371" s="1045"/>
      <c r="F371" s="1045"/>
    </row>
    <row r="372" spans="1:6" ht="12.75">
      <c r="D372" s="44"/>
    </row>
    <row r="373" spans="1:6" ht="14.25">
      <c r="A373" s="271"/>
      <c r="B373" s="609" t="s">
        <v>124</v>
      </c>
      <c r="C373" s="361"/>
      <c r="D373" s="1012" t="s">
        <v>2142</v>
      </c>
      <c r="E373" s="1012"/>
      <c r="F373" s="1012"/>
    </row>
    <row r="374" spans="1:6" ht="14.25">
      <c r="A374" s="271"/>
      <c r="B374" s="271"/>
      <c r="C374" s="361"/>
      <c r="D374" s="420"/>
    </row>
    <row r="375" spans="1:6" ht="14.25">
      <c r="A375" s="271"/>
      <c r="B375" s="609" t="s">
        <v>124</v>
      </c>
      <c r="C375" s="361"/>
      <c r="D375" s="982" t="s">
        <v>2143</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1880</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1861</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1876</v>
      </c>
      <c r="E432" s="1051"/>
      <c r="F432" s="1051"/>
    </row>
    <row r="433" spans="1:6" ht="12.75">
      <c r="D433" s="44"/>
    </row>
    <row r="434" spans="1:6" ht="14.45" customHeight="1">
      <c r="A434" s="271"/>
      <c r="B434" s="609" t="s">
        <v>124</v>
      </c>
      <c r="C434" s="207"/>
      <c r="D434" s="975" t="s">
        <v>2144</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2081</v>
      </c>
      <c r="E466" s="995"/>
      <c r="F466" s="995"/>
    </row>
    <row r="467" spans="1:6" ht="12.75">
      <c r="D467"/>
      <c r="E467" s="928" t="s">
        <v>2080</v>
      </c>
      <c r="F467" s="928"/>
    </row>
    <row r="468" spans="1:6" ht="13.7" customHeight="1">
      <c r="D468" s="968" t="s">
        <v>1858</v>
      </c>
      <c r="E468" s="975"/>
      <c r="F468" s="975"/>
    </row>
    <row r="469" spans="1:6" ht="13.7" customHeight="1">
      <c r="D469" s="975"/>
      <c r="E469" s="975"/>
      <c r="F469" s="975"/>
    </row>
    <row r="470" spans="1:6" ht="12.75">
      <c r="D470" s="44"/>
    </row>
    <row r="471" spans="1:6" ht="14.45" customHeight="1">
      <c r="A471" s="271"/>
      <c r="B471" s="609" t="s">
        <v>124</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1719</v>
      </c>
      <c r="E475" s="975"/>
      <c r="F475" s="975"/>
    </row>
    <row r="476" spans="1:6" ht="12.75">
      <c r="D476" s="975"/>
      <c r="E476" s="975"/>
      <c r="F476" s="975"/>
    </row>
    <row r="477" spans="1:6" ht="12.75">
      <c r="D477" s="44"/>
      <c r="E477" s="44"/>
    </row>
    <row r="478" spans="1:6" ht="14.25">
      <c r="B478" s="609" t="s">
        <v>124</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1118</v>
      </c>
      <c r="E503" s="1046"/>
      <c r="F503" s="1046"/>
    </row>
    <row r="504" spans="1:7" ht="12.75">
      <c r="D504" s="1012" t="s">
        <v>1412</v>
      </c>
      <c r="E504" s="1012"/>
      <c r="F504" s="1012"/>
    </row>
    <row r="505" spans="1:7" ht="14.25">
      <c r="A505" s="271"/>
      <c r="B505" s="271"/>
      <c r="D505" s="420"/>
    </row>
    <row r="506" spans="1:7" ht="14.25">
      <c r="A506" s="271"/>
      <c r="B506" s="609" t="s">
        <v>1376</v>
      </c>
      <c r="D506" s="1032" t="s">
        <v>1579</v>
      </c>
      <c r="E506" s="1032"/>
      <c r="F506" s="1032"/>
    </row>
    <row r="507" spans="1:7" ht="14.25">
      <c r="A507" s="271"/>
      <c r="B507" s="271"/>
      <c r="D507" s="1032"/>
      <c r="E507" s="1032"/>
      <c r="F507" s="1032"/>
    </row>
    <row r="508" spans="1:7" ht="14.25">
      <c r="A508" s="271"/>
      <c r="B508" s="271"/>
      <c r="D508" s="44"/>
    </row>
    <row r="509" spans="1:7" ht="14.25">
      <c r="A509" s="271"/>
      <c r="B509" s="609" t="s">
        <v>1376</v>
      </c>
      <c r="D509" s="1047" t="s">
        <v>1877</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1581</v>
      </c>
      <c r="E514" s="995"/>
      <c r="F514" s="995"/>
      <c r="G514"/>
    </row>
    <row r="515" spans="1:7" ht="12.75">
      <c r="D515" s="44"/>
      <c r="G515"/>
    </row>
    <row r="516" spans="1:7" ht="14.25">
      <c r="A516" s="271"/>
      <c r="B516" s="609" t="s">
        <v>124</v>
      </c>
      <c r="D516" s="975" t="s">
        <v>1582</v>
      </c>
      <c r="E516" s="975"/>
      <c r="F516" s="975"/>
      <c r="G516"/>
    </row>
    <row r="517" spans="1:7" ht="12.75">
      <c r="D517" s="975"/>
      <c r="E517" s="975"/>
      <c r="F517" s="975"/>
      <c r="G517"/>
    </row>
    <row r="518" spans="1:7" ht="12.75">
      <c r="D518" s="420"/>
      <c r="G518"/>
    </row>
    <row r="519" spans="1:7" ht="14.25">
      <c r="A519" s="271"/>
      <c r="B519" s="609" t="s">
        <v>124</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1376</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2145</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1376</v>
      </c>
      <c r="C531" s="191"/>
      <c r="D531" s="929" t="s">
        <v>2082</v>
      </c>
      <c r="E531" s="930"/>
      <c r="G531"/>
    </row>
    <row r="532" spans="1:7" ht="12.75">
      <c r="A532" s="191"/>
      <c r="B532" s="191"/>
      <c r="C532" s="191"/>
      <c r="D532" s="930"/>
      <c r="E532" s="104" t="s">
        <v>2083</v>
      </c>
      <c r="G532"/>
    </row>
    <row r="533" spans="1:7" ht="14.25">
      <c r="A533" s="271"/>
      <c r="B533"/>
      <c r="D533" s="1032" t="s">
        <v>2146</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124</v>
      </c>
      <c r="D541" s="975" t="s">
        <v>1551</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1534</v>
      </c>
      <c r="E550" s="995"/>
      <c r="F550" s="995"/>
    </row>
    <row r="551" spans="1:7" ht="12.75">
      <c r="C551" s="207"/>
      <c r="D551" s="44"/>
      <c r="E551" s="44"/>
      <c r="F551" s="44"/>
    </row>
    <row r="552" spans="1:7" ht="14.25">
      <c r="A552" s="271"/>
      <c r="B552" s="609" t="s">
        <v>1376</v>
      </c>
      <c r="C552" s="207"/>
      <c r="D552" s="995" t="s">
        <v>1113</v>
      </c>
      <c r="E552" s="995"/>
      <c r="F552" s="995"/>
    </row>
    <row r="553" spans="1:7" ht="12" customHeight="1">
      <c r="A553" s="207"/>
      <c r="B553" s="207"/>
      <c r="C553" s="207"/>
      <c r="D553" s="44"/>
      <c r="E553"/>
      <c r="F553"/>
      <c r="G553"/>
    </row>
    <row r="554" spans="1:7" ht="14.45" customHeight="1">
      <c r="A554" s="271"/>
      <c r="B554" s="609" t="s">
        <v>1376</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1376</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1376</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1376</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1376</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1376</v>
      </c>
      <c r="C573" s="207"/>
      <c r="D573" s="995" t="s">
        <v>1539</v>
      </c>
      <c r="E573" s="995"/>
      <c r="F573" s="995"/>
      <c r="G573"/>
    </row>
    <row r="574" spans="1:7" ht="14.25">
      <c r="A574" s="271"/>
      <c r="B574" s="271"/>
      <c r="C574" s="207"/>
      <c r="D574" s="1036" t="s">
        <v>2084</v>
      </c>
      <c r="E574" s="1036"/>
      <c r="F574" s="1036"/>
      <c r="G574"/>
    </row>
    <row r="575" spans="1:7" ht="12.75">
      <c r="A575" s="18"/>
      <c r="B575" s="18"/>
      <c r="C575" s="207"/>
      <c r="D575" s="931"/>
      <c r="E575" s="104" t="s">
        <v>2085</v>
      </c>
      <c r="F575" s="932"/>
      <c r="G575"/>
    </row>
    <row r="576" spans="1:7" ht="15" customHeight="1">
      <c r="A576" s="18"/>
      <c r="B576" s="18"/>
      <c r="C576" s="207"/>
      <c r="D576" s="968" t="s">
        <v>1753</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1376</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1376</v>
      </c>
      <c r="C591" s="207"/>
      <c r="D591" s="975" t="s">
        <v>2147</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1815</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1442</v>
      </c>
      <c r="E602" s="998"/>
      <c r="F602" s="998"/>
    </row>
    <row r="603" spans="1:7" ht="12.75">
      <c r="C603" s="190"/>
      <c r="D603" s="371"/>
    </row>
    <row r="604" spans="1:7" ht="14.25">
      <c r="A604" s="271"/>
      <c r="B604" s="609" t="s">
        <v>1376</v>
      </c>
      <c r="D604" s="998" t="s">
        <v>1114</v>
      </c>
      <c r="E604" s="998"/>
      <c r="F604" s="998"/>
    </row>
    <row r="605" spans="1:7" ht="12.75">
      <c r="A605" s="18"/>
      <c r="B605" s="18"/>
      <c r="D605" s="361"/>
    </row>
    <row r="606" spans="1:7" ht="14.45" customHeight="1">
      <c r="A606" s="271"/>
      <c r="B606" s="609" t="s">
        <v>1376</v>
      </c>
      <c r="D606" s="998" t="s">
        <v>2148</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1376</v>
      </c>
      <c r="D615" s="998" t="s">
        <v>2149</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1447</v>
      </c>
      <c r="E618" s="998"/>
      <c r="F618" s="998"/>
    </row>
    <row r="619" spans="1:7" ht="14.25">
      <c r="A619" s="271"/>
      <c r="B619" s="271"/>
      <c r="D619" s="998"/>
      <c r="E619" s="998"/>
      <c r="F619" s="998"/>
    </row>
    <row r="620" spans="1:7" ht="14.25">
      <c r="A620" s="271"/>
      <c r="B620" s="271"/>
      <c r="D620" s="371"/>
    </row>
    <row r="621" spans="1:7" ht="14.25">
      <c r="A621" s="271"/>
      <c r="B621" s="609" t="s">
        <v>1376</v>
      </c>
      <c r="D621" s="998" t="s">
        <v>1115</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1376</v>
      </c>
      <c r="D628" s="1048" t="s">
        <v>2087</v>
      </c>
      <c r="E628" s="1049"/>
      <c r="F628" s="1049"/>
    </row>
    <row r="629" spans="1:7" ht="12.75">
      <c r="D629" s="1049"/>
      <c r="E629" s="1049"/>
      <c r="F629" s="1049"/>
    </row>
    <row r="630" spans="1:7" ht="12.75">
      <c r="D630" s="933"/>
      <c r="E630" s="927" t="s">
        <v>2086</v>
      </c>
      <c r="F630" s="933"/>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870</v>
      </c>
      <c r="E637" s="1025"/>
      <c r="F637" s="1025"/>
    </row>
    <row r="638" spans="1:7" ht="14.25">
      <c r="A638" s="271"/>
      <c r="B638" s="609" t="s">
        <v>1376</v>
      </c>
      <c r="D638" s="1005" t="s">
        <v>1554</v>
      </c>
      <c r="E638" s="1005"/>
      <c r="F638" s="1005"/>
    </row>
    <row r="639" spans="1:7" ht="14.25">
      <c r="A639" s="271"/>
      <c r="B639" s="271"/>
      <c r="D639" s="44"/>
    </row>
    <row r="640" spans="1:7" ht="14.25">
      <c r="A640" s="271"/>
      <c r="B640" s="609" t="s">
        <v>124</v>
      </c>
      <c r="D640" s="975" t="s">
        <v>1555</v>
      </c>
      <c r="E640" s="975"/>
      <c r="F640" s="975"/>
    </row>
    <row r="641" spans="1:7" ht="14.25">
      <c r="A641" s="271"/>
      <c r="B641" s="271"/>
      <c r="D641" s="975"/>
      <c r="E641" s="975"/>
      <c r="F641" s="975"/>
    </row>
    <row r="642" spans="1:7" ht="14.25">
      <c r="A642" s="271"/>
      <c r="B642" s="271"/>
      <c r="D642" s="44"/>
    </row>
    <row r="643" spans="1:7" ht="14.25">
      <c r="A643" s="271"/>
      <c r="B643" s="609" t="s">
        <v>124</v>
      </c>
      <c r="D643" s="968" t="s">
        <v>1923</v>
      </c>
      <c r="E643" s="968"/>
      <c r="F643" s="968"/>
    </row>
    <row r="644" spans="1:7" ht="13.7" customHeight="1">
      <c r="D644" s="968"/>
      <c r="E644" s="968"/>
      <c r="F644" s="968"/>
    </row>
    <row r="645" spans="1:7" ht="12.75"/>
    <row r="646" spans="1:7" ht="14.25">
      <c r="A646" s="271"/>
      <c r="B646" s="609" t="s">
        <v>124</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1376</v>
      </c>
      <c r="D652" s="1048" t="s">
        <v>2150</v>
      </c>
      <c r="E652" s="1048"/>
      <c r="F652" s="1048"/>
    </row>
    <row r="653" spans="1:7" ht="14.25">
      <c r="A653" s="271"/>
      <c r="B653" s="271"/>
      <c r="D653" s="1048"/>
      <c r="E653" s="1048"/>
      <c r="F653" s="1048"/>
    </row>
    <row r="654" spans="1:7" ht="12.75">
      <c r="D654" s="933"/>
      <c r="E654" s="927" t="s">
        <v>2089</v>
      </c>
      <c r="F654" s="933"/>
    </row>
    <row r="655" spans="1:7" ht="12.75">
      <c r="D655" s="972" t="s">
        <v>2088</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1816</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1376</v>
      </c>
      <c r="C672" s="207"/>
      <c r="D672" s="968" t="s">
        <v>1879</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1440</v>
      </c>
      <c r="E679" s="999"/>
      <c r="F679" s="999"/>
      <c r="G679" s="44"/>
    </row>
    <row r="680" spans="1:7" ht="14.25" hidden="1">
      <c r="A680" s="271"/>
      <c r="B680" s="271"/>
      <c r="C680" s="207"/>
      <c r="D680" s="993" t="s">
        <v>2151</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1878</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783</v>
      </c>
      <c r="E689" s="996"/>
      <c r="F689" s="996"/>
      <c r="G689" s="44"/>
    </row>
    <row r="690" spans="1:7" ht="12.75">
      <c r="A690" s="190"/>
      <c r="B690" s="190"/>
      <c r="C690" s="190"/>
      <c r="D690" s="996" t="s">
        <v>871</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1376</v>
      </c>
      <c r="C693" s="191"/>
      <c r="D693" s="995" t="s">
        <v>1116</v>
      </c>
      <c r="E693" s="995"/>
      <c r="F693" s="995"/>
    </row>
    <row r="694" spans="1:7" ht="12.75">
      <c r="A694" s="191"/>
      <c r="B694" s="191"/>
      <c r="C694" s="191"/>
      <c r="D694" s="995" t="s">
        <v>1133</v>
      </c>
      <c r="E694" s="995"/>
      <c r="F694" s="995"/>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124</v>
      </c>
      <c r="C698" s="191"/>
      <c r="D698" s="975" t="s">
        <v>2152</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1376</v>
      </c>
      <c r="C702" s="191"/>
      <c r="D702" s="995" t="s">
        <v>1174</v>
      </c>
      <c r="E702" s="995"/>
      <c r="F702" s="995"/>
    </row>
    <row r="703" spans="1:7" ht="14.25">
      <c r="A703" s="271"/>
      <c r="B703" s="271"/>
      <c r="C703" s="191"/>
      <c r="D703" s="995" t="s">
        <v>1133</v>
      </c>
      <c r="E703" s="995"/>
      <c r="F703" s="995"/>
    </row>
    <row r="704" spans="1:7" ht="12.75">
      <c r="A704" s="191"/>
      <c r="B704" s="191"/>
      <c r="C704" s="191"/>
      <c r="E704" s="1020" t="s">
        <v>2092</v>
      </c>
      <c r="F704" s="1020"/>
    </row>
    <row r="705" spans="1:6" ht="12.75">
      <c r="A705" s="191"/>
      <c r="B705" s="191"/>
      <c r="C705" s="191"/>
      <c r="D705" s="3"/>
    </row>
    <row r="706" spans="1:6" ht="14.25">
      <c r="A706" s="271"/>
      <c r="B706" s="609" t="s">
        <v>124</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1733</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1924</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2218</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1376</v>
      </c>
      <c r="D770" s="1016" t="s">
        <v>1865</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1376</v>
      </c>
      <c r="C775" s="433"/>
      <c r="D775" s="1018" t="s">
        <v>1866</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1376</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1756</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124</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2213</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2012</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1867</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1884</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1881</v>
      </c>
      <c r="E846" s="968"/>
      <c r="F846" s="968"/>
      <c r="H846" s="267"/>
      <c r="I846" s="267"/>
    </row>
    <row r="847" spans="1:9" ht="14.25">
      <c r="A847" s="271"/>
      <c r="B847" s="271"/>
      <c r="D847" s="24"/>
      <c r="E847" s="210"/>
      <c r="F847" s="210"/>
      <c r="H847" s="267"/>
      <c r="I847" s="267"/>
    </row>
    <row r="848" spans="1:9" ht="12.75">
      <c r="B848" s="609" t="s">
        <v>1376</v>
      </c>
      <c r="C848" s="207"/>
      <c r="D848" s="975" t="s">
        <v>1454</v>
      </c>
      <c r="E848" s="975"/>
      <c r="F848" s="975"/>
      <c r="H848" s="267"/>
      <c r="I848" s="267"/>
    </row>
    <row r="849" spans="1:9" ht="12.75">
      <c r="A849" s="18"/>
      <c r="B849" s="18"/>
      <c r="C849" s="207"/>
      <c r="D849" s="3" t="s">
        <v>1431</v>
      </c>
      <c r="E849" s="976" t="s">
        <v>2075</v>
      </c>
      <c r="F849" s="976"/>
      <c r="H849" s="267"/>
      <c r="I849" s="267"/>
    </row>
    <row r="850" spans="1:9" ht="12.75">
      <c r="A850" s="18"/>
      <c r="B850" s="18"/>
      <c r="C850" s="207"/>
      <c r="D850" s="213"/>
      <c r="H850" s="267"/>
      <c r="I850" s="267"/>
    </row>
    <row r="851" spans="1:9" ht="12.75">
      <c r="A851" s="18"/>
      <c r="B851" s="609" t="s">
        <v>124</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1376</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2153</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1175</v>
      </c>
      <c r="E874" s="975"/>
      <c r="F874" s="975"/>
      <c r="H874" s="267"/>
      <c r="I874" s="267"/>
    </row>
    <row r="875" spans="1:9" ht="14.25">
      <c r="A875" s="271"/>
      <c r="B875" s="271"/>
      <c r="C875" s="207"/>
      <c r="D875" s="975" t="s">
        <v>1176</v>
      </c>
      <c r="E875" s="975"/>
      <c r="F875" s="975"/>
      <c r="H875" s="267"/>
      <c r="I875" s="267"/>
    </row>
    <row r="876" spans="1:9" ht="14.25">
      <c r="A876" s="271"/>
      <c r="B876" s="271"/>
      <c r="C876" s="207"/>
      <c r="D876" s="3" t="s">
        <v>1430</v>
      </c>
      <c r="E876" s="976" t="s">
        <v>2077</v>
      </c>
      <c r="F876" s="976"/>
      <c r="H876" s="267"/>
      <c r="I876" s="267"/>
    </row>
    <row r="877" spans="1:9" ht="14.25">
      <c r="A877" s="271"/>
      <c r="B877" s="271"/>
      <c r="C877" s="207"/>
      <c r="D877" s="44"/>
      <c r="H877" s="267"/>
      <c r="I877" s="267"/>
    </row>
    <row r="878" spans="1:9" ht="14.25">
      <c r="A878" s="271"/>
      <c r="B878" s="609" t="s">
        <v>124</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1882</v>
      </c>
      <c r="E886" s="1010"/>
      <c r="F886" s="1010"/>
      <c r="G886" s="188"/>
      <c r="H886" s="267"/>
      <c r="I886" s="267"/>
    </row>
    <row r="887" spans="1:9" ht="12.75">
      <c r="C887" s="191"/>
      <c r="D887" s="640"/>
      <c r="E887" s="640"/>
      <c r="F887" s="640"/>
      <c r="G887" s="188"/>
      <c r="H887" s="267"/>
      <c r="I887" s="267"/>
    </row>
    <row r="888" spans="1:9" ht="14.25">
      <c r="A888" s="271"/>
      <c r="B888" s="609" t="s">
        <v>1376</v>
      </c>
      <c r="D888" s="995" t="s">
        <v>1476</v>
      </c>
      <c r="E888" s="995"/>
      <c r="F888" s="995"/>
      <c r="G888" s="188"/>
      <c r="H888" s="267"/>
      <c r="I888" s="267"/>
    </row>
    <row r="889" spans="1:9" ht="12.75">
      <c r="D889" s="3" t="s">
        <v>1430</v>
      </c>
      <c r="E889" s="1008" t="s">
        <v>2077</v>
      </c>
      <c r="F889" s="1008"/>
      <c r="G889" s="188"/>
    </row>
    <row r="890" spans="1:9" ht="12.75">
      <c r="D890" s="44"/>
      <c r="E890" s="188"/>
      <c r="F890" s="188"/>
      <c r="G890" s="188"/>
      <c r="H890" s="267"/>
      <c r="I890" s="267"/>
    </row>
    <row r="891" spans="1:9" ht="14.25">
      <c r="A891" s="271"/>
      <c r="B891" s="609" t="s">
        <v>1376</v>
      </c>
      <c r="D891" s="968" t="s">
        <v>1885</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2153</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06" t="s">
        <v>2077</v>
      </c>
      <c r="F905" s="1006"/>
      <c r="G905" s="188"/>
      <c r="H905" s="267"/>
      <c r="I905" s="267"/>
    </row>
    <row r="906" spans="1:9" ht="14.25">
      <c r="A906" s="271"/>
      <c r="B906" s="271"/>
      <c r="D906" s="44"/>
      <c r="E906" s="188"/>
      <c r="F906" s="188"/>
      <c r="G906" s="188"/>
      <c r="H906" s="267"/>
      <c r="I906" s="267"/>
    </row>
    <row r="907" spans="1:9" ht="14.25">
      <c r="A907" s="271"/>
      <c r="B907" s="609" t="s">
        <v>124</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1376</v>
      </c>
      <c r="C923" s="191"/>
      <c r="D923" s="976" t="s">
        <v>1729</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6" t="s">
        <v>1730</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124</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1376</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1771</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2154</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2155</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1376</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124</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37" t="s">
        <v>1125</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2205</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1376</v>
      </c>
      <c r="C1073" s="207"/>
      <c r="D1073" s="968" t="s">
        <v>2206</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2156</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124</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1117</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124</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124</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124</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6" customHeight="1">
      <c r="A1123" s="207"/>
      <c r="B1123" s="609" t="s">
        <v>124</v>
      </c>
      <c r="C1123" s="207"/>
      <c r="D1123" s="1000" t="s">
        <v>1772</v>
      </c>
      <c r="E1123" s="1001"/>
      <c r="F1123" s="1001"/>
      <c r="G1123" s="188"/>
    </row>
    <row r="1124" spans="1:7" ht="12.6"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124</v>
      </c>
      <c r="D1129" s="975" t="s">
        <v>1663</v>
      </c>
      <c r="E1129" s="975"/>
      <c r="F1129" s="975"/>
    </row>
    <row r="1130" spans="1:7" ht="12.75">
      <c r="D1130" s="975"/>
      <c r="E1130" s="975"/>
      <c r="F1130" s="975"/>
    </row>
    <row r="1131" spans="1:7" ht="12.75"/>
    <row r="1132" spans="1:7" ht="14.25">
      <c r="A1132" s="271"/>
      <c r="B1132" s="609" t="s">
        <v>124</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124</v>
      </c>
      <c r="D1137" s="995" t="s">
        <v>1665</v>
      </c>
      <c r="E1137" s="995"/>
      <c r="F1137" s="995"/>
    </row>
    <row r="1138" spans="1:7" ht="12.75"/>
    <row r="1139" spans="1:7" ht="14.25">
      <c r="A1139" s="271"/>
      <c r="B1139" s="609" t="s">
        <v>124</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124</v>
      </c>
      <c r="D1144" s="968" t="s">
        <v>2207</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1376</v>
      </c>
      <c r="D1164" s="1050" t="s">
        <v>2094</v>
      </c>
      <c r="E1164" s="1050"/>
      <c r="F1164" s="1050"/>
      <c r="G1164"/>
    </row>
    <row r="1165" spans="1:7" ht="12.75">
      <c r="D1165" s="1050"/>
      <c r="E1165" s="1050"/>
      <c r="F1165" s="1050"/>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1757</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1668</v>
      </c>
      <c r="E1180" s="995"/>
      <c r="F1180" s="995"/>
      <c r="G1180"/>
    </row>
    <row r="1181" spans="1:7" ht="12.75">
      <c r="G1181"/>
    </row>
    <row r="1182" spans="1:7" ht="14.25">
      <c r="A1182" s="271"/>
      <c r="B1182" s="609" t="s">
        <v>124</v>
      </c>
      <c r="D1182" s="995" t="s">
        <v>1669</v>
      </c>
      <c r="E1182" s="995"/>
      <c r="F1182" s="995"/>
      <c r="G1182"/>
    </row>
    <row r="1183" spans="1:7" ht="12.75">
      <c r="D1183" s="44"/>
      <c r="G1183"/>
    </row>
    <row r="1184" spans="1:7" ht="14.25">
      <c r="A1184" s="271"/>
      <c r="B1184" s="609" t="s">
        <v>1376</v>
      </c>
      <c r="D1184" s="995" t="s">
        <v>1670</v>
      </c>
      <c r="E1184" s="995"/>
      <c r="F1184" s="995"/>
      <c r="G1184"/>
    </row>
    <row r="1185" spans="1:7" ht="12.75">
      <c r="D1185" s="44"/>
      <c r="G1185"/>
    </row>
    <row r="1186" spans="1:7" ht="14.25">
      <c r="A1186" s="271"/>
      <c r="B1186" s="609" t="s">
        <v>1376</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1674</v>
      </c>
      <c r="E1194" s="995"/>
      <c r="F1194" s="995"/>
    </row>
    <row r="1195" spans="1:7" ht="14.25">
      <c r="A1195" s="271"/>
      <c r="B1195" s="271"/>
      <c r="D1195" s="44"/>
    </row>
    <row r="1196" spans="1:7" ht="14.25">
      <c r="A1196" s="271"/>
      <c r="B1196" s="609" t="s">
        <v>124</v>
      </c>
      <c r="D1196" s="975" t="s">
        <v>1675</v>
      </c>
      <c r="E1196" s="975"/>
      <c r="F1196" s="975"/>
    </row>
    <row r="1197" spans="1:7" ht="14.25">
      <c r="A1197" s="271"/>
      <c r="B1197" s="271"/>
      <c r="D1197" s="975"/>
      <c r="E1197" s="975"/>
      <c r="F1197" s="975"/>
    </row>
    <row r="1198" spans="1:7" ht="12.75"/>
    <row r="1199" spans="1:7" ht="12.75">
      <c r="A1199" s="1029" t="s">
        <v>2013</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1918</v>
      </c>
      <c r="E1204" s="1034"/>
      <c r="F1204" s="1034"/>
    </row>
    <row r="1205" spans="1:7" ht="12.75">
      <c r="A1205" s="190"/>
      <c r="B1205" s="190"/>
      <c r="C1205" s="190"/>
    </row>
    <row r="1206" spans="1:7" ht="14.25">
      <c r="A1206" s="271"/>
      <c r="B1206" s="271"/>
      <c r="C1206" s="191"/>
      <c r="D1206" s="999" t="s">
        <v>1512</v>
      </c>
      <c r="E1206" s="999"/>
      <c r="F1206" s="999"/>
    </row>
    <row r="1207" spans="1:7" ht="12.75">
      <c r="B1207" s="609" t="s">
        <v>1376</v>
      </c>
      <c r="D1207" s="994" t="s">
        <v>1513</v>
      </c>
      <c r="E1207" s="994"/>
      <c r="F1207" s="994"/>
    </row>
    <row r="1208" spans="1:7" ht="12.75">
      <c r="D1208" s="1034" t="s">
        <v>1919</v>
      </c>
      <c r="E1208" s="1034"/>
      <c r="F1208" s="1034"/>
    </row>
    <row r="1209" spans="1:7" ht="12.75">
      <c r="G1209"/>
    </row>
    <row r="1210" spans="1:7" ht="12.75" customHeight="1">
      <c r="B1210" s="609" t="s">
        <v>124</v>
      </c>
      <c r="D1210" s="1018" t="s">
        <v>1836</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1376</v>
      </c>
      <c r="D1219" s="1005" t="s">
        <v>1013</v>
      </c>
      <c r="E1219" s="1005"/>
      <c r="F1219" s="1005"/>
    </row>
    <row r="1220" spans="1:7" ht="12.75">
      <c r="D1220" s="995" t="s">
        <v>1133</v>
      </c>
      <c r="E1220" s="995"/>
      <c r="F1220" s="995"/>
    </row>
    <row r="1221" spans="1:7" ht="12.75">
      <c r="E1221" s="1020" t="s">
        <v>2096</v>
      </c>
      <c r="F1221" s="1020"/>
    </row>
    <row r="1222" spans="1:7" ht="12.75">
      <c r="D1222" s="3"/>
    </row>
    <row r="1223" spans="1:7" ht="12.75">
      <c r="D1223" s="1033" t="s">
        <v>1273</v>
      </c>
      <c r="E1223" s="1033"/>
      <c r="F1223" s="1033"/>
    </row>
    <row r="1224" spans="1:7" ht="12.75">
      <c r="B1224" s="609" t="s">
        <v>124</v>
      </c>
      <c r="D1224" s="968" t="s">
        <v>2097</v>
      </c>
      <c r="E1224" s="975"/>
      <c r="F1224" s="975"/>
      <c r="G1224"/>
    </row>
    <row r="1225" spans="1:7" ht="12.75">
      <c r="D1225" s="975"/>
      <c r="E1225" s="975"/>
      <c r="F1225" s="975"/>
      <c r="G1225"/>
    </row>
    <row r="1226" spans="1:7" ht="12.75">
      <c r="D1226" s="501" t="s">
        <v>1276</v>
      </c>
      <c r="E1226"/>
      <c r="F1226"/>
      <c r="G1226"/>
    </row>
    <row r="1227" spans="1:7" ht="13.7" customHeight="1">
      <c r="D1227" s="968" t="s">
        <v>2098</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1016</v>
      </c>
      <c r="E1231" s="1020"/>
      <c r="F1231" s="1020"/>
      <c r="G1231"/>
    </row>
    <row r="1232" spans="1:7" ht="12.75">
      <c r="B1232" s="609" t="s">
        <v>124</v>
      </c>
      <c r="D1232" s="1005" t="s">
        <v>1274</v>
      </c>
      <c r="E1232" s="1005"/>
      <c r="F1232" s="1005"/>
      <c r="G1232"/>
    </row>
    <row r="1233" spans="1:7" ht="12.75">
      <c r="E1233"/>
      <c r="F1233"/>
      <c r="G1233"/>
    </row>
    <row r="1234" spans="1:7" ht="12.75">
      <c r="D1234" s="1035" t="s">
        <v>1275</v>
      </c>
      <c r="E1234" s="1035"/>
      <c r="F1234" s="1035"/>
      <c r="G1234"/>
    </row>
    <row r="1235" spans="1:7" ht="12.75">
      <c r="D1235" s="3" t="s">
        <v>1014</v>
      </c>
      <c r="E1235"/>
      <c r="F1235"/>
      <c r="G1235"/>
    </row>
    <row r="1236" spans="1:7" ht="14.45" customHeight="1">
      <c r="A1236" s="271"/>
      <c r="B1236" s="609" t="s">
        <v>124</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124</v>
      </c>
      <c r="D1252" s="1005" t="s">
        <v>1134</v>
      </c>
      <c r="E1252" s="1005"/>
      <c r="F1252" s="1005"/>
    </row>
    <row r="1253" spans="1:7" ht="12.75">
      <c r="E1253" s="1020" t="s">
        <v>2099</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M427" sqref="AM427"/>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6" t="s">
        <v>792</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9" customFormat="1" ht="12.95" customHeight="1">
      <c r="A10" s="1577" t="s">
        <v>2306</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2.95" customHeight="1">
      <c r="A11" s="1578" t="s">
        <v>2315</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2.95" customHeight="1">
      <c r="A12" s="978" t="s">
        <v>1875</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400" t="s">
        <v>2319</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2.95" customHeight="1"/>
    <row r="17" spans="1:46" ht="12.95" customHeight="1">
      <c r="A17" s="63" t="s">
        <v>793</v>
      </c>
      <c r="C17" s="5"/>
      <c r="D17" s="5"/>
      <c r="E17" s="5"/>
      <c r="F17" s="5"/>
      <c r="G17" s="5"/>
      <c r="H17" s="1103" t="s">
        <v>2320</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3" t="s">
        <v>1352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6">
        <f>ROUND('Basis &amp; Credits'!AB55,0)</f>
        <v>1045752</v>
      </c>
      <c r="N25" s="1406"/>
      <c r="O25" s="1406"/>
      <c r="P25" s="1406"/>
      <c r="Q25" s="140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6">
        <f>'Basis &amp; Credits'!AB76</f>
        <v>3449726</v>
      </c>
      <c r="N27" s="1406"/>
      <c r="O27" s="1406"/>
      <c r="P27" s="1406"/>
      <c r="Q27" s="1406"/>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8" t="s">
        <v>483</v>
      </c>
      <c r="P33" s="1098"/>
      <c r="Q33" s="1579" t="s">
        <v>2256</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2260</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2262</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2265</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2268</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2269</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2273</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0" t="s">
        <v>2274</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2.95"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2275</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397" t="s">
        <v>2462</v>
      </c>
      <c r="H115" s="1101"/>
      <c r="I115" s="41" t="s">
        <v>413</v>
      </c>
      <c r="J115" s="41"/>
      <c r="L115" s="1401" t="s">
        <v>2463</v>
      </c>
      <c r="M115" s="1402"/>
      <c r="N115" s="1402"/>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01" t="s">
        <v>2329</v>
      </c>
      <c r="D117" s="1402"/>
      <c r="E117" s="1402"/>
      <c r="F117" s="1402"/>
      <c r="G117" s="1402"/>
      <c r="H117" s="1402"/>
      <c r="I117" s="1402"/>
      <c r="J117" s="1402"/>
      <c r="K117" s="1402"/>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3" t="s">
        <v>2321</v>
      </c>
      <c r="Z118" s="1393"/>
      <c r="AA118" s="1393"/>
      <c r="AB118" s="1393"/>
      <c r="AC118" s="1393"/>
      <c r="AD118" s="1393"/>
      <c r="AE118" s="1393"/>
      <c r="AF118" s="1393"/>
      <c r="AG118" s="1393"/>
      <c r="AH118" s="1393"/>
      <c r="AI118" s="1393"/>
      <c r="AJ118" s="1393"/>
      <c r="AK118" s="139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3" t="s">
        <v>2322</v>
      </c>
      <c r="Z121" s="1393"/>
      <c r="AA121" s="1393"/>
      <c r="AB121" s="1393"/>
      <c r="AC121" s="1393"/>
      <c r="AD121" s="1393"/>
      <c r="AE121" s="1393"/>
      <c r="AF121" s="1393"/>
      <c r="AG121" s="1393"/>
      <c r="AH121" s="1393"/>
      <c r="AI121" s="1393"/>
      <c r="AJ121" s="1393"/>
      <c r="AK121" s="139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93" t="s">
        <v>1103</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2.95" customHeight="1">
      <c r="D157" s="339" t="s">
        <v>544</v>
      </c>
      <c r="O157" s="1259" t="s">
        <v>2323</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423</v>
      </c>
      <c r="BT157" t="s">
        <v>28</v>
      </c>
    </row>
    <row r="158" spans="1:72" ht="12.95" customHeight="1">
      <c r="D158" s="12" t="s">
        <v>545</v>
      </c>
      <c r="F158" s="12"/>
      <c r="G158" s="12"/>
      <c r="H158" s="12"/>
      <c r="I158" s="12"/>
      <c r="J158" s="12"/>
      <c r="K158" s="12"/>
      <c r="L158" s="12"/>
      <c r="M158" s="12"/>
      <c r="N158" s="12"/>
      <c r="O158" s="1477" t="s">
        <v>546</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424</v>
      </c>
      <c r="BT158" t="s">
        <v>29</v>
      </c>
    </row>
    <row r="159" spans="1:72" ht="12.95" customHeight="1">
      <c r="D159" t="s">
        <v>647</v>
      </c>
      <c r="O159" s="1107" t="s">
        <v>2324</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648</v>
      </c>
      <c r="O160" s="1393" t="s">
        <v>401</v>
      </c>
      <c r="P160" s="1393"/>
      <c r="Q160" s="1393"/>
      <c r="R160" s="1393"/>
      <c r="S160" s="1393"/>
      <c r="T160" s="1393"/>
      <c r="U160" s="1393"/>
      <c r="V160" s="1393"/>
      <c r="W160" s="1393"/>
      <c r="X160" s="1393"/>
      <c r="Y160" s="12"/>
      <c r="Z160" s="12"/>
      <c r="AA160" s="12"/>
      <c r="AB160" s="12"/>
      <c r="AC160" s="12"/>
      <c r="AD160" s="12"/>
      <c r="AE160" s="12"/>
      <c r="AF160" s="12"/>
      <c r="BN160" s="30" t="s">
        <v>75</v>
      </c>
      <c r="BT160" t="s">
        <v>386</v>
      </c>
    </row>
    <row r="161" spans="1:72" ht="12.95" customHeight="1">
      <c r="D161" t="s">
        <v>649</v>
      </c>
      <c r="O161" s="1479">
        <v>90017</v>
      </c>
      <c r="P161" s="1479"/>
      <c r="Q161" s="1479"/>
      <c r="R161" s="1479"/>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650</v>
      </c>
      <c r="O162" s="1481" t="s">
        <v>2325</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388</v>
      </c>
    </row>
    <row r="163" spans="1:72" ht="12.95" customHeight="1">
      <c r="D163" t="s">
        <v>651</v>
      </c>
      <c r="O163" s="1481" t="s">
        <v>2325</v>
      </c>
      <c r="P163" s="1481"/>
      <c r="Q163" s="1481"/>
      <c r="R163" s="1481"/>
      <c r="S163" s="1481"/>
      <c r="T163" s="1481"/>
      <c r="U163" s="14"/>
      <c r="V163" s="14"/>
      <c r="W163" s="14"/>
      <c r="X163" s="14"/>
      <c r="Y163" s="14"/>
      <c r="Z163" s="14"/>
      <c r="AA163" s="14"/>
      <c r="AB163" s="14"/>
      <c r="AC163" s="14"/>
      <c r="AD163" s="14"/>
      <c r="AE163" s="14"/>
      <c r="AF163" s="14"/>
      <c r="BN163" s="30" t="s">
        <v>477</v>
      </c>
      <c r="BT163" t="s">
        <v>389</v>
      </c>
    </row>
    <row r="164" spans="1:72" ht="12.95" customHeight="1">
      <c r="D164" t="s">
        <v>652</v>
      </c>
      <c r="O164" s="1474" t="s">
        <v>2326</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91" t="s">
        <v>2311</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653</v>
      </c>
      <c r="C172" s="3" t="s">
        <v>654</v>
      </c>
      <c r="BN172" s="30" t="s">
        <v>491</v>
      </c>
      <c r="BT172" t="s">
        <v>398</v>
      </c>
    </row>
    <row r="173" spans="1:72" ht="12.95" customHeight="1">
      <c r="C173" s="31"/>
      <c r="D173" t="s">
        <v>438</v>
      </c>
      <c r="J173" s="1394" t="s">
        <v>506</v>
      </c>
      <c r="K173" s="1394"/>
      <c r="L173" s="1394"/>
      <c r="M173" s="1394"/>
      <c r="N173" s="1394"/>
      <c r="O173" s="1394"/>
      <c r="P173" s="1394"/>
      <c r="Q173" s="1394"/>
      <c r="R173" s="1394"/>
      <c r="S173" s="1394"/>
      <c r="U173" s="32"/>
      <c r="X173" s="32"/>
      <c r="BN173" s="30" t="s">
        <v>492</v>
      </c>
      <c r="BT173" t="s">
        <v>399</v>
      </c>
    </row>
    <row r="174" spans="1:72" ht="12.95" customHeight="1">
      <c r="C174" s="31"/>
      <c r="D174" t="s">
        <v>439</v>
      </c>
      <c r="U174" s="1098" t="s">
        <v>483</v>
      </c>
      <c r="V174" s="1098"/>
      <c r="BN174" s="30" t="s">
        <v>594</v>
      </c>
      <c r="BT174" t="s">
        <v>400</v>
      </c>
    </row>
    <row r="175" spans="1:72" ht="12.95" customHeight="1">
      <c r="C175" s="12"/>
      <c r="D175" s="33"/>
      <c r="E175" t="s">
        <v>230</v>
      </c>
      <c r="O175" s="34"/>
      <c r="P175" t="s">
        <v>2107</v>
      </c>
      <c r="T175" s="34" t="s">
        <v>231</v>
      </c>
      <c r="U175" s="1281"/>
      <c r="V175" s="1281"/>
      <c r="W175" s="1" t="s">
        <v>232</v>
      </c>
      <c r="X175" s="1478"/>
      <c r="Y175" s="1478"/>
      <c r="BN175" s="30" t="s">
        <v>595</v>
      </c>
      <c r="BT175" t="s">
        <v>401</v>
      </c>
    </row>
    <row r="176" spans="1:72" ht="12.95" customHeight="1">
      <c r="C176" s="31"/>
      <c r="D176" t="s">
        <v>279</v>
      </c>
      <c r="U176" s="1098" t="s">
        <v>483</v>
      </c>
      <c r="V176" s="1098"/>
      <c r="BN176" s="30" t="s">
        <v>597</v>
      </c>
      <c r="BT176" t="s">
        <v>402</v>
      </c>
    </row>
    <row r="177" spans="1:72" ht="12.95" customHeight="1">
      <c r="C177" s="31"/>
      <c r="D177" s="361" t="s">
        <v>1232</v>
      </c>
      <c r="BN177" s="30" t="s">
        <v>598</v>
      </c>
      <c r="BT177" t="s">
        <v>403</v>
      </c>
    </row>
    <row r="178" spans="1:72" ht="12.95" customHeight="1">
      <c r="C178" s="31"/>
      <c r="E178" s="361" t="s">
        <v>2107</v>
      </c>
      <c r="F178" s="361"/>
      <c r="G178" s="361"/>
      <c r="I178" s="940" t="s">
        <v>231</v>
      </c>
      <c r="J178" s="1484"/>
      <c r="K178" s="1484"/>
      <c r="L178" s="370" t="s">
        <v>232</v>
      </c>
      <c r="M178" s="1330"/>
      <c r="N178" s="1330"/>
      <c r="O178" s="361"/>
      <c r="P178" s="361"/>
      <c r="Q178" s="361"/>
      <c r="R178" s="361"/>
      <c r="U178" s="361" t="s">
        <v>1233</v>
      </c>
      <c r="V178" s="361"/>
      <c r="W178" s="361"/>
      <c r="X178" s="361"/>
      <c r="Y178" s="361"/>
      <c r="Z178" s="361"/>
      <c r="AA178" s="361"/>
      <c r="AB178" s="361"/>
      <c r="AD178" s="1485"/>
      <c r="AE178" s="1485"/>
      <c r="AF178" s="1485"/>
      <c r="AG178" s="1485"/>
      <c r="AH178" s="1485"/>
      <c r="BN178" s="30" t="s">
        <v>599</v>
      </c>
      <c r="BT178" t="s">
        <v>404</v>
      </c>
    </row>
    <row r="179" spans="1:72" ht="12.95" customHeight="1">
      <c r="C179" s="31"/>
      <c r="BN179" s="30" t="s">
        <v>600</v>
      </c>
      <c r="BT179" t="s">
        <v>405</v>
      </c>
    </row>
    <row r="180" spans="1:72" ht="12.95" customHeight="1">
      <c r="C180" s="12"/>
      <c r="D180" t="s">
        <v>2108</v>
      </c>
      <c r="O180" s="361"/>
      <c r="P180" s="361"/>
      <c r="Q180" s="361"/>
      <c r="R180" s="361"/>
      <c r="Y180" s="1098" t="s">
        <v>483</v>
      </c>
      <c r="Z180" s="1458"/>
      <c r="BN180" s="30" t="s">
        <v>602</v>
      </c>
      <c r="BT180" t="s">
        <v>406</v>
      </c>
    </row>
    <row r="181" spans="1:72" ht="12.95" customHeight="1">
      <c r="C181" s="12"/>
      <c r="D181" s="35"/>
      <c r="E181" s="361" t="s">
        <v>1231</v>
      </c>
      <c r="R181" s="361"/>
      <c r="BN181" s="30" t="s">
        <v>603</v>
      </c>
      <c r="BT181" t="s">
        <v>407</v>
      </c>
    </row>
    <row r="182" spans="1:72" ht="12.95" customHeight="1">
      <c r="C182" s="12"/>
      <c r="D182" s="35"/>
      <c r="BN182" s="30" t="s">
        <v>604</v>
      </c>
      <c r="BT182" t="s">
        <v>408</v>
      </c>
    </row>
    <row r="183" spans="1:72" ht="12.95" customHeight="1">
      <c r="A183" s="3" t="s">
        <v>8</v>
      </c>
      <c r="C183" s="3" t="s">
        <v>9</v>
      </c>
      <c r="BN183" s="30" t="s">
        <v>572</v>
      </c>
      <c r="BT183" t="s">
        <v>409</v>
      </c>
    </row>
    <row r="184" spans="1:72" ht="12.95" customHeight="1">
      <c r="C184" s="29"/>
      <c r="D184" t="s">
        <v>10</v>
      </c>
      <c r="I184" s="1260" t="str">
        <f>H17</f>
        <v>Normandie Villas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410</v>
      </c>
    </row>
    <row r="185" spans="1:72" ht="12.95" customHeight="1">
      <c r="C185" s="29"/>
      <c r="D185" t="s">
        <v>430</v>
      </c>
      <c r="I185" s="1353" t="s">
        <v>2327</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5" customHeight="1">
      <c r="C186" s="29"/>
      <c r="E186" t="s">
        <v>62</v>
      </c>
      <c r="BN186" s="30" t="s">
        <v>576</v>
      </c>
      <c r="BT186" t="s">
        <v>840</v>
      </c>
    </row>
    <row r="187" spans="1:72" ht="12.95"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577</v>
      </c>
      <c r="BT187" t="s">
        <v>841</v>
      </c>
    </row>
    <row r="188" spans="1:72" ht="12.95"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579</v>
      </c>
      <c r="BT188" t="s">
        <v>842</v>
      </c>
    </row>
    <row r="189" spans="1:72" ht="12.95" customHeight="1">
      <c r="C189" s="29"/>
      <c r="D189" t="s">
        <v>431</v>
      </c>
      <c r="I189" s="1103" t="s">
        <v>401</v>
      </c>
      <c r="J189" s="1107"/>
      <c r="K189" s="1107"/>
      <c r="L189" s="1107"/>
      <c r="M189" s="1107"/>
      <c r="N189" s="1107"/>
      <c r="O189" s="1107"/>
      <c r="P189" s="1107"/>
      <c r="Q189" t="s">
        <v>433</v>
      </c>
      <c r="T189" s="1107" t="s">
        <v>401</v>
      </c>
      <c r="U189" s="1107"/>
      <c r="V189" s="1107"/>
      <c r="W189" s="1107"/>
      <c r="X189" s="1107"/>
      <c r="Y189" s="1107"/>
      <c r="Z189" s="1107"/>
      <c r="AA189" s="1107"/>
      <c r="AB189" s="1107"/>
      <c r="AC189" s="1107"/>
      <c r="AD189" s="1107"/>
      <c r="AE189" s="1107"/>
      <c r="BC189" t="s">
        <v>79</v>
      </c>
      <c r="BH189" s="41" t="s">
        <v>124</v>
      </c>
      <c r="BN189" s="30" t="s">
        <v>580</v>
      </c>
      <c r="BT189" t="s">
        <v>109</v>
      </c>
    </row>
    <row r="190" spans="1:72" ht="12.95" customHeight="1">
      <c r="C190" s="29"/>
      <c r="D190" t="s">
        <v>434</v>
      </c>
      <c r="I190" s="1258">
        <v>90007</v>
      </c>
      <c r="J190" s="1258"/>
      <c r="K190" s="1258"/>
      <c r="L190" s="1258"/>
      <c r="M190" s="1258"/>
      <c r="N190" s="1258"/>
      <c r="O190" t="s">
        <v>436</v>
      </c>
      <c r="T190" s="1482">
        <v>2222</v>
      </c>
      <c r="U190" s="1482"/>
      <c r="V190" s="1482"/>
      <c r="W190" s="1482"/>
      <c r="X190" s="1482"/>
      <c r="Y190" s="1482"/>
      <c r="Z190" s="1482"/>
      <c r="AA190" s="1482"/>
      <c r="AB190" s="1482"/>
      <c r="AC190" s="1482"/>
      <c r="AD190" s="1482"/>
      <c r="AE190" s="1482"/>
      <c r="BC190" t="s">
        <v>663</v>
      </c>
      <c r="BH190" t="s">
        <v>663</v>
      </c>
      <c r="BN190" s="30" t="s">
        <v>422</v>
      </c>
      <c r="BT190" t="s">
        <v>110</v>
      </c>
    </row>
    <row r="191" spans="1:72" ht="12.95" customHeight="1">
      <c r="C191" s="29"/>
      <c r="D191" t="s">
        <v>81</v>
      </c>
      <c r="N191" s="1356" t="s">
        <v>2446</v>
      </c>
      <c r="O191" s="1356"/>
      <c r="P191" s="1356"/>
      <c r="Q191" s="1356"/>
      <c r="R191" s="1356"/>
      <c r="S191" s="1356"/>
      <c r="T191" s="1356"/>
      <c r="U191" s="1356"/>
      <c r="V191" s="1356"/>
      <c r="W191" s="1356"/>
      <c r="X191" s="1356"/>
      <c r="Y191" s="1356"/>
      <c r="Z191" s="1356"/>
      <c r="AA191" s="1356"/>
      <c r="AB191" s="1356"/>
      <c r="AC191" s="1356"/>
      <c r="AD191" s="1356"/>
      <c r="AE191" s="1356"/>
      <c r="BC191" t="s">
        <v>1424</v>
      </c>
      <c r="BH191" t="s">
        <v>1424</v>
      </c>
      <c r="BN191" s="30" t="s">
        <v>582</v>
      </c>
      <c r="BT191" t="s">
        <v>111</v>
      </c>
    </row>
    <row r="192" spans="1:72" ht="12.95"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664</v>
      </c>
      <c r="BH192" t="s">
        <v>615</v>
      </c>
      <c r="BN192" s="30" t="s">
        <v>583</v>
      </c>
      <c r="BT192" t="s">
        <v>112</v>
      </c>
    </row>
    <row r="193" spans="1:73" ht="12.95" customHeight="1">
      <c r="C193" s="29"/>
      <c r="D193" t="s">
        <v>437</v>
      </c>
      <c r="T193" s="1098" t="s">
        <v>483</v>
      </c>
      <c r="U193" s="1098"/>
      <c r="W193" s="41" t="s">
        <v>1888</v>
      </c>
      <c r="AA193" s="1489"/>
      <c r="AB193" s="1489"/>
      <c r="AC193" s="1489"/>
      <c r="BC193" t="s">
        <v>564</v>
      </c>
      <c r="BH193" s="5" t="s">
        <v>1429</v>
      </c>
      <c r="BN193" s="30" t="s">
        <v>584</v>
      </c>
      <c r="BT193" t="s">
        <v>113</v>
      </c>
    </row>
    <row r="194" spans="1:73" ht="12.95" customHeight="1">
      <c r="C194" s="29"/>
      <c r="D194" t="s">
        <v>118</v>
      </c>
      <c r="T194" s="1056" t="s">
        <v>483</v>
      </c>
      <c r="U194" s="1056"/>
      <c r="W194" t="s">
        <v>63</v>
      </c>
      <c r="AI194" s="1098" t="s">
        <v>483</v>
      </c>
      <c r="AJ194" s="1098"/>
      <c r="AX194" s="5" t="s">
        <v>124</v>
      </c>
      <c r="BC194" t="s">
        <v>615</v>
      </c>
      <c r="BN194" s="30" t="s">
        <v>753</v>
      </c>
      <c r="BT194" t="s">
        <v>114</v>
      </c>
    </row>
    <row r="195" spans="1:73" ht="12.95" customHeight="1">
      <c r="C195" s="29"/>
      <c r="D195" s="41" t="s">
        <v>1735</v>
      </c>
      <c r="T195" s="1056" t="s">
        <v>483</v>
      </c>
      <c r="U195" s="1056"/>
      <c r="X195" s="797" t="s">
        <v>2109</v>
      </c>
      <c r="AX195" s="5" t="s">
        <v>1150</v>
      </c>
      <c r="BN195" s="30" t="s">
        <v>754</v>
      </c>
      <c r="BT195" t="s">
        <v>115</v>
      </c>
    </row>
    <row r="196" spans="1:73" ht="12.95" customHeight="1">
      <c r="C196" s="29"/>
      <c r="D196" s="5" t="s">
        <v>1155</v>
      </c>
      <c r="T196" s="1056" t="s">
        <v>483</v>
      </c>
      <c r="U196" s="1056"/>
      <c r="AK196" s="1488"/>
      <c r="AL196" s="1488"/>
      <c r="AX196" s="41" t="s">
        <v>2202</v>
      </c>
      <c r="BN196" s="30" t="s">
        <v>755</v>
      </c>
      <c r="BT196" t="s">
        <v>116</v>
      </c>
    </row>
    <row r="197" spans="1:73" ht="12.95" customHeight="1">
      <c r="C197" s="29"/>
      <c r="D197" s="41" t="s">
        <v>1889</v>
      </c>
      <c r="T197" s="1098" t="s">
        <v>483</v>
      </c>
      <c r="U197" s="1098"/>
      <c r="AX197" s="5" t="s">
        <v>1151</v>
      </c>
      <c r="BC197" t="s">
        <v>79</v>
      </c>
      <c r="BN197" s="30" t="s">
        <v>756</v>
      </c>
      <c r="BT197" t="s">
        <v>117</v>
      </c>
    </row>
    <row r="198" spans="1:73" ht="12.95" customHeight="1">
      <c r="C198" s="29"/>
      <c r="D198" s="41" t="s">
        <v>1917</v>
      </c>
      <c r="W198" s="1397" t="s">
        <v>483</v>
      </c>
      <c r="X198" s="1098"/>
      <c r="AX198" s="5" t="s">
        <v>1152</v>
      </c>
      <c r="BC198" t="s">
        <v>1103</v>
      </c>
      <c r="BN198" s="30" t="s">
        <v>757</v>
      </c>
      <c r="BT198" t="s">
        <v>803</v>
      </c>
    </row>
    <row r="199" spans="1:73" ht="12.95" customHeight="1">
      <c r="C199" s="29"/>
      <c r="L199" s="309"/>
      <c r="M199" s="309"/>
      <c r="N199" s="309"/>
      <c r="O199" s="309"/>
      <c r="P199" s="309"/>
      <c r="Q199" s="922" t="s">
        <v>2110</v>
      </c>
      <c r="R199" s="1103" t="s">
        <v>2024</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561</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0" t="str">
        <f>IF(AND(M25&gt;0,M27&gt;0),"Federal and State","Federal Only")</f>
        <v>Federal and State</v>
      </c>
      <c r="E203" s="1260"/>
      <c r="F203" s="1260"/>
      <c r="G203" s="1260"/>
      <c r="H203" s="1260"/>
      <c r="I203" s="1260"/>
      <c r="J203" s="1260"/>
      <c r="K203" s="1260"/>
      <c r="L203" s="1260"/>
      <c r="M203" s="1260"/>
      <c r="P203" s="1492">
        <f>M25</f>
        <v>1045752</v>
      </c>
      <c r="Q203" s="1492"/>
      <c r="R203" s="1492"/>
      <c r="S203" s="1492"/>
      <c r="T203" s="1492"/>
      <c r="U203" s="1492"/>
      <c r="W203" s="1492">
        <f>M27</f>
        <v>3449726</v>
      </c>
      <c r="X203" s="1492"/>
      <c r="Y203" s="1492"/>
      <c r="Z203" s="1492"/>
      <c r="AA203" s="1492"/>
      <c r="AB203" s="1492"/>
      <c r="AV203" t="s">
        <v>124</v>
      </c>
      <c r="AX203" s="5" t="s">
        <v>564</v>
      </c>
      <c r="BC203" t="s">
        <v>1434</v>
      </c>
      <c r="BN203" s="30" t="s">
        <v>661</v>
      </c>
      <c r="BT203" s="40" t="s">
        <v>808</v>
      </c>
      <c r="BU203" s="21"/>
    </row>
    <row r="204" spans="1:73" ht="12.9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393" t="s">
        <v>2410</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564</v>
      </c>
      <c r="E211" s="1393"/>
      <c r="F211" s="1393"/>
      <c r="G211" s="1393"/>
      <c r="H211" s="1393"/>
      <c r="I211" s="1393"/>
      <c r="J211" s="1393"/>
      <c r="K211" s="1393"/>
      <c r="L211" s="1393"/>
      <c r="M211" s="1393"/>
      <c r="N211" s="1393"/>
      <c r="O211" s="1393"/>
      <c r="P211" s="1393"/>
      <c r="X211" s="803"/>
      <c r="Y211" s="1483" t="s">
        <v>483</v>
      </c>
      <c r="Z211" s="148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393" t="s">
        <v>564</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2022</v>
      </c>
      <c r="BC214" t="s">
        <v>630</v>
      </c>
      <c r="BN214" s="30" t="s">
        <v>444</v>
      </c>
      <c r="BT214" s="40" t="s">
        <v>817</v>
      </c>
    </row>
    <row r="215" spans="1:72" ht="12.95" customHeight="1">
      <c r="D215" s="35"/>
      <c r="E215" s="41" t="s">
        <v>2105</v>
      </c>
      <c r="AC215" s="1490"/>
      <c r="AD215" s="1490"/>
      <c r="AF215" s="1486">
        <f>IFERROR(AC215/AG433,"")</f>
        <v>0</v>
      </c>
      <c r="AG215" s="1486"/>
      <c r="AX215" t="s">
        <v>2023</v>
      </c>
      <c r="BC215" t="s">
        <v>627</v>
      </c>
    </row>
    <row r="216" spans="1:72" ht="12.95" customHeight="1">
      <c r="D216" s="35"/>
      <c r="E216" s="938" t="s">
        <v>1432</v>
      </c>
      <c r="AX216" t="s">
        <v>2024</v>
      </c>
      <c r="BC216" t="s">
        <v>744</v>
      </c>
    </row>
    <row r="217" spans="1:72" ht="12.95"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2026</v>
      </c>
      <c r="BC217" t="s">
        <v>628</v>
      </c>
    </row>
    <row r="218" spans="1:72" ht="12.95" customHeight="1">
      <c r="E218" s="41" t="s">
        <v>1962</v>
      </c>
      <c r="AA218" s="49"/>
      <c r="AC218" s="1363"/>
      <c r="AD218" s="1363"/>
      <c r="AE218" s="1363"/>
      <c r="AF218" s="1363"/>
      <c r="AG218" s="1363"/>
      <c r="AH218" s="1363"/>
      <c r="AI218" s="1363"/>
      <c r="AJ218" s="1363"/>
      <c r="AK218" s="1363"/>
      <c r="AL218" s="1363"/>
      <c r="AM218" s="1363"/>
      <c r="BC218" t="s">
        <v>629</v>
      </c>
      <c r="BI218" s="39"/>
    </row>
    <row r="219" spans="1:72" ht="12.95" customHeight="1">
      <c r="E219" s="41" t="s">
        <v>1963</v>
      </c>
      <c r="AA219" s="49"/>
      <c r="AC219" s="1487">
        <v>46660</v>
      </c>
      <c r="AD219" s="1363"/>
      <c r="AE219" s="1363"/>
      <c r="AF219" s="1363"/>
      <c r="AG219" s="1363"/>
      <c r="AH219" s="1363"/>
      <c r="AI219" s="1363"/>
      <c r="AJ219" s="1363"/>
      <c r="AK219" s="1363"/>
      <c r="AL219" s="1363"/>
      <c r="AM219" s="1363"/>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1103</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37</v>
      </c>
      <c r="P225" s="1098"/>
    </row>
    <row r="226" spans="1:59" ht="12.95" customHeight="1">
      <c r="D226" t="s">
        <v>559</v>
      </c>
      <c r="O226" s="1098">
        <v>55</v>
      </c>
      <c r="P226" s="1098"/>
      <c r="BB226" s="5" t="s">
        <v>638</v>
      </c>
      <c r="BG226" s="410">
        <f>IF(AND(AND($M$251="for profit",$M$259="for profit",$M$267="nonprofit")),2,0)</f>
        <v>0</v>
      </c>
    </row>
    <row r="227" spans="1:59" ht="12.95" customHeight="1">
      <c r="D227" t="s">
        <v>560</v>
      </c>
      <c r="O227" s="1098">
        <v>28</v>
      </c>
      <c r="P227" s="1098"/>
      <c r="BB227" s="5" t="s">
        <v>638</v>
      </c>
      <c r="BG227" s="410">
        <f>IF(AND(AND($M$251="for profit",$M$259="nonprofit",$M$267="for profit")),2,0)</f>
        <v>0</v>
      </c>
    </row>
    <row r="228" spans="1:59" ht="12.95" customHeight="1">
      <c r="D228" t="s">
        <v>561</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372</v>
      </c>
      <c r="E235" s="5"/>
      <c r="F235" s="5"/>
      <c r="G235" s="5"/>
      <c r="H235" s="5"/>
      <c r="I235" s="5"/>
      <c r="J235" s="5"/>
      <c r="K235" s="5"/>
      <c r="M235" s="1407" t="str">
        <f>H15</f>
        <v>Normandie Villas Community Partners,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D236" s="5" t="s">
        <v>373</v>
      </c>
      <c r="E236" s="5"/>
      <c r="F236" s="5"/>
      <c r="G236" s="5"/>
      <c r="H236" s="5"/>
      <c r="I236" s="5"/>
      <c r="J236" s="5"/>
      <c r="K236" s="5"/>
      <c r="M236" s="1393" t="s">
        <v>2328</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2.95" customHeight="1">
      <c r="D237" s="5" t="s">
        <v>431</v>
      </c>
      <c r="E237" s="5"/>
      <c r="M237" s="1393" t="s">
        <v>2329</v>
      </c>
      <c r="N237" s="1393"/>
      <c r="O237" s="1393"/>
      <c r="P237" s="1393"/>
      <c r="Q237" s="1393"/>
      <c r="R237" s="1393"/>
      <c r="S237" s="1393"/>
      <c r="T237" s="1393"/>
      <c r="V237" s="42" t="s">
        <v>374</v>
      </c>
      <c r="W237" s="1353" t="s">
        <v>2332</v>
      </c>
      <c r="X237" s="1259"/>
      <c r="Y237" s="5" t="s">
        <v>434</v>
      </c>
      <c r="AC237" s="1393">
        <v>92614</v>
      </c>
      <c r="AD237" s="1393"/>
      <c r="AE237" s="1393"/>
      <c r="AN237" s="41"/>
      <c r="BB237" t="s">
        <v>637</v>
      </c>
      <c r="BG237" s="410">
        <f>IF(AND(AND($M$251="nonprofit",$M$259="nonprofit",$M$267="(select one)")),1,0)</f>
        <v>0</v>
      </c>
    </row>
    <row r="238" spans="1:59" ht="12.95" customHeight="1">
      <c r="D238" s="5" t="s">
        <v>375</v>
      </c>
      <c r="E238" s="5"/>
      <c r="F238" s="5"/>
      <c r="G238" s="5"/>
      <c r="H238" s="5"/>
      <c r="I238" s="5"/>
      <c r="J238" s="5"/>
      <c r="K238" s="28"/>
      <c r="M238" s="1393" t="s">
        <v>2321</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0</v>
      </c>
    </row>
    <row r="239" spans="1:59" ht="12.95" customHeight="1">
      <c r="D239" s="5" t="s">
        <v>376</v>
      </c>
      <c r="E239" s="5"/>
      <c r="F239" s="5"/>
      <c r="M239" s="1264" t="s">
        <v>2330</v>
      </c>
      <c r="N239" s="1264"/>
      <c r="O239" s="1264"/>
      <c r="P239" s="1264"/>
      <c r="Q239" s="1264"/>
      <c r="R239" s="1264"/>
      <c r="S239" s="5" t="s">
        <v>818</v>
      </c>
      <c r="T239" s="5"/>
      <c r="U239" s="1259"/>
      <c r="V239" s="1259"/>
      <c r="W239" s="1259"/>
      <c r="X239" s="5" t="s">
        <v>377</v>
      </c>
      <c r="Z239" s="1264"/>
      <c r="AA239" s="1264"/>
      <c r="AB239" s="1264"/>
      <c r="AC239" s="1264"/>
      <c r="AD239" s="1264"/>
      <c r="AE239" s="1264"/>
      <c r="AM239" s="41"/>
      <c r="AN239" s="41"/>
      <c r="BB239" t="s">
        <v>1009</v>
      </c>
      <c r="BG239" s="410">
        <f>IF(AND(AND($M$251="for profit",$M$259="for profit",$M$267="for profit")),3,0)</f>
        <v>0</v>
      </c>
    </row>
    <row r="240" spans="1:59" ht="12.95" customHeight="1">
      <c r="D240" s="5" t="s">
        <v>378</v>
      </c>
      <c r="E240" s="5"/>
      <c r="F240" s="5"/>
      <c r="M240" s="1474" t="s">
        <v>2331</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8" t="s">
        <v>628</v>
      </c>
      <c r="N241" s="1258"/>
      <c r="O241" s="1258"/>
      <c r="P241" s="1258"/>
      <c r="Q241" s="1258"/>
      <c r="R241" s="1258"/>
      <c r="S241" s="1258"/>
      <c r="T241" s="1258"/>
      <c r="U241" s="5" t="s">
        <v>1144</v>
      </c>
      <c r="AA241" s="1404"/>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2.9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400" t="s">
        <v>2468</v>
      </c>
      <c r="N245" s="1400"/>
      <c r="O245" s="1400"/>
      <c r="P245" s="1400"/>
      <c r="Q245" s="1400"/>
      <c r="R245" s="1400"/>
      <c r="S245" s="1400"/>
      <c r="T245" s="1400"/>
      <c r="U245" s="1400"/>
      <c r="V245" s="1400"/>
      <c r="W245" s="1400"/>
      <c r="X245" s="1400"/>
      <c r="Y245" s="1400"/>
      <c r="Z245" s="1400"/>
      <c r="AA245" s="1400"/>
      <c r="AB245" s="1400"/>
      <c r="AC245" s="1400"/>
      <c r="AD245" s="1400"/>
      <c r="AE245" s="1400"/>
      <c r="AF245" s="1473" t="s">
        <v>2333</v>
      </c>
      <c r="AG245" s="1473"/>
      <c r="AH245" s="1473"/>
      <c r="AI245" s="1473"/>
      <c r="AJ245" s="1473"/>
      <c r="AK245" s="1473"/>
      <c r="AM245" s="5"/>
      <c r="AN245" s="41"/>
      <c r="BB245" s="5" t="s">
        <v>892</v>
      </c>
      <c r="BH245">
        <v>2</v>
      </c>
      <c r="BI245" t="s">
        <v>744</v>
      </c>
      <c r="BO245" s="412" t="str">
        <f>IFERROR(VLOOKUP(AZ260,BH244:BI246,2,FALSE),"")</f>
        <v>Joint Venture</v>
      </c>
    </row>
    <row r="246" spans="1:67" ht="12.95" customHeight="1">
      <c r="A246" s="28"/>
      <c r="B246" s="5"/>
      <c r="C246" s="5"/>
      <c r="D246" s="5" t="s">
        <v>373</v>
      </c>
      <c r="E246" s="5"/>
      <c r="F246" s="5"/>
      <c r="G246" s="5"/>
      <c r="H246" s="5"/>
      <c r="I246" s="5"/>
      <c r="J246" s="5"/>
      <c r="K246" s="5"/>
      <c r="L246" s="5"/>
      <c r="M246" s="1393" t="s">
        <v>2328</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455</v>
      </c>
      <c r="BH246">
        <v>3</v>
      </c>
      <c r="BI246" t="s">
        <v>636</v>
      </c>
    </row>
    <row r="247" spans="1:67" ht="12.95" customHeight="1">
      <c r="A247" s="28"/>
      <c r="B247" s="5"/>
      <c r="C247" s="5"/>
      <c r="D247" s="5" t="s">
        <v>431</v>
      </c>
      <c r="E247" s="5"/>
      <c r="M247" s="1393" t="s">
        <v>2329</v>
      </c>
      <c r="N247" s="1393"/>
      <c r="O247" s="1393"/>
      <c r="P247" s="1393"/>
      <c r="Q247" s="1393"/>
      <c r="R247" s="1393"/>
      <c r="S247" s="1393"/>
      <c r="T247" s="1393"/>
      <c r="V247" s="42" t="s">
        <v>374</v>
      </c>
      <c r="W247" s="1259" t="s">
        <v>2332</v>
      </c>
      <c r="X247" s="1259"/>
      <c r="Y247" s="5" t="s">
        <v>434</v>
      </c>
      <c r="AC247" s="1393">
        <v>92614</v>
      </c>
      <c r="AD247" s="1393"/>
      <c r="AE247" s="1393"/>
      <c r="AN247" s="41"/>
    </row>
    <row r="248" spans="1:67" ht="12.95" customHeight="1">
      <c r="A248" s="28"/>
      <c r="B248" s="5"/>
      <c r="C248" s="5"/>
      <c r="D248" s="5" t="s">
        <v>375</v>
      </c>
      <c r="E248" s="5"/>
      <c r="F248" s="5"/>
      <c r="G248" s="5"/>
      <c r="H248" s="5"/>
      <c r="I248" s="5"/>
      <c r="J248" s="5"/>
      <c r="K248" s="5"/>
      <c r="L248" s="28"/>
      <c r="M248" s="1393" t="s">
        <v>2321</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2.95" customHeight="1">
      <c r="A249" s="28"/>
      <c r="B249" s="5"/>
      <c r="C249" s="5"/>
      <c r="D249" s="5" t="s">
        <v>376</v>
      </c>
      <c r="E249" s="5"/>
      <c r="F249" s="5"/>
      <c r="M249" s="1264" t="s">
        <v>2330</v>
      </c>
      <c r="N249" s="1264"/>
      <c r="O249" s="1264"/>
      <c r="P249" s="1264"/>
      <c r="Q249" s="1264"/>
      <c r="R249" s="1264"/>
      <c r="S249" s="5" t="s">
        <v>818</v>
      </c>
      <c r="T249" s="5"/>
      <c r="U249" s="1259"/>
      <c r="V249" s="1259"/>
      <c r="W249" s="1259"/>
      <c r="X249" s="5" t="s">
        <v>377</v>
      </c>
      <c r="Z249" s="1264"/>
      <c r="AA249" s="1264"/>
      <c r="AB249" s="1264"/>
      <c r="AC249" s="1264"/>
      <c r="AD249" s="1264"/>
      <c r="AE249" s="1264"/>
      <c r="AM249" s="5"/>
      <c r="AN249" s="41"/>
    </row>
    <row r="250" spans="1:67" ht="12.95" customHeight="1">
      <c r="A250" s="28"/>
      <c r="B250" s="5"/>
      <c r="C250" s="5"/>
      <c r="D250" s="5" t="s">
        <v>378</v>
      </c>
      <c r="E250" s="5"/>
      <c r="F250" s="5"/>
      <c r="M250" s="1474" t="s">
        <v>2331</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2.95"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75" t="s">
        <v>2413</v>
      </c>
      <c r="AB251" s="1404"/>
      <c r="AC251" s="1404"/>
      <c r="AD251" s="1404"/>
      <c r="AE251" s="1404"/>
      <c r="AF251" s="1404"/>
      <c r="AG251" s="1404"/>
      <c r="AH251" s="1404"/>
      <c r="AI251" s="1404"/>
      <c r="AJ251" s="1404"/>
      <c r="AK251" s="140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400" t="s">
        <v>2469</v>
      </c>
      <c r="N253" s="1400"/>
      <c r="O253" s="1400"/>
      <c r="P253" s="1400"/>
      <c r="Q253" s="1400"/>
      <c r="R253" s="1400"/>
      <c r="S253" s="1400"/>
      <c r="T253" s="1400"/>
      <c r="U253" s="1400"/>
      <c r="V253" s="1400"/>
      <c r="W253" s="1400"/>
      <c r="X253" s="1400"/>
      <c r="Y253" s="1400"/>
      <c r="Z253" s="1400"/>
      <c r="AA253" s="1400"/>
      <c r="AB253" s="1400"/>
      <c r="AC253" s="1400"/>
      <c r="AD253" s="1400"/>
      <c r="AE253" s="1400"/>
      <c r="AF253" s="1473" t="s">
        <v>2334</v>
      </c>
      <c r="AG253" s="1473"/>
      <c r="AH253" s="1473"/>
      <c r="AI253" s="1473"/>
      <c r="AJ253" s="1473"/>
      <c r="AK253" s="1473"/>
      <c r="AM253" s="5"/>
    </row>
    <row r="254" spans="1:67" ht="12.95" customHeight="1">
      <c r="A254" s="28"/>
      <c r="B254" s="5"/>
      <c r="C254" s="5"/>
      <c r="D254" s="5" t="s">
        <v>373</v>
      </c>
      <c r="E254" s="5"/>
      <c r="F254" s="5"/>
      <c r="G254" s="5"/>
      <c r="H254" s="5"/>
      <c r="I254" s="5"/>
      <c r="J254" s="5"/>
      <c r="K254" s="5"/>
      <c r="L254" s="5"/>
      <c r="M254" s="1393" t="s">
        <v>2335</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2.95" customHeight="1">
      <c r="A255" s="28"/>
      <c r="B255" s="5"/>
      <c r="C255" s="5"/>
      <c r="D255" s="5" t="s">
        <v>431</v>
      </c>
      <c r="E255" s="5"/>
      <c r="M255" s="1393" t="s">
        <v>2336</v>
      </c>
      <c r="N255" s="1393"/>
      <c r="O255" s="1393"/>
      <c r="P255" s="1393"/>
      <c r="Q255" s="1393"/>
      <c r="R255" s="1393"/>
      <c r="S255" s="1393"/>
      <c r="T255" s="1393"/>
      <c r="V255" s="42" t="s">
        <v>374</v>
      </c>
      <c r="W255" s="1353" t="s">
        <v>1016</v>
      </c>
      <c r="X255" s="1259"/>
      <c r="Y255" s="5" t="s">
        <v>434</v>
      </c>
      <c r="AC255" s="1393">
        <v>97703</v>
      </c>
      <c r="AD255" s="1393"/>
      <c r="AE255" s="1393"/>
    </row>
    <row r="256" spans="1:67" ht="12.95" customHeight="1">
      <c r="A256" s="28"/>
      <c r="B256" s="5"/>
      <c r="C256" s="5"/>
      <c r="D256" s="5" t="s">
        <v>375</v>
      </c>
      <c r="E256" s="5"/>
      <c r="F256" s="5"/>
      <c r="G256" s="5"/>
      <c r="H256" s="5"/>
      <c r="I256" s="5"/>
      <c r="J256" s="5"/>
      <c r="K256" s="5"/>
      <c r="L256" s="28"/>
      <c r="M256" s="1393" t="s">
        <v>2337</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2.95" customHeight="1">
      <c r="A257" s="28"/>
      <c r="B257" s="5"/>
      <c r="C257" s="5"/>
      <c r="D257" s="5" t="s">
        <v>376</v>
      </c>
      <c r="E257" s="5"/>
      <c r="F257" s="5"/>
      <c r="M257" s="1264" t="s">
        <v>2338</v>
      </c>
      <c r="N257" s="1264"/>
      <c r="O257" s="1264"/>
      <c r="P257" s="1264"/>
      <c r="Q257" s="1264"/>
      <c r="R257" s="1264"/>
      <c r="S257" s="5" t="s">
        <v>818</v>
      </c>
      <c r="T257" s="5"/>
      <c r="U257" s="1259"/>
      <c r="V257" s="1259"/>
      <c r="W257" s="1259"/>
      <c r="X257" s="5" t="s">
        <v>377</v>
      </c>
      <c r="Z257" s="1264"/>
      <c r="AA257" s="1264"/>
      <c r="AB257" s="1264"/>
      <c r="AC257" s="1264"/>
      <c r="AD257" s="1264"/>
      <c r="AE257" s="1264"/>
      <c r="BA257" s="43"/>
    </row>
    <row r="258" spans="1:53" ht="12.95" customHeight="1">
      <c r="A258" s="28"/>
      <c r="B258" s="5"/>
      <c r="C258" s="5"/>
      <c r="D258" s="5" t="s">
        <v>378</v>
      </c>
      <c r="E258" s="5"/>
      <c r="F258" s="5"/>
      <c r="M258" s="1474" t="s">
        <v>2339</v>
      </c>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2.95"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75" t="s">
        <v>2470</v>
      </c>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79</v>
      </c>
      <c r="AG261" s="1473"/>
      <c r="AH261" s="1473"/>
      <c r="AI261" s="1473"/>
      <c r="AJ261" s="1473"/>
      <c r="AK261" s="1473"/>
      <c r="AL261" s="41"/>
    </row>
    <row r="262" spans="1:53" ht="12.95" customHeight="1">
      <c r="A262" s="18"/>
      <c r="B262" s="5"/>
      <c r="C262" s="5"/>
      <c r="D262" s="5" t="s">
        <v>373</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2.95" customHeight="1">
      <c r="A263" s="18"/>
      <c r="B263" s="5"/>
      <c r="C263" s="5"/>
      <c r="D263" s="5" t="s">
        <v>431</v>
      </c>
      <c r="E263" s="5"/>
      <c r="M263" s="1393"/>
      <c r="N263" s="1393"/>
      <c r="O263" s="1393"/>
      <c r="P263" s="1393"/>
      <c r="Q263" s="1393"/>
      <c r="R263" s="1393"/>
      <c r="S263" s="1393"/>
      <c r="T263" s="1393"/>
      <c r="V263" s="42" t="s">
        <v>374</v>
      </c>
      <c r="W263" s="1259"/>
      <c r="X263" s="1259"/>
      <c r="Y263" s="5" t="s">
        <v>434</v>
      </c>
      <c r="AC263" s="1393"/>
      <c r="AD263" s="1393"/>
      <c r="AE263" s="1393"/>
      <c r="AL263" s="41"/>
      <c r="BA263" s="43"/>
    </row>
    <row r="264" spans="1:53" ht="12.95" customHeight="1">
      <c r="A264" s="18"/>
      <c r="B264" s="5"/>
      <c r="C264" s="5"/>
      <c r="D264" s="5" t="s">
        <v>375</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2.95" customHeight="1">
      <c r="A265" s="18"/>
      <c r="B265" s="5"/>
      <c r="C265" s="5"/>
      <c r="D265" s="5" t="s">
        <v>376</v>
      </c>
      <c r="E265" s="5"/>
      <c r="F265" s="5"/>
      <c r="M265" s="1264"/>
      <c r="N265" s="1264"/>
      <c r="O265" s="1264"/>
      <c r="P265" s="1264"/>
      <c r="Q265" s="1264"/>
      <c r="R265" s="1264"/>
      <c r="S265" s="5" t="s">
        <v>818</v>
      </c>
      <c r="T265" s="5"/>
      <c r="U265" s="1259"/>
      <c r="V265" s="1259"/>
      <c r="W265" s="1259"/>
      <c r="X265" s="5" t="s">
        <v>377</v>
      </c>
      <c r="Z265" s="1264"/>
      <c r="AA265" s="1264"/>
      <c r="AB265" s="1264"/>
      <c r="AC265" s="1264"/>
      <c r="AD265" s="1264"/>
      <c r="AE265" s="1264"/>
      <c r="AL265" s="41"/>
      <c r="BA265" s="43"/>
    </row>
    <row r="266" spans="1:53" ht="12.95" customHeight="1">
      <c r="A266" s="18"/>
      <c r="B266" s="5"/>
      <c r="C266" s="5"/>
      <c r="D266" s="5" t="s">
        <v>378</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4"/>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3" t="s">
        <v>892</v>
      </c>
      <c r="E272" s="1393"/>
      <c r="F272" s="1393"/>
      <c r="G272" s="1393"/>
      <c r="H272" s="1393"/>
      <c r="J272" t="s">
        <v>891</v>
      </c>
      <c r="X272" s="1476"/>
      <c r="Y272" s="1476"/>
      <c r="Z272" s="1476"/>
      <c r="AA272" s="1476"/>
      <c r="AB272" s="1476"/>
      <c r="AC272" s="1476"/>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00" t="s">
        <v>2471</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5" customHeight="1">
      <c r="D277" s="5" t="s">
        <v>373</v>
      </c>
      <c r="E277" s="5"/>
      <c r="F277" s="5"/>
      <c r="G277" s="5"/>
      <c r="H277" s="5"/>
      <c r="I277" s="5"/>
      <c r="J277" s="5"/>
      <c r="K277" s="5"/>
      <c r="L277" s="1393" t="s">
        <v>2328</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2.95" customHeight="1">
      <c r="D278" s="5" t="s">
        <v>431</v>
      </c>
      <c r="E278" s="5"/>
      <c r="L278" s="1103" t="s">
        <v>2329</v>
      </c>
      <c r="M278" s="1393"/>
      <c r="N278" s="1393"/>
      <c r="O278" s="1393"/>
      <c r="P278" s="1393"/>
      <c r="Q278" s="1393"/>
      <c r="R278" s="1393"/>
      <c r="S278" s="1393"/>
      <c r="U278" s="42" t="s">
        <v>374</v>
      </c>
      <c r="V278" s="1353" t="s">
        <v>2332</v>
      </c>
      <c r="W278" s="1259"/>
      <c r="X278" s="5" t="s">
        <v>434</v>
      </c>
      <c r="AB278" s="1393">
        <v>92614</v>
      </c>
      <c r="AC278" s="1393"/>
      <c r="AD278" s="1393"/>
      <c r="AK278" s="41"/>
      <c r="AL278" s="41"/>
      <c r="BA278" s="43"/>
    </row>
    <row r="279" spans="1:53" ht="12.95" customHeight="1">
      <c r="D279" s="5" t="s">
        <v>375</v>
      </c>
      <c r="E279" s="5"/>
      <c r="F279" s="5"/>
      <c r="G279" s="5"/>
      <c r="H279" s="5"/>
      <c r="I279" s="5"/>
      <c r="J279" s="5"/>
      <c r="K279" s="28"/>
      <c r="L279" s="1103" t="s">
        <v>2341</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2.95" customHeight="1">
      <c r="D280" s="5" t="s">
        <v>376</v>
      </c>
      <c r="E280" s="5"/>
      <c r="F280" s="5"/>
      <c r="L280" s="1493" t="s">
        <v>2342</v>
      </c>
      <c r="M280" s="1264"/>
      <c r="N280" s="1264"/>
      <c r="O280" s="1264"/>
      <c r="P280" s="1264"/>
      <c r="Q280" s="1264"/>
      <c r="R280" s="5" t="s">
        <v>818</v>
      </c>
      <c r="S280" s="5"/>
      <c r="T280" s="1259"/>
      <c r="U280" s="1259"/>
      <c r="V280" s="1259"/>
      <c r="W280" s="5" t="s">
        <v>377</v>
      </c>
      <c r="Y280" s="1264"/>
      <c r="Z280" s="1264"/>
      <c r="AA280" s="1264"/>
      <c r="AB280" s="1264"/>
      <c r="AC280" s="1264"/>
      <c r="AD280" s="1264"/>
      <c r="BA280" s="43"/>
    </row>
    <row r="281" spans="1:53" ht="12.95" customHeight="1">
      <c r="D281" s="5" t="s">
        <v>378</v>
      </c>
      <c r="E281" s="5"/>
      <c r="F281" s="5"/>
      <c r="L281" s="1474" t="s">
        <v>2343</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2.95" customHeight="1">
      <c r="D282" s="41" t="s">
        <v>186</v>
      </c>
      <c r="E282" s="41"/>
      <c r="F282" s="41"/>
      <c r="G282" s="41"/>
      <c r="H282" s="41"/>
      <c r="I282" s="41"/>
      <c r="L282" s="1353" t="s">
        <v>2466</v>
      </c>
      <c r="M282" s="1353"/>
      <c r="N282" s="1353"/>
      <c r="O282" s="1353"/>
      <c r="P282" s="1353"/>
      <c r="Q282" s="1353"/>
      <c r="R282" s="1353"/>
      <c r="S282" s="1353"/>
      <c r="T282" s="1353"/>
      <c r="U282" s="1353"/>
      <c r="V282" s="1353"/>
      <c r="W282" s="1353"/>
      <c r="X282" s="1353"/>
      <c r="Y282" s="1353"/>
      <c r="Z282" s="1353"/>
      <c r="AA282" s="1353"/>
      <c r="AB282" s="1353"/>
      <c r="AC282" s="1353"/>
      <c r="AD282" s="1353"/>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2340</v>
      </c>
      <c r="I289" s="1107"/>
      <c r="J289" s="1107"/>
      <c r="K289" s="1107"/>
      <c r="L289" s="1107"/>
      <c r="M289" s="1107"/>
      <c r="N289" s="1107"/>
      <c r="O289" s="1107"/>
      <c r="P289" s="1107"/>
      <c r="Q289" s="1107"/>
      <c r="R289" s="1107"/>
      <c r="T289" s="41" t="s">
        <v>745</v>
      </c>
      <c r="V289" s="41"/>
      <c r="W289" s="41"/>
      <c r="X289" s="41"/>
      <c r="Y289" s="41"/>
      <c r="AA289" s="1107" t="s">
        <v>2345</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58" t="s">
        <v>2328</v>
      </c>
      <c r="I290" s="1258"/>
      <c r="J290" s="1258"/>
      <c r="K290" s="1258"/>
      <c r="L290" s="1258"/>
      <c r="M290" s="1258"/>
      <c r="N290" s="1258"/>
      <c r="O290" s="1258"/>
      <c r="P290" s="1258"/>
      <c r="Q290" s="1258"/>
      <c r="R290" s="1258"/>
      <c r="T290" s="41" t="s">
        <v>699</v>
      </c>
      <c r="V290" s="41"/>
      <c r="W290" s="41"/>
      <c r="X290" s="41"/>
      <c r="Y290" s="41"/>
      <c r="AA290" s="1258" t="s">
        <v>2346</v>
      </c>
      <c r="AB290" s="1258"/>
      <c r="AC290" s="1258"/>
      <c r="AD290" s="1258"/>
      <c r="AE290" s="1258"/>
      <c r="AF290" s="1258"/>
      <c r="AG290" s="1258"/>
      <c r="AH290" s="1258"/>
      <c r="AI290" s="1258"/>
      <c r="AJ290" s="1258"/>
      <c r="AK290" s="1258"/>
      <c r="BA290" s="43"/>
    </row>
    <row r="291" spans="2:53" ht="12.95" customHeight="1">
      <c r="B291" s="41" t="s">
        <v>701</v>
      </c>
      <c r="C291" s="41"/>
      <c r="D291" s="41"/>
      <c r="E291" s="41"/>
      <c r="F291" s="41"/>
      <c r="H291" s="1258" t="s">
        <v>2344</v>
      </c>
      <c r="I291" s="1258"/>
      <c r="J291" s="1258"/>
      <c r="K291" s="1258"/>
      <c r="L291" s="1258"/>
      <c r="M291" s="1258"/>
      <c r="N291" s="1258"/>
      <c r="O291" s="1258"/>
      <c r="P291" s="1258"/>
      <c r="Q291" s="1258"/>
      <c r="R291" s="1258"/>
      <c r="T291" s="41" t="s">
        <v>700</v>
      </c>
      <c r="V291" s="41"/>
      <c r="W291" s="41"/>
      <c r="X291" s="41"/>
      <c r="Y291" s="41"/>
      <c r="AA291" s="1258" t="s">
        <v>2347</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
        <v>2341</v>
      </c>
      <c r="I292" s="1258"/>
      <c r="J292" s="1258"/>
      <c r="K292" s="1258"/>
      <c r="L292" s="1258"/>
      <c r="M292" s="1258"/>
      <c r="N292" s="1258"/>
      <c r="O292" s="1258"/>
      <c r="P292" s="1258"/>
      <c r="Q292" s="1258"/>
      <c r="R292" s="1258"/>
      <c r="T292" s="41" t="s">
        <v>375</v>
      </c>
      <c r="V292" s="41"/>
      <c r="W292" s="41"/>
      <c r="X292" s="41"/>
      <c r="Y292" s="41"/>
      <c r="AA292" s="1258" t="s">
        <v>2348</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04" t="s">
        <v>2342</v>
      </c>
      <c r="I293" s="1404"/>
      <c r="J293" s="1404"/>
      <c r="K293" s="1404"/>
      <c r="L293" s="1404"/>
      <c r="M293" s="1404"/>
      <c r="N293" s="5" t="s">
        <v>818</v>
      </c>
      <c r="O293" s="5"/>
      <c r="P293" s="1393"/>
      <c r="Q293" s="1393"/>
      <c r="R293" s="1393"/>
      <c r="S293" s="41"/>
      <c r="T293" s="41" t="s">
        <v>376</v>
      </c>
      <c r="V293" s="41"/>
      <c r="W293" s="41"/>
      <c r="X293" s="41"/>
      <c r="Y293" s="41"/>
      <c r="AA293" s="1404" t="s">
        <v>2349</v>
      </c>
      <c r="AB293" s="1404"/>
      <c r="AC293" s="1404"/>
      <c r="AD293" s="1404"/>
      <c r="AE293" s="1404"/>
      <c r="AF293" s="1404"/>
      <c r="AG293" s="5" t="s">
        <v>818</v>
      </c>
      <c r="AH293" s="5"/>
      <c r="AI293" s="1393"/>
      <c r="AJ293" s="1393"/>
      <c r="AK293" s="1393"/>
      <c r="BA293" s="43"/>
    </row>
    <row r="294" spans="2:53" ht="12.95" customHeight="1">
      <c r="B294" s="41" t="s">
        <v>377</v>
      </c>
      <c r="C294" s="41"/>
      <c r="D294" s="41"/>
      <c r="E294" s="41"/>
      <c r="F294" s="41"/>
      <c r="G294" s="41"/>
      <c r="H294" s="1264"/>
      <c r="I294" s="1264"/>
      <c r="J294" s="1264"/>
      <c r="K294" s="1264"/>
      <c r="L294" s="1264"/>
      <c r="M294" s="1264"/>
      <c r="N294" s="5"/>
      <c r="O294" s="5"/>
      <c r="P294" s="44"/>
      <c r="Q294" s="44"/>
      <c r="R294" s="44"/>
      <c r="S294" s="41"/>
      <c r="T294" s="41" t="s">
        <v>377</v>
      </c>
      <c r="V294" s="41"/>
      <c r="W294" s="41"/>
      <c r="X294" s="41"/>
      <c r="Y294" s="41"/>
      <c r="AA294" s="1264"/>
      <c r="AB294" s="1264"/>
      <c r="AC294" s="1264"/>
      <c r="AD294" s="1264"/>
      <c r="AE294" s="1264"/>
      <c r="AF294" s="1264"/>
      <c r="AG294" s="5"/>
      <c r="AH294" s="5"/>
      <c r="AI294" s="44"/>
      <c r="AJ294" s="44"/>
      <c r="AK294" s="44"/>
      <c r="BA294" s="43"/>
    </row>
    <row r="295" spans="2:53" ht="12.95" customHeight="1">
      <c r="B295" s="41" t="s">
        <v>702</v>
      </c>
      <c r="C295" s="41"/>
      <c r="D295" s="41"/>
      <c r="E295" s="41"/>
      <c r="F295" s="41"/>
      <c r="G295" s="41"/>
      <c r="H295" s="1258" t="s">
        <v>2343</v>
      </c>
      <c r="I295" s="1258"/>
      <c r="J295" s="1258"/>
      <c r="K295" s="1258"/>
      <c r="L295" s="1258"/>
      <c r="M295" s="1258"/>
      <c r="N295" s="1107"/>
      <c r="O295" s="1107"/>
      <c r="P295" s="1107"/>
      <c r="Q295" s="1107"/>
      <c r="R295" s="1107"/>
      <c r="S295" s="41"/>
      <c r="T295" s="41" t="s">
        <v>702</v>
      </c>
      <c r="V295" s="41"/>
      <c r="W295" s="41"/>
      <c r="X295" s="41"/>
      <c r="Y295" s="41"/>
      <c r="AA295" s="1258" t="s">
        <v>2350</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7" t="s">
        <v>2351</v>
      </c>
      <c r="I297" s="1107"/>
      <c r="J297" s="1107"/>
      <c r="K297" s="1107"/>
      <c r="L297" s="1107"/>
      <c r="M297" s="1107"/>
      <c r="N297" s="1107"/>
      <c r="O297" s="1107"/>
      <c r="P297" s="1107"/>
      <c r="Q297" s="1107"/>
      <c r="R297" s="1107"/>
      <c r="T297" s="41" t="s">
        <v>35</v>
      </c>
      <c r="V297" s="41"/>
      <c r="W297" s="41"/>
      <c r="X297" s="41"/>
      <c r="Y297" s="41"/>
      <c r="AA297" s="1107" t="s">
        <v>2357</v>
      </c>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58" t="s">
        <v>2352</v>
      </c>
      <c r="I298" s="1258"/>
      <c r="J298" s="1258"/>
      <c r="K298" s="1258"/>
      <c r="L298" s="1258"/>
      <c r="M298" s="1258"/>
      <c r="N298" s="1258"/>
      <c r="O298" s="1258"/>
      <c r="P298" s="1258"/>
      <c r="Q298" s="1258"/>
      <c r="R298" s="1258"/>
      <c r="T298" s="41" t="s">
        <v>699</v>
      </c>
      <c r="V298" s="41"/>
      <c r="W298" s="41"/>
      <c r="X298" s="41"/>
      <c r="Y298" s="41"/>
      <c r="AA298" s="1258" t="s">
        <v>2358</v>
      </c>
      <c r="AB298" s="1258"/>
      <c r="AC298" s="1258"/>
      <c r="AD298" s="1258"/>
      <c r="AE298" s="1258"/>
      <c r="AF298" s="1258"/>
      <c r="AG298" s="1258"/>
      <c r="AH298" s="1258"/>
      <c r="AI298" s="1258"/>
      <c r="AJ298" s="1258"/>
      <c r="AK298" s="1258"/>
      <c r="BA298" s="43"/>
    </row>
    <row r="299" spans="2:53" ht="12.95" customHeight="1">
      <c r="B299" s="41" t="s">
        <v>701</v>
      </c>
      <c r="C299" s="41"/>
      <c r="D299" s="41"/>
      <c r="E299" s="41"/>
      <c r="F299" s="41"/>
      <c r="H299" s="1258" t="s">
        <v>2353</v>
      </c>
      <c r="I299" s="1258"/>
      <c r="J299" s="1258"/>
      <c r="K299" s="1258"/>
      <c r="L299" s="1258"/>
      <c r="M299" s="1258"/>
      <c r="N299" s="1258"/>
      <c r="O299" s="1258"/>
      <c r="P299" s="1258"/>
      <c r="Q299" s="1258"/>
      <c r="R299" s="1258"/>
      <c r="T299" s="41" t="s">
        <v>700</v>
      </c>
      <c r="V299" s="41"/>
      <c r="W299" s="41"/>
      <c r="X299" s="41"/>
      <c r="Y299" s="41"/>
      <c r="AA299" s="1258" t="s">
        <v>2359</v>
      </c>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258" t="s">
        <v>2354</v>
      </c>
      <c r="I300" s="1258"/>
      <c r="J300" s="1258"/>
      <c r="K300" s="1258"/>
      <c r="L300" s="1258"/>
      <c r="M300" s="1258"/>
      <c r="N300" s="1258"/>
      <c r="O300" s="1258"/>
      <c r="P300" s="1258"/>
      <c r="Q300" s="1258"/>
      <c r="R300" s="1258"/>
      <c r="T300" s="41" t="s">
        <v>375</v>
      </c>
      <c r="V300" s="41"/>
      <c r="W300" s="41"/>
      <c r="X300" s="41"/>
      <c r="Y300" s="41"/>
      <c r="AA300" s="1258" t="s">
        <v>2360</v>
      </c>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04" t="s">
        <v>2355</v>
      </c>
      <c r="I301" s="1404"/>
      <c r="J301" s="1404"/>
      <c r="K301" s="1404"/>
      <c r="L301" s="1404"/>
      <c r="M301" s="1404"/>
      <c r="N301" s="5" t="s">
        <v>818</v>
      </c>
      <c r="O301" s="5"/>
      <c r="P301" s="1393"/>
      <c r="Q301" s="1393"/>
      <c r="R301" s="1393"/>
      <c r="S301" s="41"/>
      <c r="T301" s="41" t="s">
        <v>376</v>
      </c>
      <c r="V301" s="41"/>
      <c r="W301" s="41"/>
      <c r="X301" s="41"/>
      <c r="Y301" s="41"/>
      <c r="AA301" s="1404" t="s">
        <v>2361</v>
      </c>
      <c r="AB301" s="1404"/>
      <c r="AC301" s="1404"/>
      <c r="AD301" s="1404"/>
      <c r="AE301" s="1404"/>
      <c r="AF301" s="1404"/>
      <c r="AG301" s="5" t="s">
        <v>818</v>
      </c>
      <c r="AH301" s="5"/>
      <c r="AI301" s="1393"/>
      <c r="AJ301" s="1393"/>
      <c r="AK301" s="1393"/>
      <c r="BA301" s="43"/>
    </row>
    <row r="302" spans="2:53" ht="12.95" customHeight="1">
      <c r="B302" s="41" t="s">
        <v>377</v>
      </c>
      <c r="C302" s="41"/>
      <c r="D302" s="41"/>
      <c r="E302" s="41"/>
      <c r="F302" s="41"/>
      <c r="G302" s="41"/>
      <c r="H302" s="1264"/>
      <c r="I302" s="1264"/>
      <c r="J302" s="1264"/>
      <c r="K302" s="1264"/>
      <c r="L302" s="1264"/>
      <c r="M302" s="1264"/>
      <c r="N302" s="5"/>
      <c r="O302" s="5"/>
      <c r="P302" s="44"/>
      <c r="Q302" s="44"/>
      <c r="R302" s="44"/>
      <c r="S302" s="41"/>
      <c r="T302" s="41" t="s">
        <v>377</v>
      </c>
      <c r="V302" s="41"/>
      <c r="W302" s="41"/>
      <c r="X302" s="41"/>
      <c r="Y302" s="41"/>
      <c r="AA302" s="1264"/>
      <c r="AB302" s="1264"/>
      <c r="AC302" s="1264"/>
      <c r="AD302" s="1264"/>
      <c r="AE302" s="1264"/>
      <c r="AF302" s="1264"/>
      <c r="AG302" s="5"/>
      <c r="AH302" s="5"/>
      <c r="AI302" s="44"/>
      <c r="AJ302" s="44"/>
      <c r="AK302" s="44"/>
      <c r="BA302" s="43"/>
    </row>
    <row r="303" spans="2:53" ht="12.95" customHeight="1">
      <c r="B303" s="41" t="s">
        <v>702</v>
      </c>
      <c r="C303" s="41"/>
      <c r="D303" s="41"/>
      <c r="E303" s="41"/>
      <c r="F303" s="41"/>
      <c r="G303" s="41"/>
      <c r="H303" s="1258" t="s">
        <v>2356</v>
      </c>
      <c r="I303" s="1258"/>
      <c r="J303" s="1258"/>
      <c r="K303" s="1258"/>
      <c r="L303" s="1258"/>
      <c r="M303" s="1258"/>
      <c r="N303" s="1107"/>
      <c r="O303" s="1107"/>
      <c r="P303" s="1107"/>
      <c r="Q303" s="1107"/>
      <c r="R303" s="1107"/>
      <c r="S303" s="41"/>
      <c r="T303" s="41" t="s">
        <v>702</v>
      </c>
      <c r="V303" s="41"/>
      <c r="W303" s="41"/>
      <c r="X303" s="41"/>
      <c r="Y303" s="41"/>
      <c r="AA303" s="1258" t="s">
        <v>2362</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703</v>
      </c>
      <c r="C305" s="41"/>
      <c r="D305" s="41"/>
      <c r="E305" s="41"/>
      <c r="F305" s="41"/>
      <c r="H305" s="1107" t="s">
        <v>2363</v>
      </c>
      <c r="I305" s="1107"/>
      <c r="J305" s="1107"/>
      <c r="K305" s="1107"/>
      <c r="L305" s="1107"/>
      <c r="M305" s="1107"/>
      <c r="N305" s="1107"/>
      <c r="O305" s="1107"/>
      <c r="P305" s="1107"/>
      <c r="Q305" s="1107"/>
      <c r="R305" s="1107"/>
      <c r="T305" s="5" t="s">
        <v>1105</v>
      </c>
      <c r="V305" s="41"/>
      <c r="W305" s="41"/>
      <c r="X305" s="41"/>
      <c r="Y305" s="41"/>
      <c r="AA305" s="1107" t="s">
        <v>2370</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58" t="s">
        <v>2364</v>
      </c>
      <c r="I306" s="1258"/>
      <c r="J306" s="1258"/>
      <c r="K306" s="1258"/>
      <c r="L306" s="1258"/>
      <c r="M306" s="1258"/>
      <c r="N306" s="1258"/>
      <c r="O306" s="1258"/>
      <c r="P306" s="1258"/>
      <c r="Q306" s="1258"/>
      <c r="R306" s="1258"/>
      <c r="T306" s="41" t="s">
        <v>699</v>
      </c>
      <c r="V306" s="41"/>
      <c r="W306" s="41"/>
      <c r="X306" s="41"/>
      <c r="Y306" s="41"/>
      <c r="AA306" s="1353" t="s">
        <v>2444</v>
      </c>
      <c r="AB306" s="1258"/>
      <c r="AC306" s="1258"/>
      <c r="AD306" s="1258"/>
      <c r="AE306" s="1258"/>
      <c r="AF306" s="1258"/>
      <c r="AG306" s="1258"/>
      <c r="AH306" s="1258"/>
      <c r="AI306" s="1258"/>
      <c r="AJ306" s="1258"/>
      <c r="AK306" s="1258"/>
      <c r="BA306" s="43"/>
    </row>
    <row r="307" spans="2:53" ht="12.95" customHeight="1">
      <c r="B307" s="41" t="s">
        <v>701</v>
      </c>
      <c r="C307" s="41"/>
      <c r="D307" s="41"/>
      <c r="E307" s="41"/>
      <c r="F307" s="41"/>
      <c r="H307" s="1258" t="s">
        <v>2365</v>
      </c>
      <c r="I307" s="1258"/>
      <c r="J307" s="1258"/>
      <c r="K307" s="1258"/>
      <c r="L307" s="1258"/>
      <c r="M307" s="1258"/>
      <c r="N307" s="1258"/>
      <c r="O307" s="1258"/>
      <c r="P307" s="1258"/>
      <c r="Q307" s="1258"/>
      <c r="R307" s="1258"/>
      <c r="T307" s="41" t="s">
        <v>700</v>
      </c>
      <c r="V307" s="41"/>
      <c r="W307" s="41"/>
      <c r="X307" s="41"/>
      <c r="Y307" s="41"/>
      <c r="AA307" s="1353" t="s">
        <v>2445</v>
      </c>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258" t="s">
        <v>2366</v>
      </c>
      <c r="I308" s="1258"/>
      <c r="J308" s="1258"/>
      <c r="K308" s="1258"/>
      <c r="L308" s="1258"/>
      <c r="M308" s="1258"/>
      <c r="N308" s="1258"/>
      <c r="O308" s="1258"/>
      <c r="P308" s="1258"/>
      <c r="Q308" s="1258"/>
      <c r="R308" s="1258"/>
      <c r="T308" s="41" t="s">
        <v>375</v>
      </c>
      <c r="V308" s="41"/>
      <c r="W308" s="41"/>
      <c r="X308" s="41"/>
      <c r="Y308" s="41"/>
      <c r="AA308" s="1353" t="s">
        <v>2424</v>
      </c>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04" t="s">
        <v>2367</v>
      </c>
      <c r="I309" s="1404"/>
      <c r="J309" s="1404"/>
      <c r="K309" s="1404"/>
      <c r="L309" s="1404"/>
      <c r="M309" s="1404"/>
      <c r="N309" s="5" t="s">
        <v>818</v>
      </c>
      <c r="O309" s="5"/>
      <c r="P309" s="1393"/>
      <c r="Q309" s="1393"/>
      <c r="R309" s="1393"/>
      <c r="S309" s="41"/>
      <c r="T309" s="41" t="s">
        <v>376</v>
      </c>
      <c r="V309" s="41"/>
      <c r="W309" s="41"/>
      <c r="X309" s="41"/>
      <c r="Y309" s="41"/>
      <c r="AA309" s="1475" t="s">
        <v>2443</v>
      </c>
      <c r="AB309" s="1404"/>
      <c r="AC309" s="1404"/>
      <c r="AD309" s="1404"/>
      <c r="AE309" s="1404"/>
      <c r="AF309" s="1404"/>
      <c r="AG309" s="5" t="s">
        <v>818</v>
      </c>
      <c r="AH309" s="5"/>
      <c r="AI309" s="1393"/>
      <c r="AJ309" s="1393"/>
      <c r="AK309" s="1393"/>
      <c r="BA309" s="43"/>
    </row>
    <row r="310" spans="2:53" ht="12.95" customHeight="1">
      <c r="B310" s="41" t="s">
        <v>377</v>
      </c>
      <c r="C310" s="41"/>
      <c r="D310" s="41"/>
      <c r="E310" s="41"/>
      <c r="F310" s="41"/>
      <c r="G310" s="41"/>
      <c r="H310" s="1264" t="s">
        <v>2368</v>
      </c>
      <c r="I310" s="1264"/>
      <c r="J310" s="1264"/>
      <c r="K310" s="1264"/>
      <c r="L310" s="1264"/>
      <c r="M310" s="1264"/>
      <c r="N310" s="5"/>
      <c r="O310" s="5"/>
      <c r="P310" s="44"/>
      <c r="Q310" s="44"/>
      <c r="R310" s="44"/>
      <c r="S310" s="41"/>
      <c r="T310" s="41" t="s">
        <v>377</v>
      </c>
      <c r="V310" s="41"/>
      <c r="W310" s="41"/>
      <c r="X310" s="41"/>
      <c r="Y310" s="41"/>
      <c r="AA310" s="1264"/>
      <c r="AB310" s="1264"/>
      <c r="AC310" s="1264"/>
      <c r="AD310" s="1264"/>
      <c r="AE310" s="1264"/>
      <c r="AF310" s="1264"/>
      <c r="AG310" s="5"/>
      <c r="AH310" s="5"/>
      <c r="AI310" s="44"/>
      <c r="AJ310" s="44"/>
      <c r="AK310" s="44"/>
      <c r="BA310" s="43"/>
    </row>
    <row r="311" spans="2:53" ht="12.95" customHeight="1">
      <c r="B311" s="41" t="s">
        <v>702</v>
      </c>
      <c r="C311" s="41"/>
      <c r="D311" s="41"/>
      <c r="E311" s="41"/>
      <c r="F311" s="41"/>
      <c r="G311" s="41"/>
      <c r="H311" s="1258" t="s">
        <v>2369</v>
      </c>
      <c r="I311" s="1258"/>
      <c r="J311" s="1258"/>
      <c r="K311" s="1258"/>
      <c r="L311" s="1258"/>
      <c r="M311" s="1258"/>
      <c r="N311" s="1107"/>
      <c r="O311" s="1107"/>
      <c r="P311" s="1107"/>
      <c r="Q311" s="1107"/>
      <c r="R311" s="1107"/>
      <c r="S311" s="41"/>
      <c r="T311" s="41" t="s">
        <v>702</v>
      </c>
      <c r="V311" s="41"/>
      <c r="W311" s="41"/>
      <c r="X311" s="41"/>
      <c r="Y311" s="41"/>
      <c r="AA311" s="1353" t="s">
        <v>2425</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1146</v>
      </c>
      <c r="C313" s="41"/>
      <c r="D313" s="41"/>
      <c r="E313" s="41"/>
      <c r="F313" s="41"/>
      <c r="H313" s="1107" t="s">
        <v>2371</v>
      </c>
      <c r="I313" s="1107"/>
      <c r="J313" s="1107"/>
      <c r="K313" s="1107"/>
      <c r="L313" s="1107"/>
      <c r="M313" s="1107"/>
      <c r="N313" s="1107"/>
      <c r="O313" s="1107"/>
      <c r="P313" s="1107"/>
      <c r="Q313" s="1107"/>
      <c r="R313" s="1107"/>
      <c r="T313" s="41" t="s">
        <v>36</v>
      </c>
      <c r="V313" s="41"/>
      <c r="W313" s="41"/>
      <c r="X313" s="41"/>
      <c r="Y313" s="41"/>
      <c r="AA313" s="1103" t="s">
        <v>2472</v>
      </c>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58" t="s">
        <v>2372</v>
      </c>
      <c r="I314" s="1258"/>
      <c r="J314" s="1258"/>
      <c r="K314" s="1258"/>
      <c r="L314" s="1258"/>
      <c r="M314" s="1258"/>
      <c r="N314" s="1258"/>
      <c r="O314" s="1258"/>
      <c r="P314" s="1258"/>
      <c r="Q314" s="1258"/>
      <c r="R314" s="1258"/>
      <c r="T314" s="41" t="s">
        <v>699</v>
      </c>
      <c r="V314" s="41"/>
      <c r="W314" s="41"/>
      <c r="X314" s="41"/>
      <c r="Y314" s="41"/>
      <c r="AA314" s="1258" t="s">
        <v>2328</v>
      </c>
      <c r="AB314" s="1258"/>
      <c r="AC314" s="1258"/>
      <c r="AD314" s="1258"/>
      <c r="AE314" s="1258"/>
      <c r="AF314" s="1258"/>
      <c r="AG314" s="1258"/>
      <c r="AH314" s="1258"/>
      <c r="AI314" s="1258"/>
      <c r="AJ314" s="1258"/>
      <c r="AK314" s="1258"/>
      <c r="BA314" s="43"/>
    </row>
    <row r="315" spans="2:53" ht="12.95" customHeight="1">
      <c r="B315" s="41" t="s">
        <v>701</v>
      </c>
      <c r="C315" s="41"/>
      <c r="D315" s="41"/>
      <c r="E315" s="41"/>
      <c r="F315" s="41"/>
      <c r="H315" s="1258" t="s">
        <v>2373</v>
      </c>
      <c r="I315" s="1258"/>
      <c r="J315" s="1258"/>
      <c r="K315" s="1258"/>
      <c r="L315" s="1258"/>
      <c r="M315" s="1258"/>
      <c r="N315" s="1258"/>
      <c r="O315" s="1258"/>
      <c r="P315" s="1258"/>
      <c r="Q315" s="1258"/>
      <c r="R315" s="1258"/>
      <c r="T315" s="41" t="s">
        <v>700</v>
      </c>
      <c r="V315" s="41"/>
      <c r="W315" s="41"/>
      <c r="X315" s="41"/>
      <c r="Y315" s="41"/>
      <c r="AA315" s="1258" t="s">
        <v>2344</v>
      </c>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2374</v>
      </c>
      <c r="I316" s="1258"/>
      <c r="J316" s="1258"/>
      <c r="K316" s="1258"/>
      <c r="L316" s="1258"/>
      <c r="M316" s="1258"/>
      <c r="N316" s="1258"/>
      <c r="O316" s="1258"/>
      <c r="P316" s="1258"/>
      <c r="Q316" s="1258"/>
      <c r="R316" s="1258"/>
      <c r="T316" s="41" t="s">
        <v>375</v>
      </c>
      <c r="V316" s="41"/>
      <c r="W316" s="41"/>
      <c r="X316" s="41"/>
      <c r="Y316" s="41"/>
      <c r="AA316" s="1258" t="s">
        <v>2377</v>
      </c>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04" t="s">
        <v>2375</v>
      </c>
      <c r="I317" s="1404"/>
      <c r="J317" s="1404"/>
      <c r="K317" s="1404"/>
      <c r="L317" s="1404"/>
      <c r="M317" s="1404"/>
      <c r="N317" s="5" t="s">
        <v>818</v>
      </c>
      <c r="O317" s="5"/>
      <c r="P317" s="1393"/>
      <c r="Q317" s="1393"/>
      <c r="R317" s="1393"/>
      <c r="S317" s="41"/>
      <c r="T317" s="41" t="s">
        <v>376</v>
      </c>
      <c r="V317" s="41"/>
      <c r="W317" s="41"/>
      <c r="X317" s="41"/>
      <c r="Y317" s="41"/>
      <c r="AA317" s="1404" t="s">
        <v>2378</v>
      </c>
      <c r="AB317" s="1404"/>
      <c r="AC317" s="1404"/>
      <c r="AD317" s="1404"/>
      <c r="AE317" s="1404"/>
      <c r="AF317" s="1404"/>
      <c r="AG317" s="5" t="s">
        <v>818</v>
      </c>
      <c r="AH317" s="5"/>
      <c r="AI317" s="1393"/>
      <c r="AJ317" s="1393"/>
      <c r="AK317" s="1393"/>
      <c r="BA317" s="43"/>
    </row>
    <row r="318" spans="2:53" ht="12.95" customHeight="1">
      <c r="B318" s="41" t="s">
        <v>377</v>
      </c>
      <c r="C318" s="41"/>
      <c r="D318" s="41"/>
      <c r="E318" s="41"/>
      <c r="F318" s="41"/>
      <c r="G318" s="41"/>
      <c r="H318" s="1264"/>
      <c r="I318" s="1264"/>
      <c r="J318" s="1264"/>
      <c r="K318" s="1264"/>
      <c r="L318" s="1264"/>
      <c r="M318" s="1264"/>
      <c r="N318" s="5"/>
      <c r="O318" s="5"/>
      <c r="P318" s="44"/>
      <c r="Q318" s="44"/>
      <c r="R318" s="44"/>
      <c r="S318" s="41"/>
      <c r="T318" s="41" t="s">
        <v>377</v>
      </c>
      <c r="V318" s="41"/>
      <c r="W318" s="41"/>
      <c r="X318" s="41"/>
      <c r="Y318" s="41"/>
      <c r="AA318" s="1264"/>
      <c r="AB318" s="1264"/>
      <c r="AC318" s="1264"/>
      <c r="AD318" s="1264"/>
      <c r="AE318" s="1264"/>
      <c r="AF318" s="1264"/>
      <c r="AG318" s="5"/>
      <c r="AH318" s="5"/>
      <c r="AI318" s="44"/>
      <c r="AJ318" s="44"/>
      <c r="AK318" s="44"/>
      <c r="BA318" s="43"/>
    </row>
    <row r="319" spans="2:53" ht="12.95"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2379</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2380</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2381</v>
      </c>
      <c r="AB322" s="1258"/>
      <c r="AC322" s="1258"/>
      <c r="AD322" s="1258"/>
      <c r="AE322" s="1258"/>
      <c r="AF322" s="1258"/>
      <c r="AG322" s="1258"/>
      <c r="AH322" s="1258"/>
      <c r="AI322" s="1258"/>
      <c r="AJ322" s="1258"/>
      <c r="AK322" s="1258"/>
      <c r="BA322" s="43"/>
    </row>
    <row r="323" spans="2:53" ht="12.95"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2382</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2383</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4"/>
      <c r="I325" s="1404"/>
      <c r="J325" s="1404"/>
      <c r="K325" s="1404"/>
      <c r="L325" s="1404"/>
      <c r="M325" s="1404"/>
      <c r="N325" s="5" t="s">
        <v>818</v>
      </c>
      <c r="O325" s="5"/>
      <c r="P325" s="1393"/>
      <c r="Q325" s="1393"/>
      <c r="R325" s="1393"/>
      <c r="S325" s="41"/>
      <c r="T325" s="41" t="s">
        <v>376</v>
      </c>
      <c r="V325" s="41"/>
      <c r="W325" s="41"/>
      <c r="X325" s="41"/>
      <c r="Y325" s="41"/>
      <c r="AA325" s="1404" t="s">
        <v>2384</v>
      </c>
      <c r="AB325" s="1404"/>
      <c r="AC325" s="1404"/>
      <c r="AD325" s="1404"/>
      <c r="AE325" s="1404"/>
      <c r="AF325" s="1404"/>
      <c r="AG325" s="5" t="s">
        <v>818</v>
      </c>
      <c r="AH325" s="5"/>
      <c r="AI325" s="1393"/>
      <c r="AJ325" s="1393"/>
      <c r="AK325" s="1393"/>
      <c r="BA325" s="43"/>
    </row>
    <row r="326" spans="2:53" ht="12.95" customHeight="1">
      <c r="B326" s="41" t="s">
        <v>377</v>
      </c>
      <c r="C326" s="41"/>
      <c r="D326" s="41"/>
      <c r="E326" s="41"/>
      <c r="F326" s="41"/>
      <c r="G326" s="41"/>
      <c r="H326" s="1264"/>
      <c r="I326" s="1264"/>
      <c r="J326" s="1264"/>
      <c r="K326" s="1264"/>
      <c r="L326" s="1264"/>
      <c r="M326" s="1264"/>
      <c r="N326" s="5"/>
      <c r="O326" s="5"/>
      <c r="P326" s="44"/>
      <c r="Q326" s="44"/>
      <c r="R326" s="44"/>
      <c r="S326" s="41"/>
      <c r="T326" s="41" t="s">
        <v>377</v>
      </c>
      <c r="V326" s="41"/>
      <c r="W326" s="41"/>
      <c r="X326" s="41"/>
      <c r="Y326" s="41"/>
      <c r="AA326" s="1264"/>
      <c r="AB326" s="1264"/>
      <c r="AC326" s="1264"/>
      <c r="AD326" s="1264"/>
      <c r="AE326" s="1264"/>
      <c r="AF326" s="1264"/>
      <c r="AG326" s="5"/>
      <c r="AH326" s="5"/>
      <c r="AI326" s="44"/>
      <c r="AJ326" s="44"/>
      <c r="AK326" s="44"/>
      <c r="BA326" s="43"/>
    </row>
    <row r="327" spans="2:53" ht="12.95"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2385</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2380</v>
      </c>
      <c r="I329" s="1107"/>
      <c r="J329" s="1107"/>
      <c r="K329" s="1107"/>
      <c r="L329" s="1107"/>
      <c r="M329" s="1107"/>
      <c r="N329" s="1107"/>
      <c r="O329" s="1107"/>
      <c r="P329" s="1107"/>
      <c r="Q329" s="1107"/>
      <c r="R329" s="1107"/>
      <c r="T329" s="5" t="s">
        <v>1106</v>
      </c>
      <c r="V329" s="41"/>
      <c r="W329" s="41"/>
      <c r="X329" s="41"/>
      <c r="Y329" s="41"/>
      <c r="AA329" s="1107" t="s">
        <v>2442</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58" t="s">
        <v>2381</v>
      </c>
      <c r="I330" s="1258"/>
      <c r="J330" s="1258"/>
      <c r="K330" s="1258"/>
      <c r="L330" s="1258"/>
      <c r="M330" s="1258"/>
      <c r="N330" s="1258"/>
      <c r="O330" s="1258"/>
      <c r="P330" s="1258"/>
      <c r="Q330" s="1258"/>
      <c r="R330" s="1258"/>
      <c r="T330" s="41" t="s">
        <v>699</v>
      </c>
      <c r="V330" s="41"/>
      <c r="W330" s="41"/>
      <c r="X330" s="41"/>
      <c r="Y330" s="41"/>
      <c r="AA330" s="1258" t="s">
        <v>2457</v>
      </c>
      <c r="AB330" s="1258"/>
      <c r="AC330" s="1258"/>
      <c r="AD330" s="1258"/>
      <c r="AE330" s="1258"/>
      <c r="AF330" s="1258"/>
      <c r="AG330" s="1258"/>
      <c r="AH330" s="1258"/>
      <c r="AI330" s="1258"/>
      <c r="AJ330" s="1258"/>
      <c r="AK330" s="1258"/>
      <c r="BA330" s="43"/>
    </row>
    <row r="331" spans="2:53" ht="12.95" customHeight="1">
      <c r="B331" s="41" t="s">
        <v>701</v>
      </c>
      <c r="C331" s="41"/>
      <c r="D331" s="41"/>
      <c r="E331" s="41"/>
      <c r="F331" s="41"/>
      <c r="G331" s="41"/>
      <c r="H331" s="1258" t="s">
        <v>2382</v>
      </c>
      <c r="I331" s="1258"/>
      <c r="J331" s="1258"/>
      <c r="K331" s="1258"/>
      <c r="L331" s="1258"/>
      <c r="M331" s="1258"/>
      <c r="N331" s="1258"/>
      <c r="O331" s="1258"/>
      <c r="P331" s="1258"/>
      <c r="Q331" s="1258"/>
      <c r="R331" s="1258"/>
      <c r="T331" s="41" t="s">
        <v>700</v>
      </c>
      <c r="V331" s="41"/>
      <c r="W331" s="41"/>
      <c r="X331" s="41"/>
      <c r="Y331" s="41"/>
      <c r="AA331" s="1258" t="s">
        <v>2458</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
        <v>2383</v>
      </c>
      <c r="I332" s="1258"/>
      <c r="J332" s="1258"/>
      <c r="K332" s="1258"/>
      <c r="L332" s="1258"/>
      <c r="M332" s="1258"/>
      <c r="N332" s="1258"/>
      <c r="O332" s="1258"/>
      <c r="P332" s="1258"/>
      <c r="Q332" s="1258"/>
      <c r="R332" s="1258"/>
      <c r="T332" s="41" t="s">
        <v>375</v>
      </c>
      <c r="V332" s="41"/>
      <c r="W332" s="41"/>
      <c r="X332" s="41"/>
      <c r="Y332" s="41"/>
      <c r="AA332" s="1258" t="s">
        <v>2459</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04" t="s">
        <v>2384</v>
      </c>
      <c r="I333" s="1404"/>
      <c r="J333" s="1404"/>
      <c r="K333" s="1404"/>
      <c r="L333" s="1404"/>
      <c r="M333" s="1404"/>
      <c r="N333" s="5" t="s">
        <v>818</v>
      </c>
      <c r="O333" s="5"/>
      <c r="P333" s="1393"/>
      <c r="Q333" s="1393"/>
      <c r="R333" s="1393"/>
      <c r="T333" s="41" t="s">
        <v>376</v>
      </c>
      <c r="V333" s="41"/>
      <c r="W333" s="41"/>
      <c r="X333" s="41"/>
      <c r="Y333" s="41"/>
      <c r="AA333" s="1404" t="s">
        <v>2460</v>
      </c>
      <c r="AB333" s="1404"/>
      <c r="AC333" s="1404"/>
      <c r="AD333" s="1404"/>
      <c r="AE333" s="1404"/>
      <c r="AF333" s="1404"/>
      <c r="AG333" s="5" t="s">
        <v>818</v>
      </c>
      <c r="AH333" s="5"/>
      <c r="AI333" s="1393"/>
      <c r="AJ333" s="1393"/>
      <c r="AK333" s="1393"/>
      <c r="BA333" s="43"/>
    </row>
    <row r="334" spans="2:53" ht="12.95" customHeight="1">
      <c r="B334" s="41" t="s">
        <v>377</v>
      </c>
      <c r="C334" s="41"/>
      <c r="D334" s="41"/>
      <c r="E334" s="41"/>
      <c r="F334" s="41"/>
      <c r="G334" s="41"/>
      <c r="H334" s="1264"/>
      <c r="I334" s="1264"/>
      <c r="J334" s="1264"/>
      <c r="K334" s="1264"/>
      <c r="L334" s="1264"/>
      <c r="M334" s="1264"/>
      <c r="N334" s="5"/>
      <c r="O334" s="5"/>
      <c r="P334" s="44"/>
      <c r="Q334" s="44"/>
      <c r="R334" s="44"/>
      <c r="T334" s="41" t="s">
        <v>377</v>
      </c>
      <c r="V334" s="41"/>
      <c r="W334" s="41"/>
      <c r="X334" s="41"/>
      <c r="Y334" s="41"/>
      <c r="AA334" s="1264"/>
      <c r="AB334" s="1264"/>
      <c r="AC334" s="1264"/>
      <c r="AD334" s="1264"/>
      <c r="AE334" s="1264"/>
      <c r="AF334" s="1264"/>
      <c r="AG334" s="5"/>
      <c r="AH334" s="5"/>
      <c r="AI334" s="44"/>
      <c r="AJ334" s="44"/>
      <c r="AK334" s="44"/>
      <c r="BA334" s="43"/>
    </row>
    <row r="335" spans="2:53" ht="12.95" customHeight="1">
      <c r="B335" s="41" t="s">
        <v>702</v>
      </c>
      <c r="C335" s="41"/>
      <c r="D335" s="41"/>
      <c r="E335" s="41"/>
      <c r="F335" s="41"/>
      <c r="G335" s="41"/>
      <c r="H335" s="1258" t="s">
        <v>2385</v>
      </c>
      <c r="I335" s="1258"/>
      <c r="J335" s="1258"/>
      <c r="K335" s="1258"/>
      <c r="L335" s="1258"/>
      <c r="M335" s="1258"/>
      <c r="N335" s="1107"/>
      <c r="O335" s="1107"/>
      <c r="P335" s="1107"/>
      <c r="Q335" s="1107"/>
      <c r="R335" s="1107"/>
      <c r="T335" s="41" t="s">
        <v>702</v>
      </c>
      <c r="V335" s="41"/>
      <c r="W335" s="41"/>
      <c r="X335" s="41"/>
      <c r="Y335" s="41"/>
      <c r="AA335" s="1258" t="s">
        <v>2461</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2370</v>
      </c>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258" t="s">
        <v>2444</v>
      </c>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5" customHeight="1">
      <c r="B339" s="361" t="s">
        <v>701</v>
      </c>
      <c r="C339" s="361"/>
      <c r="D339" s="361"/>
      <c r="E339" s="361"/>
      <c r="F339" s="361"/>
      <c r="G339" s="361"/>
      <c r="H339" s="1258" t="s">
        <v>2445</v>
      </c>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t="s">
        <v>2424</v>
      </c>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75" t="s">
        <v>2443</v>
      </c>
      <c r="I341" s="1404"/>
      <c r="J341" s="1404"/>
      <c r="K341" s="1404"/>
      <c r="L341" s="1404"/>
      <c r="M341" s="1404"/>
      <c r="N341" s="5" t="s">
        <v>818</v>
      </c>
      <c r="O341" s="5"/>
      <c r="P341" s="1393"/>
      <c r="Q341" s="1393"/>
      <c r="R341" s="1393"/>
      <c r="T341" s="41" t="s">
        <v>376</v>
      </c>
      <c r="AA341" s="1404"/>
      <c r="AB341" s="1404"/>
      <c r="AC341" s="1404"/>
      <c r="AD341" s="1404"/>
      <c r="AE341" s="1404"/>
      <c r="AF341" s="1404"/>
      <c r="AG341" s="5" t="s">
        <v>818</v>
      </c>
      <c r="AH341" s="5"/>
      <c r="AI341" s="1393"/>
      <c r="AJ341" s="1393"/>
      <c r="AK341" s="1393"/>
    </row>
    <row r="342" spans="1:53" ht="12.95" customHeight="1">
      <c r="B342" s="361" t="s">
        <v>377</v>
      </c>
      <c r="C342" s="361"/>
      <c r="D342" s="361"/>
      <c r="E342" s="361"/>
      <c r="F342" s="361"/>
      <c r="G342" s="361"/>
      <c r="H342" s="1264"/>
      <c r="I342" s="1264"/>
      <c r="J342" s="1264"/>
      <c r="K342" s="1264"/>
      <c r="L342" s="1264"/>
      <c r="M342" s="1264"/>
      <c r="N342" s="5"/>
      <c r="O342" s="5"/>
      <c r="P342" s="44"/>
      <c r="Q342" s="44"/>
      <c r="R342" s="44"/>
      <c r="T342" s="41" t="s">
        <v>377</v>
      </c>
      <c r="AA342" s="1264"/>
      <c r="AB342" s="1264"/>
      <c r="AC342" s="1264"/>
      <c r="AD342" s="1264"/>
      <c r="AE342" s="1264"/>
      <c r="AF342" s="1264"/>
      <c r="AG342" s="5"/>
      <c r="AH342" s="5"/>
      <c r="AI342" s="44"/>
      <c r="AJ342" s="44"/>
      <c r="AK342" s="44"/>
    </row>
    <row r="343" spans="1:53" ht="12.95" customHeight="1">
      <c r="B343" s="361" t="s">
        <v>702</v>
      </c>
      <c r="C343" s="361"/>
      <c r="D343" s="361"/>
      <c r="E343" s="361"/>
      <c r="F343" s="361"/>
      <c r="G343" s="361"/>
      <c r="H343" s="1258" t="s">
        <v>2425</v>
      </c>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532</v>
      </c>
    </row>
    <row r="349" spans="1:53" ht="12.95" customHeight="1">
      <c r="D349" t="s">
        <v>40</v>
      </c>
      <c r="M349" s="1098" t="s">
        <v>124</v>
      </c>
      <c r="N349" s="1098"/>
      <c r="P349" t="s">
        <v>1964</v>
      </c>
      <c r="AJ349" s="1098" t="s">
        <v>483</v>
      </c>
      <c r="AK349" s="1098"/>
    </row>
    <row r="350" spans="1:53" ht="12.95" customHeight="1">
      <c r="D350" s="41" t="s">
        <v>1890</v>
      </c>
      <c r="M350" s="1098" t="s">
        <v>124</v>
      </c>
      <c r="N350" s="1098"/>
      <c r="P350" s="41" t="s">
        <v>1965</v>
      </c>
      <c r="AJ350" s="1327"/>
      <c r="AK350" s="1327"/>
    </row>
    <row r="351" spans="1:53" ht="12.95" customHeight="1">
      <c r="D351" t="s">
        <v>314</v>
      </c>
      <c r="M351" s="1098" t="s">
        <v>124</v>
      </c>
      <c r="N351" s="1098"/>
      <c r="P351" t="s">
        <v>1966</v>
      </c>
      <c r="AJ351" s="1098" t="s">
        <v>483</v>
      </c>
      <c r="AK351" s="1098"/>
    </row>
    <row r="352" spans="1:53" ht="12.95" customHeight="1">
      <c r="D352" t="s">
        <v>315</v>
      </c>
      <c r="M352" s="1098" t="s">
        <v>108</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108</v>
      </c>
      <c r="O357" s="1098"/>
      <c r="P357" s="49"/>
      <c r="Q357" s="49"/>
      <c r="R357" s="49"/>
      <c r="S357" s="49"/>
      <c r="T357" s="49"/>
      <c r="U357" s="49"/>
      <c r="V357" s="49"/>
      <c r="W357" s="49"/>
      <c r="X357" s="49"/>
      <c r="Y357" s="49"/>
      <c r="Z357" s="49"/>
      <c r="AC357" s="49"/>
      <c r="AD357" s="49"/>
      <c r="AE357" s="49"/>
    </row>
    <row r="358" spans="1:57" ht="12.95" customHeight="1">
      <c r="E358" t="s">
        <v>733</v>
      </c>
      <c r="Y358" s="1098" t="s">
        <v>124</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483</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590</v>
      </c>
      <c r="F363" s="5"/>
      <c r="G363" s="5"/>
      <c r="H363" s="5"/>
      <c r="I363" s="5"/>
      <c r="J363" s="5"/>
      <c r="K363" s="5"/>
      <c r="L363" s="5"/>
      <c r="N363" s="1101">
        <v>1983</v>
      </c>
      <c r="O363" s="1101"/>
      <c r="P363" s="1101"/>
      <c r="Q363" s="1101"/>
      <c r="R363" s="5"/>
      <c r="U363" s="5" t="s">
        <v>591</v>
      </c>
      <c r="V363" s="5"/>
      <c r="W363" s="5"/>
      <c r="X363" s="5"/>
      <c r="Y363" s="5"/>
      <c r="Z363" s="5"/>
      <c r="AA363" s="5"/>
      <c r="AB363" s="5"/>
      <c r="AC363" s="1101">
        <v>5</v>
      </c>
      <c r="AD363" s="1101"/>
      <c r="AE363" s="1101"/>
      <c r="AF363" s="1101"/>
      <c r="BE363" t="s">
        <v>108</v>
      </c>
    </row>
    <row r="364" spans="1:57" ht="12.95" customHeight="1">
      <c r="E364" s="5" t="s">
        <v>592</v>
      </c>
      <c r="F364" s="5"/>
      <c r="G364" s="5"/>
      <c r="H364" s="5"/>
      <c r="I364" s="5"/>
      <c r="J364" s="5"/>
      <c r="K364" s="5"/>
      <c r="L364" s="5"/>
      <c r="N364" s="1101">
        <v>4</v>
      </c>
      <c r="O364" s="1101"/>
      <c r="P364" s="1101"/>
      <c r="Q364" s="1101"/>
      <c r="R364" s="5"/>
      <c r="U364" s="5" t="s">
        <v>593</v>
      </c>
      <c r="V364" s="5"/>
      <c r="W364" s="5"/>
      <c r="X364" s="5"/>
      <c r="Y364" s="5"/>
      <c r="Z364" s="5"/>
      <c r="AA364" s="5"/>
      <c r="AB364" s="5"/>
      <c r="AC364" s="1101">
        <v>25</v>
      </c>
      <c r="AD364" s="1101"/>
      <c r="AE364" s="1101"/>
      <c r="AF364" s="1101"/>
    </row>
    <row r="365" spans="1:57" ht="12.95" customHeight="1">
      <c r="E365" s="5" t="s">
        <v>64</v>
      </c>
      <c r="F365" s="5"/>
      <c r="G365" s="5"/>
      <c r="H365" s="5"/>
      <c r="I365" s="5"/>
      <c r="J365" s="5"/>
      <c r="K365" s="5"/>
      <c r="L365" s="5"/>
      <c r="N365" s="1101">
        <v>2</v>
      </c>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70" t="s">
        <v>2440</v>
      </c>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2.95"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06"/>
      <c r="T370" s="1306"/>
      <c r="U370" s="370" t="s">
        <v>232</v>
      </c>
      <c r="V370" s="1306"/>
      <c r="W370" s="1306"/>
      <c r="X370" s="361"/>
      <c r="Z370" s="361"/>
      <c r="AA370" s="940" t="s">
        <v>2107</v>
      </c>
      <c r="AB370" s="361" t="s">
        <v>231</v>
      </c>
      <c r="AC370" s="361"/>
      <c r="AD370" s="1306"/>
      <c r="AE370" s="1306"/>
      <c r="AF370" s="370" t="s">
        <v>232</v>
      </c>
      <c r="AG370" s="1306"/>
      <c r="AH370" s="1306"/>
    </row>
    <row r="371" spans="1:36" ht="12.95" customHeight="1">
      <c r="D371" s="361"/>
      <c r="E371" s="361" t="s">
        <v>1235</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0" t="s">
        <v>124</v>
      </c>
      <c r="W374" s="1330"/>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2447</v>
      </c>
      <c r="K378" s="1107"/>
      <c r="L378" s="1107"/>
      <c r="M378" s="1107"/>
      <c r="N378" s="1107"/>
      <c r="O378" s="1107"/>
      <c r="P378" s="1107"/>
      <c r="Q378" s="1107"/>
      <c r="R378" s="1107"/>
      <c r="S378" s="1107"/>
      <c r="T378" s="1107"/>
      <c r="U378" s="1107"/>
      <c r="V378" s="12" t="s">
        <v>710</v>
      </c>
      <c r="W378" s="12"/>
      <c r="X378" s="12"/>
      <c r="Y378" s="12"/>
      <c r="Z378" s="12"/>
      <c r="AA378" s="12"/>
      <c r="AB378" s="12"/>
      <c r="AC378" s="1107" t="s">
        <v>2426</v>
      </c>
      <c r="AD378" s="1107"/>
      <c r="AE378" s="1107"/>
      <c r="AF378" s="1107"/>
      <c r="AG378" s="1107"/>
      <c r="AH378" s="1107"/>
      <c r="AI378" s="1107"/>
      <c r="AJ378" s="1107"/>
    </row>
    <row r="379" spans="1:36" ht="12.95" customHeight="1">
      <c r="D379" s="41" t="s">
        <v>1967</v>
      </c>
      <c r="J379" s="1353" t="s">
        <v>2426</v>
      </c>
      <c r="K379" s="1258"/>
      <c r="L379" s="1258"/>
      <c r="M379" s="1258"/>
      <c r="N379" s="1258"/>
      <c r="O379" s="1258"/>
      <c r="P379" s="1258"/>
      <c r="Q379" s="1258"/>
      <c r="R379" s="1258"/>
      <c r="S379" s="1258"/>
      <c r="T379" s="1258"/>
      <c r="U379" s="1258"/>
      <c r="V379" s="41" t="s">
        <v>1967</v>
      </c>
      <c r="W379" s="12"/>
      <c r="X379" s="12"/>
      <c r="Y379" s="12"/>
      <c r="Z379" s="12"/>
      <c r="AA379" s="12"/>
      <c r="AB379" s="12"/>
      <c r="AC379" s="1107"/>
      <c r="AD379" s="1107"/>
      <c r="AE379" s="1107"/>
      <c r="AF379" s="1107"/>
      <c r="AG379" s="1107"/>
      <c r="AH379" s="1107"/>
      <c r="AI379" s="1107"/>
      <c r="AJ379" s="1107"/>
    </row>
    <row r="380" spans="1:36" ht="12.95" customHeight="1">
      <c r="D380" s="41" t="s">
        <v>545</v>
      </c>
      <c r="J380" s="1353" t="s">
        <v>2427</v>
      </c>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5" customHeight="1">
      <c r="D381" t="s">
        <v>1968</v>
      </c>
      <c r="J381" s="1056" t="s">
        <v>2448</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5">
        <v>45331</v>
      </c>
      <c r="R382" s="1365"/>
      <c r="S382" s="1365"/>
      <c r="T382" s="1365"/>
      <c r="U382" s="1365"/>
      <c r="V382" t="s">
        <v>168</v>
      </c>
      <c r="AI382" s="1098" t="s">
        <v>483</v>
      </c>
      <c r="AJ382" s="1098"/>
    </row>
    <row r="383" spans="1:36" ht="12.95" customHeight="1">
      <c r="D383" t="s">
        <v>556</v>
      </c>
      <c r="Q383" s="1378">
        <v>45761</v>
      </c>
      <c r="R383" s="1186"/>
      <c r="S383" s="1186"/>
      <c r="T383" s="1186"/>
      <c r="U383" s="1186"/>
      <c r="W383" s="29" t="s">
        <v>20</v>
      </c>
      <c r="AG383" s="1355"/>
      <c r="AH383" s="1355"/>
      <c r="AI383" s="1355"/>
      <c r="AJ383" s="1355"/>
    </row>
    <row r="384" spans="1:36" ht="12.95" customHeight="1">
      <c r="D384" t="s">
        <v>274</v>
      </c>
      <c r="Q384" s="1449">
        <v>11500000</v>
      </c>
      <c r="R384" s="1449"/>
      <c r="S384" s="1449"/>
      <c r="T384" s="1449"/>
      <c r="U384" s="1449"/>
      <c r="V384" s="41" t="s">
        <v>1969</v>
      </c>
      <c r="AG384" s="1509">
        <v>45566</v>
      </c>
      <c r="AH384" s="1509"/>
      <c r="AI384" s="1509"/>
      <c r="AJ384" s="1509"/>
    </row>
    <row r="385" spans="4:36" ht="12.95" customHeight="1">
      <c r="D385" t="s">
        <v>376</v>
      </c>
      <c r="I385" s="1475" t="s">
        <v>2449</v>
      </c>
      <c r="J385" s="1475"/>
      <c r="K385" s="1475"/>
      <c r="L385" s="1475"/>
      <c r="M385" s="1475"/>
      <c r="N385" s="1475"/>
      <c r="Q385" s="41" t="s">
        <v>818</v>
      </c>
      <c r="S385" s="1529"/>
      <c r="T385" s="1529"/>
      <c r="U385" s="1529"/>
      <c r="V385" t="s">
        <v>19</v>
      </c>
      <c r="AI385" s="1098" t="s">
        <v>483</v>
      </c>
      <c r="AJ385" s="1098"/>
    </row>
    <row r="386" spans="4:36" ht="12.95" customHeight="1">
      <c r="D386" t="s">
        <v>169</v>
      </c>
      <c r="Q386" s="1059">
        <v>5000</v>
      </c>
      <c r="R386" s="1059"/>
      <c r="S386" s="1059"/>
      <c r="T386" s="1059"/>
      <c r="U386" s="1059"/>
      <c r="V386" t="s">
        <v>170</v>
      </c>
      <c r="AG386" s="1355">
        <v>20000</v>
      </c>
      <c r="AH386" s="1355"/>
      <c r="AI386" s="1355"/>
      <c r="AJ386" s="1355"/>
    </row>
    <row r="387" spans="4:36" ht="12.95" customHeight="1">
      <c r="D387" t="s">
        <v>25</v>
      </c>
      <c r="Q387" s="1410">
        <v>0.01</v>
      </c>
      <c r="R387" s="1410"/>
      <c r="S387" s="1410"/>
      <c r="T387" s="1410"/>
      <c r="U387" s="1410"/>
      <c r="V387" t="s">
        <v>1682</v>
      </c>
      <c r="AG387" s="1355"/>
      <c r="AH387" s="1355"/>
      <c r="AI387" s="1355"/>
      <c r="AJ387" s="1355"/>
    </row>
    <row r="388" spans="4:36" ht="12.95" customHeight="1">
      <c r="D388" t="s">
        <v>1970</v>
      </c>
      <c r="AG388" s="1355"/>
      <c r="AH388" s="1355"/>
      <c r="AI388" s="1355"/>
      <c r="AJ388" s="1355"/>
    </row>
    <row r="389" spans="4:36" ht="12.95" customHeight="1">
      <c r="AG389" s="832"/>
      <c r="AH389" s="832"/>
      <c r="AI389" s="832"/>
      <c r="AJ389" s="832"/>
    </row>
    <row r="390" spans="4:36" ht="12.95" customHeight="1">
      <c r="D390" s="41" t="s">
        <v>2209</v>
      </c>
      <c r="AG390" s="832"/>
      <c r="AH390" s="832"/>
      <c r="AI390" s="1098" t="s">
        <v>483</v>
      </c>
      <c r="AJ390" s="1098"/>
    </row>
    <row r="391" spans="4:36" ht="12.95" customHeight="1">
      <c r="D391" s="41" t="s">
        <v>1971</v>
      </c>
      <c r="T391" s="1294"/>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1972</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2"/>
      <c r="AH393" s="832"/>
      <c r="AI393" s="832"/>
      <c r="AJ393" s="832"/>
    </row>
    <row r="394" spans="4:36" ht="12.95" customHeight="1">
      <c r="D394" s="41" t="s">
        <v>1973</v>
      </c>
      <c r="S394" s="1294" t="s">
        <v>483</v>
      </c>
      <c r="T394" s="1294"/>
      <c r="U394" s="1294"/>
      <c r="V394" t="s">
        <v>1974</v>
      </c>
      <c r="AG394" s="1364"/>
      <c r="AH394" s="1364"/>
      <c r="AI394" s="1364"/>
      <c r="AJ394" s="1364"/>
    </row>
    <row r="395" spans="4:36" ht="12.95" customHeight="1">
      <c r="D395" s="41" t="s">
        <v>1975</v>
      </c>
      <c r="S395" s="1294" t="s">
        <v>124</v>
      </c>
      <c r="T395" s="1294"/>
      <c r="U395" s="1294"/>
      <c r="V395" t="s">
        <v>1976</v>
      </c>
      <c r="AE395" s="1568"/>
      <c r="AF395" s="1568"/>
      <c r="AG395" s="1568"/>
      <c r="AH395" s="1568"/>
      <c r="AI395" s="1568"/>
      <c r="AJ395" s="1568"/>
    </row>
    <row r="396" spans="4:36" ht="12.95" customHeight="1">
      <c r="D396" s="41" t="s">
        <v>1977</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5" customHeight="1">
      <c r="D397" s="41" t="s">
        <v>1978</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5" customHeight="1">
      <c r="D398" s="41" t="s">
        <v>1979</v>
      </c>
      <c r="E398" s="813"/>
      <c r="F398" s="813"/>
      <c r="G398" s="813"/>
      <c r="H398" s="813"/>
      <c r="I398" s="813"/>
      <c r="J398" s="813"/>
      <c r="K398" s="813"/>
      <c r="L398" s="813"/>
      <c r="M398" s="813"/>
      <c r="N398" s="813"/>
      <c r="O398" s="813"/>
      <c r="P398" s="813"/>
      <c r="Q398" s="813"/>
      <c r="R398" s="813"/>
      <c r="S398" s="1366" t="s">
        <v>1980</v>
      </c>
      <c r="T398" s="1366"/>
      <c r="U398" s="1366"/>
      <c r="V398" s="1366"/>
      <c r="W398" s="1366"/>
      <c r="X398" s="1366"/>
      <c r="Y398" s="1366"/>
      <c r="Z398" s="1366"/>
      <c r="AA398" s="1366"/>
      <c r="AB398" s="1366"/>
      <c r="AC398" s="1366"/>
      <c r="AD398" s="1366"/>
      <c r="AE398" s="1366"/>
      <c r="AF398" s="1366"/>
      <c r="AG398" s="1366"/>
      <c r="AH398" s="1366"/>
      <c r="AI398" s="1366"/>
      <c r="AJ398" s="1366"/>
    </row>
    <row r="399" spans="4:36" ht="12.95" customHeight="1">
      <c r="D399" s="972" t="s">
        <v>1981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899</v>
      </c>
    </row>
    <row r="403" spans="1:36" ht="12.95" customHeight="1">
      <c r="D403" s="3" t="s">
        <v>1736</v>
      </c>
      <c r="I403" s="1103" t="s">
        <v>2386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124</v>
      </c>
      <c r="S404" s="1098"/>
      <c r="T404" t="s">
        <v>291</v>
      </c>
      <c r="AD404" s="1101">
        <v>0</v>
      </c>
      <c r="AE404" s="1101"/>
    </row>
    <row r="405" spans="1:36" ht="12.95" customHeight="1">
      <c r="E405" t="s">
        <v>856</v>
      </c>
      <c r="R405" s="1098" t="s">
        <v>108</v>
      </c>
      <c r="S405" s="1098"/>
      <c r="T405" t="s">
        <v>291</v>
      </c>
      <c r="AD405" s="1101">
        <v>2</v>
      </c>
      <c r="AE405" s="1101"/>
    </row>
    <row r="406" spans="1:36" ht="12.95" customHeight="1">
      <c r="E406" t="s">
        <v>857</v>
      </c>
      <c r="S406" s="1098" t="s">
        <v>124</v>
      </c>
      <c r="T406" s="1098"/>
    </row>
    <row r="407" spans="1:36" ht="12.95"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902</v>
      </c>
      <c r="AE410" s="5"/>
      <c r="AF410" s="3" t="s">
        <v>1214</v>
      </c>
    </row>
    <row r="411" spans="1:36" ht="12.95" customHeight="1">
      <c r="E411" s="1309"/>
      <c r="F411" s="1309"/>
      <c r="G411" s="1309"/>
      <c r="H411" s="18" t="s">
        <v>903</v>
      </c>
      <c r="I411" s="1309"/>
      <c r="J411" s="1309"/>
      <c r="K411" s="1309"/>
      <c r="L411" t="s">
        <v>904</v>
      </c>
      <c r="N411" s="34" t="s">
        <v>851</v>
      </c>
      <c r="P411" s="1398">
        <v>1.29</v>
      </c>
      <c r="Q411" s="1398"/>
      <c r="R411" s="1398"/>
      <c r="S411" t="s">
        <v>905</v>
      </c>
      <c r="W411" s="1399">
        <f>IF(E411&gt;0,(E411*I411),(P411*43560))</f>
        <v>56192.4</v>
      </c>
      <c r="X411" s="1399"/>
      <c r="Y411" s="1399"/>
      <c r="Z411" t="s">
        <v>906</v>
      </c>
      <c r="AF411" s="1310" cm="1">
        <f t="array" ref="AF411">_xlfn.IFS(P411&gt;0,(AG430/P411),W411&gt;0,(AG430/(W411/43560)),TRUE,0)</f>
        <v>19.379844961240309</v>
      </c>
      <c r="AG411" s="1310"/>
      <c r="AH411" s="1310"/>
    </row>
    <row r="412" spans="1:36" ht="12.95" customHeight="1">
      <c r="E412" t="s">
        <v>203</v>
      </c>
    </row>
    <row r="413" spans="1:36" ht="12.9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5" customHeight="1">
      <c r="E414" s="270" t="s">
        <v>1982</v>
      </c>
      <c r="F414" s="29"/>
      <c r="G414" s="29"/>
      <c r="H414" s="29"/>
      <c r="I414" s="1358">
        <v>1.29</v>
      </c>
      <c r="J414" s="1358"/>
      <c r="K414" s="1358"/>
      <c r="L414" s="29"/>
      <c r="M414" s="270"/>
      <c r="N414" s="29"/>
      <c r="O414" s="29"/>
      <c r="P414" s="1308">
        <f>(CQ628+CS633+CQ647)/I414</f>
        <v>45.736434108527128</v>
      </c>
      <c r="Q414" s="1308"/>
      <c r="R414" s="1308"/>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452</v>
      </c>
      <c r="P417" s="1098">
        <v>5</v>
      </c>
      <c r="Q417" s="1098"/>
      <c r="S417" t="s">
        <v>134</v>
      </c>
      <c r="AE417" s="1098">
        <v>4</v>
      </c>
      <c r="AF417" s="1098"/>
    </row>
    <row r="418" spans="1:36" ht="12.95" customHeight="1">
      <c r="E418" t="s">
        <v>135</v>
      </c>
      <c r="P418" s="1098">
        <v>1</v>
      </c>
      <c r="Q418" s="1098"/>
      <c r="S418" t="s">
        <v>726</v>
      </c>
      <c r="AE418" s="1098" t="s">
        <v>124</v>
      </c>
      <c r="AF418" s="1098"/>
    </row>
    <row r="419" spans="1:36" ht="12.95" customHeight="1">
      <c r="F419" s="36" t="s">
        <v>221</v>
      </c>
    </row>
    <row r="420" spans="1:36" ht="12.95"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2.95"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2.95" customHeight="1">
      <c r="E422" t="s">
        <v>858</v>
      </c>
      <c r="P422" s="1"/>
      <c r="Q422" s="1098" t="s">
        <v>483</v>
      </c>
      <c r="R422" s="1098"/>
      <c r="AE422" s="1"/>
      <c r="AF422" s="1"/>
    </row>
    <row r="423" spans="1:36" ht="12.95" customHeight="1">
      <c r="F423" t="s">
        <v>859</v>
      </c>
      <c r="P423" s="1"/>
      <c r="Q423" s="1"/>
      <c r="AE423" s="1098" t="s">
        <v>124</v>
      </c>
      <c r="AF423" s="1394"/>
    </row>
    <row r="424" spans="1:36" ht="12.95" customHeight="1"/>
    <row r="425" spans="1:36" ht="12.95" customHeight="1">
      <c r="A425" s="3"/>
      <c r="B425" s="3"/>
      <c r="C425" s="3"/>
      <c r="E425" s="5" t="s">
        <v>80</v>
      </c>
      <c r="Z425" s="1098" t="s">
        <v>108</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483</v>
      </c>
      <c r="AA427" s="1098"/>
    </row>
    <row r="428" spans="1:36" ht="12.95" customHeight="1"/>
    <row r="429" spans="1:36" ht="12.95" customHeight="1">
      <c r="A429" s="3" t="s">
        <v>368</v>
      </c>
      <c r="B429" s="3"/>
      <c r="C429" s="3"/>
      <c r="D429" s="3" t="s">
        <v>172</v>
      </c>
      <c r="AF429" s="54"/>
    </row>
    <row r="430" spans="1:36" ht="12.95" customHeight="1">
      <c r="D430" s="1361" t="s">
        <v>357</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25</v>
      </c>
      <c r="AH430" s="1091"/>
      <c r="AI430" s="1091"/>
      <c r="AJ430" s="1091"/>
    </row>
    <row r="431" spans="1:36" ht="12.95" customHeight="1">
      <c r="D431" s="1307" t="s">
        <v>2276</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6">
        <v>0</v>
      </c>
      <c r="AH431" s="1567"/>
      <c r="AI431" s="1567"/>
      <c r="AJ431" s="1567"/>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24</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24</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26280-AG441</f>
        <v>24658</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24658</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2114</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654</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7" t="s">
        <v>1737</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968+654</f>
        <v>1622</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4">
        <f>AG435+AG439+AG441+AG442</f>
        <v>26934</v>
      </c>
      <c r="AH443" s="1354"/>
      <c r="AI443" s="1354"/>
      <c r="AJ443" s="1354"/>
    </row>
    <row r="444" spans="4:36" ht="12.95" customHeight="1">
      <c r="D444" s="1359" t="s">
        <v>1738</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2.95"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2.95"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820790.6</v>
      </c>
      <c r="AD447" s="1336"/>
      <c r="AE447" s="1336"/>
      <c r="AF447" s="1336"/>
      <c r="AG447" s="1367"/>
      <c r="AH447" s="1367"/>
      <c r="AI447" s="1367"/>
      <c r="AJ447" s="1367"/>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820790.6</v>
      </c>
      <c r="AD448" s="1336"/>
      <c r="AE448" s="1336"/>
      <c r="AF448" s="1336"/>
      <c r="AG448" s="1367"/>
      <c r="AH448" s="1367"/>
      <c r="AI448" s="1367"/>
      <c r="AJ448" s="1367"/>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697233.4</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2106</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7"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7"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2286</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2219</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3"/>
      <c r="H469" s="1564"/>
      <c r="I469" s="1564"/>
      <c r="J469" s="1564"/>
      <c r="K469" s="1564"/>
      <c r="L469" s="1564"/>
      <c r="M469" s="1564"/>
      <c r="N469" s="1564"/>
      <c r="O469" s="1564"/>
      <c r="P469" s="1564"/>
      <c r="Q469" s="1564"/>
      <c r="R469" s="1564"/>
      <c r="S469" s="1564"/>
      <c r="T469" s="1564"/>
      <c r="U469" s="1564"/>
      <c r="V469" s="1565"/>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39" t="s">
        <v>2428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40" t="s">
        <v>2431</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39" t="s">
        <v>2430</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1" t="s">
        <v>242</v>
      </c>
      <c r="C485" s="1342"/>
      <c r="D485" s="1342"/>
      <c r="E485" s="1342"/>
      <c r="F485" s="1342"/>
      <c r="G485" s="1342"/>
      <c r="H485" s="1342"/>
      <c r="I485" s="1342"/>
      <c r="J485" s="1342"/>
      <c r="K485" s="1342"/>
      <c r="L485" s="1342"/>
      <c r="M485" s="1342"/>
      <c r="N485" s="1342"/>
      <c r="O485" s="1342"/>
      <c r="P485" s="1343"/>
      <c r="Q485" s="1311" t="s">
        <v>483</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4"/>
      <c r="C486" s="1345"/>
      <c r="D486" s="1345"/>
      <c r="E486" s="1345"/>
      <c r="F486" s="1345"/>
      <c r="G486" s="1345"/>
      <c r="H486" s="1345"/>
      <c r="I486" s="1345"/>
      <c r="J486" s="1345"/>
      <c r="K486" s="1345"/>
      <c r="L486" s="1345"/>
      <c r="M486" s="1345"/>
      <c r="N486" s="1345"/>
      <c r="O486" s="1345"/>
      <c r="P486" s="1346"/>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1" t="s">
        <v>483</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39" t="s">
        <v>2429</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4" t="s">
        <v>2467</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4">
        <v>36</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6"/>
      <c r="N491" s="1327"/>
      <c r="O491" s="1327"/>
      <c r="P491" s="1328"/>
      <c r="Q491" s="214" t="s">
        <v>1987</v>
      </c>
      <c r="R491" s="9"/>
      <c r="S491" s="9"/>
      <c r="T491" s="9"/>
      <c r="U491" s="9"/>
      <c r="V491" s="9"/>
      <c r="W491" s="9"/>
      <c r="X491" s="9"/>
      <c r="Y491" s="9"/>
      <c r="Z491" s="9"/>
      <c r="AA491" s="9"/>
      <c r="AB491" s="9"/>
      <c r="AC491" s="9"/>
      <c r="AD491" s="9"/>
      <c r="AE491" s="9"/>
      <c r="AF491" s="9"/>
      <c r="AG491" s="9"/>
      <c r="AH491" s="1326">
        <v>36</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v>2</v>
      </c>
      <c r="AD497" s="1101"/>
      <c r="AE497" s="1101"/>
      <c r="AF497" s="1101"/>
      <c r="AG497" s="18" t="s">
        <v>248</v>
      </c>
      <c r="AH497" s="1056">
        <v>2024</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v>10</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677</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678</v>
      </c>
      <c r="AC503" s="1331">
        <v>8</v>
      </c>
      <c r="AD503" s="1332"/>
      <c r="AE503" s="1332"/>
      <c r="AF503" s="1332"/>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563</v>
      </c>
      <c r="M504" s="1294"/>
      <c r="N504" s="1294"/>
      <c r="O504" s="1294"/>
      <c r="P504" s="1294"/>
      <c r="Q504" s="1294"/>
      <c r="R504" s="1294"/>
      <c r="S504" s="1294"/>
      <c r="T504" s="1294"/>
      <c r="U504" s="1294"/>
      <c r="V504" s="1294"/>
      <c r="W504" s="1294"/>
      <c r="X504" s="1294"/>
      <c r="Y504" s="1294"/>
      <c r="Z504" s="1294"/>
      <c r="AA504" s="1294"/>
      <c r="AB504" s="1562"/>
      <c r="AC504" s="1396" t="s">
        <v>124</v>
      </c>
      <c r="AD504" s="1397"/>
      <c r="AE504" s="1397"/>
      <c r="AF504" s="1397"/>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1988</v>
      </c>
      <c r="AC505" s="1395" t="s">
        <v>483</v>
      </c>
      <c r="AD505" s="1395"/>
      <c r="AE505" s="1395"/>
      <c r="AF505" s="1395"/>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1989</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8" t="s">
        <v>1991</v>
      </c>
      <c r="J508" s="54"/>
      <c r="K508" s="54"/>
      <c r="L508" s="54"/>
      <c r="M508" s="54"/>
      <c r="N508" s="54"/>
      <c r="O508" s="54"/>
      <c r="P508" s="54"/>
      <c r="Q508" s="54"/>
      <c r="R508" s="54"/>
      <c r="S508" s="54"/>
      <c r="T508" s="54"/>
      <c r="U508" s="54"/>
      <c r="V508" s="54"/>
      <c r="W508" s="54"/>
      <c r="X508" s="54"/>
      <c r="Y508" s="54"/>
      <c r="Z508" s="54"/>
      <c r="AA508" s="54"/>
      <c r="AB508" s="54"/>
      <c r="AC508" s="1350"/>
      <c r="AD508" s="1351"/>
      <c r="AE508" s="1351"/>
      <c r="AF508" s="1352"/>
      <c r="AG508" s="47"/>
      <c r="AH508" s="1569"/>
      <c r="AI508" s="1569"/>
      <c r="AJ508" s="1569"/>
      <c r="AK508" s="15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2</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681</v>
      </c>
      <c r="AC510" s="1296">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10</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v>2</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681</v>
      </c>
      <c r="AC513" s="1296">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v>10</v>
      </c>
      <c r="AD514" s="1101"/>
      <c r="AE514" s="1101"/>
      <c r="AF514" s="1101"/>
      <c r="AG514" s="47" t="s">
        <v>248</v>
      </c>
      <c r="AH514" s="1056">
        <v>2024</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684</v>
      </c>
      <c r="C515" s="1298"/>
      <c r="D515" s="1298"/>
      <c r="E515" s="1298"/>
      <c r="F515" s="1298"/>
      <c r="G515" s="1298"/>
      <c r="H515" s="1299"/>
      <c r="I515" s="6" t="s">
        <v>685</v>
      </c>
      <c r="J515" s="7"/>
      <c r="K515" s="7"/>
      <c r="L515" s="7"/>
      <c r="M515" s="7"/>
      <c r="N515" s="7"/>
      <c r="O515" s="1293" t="s">
        <v>563</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686</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t="s">
        <v>124</v>
      </c>
      <c r="AD517" s="1101"/>
      <c r="AE517" s="1101"/>
      <c r="AF517" s="1101"/>
      <c r="AG517" s="47" t="s">
        <v>248</v>
      </c>
      <c r="AH517" s="1056"/>
      <c r="AI517" s="1056"/>
      <c r="AJ517" s="1056"/>
      <c r="AK517" s="1057"/>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688</v>
      </c>
      <c r="J518" s="7"/>
      <c r="K518" s="7"/>
      <c r="L518" s="7"/>
      <c r="M518" s="7"/>
      <c r="N518" s="7"/>
      <c r="O518" s="1293" t="s">
        <v>563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686</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688</v>
      </c>
      <c r="J521" s="7"/>
      <c r="K521" s="7"/>
      <c r="L521" s="7"/>
      <c r="M521" s="7"/>
      <c r="N521" s="7"/>
      <c r="O521" s="1293" t="s">
        <v>563</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688</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688</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688</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11</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736</v>
      </c>
      <c r="AC534" s="1296">
        <v>10</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737</v>
      </c>
      <c r="AC535" s="1296">
        <v>5</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738</v>
      </c>
      <c r="AC536" s="1296">
        <v>5</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10</v>
      </c>
      <c r="AD537" s="1101"/>
      <c r="AE537" s="1101"/>
      <c r="AF537" s="1101"/>
      <c r="AG537" s="47" t="s">
        <v>248</v>
      </c>
      <c r="AH537" s="1056">
        <v>2024</v>
      </c>
      <c r="AI537" s="1056"/>
      <c r="AJ537" s="1056"/>
      <c r="AK537" s="1057"/>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2197</v>
      </c>
      <c r="C546" s="1298"/>
      <c r="D546" s="1298"/>
      <c r="E546" s="1298"/>
      <c r="F546" s="1298"/>
      <c r="G546" s="1298"/>
      <c r="H546" s="1298"/>
      <c r="I546" s="1298"/>
      <c r="J546" s="1298"/>
      <c r="K546" s="1298"/>
      <c r="L546" s="1298"/>
      <c r="M546" s="1411" t="s">
        <v>2171</v>
      </c>
      <c r="N546" s="1411"/>
      <c r="O546" s="1411"/>
      <c r="P546" s="1411"/>
      <c r="Q546" s="1297" t="s">
        <v>441</v>
      </c>
      <c r="R546" s="1298"/>
      <c r="S546" s="1299"/>
      <c r="T546" s="1297" t="s">
        <v>1992</v>
      </c>
      <c r="U546" s="1298"/>
      <c r="V546" s="1299"/>
      <c r="W546" s="1297" t="s">
        <v>740</v>
      </c>
      <c r="X546" s="1298"/>
      <c r="Y546" s="1299"/>
      <c r="Z546" s="1297" t="s">
        <v>1994</v>
      </c>
      <c r="AA546" s="1298"/>
      <c r="AB546" s="1298"/>
      <c r="AC546" s="1298"/>
      <c r="AD546" s="1299"/>
      <c r="AE546" s="1297" t="s">
        <v>1993</v>
      </c>
      <c r="AF546" s="1298"/>
      <c r="AG546" s="1298"/>
      <c r="AH546" s="1299"/>
      <c r="AI546" s="1297" t="s">
        <v>1995</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11"/>
      <c r="N547" s="1411"/>
      <c r="O547" s="1411"/>
      <c r="P547" s="1411"/>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11"/>
      <c r="N548" s="1411"/>
      <c r="O548" s="1411"/>
      <c r="P548" s="1411"/>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9" t="s">
        <v>2422</v>
      </c>
      <c r="D549" s="1409"/>
      <c r="E549" s="1409"/>
      <c r="F549" s="1409"/>
      <c r="G549" s="1409"/>
      <c r="H549" s="1409"/>
      <c r="I549" s="1409"/>
      <c r="J549" s="1409"/>
      <c r="K549" s="1409"/>
      <c r="L549" s="1409"/>
      <c r="M549" s="1295" t="s">
        <v>2181</v>
      </c>
      <c r="N549" s="1295"/>
      <c r="O549" s="1295"/>
      <c r="P549" s="1295"/>
      <c r="Q549" s="1281">
        <v>24</v>
      </c>
      <c r="R549" s="1281"/>
      <c r="S549" s="1282"/>
      <c r="T549" s="1280">
        <v>24</v>
      </c>
      <c r="U549" s="1281"/>
      <c r="V549" s="1282"/>
      <c r="W549" s="1283">
        <v>6.7500000000000004E-2</v>
      </c>
      <c r="X549" s="1284"/>
      <c r="Y549" s="1285"/>
      <c r="Z549" s="1289" t="s">
        <v>2408</v>
      </c>
      <c r="AA549" s="1289"/>
      <c r="AB549" s="1289"/>
      <c r="AC549" s="1289"/>
      <c r="AD549" s="1289"/>
      <c r="AE549" s="1290">
        <v>1</v>
      </c>
      <c r="AF549" s="1291"/>
      <c r="AG549" s="1291"/>
      <c r="AH549" s="1292"/>
      <c r="AI549" s="1286"/>
      <c r="AJ549" s="1287"/>
      <c r="AK549" s="1287"/>
      <c r="AL549" s="1288"/>
      <c r="AM549" s="1199">
        <v>17078320</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9" t="s">
        <v>2407</v>
      </c>
      <c r="D550" s="1409"/>
      <c r="E550" s="1409"/>
      <c r="F550" s="1409"/>
      <c r="G550" s="1409"/>
      <c r="H550" s="1409"/>
      <c r="I550" s="1409"/>
      <c r="J550" s="1409"/>
      <c r="K550" s="1409"/>
      <c r="L550" s="1409"/>
      <c r="M550" s="1295" t="s">
        <v>2189</v>
      </c>
      <c r="N550" s="1295"/>
      <c r="O550" s="1295"/>
      <c r="P550" s="1295"/>
      <c r="Q550" s="1280"/>
      <c r="R550" s="1281"/>
      <c r="S550" s="1282"/>
      <c r="T550" s="1280"/>
      <c r="U550" s="1281"/>
      <c r="V550" s="1282"/>
      <c r="W550" s="1283"/>
      <c r="X550" s="1284"/>
      <c r="Y550" s="1285"/>
      <c r="Z550" s="1289" t="s">
        <v>124</v>
      </c>
      <c r="AA550" s="1289"/>
      <c r="AB550" s="1289"/>
      <c r="AC550" s="1289"/>
      <c r="AD550" s="1289"/>
      <c r="AE550" s="1290"/>
      <c r="AF550" s="1291"/>
      <c r="AG550" s="1291"/>
      <c r="AH550" s="1292"/>
      <c r="AI550" s="1286"/>
      <c r="AJ550" s="1287"/>
      <c r="AK550" s="1287"/>
      <c r="AL550" s="1288"/>
      <c r="AM550" s="1199">
        <v>1062547</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9" t="s">
        <v>2376</v>
      </c>
      <c r="D551" s="1409"/>
      <c r="E551" s="1409"/>
      <c r="F551" s="1409"/>
      <c r="G551" s="1409"/>
      <c r="H551" s="1409"/>
      <c r="I551" s="1409"/>
      <c r="J551" s="1409"/>
      <c r="K551" s="1409"/>
      <c r="L551" s="1409"/>
      <c r="M551" s="1295" t="s">
        <v>2178</v>
      </c>
      <c r="N551" s="1295"/>
      <c r="O551" s="1295"/>
      <c r="P551" s="1295"/>
      <c r="Q551" s="1280"/>
      <c r="R551" s="1281"/>
      <c r="S551" s="1282"/>
      <c r="T551" s="1280"/>
      <c r="U551" s="1281"/>
      <c r="V551" s="1282"/>
      <c r="W551" s="1283"/>
      <c r="X551" s="1284"/>
      <c r="Y551" s="1285"/>
      <c r="Z551" s="1289" t="s">
        <v>124</v>
      </c>
      <c r="AA551" s="1289"/>
      <c r="AB551" s="1289"/>
      <c r="AC551" s="1289"/>
      <c r="AD551" s="1289"/>
      <c r="AE551" s="1290"/>
      <c r="AF551" s="1291"/>
      <c r="AG551" s="1291"/>
      <c r="AH551" s="1292"/>
      <c r="AI551" s="1286"/>
      <c r="AJ551" s="1287"/>
      <c r="AK551" s="1287"/>
      <c r="AL551" s="1288"/>
      <c r="AM551" s="1199">
        <v>2378898</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9"/>
      <c r="D552" s="1409"/>
      <c r="E552" s="1409"/>
      <c r="F552" s="1409"/>
      <c r="G552" s="1409"/>
      <c r="H552" s="1409"/>
      <c r="I552" s="1409"/>
      <c r="J552" s="1409"/>
      <c r="K552" s="1409"/>
      <c r="L552" s="1409"/>
      <c r="M552" s="1295" t="s">
        <v>1980</v>
      </c>
      <c r="N552" s="1295"/>
      <c r="O552" s="1295"/>
      <c r="P552" s="1295"/>
      <c r="Q552" s="1280"/>
      <c r="R552" s="1281"/>
      <c r="S552" s="1282"/>
      <c r="T552" s="1280"/>
      <c r="U552" s="1281"/>
      <c r="V552" s="1282"/>
      <c r="W552" s="1283"/>
      <c r="X552" s="1284"/>
      <c r="Y552" s="1285"/>
      <c r="Z552" s="1289" t="s">
        <v>124</v>
      </c>
      <c r="AA552" s="1289"/>
      <c r="AB552" s="1289"/>
      <c r="AC552" s="1289"/>
      <c r="AD552" s="1289"/>
      <c r="AE552" s="1290"/>
      <c r="AF552" s="1291"/>
      <c r="AG552" s="1291"/>
      <c r="AH552" s="1292"/>
      <c r="AI552" s="1286"/>
      <c r="AJ552" s="1287"/>
      <c r="AK552" s="1287"/>
      <c r="AL552" s="1288"/>
      <c r="AM552" s="1199"/>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9"/>
      <c r="D553" s="1409"/>
      <c r="E553" s="1409"/>
      <c r="F553" s="1409"/>
      <c r="G553" s="1409"/>
      <c r="H553" s="1409"/>
      <c r="I553" s="1409"/>
      <c r="J553" s="1409"/>
      <c r="K553" s="1409"/>
      <c r="L553" s="1409"/>
      <c r="M553" s="1295" t="s">
        <v>1980</v>
      </c>
      <c r="N553" s="1295"/>
      <c r="O553" s="1295"/>
      <c r="P553" s="1295"/>
      <c r="Q553" s="1280"/>
      <c r="R553" s="1281"/>
      <c r="S553" s="1282"/>
      <c r="T553" s="1280"/>
      <c r="U553" s="1281"/>
      <c r="V553" s="1282"/>
      <c r="W553" s="1283"/>
      <c r="X553" s="1284"/>
      <c r="Y553" s="1285"/>
      <c r="Z553" s="1289" t="s">
        <v>1980</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9"/>
      <c r="D554" s="1409"/>
      <c r="E554" s="1409"/>
      <c r="F554" s="1409"/>
      <c r="G554" s="1409"/>
      <c r="H554" s="1409"/>
      <c r="I554" s="1409"/>
      <c r="J554" s="1409"/>
      <c r="K554" s="1409"/>
      <c r="L554" s="1409"/>
      <c r="M554" s="1295" t="s">
        <v>1980</v>
      </c>
      <c r="N554" s="1295"/>
      <c r="O554" s="1295"/>
      <c r="P554" s="1295"/>
      <c r="Q554" s="1280"/>
      <c r="R554" s="1281"/>
      <c r="S554" s="1282"/>
      <c r="T554" s="1280"/>
      <c r="U554" s="1281"/>
      <c r="V554" s="1282"/>
      <c r="W554" s="1283"/>
      <c r="X554" s="1284"/>
      <c r="Y554" s="1285"/>
      <c r="Z554" s="1289" t="s">
        <v>1980</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9"/>
      <c r="D555" s="1409"/>
      <c r="E555" s="1409"/>
      <c r="F555" s="1409"/>
      <c r="G555" s="1409"/>
      <c r="H555" s="1409"/>
      <c r="I555" s="1409"/>
      <c r="J555" s="1409"/>
      <c r="K555" s="1409"/>
      <c r="L555" s="1409"/>
      <c r="M555" s="1295" t="s">
        <v>1980</v>
      </c>
      <c r="N555" s="1295"/>
      <c r="O555" s="1295"/>
      <c r="P555" s="1295"/>
      <c r="Q555" s="1280"/>
      <c r="R555" s="1281"/>
      <c r="S555" s="1282"/>
      <c r="T555" s="1280"/>
      <c r="U555" s="1281"/>
      <c r="V555" s="1282"/>
      <c r="W555" s="1283"/>
      <c r="X555" s="1284"/>
      <c r="Y555" s="1285"/>
      <c r="Z555" s="1289" t="s">
        <v>1980</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9"/>
      <c r="D556" s="1409"/>
      <c r="E556" s="1409"/>
      <c r="F556" s="1409"/>
      <c r="G556" s="1409"/>
      <c r="H556" s="1409"/>
      <c r="I556" s="1409"/>
      <c r="J556" s="1409"/>
      <c r="K556" s="1409"/>
      <c r="L556" s="1409"/>
      <c r="M556" s="1295" t="s">
        <v>1980</v>
      </c>
      <c r="N556" s="1295"/>
      <c r="O556" s="1295"/>
      <c r="P556" s="1295"/>
      <c r="Q556" s="1280"/>
      <c r="R556" s="1281"/>
      <c r="S556" s="1282"/>
      <c r="T556" s="1280"/>
      <c r="U556" s="1281"/>
      <c r="V556" s="1282"/>
      <c r="W556" s="1283"/>
      <c r="X556" s="1284"/>
      <c r="Y556" s="1285"/>
      <c r="Z556" s="1289" t="s">
        <v>1980</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9"/>
      <c r="D557" s="1409"/>
      <c r="E557" s="1409"/>
      <c r="F557" s="1409"/>
      <c r="G557" s="1409"/>
      <c r="H557" s="1409"/>
      <c r="I557" s="1409"/>
      <c r="J557" s="1409"/>
      <c r="K557" s="1409"/>
      <c r="L557" s="1409"/>
      <c r="M557" s="1295" t="s">
        <v>1980</v>
      </c>
      <c r="N557" s="1295"/>
      <c r="O557" s="1295"/>
      <c r="P557" s="1295"/>
      <c r="Q557" s="1280"/>
      <c r="R557" s="1281"/>
      <c r="S557" s="1282"/>
      <c r="T557" s="1280"/>
      <c r="U557" s="1281"/>
      <c r="V557" s="1282"/>
      <c r="W557" s="1283"/>
      <c r="X557" s="1284"/>
      <c r="Y557" s="1285"/>
      <c r="Z557" s="1289" t="s">
        <v>1980</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9"/>
      <c r="D558" s="1409"/>
      <c r="E558" s="1409"/>
      <c r="F558" s="1409"/>
      <c r="G558" s="1409"/>
      <c r="H558" s="1409"/>
      <c r="I558" s="1409"/>
      <c r="J558" s="1409"/>
      <c r="K558" s="1409"/>
      <c r="L558" s="1409"/>
      <c r="M558" s="1295" t="s">
        <v>1980</v>
      </c>
      <c r="N558" s="1295"/>
      <c r="O558" s="1295"/>
      <c r="P558" s="1295"/>
      <c r="Q558" s="1280"/>
      <c r="R558" s="1281"/>
      <c r="S558" s="1282"/>
      <c r="T558" s="1280"/>
      <c r="U558" s="1281"/>
      <c r="V558" s="1282"/>
      <c r="W558" s="1283"/>
      <c r="X558" s="1284"/>
      <c r="Y558" s="1285"/>
      <c r="Z558" s="1289" t="s">
        <v>1980</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9"/>
      <c r="D559" s="1409"/>
      <c r="E559" s="1409"/>
      <c r="F559" s="1409"/>
      <c r="G559" s="1409"/>
      <c r="H559" s="1409"/>
      <c r="I559" s="1409"/>
      <c r="J559" s="1409"/>
      <c r="K559" s="1409"/>
      <c r="L559" s="1409"/>
      <c r="M559" s="1295" t="s">
        <v>1980</v>
      </c>
      <c r="N559" s="1295"/>
      <c r="O559" s="1295"/>
      <c r="P559" s="1295"/>
      <c r="Q559" s="1280"/>
      <c r="R559" s="1281"/>
      <c r="S559" s="1282"/>
      <c r="T559" s="1280"/>
      <c r="U559" s="1281"/>
      <c r="V559" s="1282"/>
      <c r="W559" s="1283"/>
      <c r="X559" s="1284"/>
      <c r="Y559" s="1285"/>
      <c r="Z559" s="1289" t="s">
        <v>1980</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9"/>
      <c r="D560" s="1409"/>
      <c r="E560" s="1409"/>
      <c r="F560" s="1409"/>
      <c r="G560" s="1409"/>
      <c r="H560" s="1409"/>
      <c r="I560" s="1409"/>
      <c r="J560" s="1409"/>
      <c r="K560" s="1409"/>
      <c r="L560" s="1409"/>
      <c r="M560" s="1295" t="s">
        <v>1980</v>
      </c>
      <c r="N560" s="1295"/>
      <c r="O560" s="1295"/>
      <c r="P560" s="1295"/>
      <c r="Q560" s="1280"/>
      <c r="R560" s="1281"/>
      <c r="S560" s="1282"/>
      <c r="T560" s="1280"/>
      <c r="U560" s="1281"/>
      <c r="V560" s="1282"/>
      <c r="W560" s="1283"/>
      <c r="X560" s="1284"/>
      <c r="Y560" s="1285"/>
      <c r="Z560" s="1289" t="s">
        <v>1980</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3"/>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20519765</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0" t="str">
        <f>C549</f>
        <v>CitiBank</v>
      </c>
      <c r="H563" s="1260"/>
      <c r="I563" s="1260"/>
      <c r="J563" s="1260"/>
      <c r="K563" s="1260"/>
      <c r="L563" s="1260"/>
      <c r="M563" s="1260"/>
      <c r="N563" s="1260"/>
      <c r="O563" s="1260"/>
      <c r="P563" s="1260"/>
      <c r="Q563" s="1260"/>
      <c r="R563" s="1260"/>
      <c r="S563" s="12"/>
      <c r="T563" s="61" t="s">
        <v>901</v>
      </c>
      <c r="U563" t="s">
        <v>82</v>
      </c>
      <c r="Z563" s="1260" t="str">
        <f>C550</f>
        <v>NOI</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2432</v>
      </c>
      <c r="H564" s="1107"/>
      <c r="I564" s="1107"/>
      <c r="J564" s="1107"/>
      <c r="K564" s="1107"/>
      <c r="L564" s="1107"/>
      <c r="M564" s="1107"/>
      <c r="N564" s="1107"/>
      <c r="O564" s="1107"/>
      <c r="P564" s="1107"/>
      <c r="Q564" s="1107"/>
      <c r="R564" s="1107"/>
      <c r="S564" s="12"/>
      <c r="T564" s="4"/>
      <c r="U564" t="s">
        <v>373</v>
      </c>
      <c r="Z564" s="1107" t="s">
        <v>2328</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2433</v>
      </c>
      <c r="H565" s="1107"/>
      <c r="I565" s="1107"/>
      <c r="J565" s="1107"/>
      <c r="K565" s="1107"/>
      <c r="L565" s="1107"/>
      <c r="M565" s="1107"/>
      <c r="N565" s="1107"/>
      <c r="O565" s="1107"/>
      <c r="P565" s="1107"/>
      <c r="Q565" s="1107"/>
      <c r="R565" s="1107"/>
      <c r="T565" s="4"/>
      <c r="U565" t="s">
        <v>431</v>
      </c>
      <c r="Z565" s="1258" t="s">
        <v>2344</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2434</v>
      </c>
      <c r="H566" s="1107"/>
      <c r="I566" s="1107"/>
      <c r="J566" s="1107"/>
      <c r="K566" s="1107"/>
      <c r="L566" s="1107"/>
      <c r="M566" s="1107"/>
      <c r="N566" s="1107"/>
      <c r="O566" s="1107"/>
      <c r="P566" s="1107"/>
      <c r="Q566" s="1107"/>
      <c r="R566" s="1107"/>
      <c r="S566" s="12"/>
      <c r="T566" s="4"/>
      <c r="U566" t="s">
        <v>833</v>
      </c>
      <c r="Z566" s="1258" t="s">
        <v>2321</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4" t="s">
        <v>2435</v>
      </c>
      <c r="H567" s="1264"/>
      <c r="I567" s="1264"/>
      <c r="J567" s="1264"/>
      <c r="K567" s="1264"/>
      <c r="L567" s="1264"/>
      <c r="O567" s="42" t="s">
        <v>818</v>
      </c>
      <c r="P567" s="1259"/>
      <c r="Q567" s="1259"/>
      <c r="R567" s="1259"/>
      <c r="S567" s="14"/>
      <c r="T567" s="4"/>
      <c r="U567" t="s">
        <v>650</v>
      </c>
      <c r="Z567" s="1264" t="s">
        <v>2330</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7" t="s">
        <v>2436</v>
      </c>
      <c r="I568" s="1107"/>
      <c r="J568" s="1107"/>
      <c r="K568" s="1107"/>
      <c r="L568" s="1107"/>
      <c r="M568" s="1107"/>
      <c r="N568" s="1107"/>
      <c r="O568" s="1107"/>
      <c r="P568" s="1107"/>
      <c r="Q568" s="1107"/>
      <c r="R568" s="1107"/>
      <c r="S568" s="12"/>
      <c r="T568" s="4"/>
      <c r="U568" t="s">
        <v>834</v>
      </c>
      <c r="AA568" s="1107" t="s">
        <v>2407</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0" t="str">
        <f>C551</f>
        <v>WNC &amp; Associates</v>
      </c>
      <c r="H571" s="1260"/>
      <c r="I571" s="1260"/>
      <c r="J571" s="1260"/>
      <c r="K571" s="1260"/>
      <c r="L571" s="1260"/>
      <c r="M571" s="1260"/>
      <c r="N571" s="1260"/>
      <c r="O571" s="1260"/>
      <c r="P571" s="1260"/>
      <c r="Q571" s="1260"/>
      <c r="R571" s="1260"/>
      <c r="T571" s="61" t="s">
        <v>432</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t="s">
        <v>2328</v>
      </c>
      <c r="H572" s="1107"/>
      <c r="I572" s="1107"/>
      <c r="J572" s="1107"/>
      <c r="K572" s="1107"/>
      <c r="L572" s="1107"/>
      <c r="M572" s="1107"/>
      <c r="N572" s="1107"/>
      <c r="O572" s="1107"/>
      <c r="P572" s="1107"/>
      <c r="Q572" s="1107"/>
      <c r="R572" s="1107"/>
      <c r="T572" s="4"/>
      <c r="U572" t="s">
        <v>373</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t="s">
        <v>2329</v>
      </c>
      <c r="H573" s="1258"/>
      <c r="I573" s="1258"/>
      <c r="J573" s="1258"/>
      <c r="K573" s="1258"/>
      <c r="L573" s="1258"/>
      <c r="M573" s="1258"/>
      <c r="N573" s="1258"/>
      <c r="O573" s="1258"/>
      <c r="P573" s="1258"/>
      <c r="Q573" s="1258"/>
      <c r="R573" s="1258"/>
      <c r="T573" s="4"/>
      <c r="U573" t="s">
        <v>431</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8" t="s">
        <v>2377</v>
      </c>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4" t="s">
        <v>2378</v>
      </c>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t="s">
        <v>2437</v>
      </c>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6" t="s">
        <v>108</v>
      </c>
      <c r="O577" s="1056"/>
      <c r="T577" s="4"/>
      <c r="U577" t="s">
        <v>836</v>
      </c>
      <c r="AG577" s="1056"/>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6" t="s">
        <v>483</v>
      </c>
      <c r="O585" s="1056"/>
      <c r="T585" s="4"/>
      <c r="U585" t="s">
        <v>836</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IF(B695="SRO/Studio",G695,0)</f>
        <v>0</v>
      </c>
      <c r="BO591" s="1266"/>
      <c r="BP591" s="1266"/>
      <c r="BQ591" s="1266"/>
      <c r="BR591" s="1276"/>
      <c r="BS591" s="1265">
        <f>IF(B695="1 Bedroom",G695,0)</f>
        <v>0</v>
      </c>
      <c r="BT591" s="1266"/>
      <c r="BU591" s="1266"/>
      <c r="BV591" s="1266"/>
      <c r="BW591" s="1267"/>
      <c r="BX591" s="1265">
        <f>IF(B695="2 Bedrooms",G695,0)</f>
        <v>2</v>
      </c>
      <c r="BY591" s="1266"/>
      <c r="BZ591" s="1266"/>
      <c r="CA591" s="1266"/>
      <c r="CB591" s="1267"/>
      <c r="CC591" s="1265">
        <f>IF(B695="3 Bedrooms",G695,0)</f>
        <v>0</v>
      </c>
      <c r="CD591" s="1266"/>
      <c r="CE591" s="1266"/>
      <c r="CF591" s="1266"/>
      <c r="CG591" s="1267"/>
      <c r="CH591" s="1265">
        <f>IF(B695="4 Bedrooms",G695,0)</f>
        <v>0</v>
      </c>
      <c r="CI591" s="1266"/>
      <c r="CJ591" s="1266"/>
      <c r="CK591" s="1266"/>
      <c r="CL591" s="1267"/>
      <c r="CM591" s="1274">
        <f>IF(B695="5 Bedrooms",G695,0)</f>
        <v>0</v>
      </c>
      <c r="CN591" s="1275"/>
      <c r="CO591" s="1275"/>
      <c r="CP591" s="1275"/>
      <c r="CQ591" s="1276"/>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2.9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0</v>
      </c>
      <c r="BF592" s="1273"/>
      <c r="BG592" s="1265">
        <f t="shared" ref="BG592:BG615" si="1">IF(BE592=1,G695,0)</f>
        <v>0</v>
      </c>
      <c r="BH592" s="1267"/>
      <c r="BI592" s="1271">
        <f>IF(AND(AH695&lt;=0.35,AH695&gt;0),1,0)</f>
        <v>1</v>
      </c>
      <c r="BJ592" s="1273"/>
      <c r="BK592" s="1265">
        <f t="shared" ref="BK592:BK615" si="2">IF(BI592=1,G695,0)</f>
        <v>2</v>
      </c>
      <c r="BL592" s="1267"/>
      <c r="BN592" s="1265">
        <f t="shared" ref="BN592:BN625" si="3">IF(B696="SRO/Studio",G696,0)</f>
        <v>0</v>
      </c>
      <c r="BO592" s="1266"/>
      <c r="BP592" s="1266"/>
      <c r="BQ592" s="1266"/>
      <c r="BR592" s="1276"/>
      <c r="BS592" s="1265">
        <f t="shared" ref="BS592:BS625" si="4">IF(B696="1 Bedroom",G696,0)</f>
        <v>0</v>
      </c>
      <c r="BT592" s="1266"/>
      <c r="BU592" s="1266"/>
      <c r="BV592" s="1266"/>
      <c r="BW592" s="1267"/>
      <c r="BX592" s="1265">
        <f t="shared" ref="BX592:BX625" si="5">IF(B696="2 Bedrooms",G696,0)</f>
        <v>0</v>
      </c>
      <c r="BY592" s="1266"/>
      <c r="BZ592" s="1266"/>
      <c r="CA592" s="1266"/>
      <c r="CB592" s="1267"/>
      <c r="CC592" s="1265">
        <f t="shared" ref="CC592:CC625" si="6">IF(B696="3 Bedrooms",G696,0)</f>
        <v>1</v>
      </c>
      <c r="CD592" s="1266"/>
      <c r="CE592" s="1266"/>
      <c r="CF592" s="1266"/>
      <c r="CG592" s="1267"/>
      <c r="CH592" s="1265">
        <f t="shared" ref="CH592:CH625" si="7">IF(B696="4 Bedrooms",G696,0)</f>
        <v>0</v>
      </c>
      <c r="CI592" s="1266"/>
      <c r="CJ592" s="1266"/>
      <c r="CK592" s="1266"/>
      <c r="CL592" s="1267"/>
      <c r="CM592" s="1274">
        <f t="shared" ref="CM592:CM625" si="8">IF(B696="5 Bedrooms",G696,0)</f>
        <v>0</v>
      </c>
      <c r="CN592" s="1275"/>
      <c r="CO592" s="1275"/>
      <c r="CP592" s="1275"/>
      <c r="CQ592" s="1276"/>
      <c r="CS592" s="1277">
        <f>IF(AND(B695="SRO/Studio",AH695&lt;=0.3),G695,0)</f>
        <v>0</v>
      </c>
      <c r="CT592" s="1278"/>
      <c r="CU592" s="1278"/>
      <c r="CV592" s="1278"/>
      <c r="CW592" s="1279"/>
      <c r="CX592" s="1277">
        <f>IF(AND(B695="1 Bedroom",AH695&lt;=0.3),G695,0)</f>
        <v>0</v>
      </c>
      <c r="CY592" s="1278"/>
      <c r="CZ592" s="1278"/>
      <c r="DA592" s="1278"/>
      <c r="DB592" s="1279"/>
      <c r="DC592" s="1277">
        <f>IF(AND(B695="2 Bedrooms",AH695&lt;=0.3),G695,0)</f>
        <v>2</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836</v>
      </c>
      <c r="C593"/>
      <c r="D593"/>
      <c r="E593"/>
      <c r="F593"/>
      <c r="G593"/>
      <c r="H593"/>
      <c r="I593"/>
      <c r="J593"/>
      <c r="K593"/>
      <c r="L593"/>
      <c r="M593"/>
      <c r="N593" s="1056" t="s">
        <v>483</v>
      </c>
      <c r="O593" s="1056"/>
      <c r="P593"/>
      <c r="Q593"/>
      <c r="R593"/>
      <c r="S593"/>
      <c r="T593" s="4"/>
      <c r="U593" t="s">
        <v>836</v>
      </c>
      <c r="V593"/>
      <c r="W593"/>
      <c r="X593"/>
      <c r="Y593"/>
      <c r="Z593"/>
      <c r="AA593"/>
      <c r="AB593"/>
      <c r="AC593"/>
      <c r="AD593"/>
      <c r="AE593"/>
      <c r="AF593"/>
      <c r="AG593" s="1056" t="s">
        <v>483</v>
      </c>
      <c r="AH593" s="1056"/>
      <c r="AI593"/>
      <c r="AJ593"/>
      <c r="AK593"/>
      <c r="AL593"/>
      <c r="AZ593" s="5" t="s">
        <v>780</v>
      </c>
      <c r="BA593" s="41"/>
      <c r="BB593" s="41"/>
      <c r="BC593" s="41"/>
      <c r="BD593" s="41"/>
      <c r="BE593" s="1271">
        <f t="shared" ref="BE593:BE615" si="9">IF(AND(AH696&lt;=0.5,AH696&gt;=0.36),1,0)</f>
        <v>0</v>
      </c>
      <c r="BF593" s="1273"/>
      <c r="BG593" s="1265">
        <f t="shared" si="1"/>
        <v>0</v>
      </c>
      <c r="BH593" s="1267"/>
      <c r="BI593" s="1271">
        <f t="shared" ref="BI593:BI615" si="10">IF(AND(AH696&lt;=0.35,AH696&gt;0),1,0)</f>
        <v>1</v>
      </c>
      <c r="BJ593" s="1273"/>
      <c r="BK593" s="1265">
        <f t="shared" si="2"/>
        <v>1</v>
      </c>
      <c r="BL593" s="1267"/>
      <c r="BN593" s="1265">
        <f t="shared" si="3"/>
        <v>0</v>
      </c>
      <c r="BO593" s="1266"/>
      <c r="BP593" s="1266"/>
      <c r="BQ593" s="1266"/>
      <c r="BR593" s="1276"/>
      <c r="BS593" s="1265">
        <f t="shared" si="4"/>
        <v>0</v>
      </c>
      <c r="BT593" s="1266"/>
      <c r="BU593" s="1266"/>
      <c r="BV593" s="1266"/>
      <c r="BW593" s="1267"/>
      <c r="BX593" s="1265">
        <f t="shared" si="5"/>
        <v>3</v>
      </c>
      <c r="BY593" s="1266"/>
      <c r="BZ593" s="1266"/>
      <c r="CA593" s="1266"/>
      <c r="CB593" s="1267"/>
      <c r="CC593" s="1265">
        <f t="shared" si="6"/>
        <v>0</v>
      </c>
      <c r="CD593" s="1266"/>
      <c r="CE593" s="1266"/>
      <c r="CF593" s="1266"/>
      <c r="CG593" s="1267"/>
      <c r="CH593" s="1265">
        <f t="shared" si="7"/>
        <v>0</v>
      </c>
      <c r="CI593" s="1266"/>
      <c r="CJ593" s="1266"/>
      <c r="CK593" s="1266"/>
      <c r="CL593" s="1267"/>
      <c r="CM593" s="1274">
        <f t="shared" si="8"/>
        <v>0</v>
      </c>
      <c r="CN593" s="1275"/>
      <c r="CO593" s="1275"/>
      <c r="CP593" s="1275"/>
      <c r="CQ593" s="1276"/>
      <c r="CS593" s="1277">
        <f t="shared" ref="CS593:CS615" si="11">IF(AND(B696="SRO/Studio",AH696&lt;=0.3),G696,0)</f>
        <v>0</v>
      </c>
      <c r="CT593" s="1278"/>
      <c r="CU593" s="1278"/>
      <c r="CV593" s="1278"/>
      <c r="CW593" s="1279"/>
      <c r="CX593" s="1277">
        <f t="shared" ref="CX593:CX615" si="12">IF(AND(B696="1 Bedroom",AH696&lt;=0.3),G696,0)</f>
        <v>0</v>
      </c>
      <c r="CY593" s="1278"/>
      <c r="CZ593" s="1278"/>
      <c r="DA593" s="1278"/>
      <c r="DB593" s="1279"/>
      <c r="DC593" s="1277">
        <f t="shared" ref="DC593:DC615" si="13">IF(AND(B696="2 Bedrooms",AH696&lt;=0.3),G696,0)</f>
        <v>0</v>
      </c>
      <c r="DD593" s="1278"/>
      <c r="DE593" s="1278"/>
      <c r="DF593" s="1278"/>
      <c r="DG593" s="1279"/>
      <c r="DH593" s="1277">
        <f t="shared" ref="DH593:DH615" si="14">IF(AND(B696="3 Bedrooms",AH696&lt;=0.3),G696,0)</f>
        <v>1</v>
      </c>
      <c r="DI593" s="1278"/>
      <c r="DJ593" s="1278"/>
      <c r="DK593" s="1278"/>
      <c r="DL593" s="1279"/>
      <c r="DM593" s="1277">
        <f t="shared" ref="DM593:DM615" si="15">IF(AND(B696="4 Bedrooms",AH696&lt;=0.3),G696,0)</f>
        <v>0</v>
      </c>
      <c r="DN593" s="1278"/>
      <c r="DO593" s="1278"/>
      <c r="DP593" s="1278"/>
      <c r="DQ593" s="1279"/>
      <c r="DR593" s="1277">
        <f t="shared" ref="DR593:DR615" si="16">IF(AND(B696="5 Bedrooms",AH696&lt;=0.3),G696,0)</f>
        <v>0</v>
      </c>
      <c r="DS593" s="1278"/>
      <c r="DT593" s="1278"/>
      <c r="DU593" s="1278"/>
      <c r="DV593" s="1279"/>
    </row>
    <row r="594" spans="1:126" ht="12.95" customHeight="1">
      <c r="AZ594" s="5" t="s">
        <v>781</v>
      </c>
      <c r="BA594" s="41"/>
      <c r="BB594" s="41"/>
      <c r="BC594" s="41"/>
      <c r="BD594" s="41"/>
      <c r="BE594" s="1271">
        <f t="shared" si="9"/>
        <v>1</v>
      </c>
      <c r="BF594" s="1273"/>
      <c r="BG594" s="1265">
        <f t="shared" si="1"/>
        <v>3</v>
      </c>
      <c r="BH594" s="1267"/>
      <c r="BI594" s="1271">
        <f t="shared" si="10"/>
        <v>0</v>
      </c>
      <c r="BJ594" s="1273"/>
      <c r="BK594" s="1265">
        <f t="shared" si="2"/>
        <v>0</v>
      </c>
      <c r="BL594" s="1267"/>
      <c r="BN594" s="1265">
        <f t="shared" si="3"/>
        <v>0</v>
      </c>
      <c r="BO594" s="1266"/>
      <c r="BP594" s="1266"/>
      <c r="BQ594" s="1266"/>
      <c r="BR594" s="1276"/>
      <c r="BS594" s="1265">
        <f t="shared" si="4"/>
        <v>0</v>
      </c>
      <c r="BT594" s="1266"/>
      <c r="BU594" s="1266"/>
      <c r="BV594" s="1266"/>
      <c r="BW594" s="1267"/>
      <c r="BX594" s="1265">
        <f t="shared" si="5"/>
        <v>0</v>
      </c>
      <c r="BY594" s="1266"/>
      <c r="BZ594" s="1266"/>
      <c r="CA594" s="1266"/>
      <c r="CB594" s="1267"/>
      <c r="CC594" s="1265">
        <f t="shared" si="6"/>
        <v>1</v>
      </c>
      <c r="CD594" s="1266"/>
      <c r="CE594" s="1266"/>
      <c r="CF594" s="1266"/>
      <c r="CG594" s="1267"/>
      <c r="CH594" s="1265">
        <f t="shared" si="7"/>
        <v>0</v>
      </c>
      <c r="CI594" s="1266"/>
      <c r="CJ594" s="1266"/>
      <c r="CK594" s="1266"/>
      <c r="CL594" s="1267"/>
      <c r="CM594" s="1274">
        <f t="shared" si="8"/>
        <v>0</v>
      </c>
      <c r="CN594" s="1275"/>
      <c r="CO594" s="1275"/>
      <c r="CP594" s="1275"/>
      <c r="CQ594" s="1276"/>
      <c r="CS594" s="1277">
        <f t="shared" si="11"/>
        <v>0</v>
      </c>
      <c r="CT594" s="1278"/>
      <c r="CU594" s="1278"/>
      <c r="CV594" s="1278"/>
      <c r="CW594" s="1279"/>
      <c r="CX594" s="1277">
        <f t="shared" si="12"/>
        <v>0</v>
      </c>
      <c r="CY594" s="1278"/>
      <c r="CZ594" s="1278"/>
      <c r="DA594" s="1278"/>
      <c r="DB594" s="1279"/>
      <c r="DC594" s="1277">
        <f t="shared" si="13"/>
        <v>0</v>
      </c>
      <c r="DD594" s="1278"/>
      <c r="DE594" s="1278"/>
      <c r="DF594" s="1278"/>
      <c r="DG594" s="1279"/>
      <c r="DH594" s="1277">
        <f t="shared" si="14"/>
        <v>0</v>
      </c>
      <c r="DI594" s="1278"/>
      <c r="DJ594" s="1278"/>
      <c r="DK594" s="1278"/>
      <c r="DL594" s="1279"/>
      <c r="DM594" s="1277">
        <f t="shared" si="15"/>
        <v>0</v>
      </c>
      <c r="DN594" s="1278"/>
      <c r="DO594" s="1278"/>
      <c r="DP594" s="1278"/>
      <c r="DQ594" s="1279"/>
      <c r="DR594" s="1277">
        <f t="shared" si="16"/>
        <v>0</v>
      </c>
      <c r="DS594" s="1278"/>
      <c r="DT594" s="1278"/>
      <c r="DU594" s="1278"/>
      <c r="DV594" s="1279"/>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9"/>
        <v>1</v>
      </c>
      <c r="BF595" s="1273"/>
      <c r="BG595" s="1265">
        <f t="shared" si="1"/>
        <v>1</v>
      </c>
      <c r="BH595" s="1267"/>
      <c r="BI595" s="1271">
        <f t="shared" si="10"/>
        <v>0</v>
      </c>
      <c r="BJ595" s="1273"/>
      <c r="BK595" s="1265">
        <f t="shared" si="2"/>
        <v>0</v>
      </c>
      <c r="BL595" s="1267"/>
      <c r="BN595" s="1265">
        <f t="shared" si="3"/>
        <v>0</v>
      </c>
      <c r="BO595" s="1266"/>
      <c r="BP595" s="1266"/>
      <c r="BQ595" s="1266"/>
      <c r="BR595" s="1276"/>
      <c r="BS595" s="1265">
        <f t="shared" si="4"/>
        <v>0</v>
      </c>
      <c r="BT595" s="1266"/>
      <c r="BU595" s="1266"/>
      <c r="BV595" s="1266"/>
      <c r="BW595" s="1267"/>
      <c r="BX595" s="1265">
        <f t="shared" si="5"/>
        <v>6</v>
      </c>
      <c r="BY595" s="1266"/>
      <c r="BZ595" s="1266"/>
      <c r="CA595" s="1266"/>
      <c r="CB595" s="1267"/>
      <c r="CC595" s="1265">
        <f t="shared" si="6"/>
        <v>0</v>
      </c>
      <c r="CD595" s="1266"/>
      <c r="CE595" s="1266"/>
      <c r="CF595" s="1266"/>
      <c r="CG595" s="1267"/>
      <c r="CH595" s="1265">
        <f t="shared" si="7"/>
        <v>0</v>
      </c>
      <c r="CI595" s="1266"/>
      <c r="CJ595" s="1266"/>
      <c r="CK595" s="1266"/>
      <c r="CL595" s="1267"/>
      <c r="CM595" s="1274">
        <f t="shared" si="8"/>
        <v>0</v>
      </c>
      <c r="CN595" s="1275"/>
      <c r="CO595" s="1275"/>
      <c r="CP595" s="1275"/>
      <c r="CQ595" s="1276"/>
      <c r="CS595" s="1277">
        <f t="shared" si="11"/>
        <v>0</v>
      </c>
      <c r="CT595" s="1278"/>
      <c r="CU595" s="1278"/>
      <c r="CV595" s="1278"/>
      <c r="CW595" s="1279"/>
      <c r="CX595" s="1277">
        <f t="shared" si="12"/>
        <v>0</v>
      </c>
      <c r="CY595" s="1278"/>
      <c r="CZ595" s="1278"/>
      <c r="DA595" s="1278"/>
      <c r="DB595" s="1279"/>
      <c r="DC595" s="1277">
        <f t="shared" si="13"/>
        <v>0</v>
      </c>
      <c r="DD595" s="1278"/>
      <c r="DE595" s="1278"/>
      <c r="DF595" s="1278"/>
      <c r="DG595" s="1279"/>
      <c r="DH595" s="1277">
        <f t="shared" si="14"/>
        <v>0</v>
      </c>
      <c r="DI595" s="1278"/>
      <c r="DJ595" s="1278"/>
      <c r="DK595" s="1278"/>
      <c r="DL595" s="1279"/>
      <c r="DM595" s="1277">
        <f t="shared" si="15"/>
        <v>0</v>
      </c>
      <c r="DN595" s="1278"/>
      <c r="DO595" s="1278"/>
      <c r="DP595" s="1278"/>
      <c r="DQ595" s="1279"/>
      <c r="DR595" s="1277">
        <f t="shared" si="16"/>
        <v>0</v>
      </c>
      <c r="DS595" s="1278"/>
      <c r="DT595" s="1278"/>
      <c r="DU595" s="1278"/>
      <c r="DV595" s="1279"/>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9"/>
        <v>1</v>
      </c>
      <c r="BF596" s="1273"/>
      <c r="BG596" s="1265">
        <f t="shared" si="1"/>
        <v>6</v>
      </c>
      <c r="BH596" s="1267"/>
      <c r="BI596" s="1271">
        <f t="shared" si="10"/>
        <v>0</v>
      </c>
      <c r="BJ596" s="1273"/>
      <c r="BK596" s="1265">
        <f t="shared" si="2"/>
        <v>0</v>
      </c>
      <c r="BL596" s="1267"/>
      <c r="BN596" s="1265">
        <f t="shared" si="3"/>
        <v>0</v>
      </c>
      <c r="BO596" s="1266"/>
      <c r="BP596" s="1266"/>
      <c r="BQ596" s="1266"/>
      <c r="BR596" s="1276"/>
      <c r="BS596" s="1265">
        <f t="shared" si="4"/>
        <v>0</v>
      </c>
      <c r="BT596" s="1266"/>
      <c r="BU596" s="1266"/>
      <c r="BV596" s="1266"/>
      <c r="BW596" s="1267"/>
      <c r="BX596" s="1265">
        <f t="shared" si="5"/>
        <v>0</v>
      </c>
      <c r="BY596" s="1266"/>
      <c r="BZ596" s="1266"/>
      <c r="CA596" s="1266"/>
      <c r="CB596" s="1267"/>
      <c r="CC596" s="1265">
        <f t="shared" si="6"/>
        <v>5</v>
      </c>
      <c r="CD596" s="1266"/>
      <c r="CE596" s="1266"/>
      <c r="CF596" s="1266"/>
      <c r="CG596" s="1267"/>
      <c r="CH596" s="1265">
        <f t="shared" si="7"/>
        <v>0</v>
      </c>
      <c r="CI596" s="1266"/>
      <c r="CJ596" s="1266"/>
      <c r="CK596" s="1266"/>
      <c r="CL596" s="1267"/>
      <c r="CM596" s="1274">
        <f t="shared" si="8"/>
        <v>0</v>
      </c>
      <c r="CN596" s="1275"/>
      <c r="CO596" s="1275"/>
      <c r="CP596" s="1275"/>
      <c r="CQ596" s="1276"/>
      <c r="CS596" s="1277">
        <f t="shared" si="11"/>
        <v>0</v>
      </c>
      <c r="CT596" s="1278"/>
      <c r="CU596" s="1278"/>
      <c r="CV596" s="1278"/>
      <c r="CW596" s="1279"/>
      <c r="CX596" s="1277">
        <f t="shared" si="12"/>
        <v>0</v>
      </c>
      <c r="CY596" s="1278"/>
      <c r="CZ596" s="1278"/>
      <c r="DA596" s="1278"/>
      <c r="DB596" s="1279"/>
      <c r="DC596" s="1277">
        <f t="shared" si="13"/>
        <v>0</v>
      </c>
      <c r="DD596" s="1278"/>
      <c r="DE596" s="1278"/>
      <c r="DF596" s="1278"/>
      <c r="DG596" s="1279"/>
      <c r="DH596" s="1277">
        <f t="shared" si="14"/>
        <v>0</v>
      </c>
      <c r="DI596" s="1278"/>
      <c r="DJ596" s="1278"/>
      <c r="DK596" s="1278"/>
      <c r="DL596" s="1279"/>
      <c r="DM596" s="1277">
        <f t="shared" si="15"/>
        <v>0</v>
      </c>
      <c r="DN596" s="1278"/>
      <c r="DO596" s="1278"/>
      <c r="DP596" s="1278"/>
      <c r="DQ596" s="1279"/>
      <c r="DR596" s="1277">
        <f t="shared" si="16"/>
        <v>0</v>
      </c>
      <c r="DS596" s="1278"/>
      <c r="DT596" s="1278"/>
      <c r="DU596" s="1278"/>
      <c r="DV596" s="1279"/>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9"/>
        <v>1</v>
      </c>
      <c r="BF597" s="1273"/>
      <c r="BG597" s="1265">
        <f t="shared" si="1"/>
        <v>5</v>
      </c>
      <c r="BH597" s="1267"/>
      <c r="BI597" s="1271">
        <f t="shared" si="10"/>
        <v>0</v>
      </c>
      <c r="BJ597" s="1273"/>
      <c r="BK597" s="1265">
        <f t="shared" si="2"/>
        <v>0</v>
      </c>
      <c r="BL597" s="1267"/>
      <c r="BN597" s="1265">
        <f t="shared" si="3"/>
        <v>0</v>
      </c>
      <c r="BO597" s="1266"/>
      <c r="BP597" s="1266"/>
      <c r="BQ597" s="1266"/>
      <c r="BR597" s="1276"/>
      <c r="BS597" s="1265">
        <f t="shared" si="4"/>
        <v>0</v>
      </c>
      <c r="BT597" s="1266"/>
      <c r="BU597" s="1266"/>
      <c r="BV597" s="1266"/>
      <c r="BW597" s="1267"/>
      <c r="BX597" s="1265">
        <f t="shared" si="5"/>
        <v>3</v>
      </c>
      <c r="BY597" s="1266"/>
      <c r="BZ597" s="1266"/>
      <c r="CA597" s="1266"/>
      <c r="CB597" s="1267"/>
      <c r="CC597" s="1265">
        <f t="shared" si="6"/>
        <v>0</v>
      </c>
      <c r="CD597" s="1266"/>
      <c r="CE597" s="1266"/>
      <c r="CF597" s="1266"/>
      <c r="CG597" s="1267"/>
      <c r="CH597" s="1265">
        <f t="shared" si="7"/>
        <v>0</v>
      </c>
      <c r="CI597" s="1266"/>
      <c r="CJ597" s="1266"/>
      <c r="CK597" s="1266"/>
      <c r="CL597" s="1267"/>
      <c r="CM597" s="1274">
        <f t="shared" si="8"/>
        <v>0</v>
      </c>
      <c r="CN597" s="1275"/>
      <c r="CO597" s="1275"/>
      <c r="CP597" s="1275"/>
      <c r="CQ597" s="1276"/>
      <c r="CS597" s="1277">
        <f t="shared" si="11"/>
        <v>0</v>
      </c>
      <c r="CT597" s="1278"/>
      <c r="CU597" s="1278"/>
      <c r="CV597" s="1278"/>
      <c r="CW597" s="1279"/>
      <c r="CX597" s="1277">
        <f t="shared" si="12"/>
        <v>0</v>
      </c>
      <c r="CY597" s="1278"/>
      <c r="CZ597" s="1278"/>
      <c r="DA597" s="1278"/>
      <c r="DB597" s="1279"/>
      <c r="DC597" s="1277">
        <f t="shared" si="13"/>
        <v>0</v>
      </c>
      <c r="DD597" s="1278"/>
      <c r="DE597" s="1278"/>
      <c r="DF597" s="1278"/>
      <c r="DG597" s="1279"/>
      <c r="DH597" s="1277">
        <f t="shared" si="14"/>
        <v>0</v>
      </c>
      <c r="DI597" s="1278"/>
      <c r="DJ597" s="1278"/>
      <c r="DK597" s="1278"/>
      <c r="DL597" s="1279"/>
      <c r="DM597" s="1277">
        <f t="shared" si="15"/>
        <v>0</v>
      </c>
      <c r="DN597" s="1278"/>
      <c r="DO597" s="1278"/>
      <c r="DP597" s="1278"/>
      <c r="DQ597" s="1279"/>
      <c r="DR597" s="1277">
        <f t="shared" si="16"/>
        <v>0</v>
      </c>
      <c r="DS597" s="1278"/>
      <c r="DT597" s="1278"/>
      <c r="DU597" s="1278"/>
      <c r="DV597" s="1279"/>
    </row>
    <row r="598" spans="1:126" ht="12.95"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9"/>
        <v>0</v>
      </c>
      <c r="BF598" s="1273"/>
      <c r="BG598" s="1265">
        <f t="shared" si="1"/>
        <v>0</v>
      </c>
      <c r="BH598" s="1267"/>
      <c r="BI598" s="1271">
        <f t="shared" si="10"/>
        <v>0</v>
      </c>
      <c r="BJ598" s="1273"/>
      <c r="BK598" s="1265">
        <f t="shared" si="2"/>
        <v>0</v>
      </c>
      <c r="BL598" s="1267"/>
      <c r="BN598" s="1265">
        <f t="shared" si="3"/>
        <v>0</v>
      </c>
      <c r="BO598" s="1266"/>
      <c r="BP598" s="1266"/>
      <c r="BQ598" s="1266"/>
      <c r="BR598" s="1276"/>
      <c r="BS598" s="1265">
        <f t="shared" si="4"/>
        <v>0</v>
      </c>
      <c r="BT598" s="1266"/>
      <c r="BU598" s="1266"/>
      <c r="BV598" s="1266"/>
      <c r="BW598" s="1267"/>
      <c r="BX598" s="1265">
        <f t="shared" si="5"/>
        <v>0</v>
      </c>
      <c r="BY598" s="1266"/>
      <c r="BZ598" s="1266"/>
      <c r="CA598" s="1266"/>
      <c r="CB598" s="1267"/>
      <c r="CC598" s="1265">
        <f t="shared" si="6"/>
        <v>3</v>
      </c>
      <c r="CD598" s="1266"/>
      <c r="CE598" s="1266"/>
      <c r="CF598" s="1266"/>
      <c r="CG598" s="1267"/>
      <c r="CH598" s="1265">
        <f t="shared" si="7"/>
        <v>0</v>
      </c>
      <c r="CI598" s="1266"/>
      <c r="CJ598" s="1266"/>
      <c r="CK598" s="1266"/>
      <c r="CL598" s="1267"/>
      <c r="CM598" s="1274">
        <f t="shared" si="8"/>
        <v>0</v>
      </c>
      <c r="CN598" s="1275"/>
      <c r="CO598" s="1275"/>
      <c r="CP598" s="1275"/>
      <c r="CQ598" s="1276"/>
      <c r="CS598" s="1277">
        <f t="shared" si="11"/>
        <v>0</v>
      </c>
      <c r="CT598" s="1278"/>
      <c r="CU598" s="1278"/>
      <c r="CV598" s="1278"/>
      <c r="CW598" s="1279"/>
      <c r="CX598" s="1277">
        <f t="shared" si="12"/>
        <v>0</v>
      </c>
      <c r="CY598" s="1278"/>
      <c r="CZ598" s="1278"/>
      <c r="DA598" s="1278"/>
      <c r="DB598" s="1279"/>
      <c r="DC598" s="1277">
        <f t="shared" si="13"/>
        <v>0</v>
      </c>
      <c r="DD598" s="1278"/>
      <c r="DE598" s="1278"/>
      <c r="DF598" s="1278"/>
      <c r="DG598" s="1279"/>
      <c r="DH598" s="1277">
        <f t="shared" si="14"/>
        <v>0</v>
      </c>
      <c r="DI598" s="1278"/>
      <c r="DJ598" s="1278"/>
      <c r="DK598" s="1278"/>
      <c r="DL598" s="1279"/>
      <c r="DM598" s="1277">
        <f t="shared" si="15"/>
        <v>0</v>
      </c>
      <c r="DN598" s="1278"/>
      <c r="DO598" s="1278"/>
      <c r="DP598" s="1278"/>
      <c r="DQ598" s="1279"/>
      <c r="DR598" s="1277">
        <f t="shared" si="16"/>
        <v>0</v>
      </c>
      <c r="DS598" s="1278"/>
      <c r="DT598" s="1278"/>
      <c r="DU598" s="1278"/>
      <c r="DV598" s="1279"/>
    </row>
    <row r="599" spans="1:126" ht="12.95"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9"/>
        <v>0</v>
      </c>
      <c r="BF599" s="1273"/>
      <c r="BG599" s="1265">
        <f t="shared" si="1"/>
        <v>0</v>
      </c>
      <c r="BH599" s="1267"/>
      <c r="BI599" s="1271">
        <f t="shared" si="10"/>
        <v>0</v>
      </c>
      <c r="BJ599" s="1273"/>
      <c r="BK599" s="1265">
        <f t="shared" si="2"/>
        <v>0</v>
      </c>
      <c r="BL599" s="1267"/>
      <c r="BN599" s="1265">
        <f t="shared" si="3"/>
        <v>0</v>
      </c>
      <c r="BO599" s="1266"/>
      <c r="BP599" s="1266"/>
      <c r="BQ599" s="1266"/>
      <c r="BR599" s="1276"/>
      <c r="BS599" s="1265">
        <f t="shared" si="4"/>
        <v>0</v>
      </c>
      <c r="BT599" s="1266"/>
      <c r="BU599" s="1266"/>
      <c r="BV599" s="1266"/>
      <c r="BW599" s="1267"/>
      <c r="BX599" s="1265">
        <f t="shared" si="5"/>
        <v>0</v>
      </c>
      <c r="BY599" s="1266"/>
      <c r="BZ599" s="1266"/>
      <c r="CA599" s="1266"/>
      <c r="CB599" s="1267"/>
      <c r="CC599" s="1265">
        <f t="shared" si="6"/>
        <v>0</v>
      </c>
      <c r="CD599" s="1266"/>
      <c r="CE599" s="1266"/>
      <c r="CF599" s="1266"/>
      <c r="CG599" s="1267"/>
      <c r="CH599" s="1265">
        <f t="shared" si="7"/>
        <v>0</v>
      </c>
      <c r="CI599" s="1266"/>
      <c r="CJ599" s="1266"/>
      <c r="CK599" s="1266"/>
      <c r="CL599" s="1267"/>
      <c r="CM599" s="1274">
        <f t="shared" si="8"/>
        <v>0</v>
      </c>
      <c r="CN599" s="1275"/>
      <c r="CO599" s="1275"/>
      <c r="CP599" s="1275"/>
      <c r="CQ599" s="1276"/>
      <c r="CS599" s="1277">
        <f t="shared" si="11"/>
        <v>0</v>
      </c>
      <c r="CT599" s="1278"/>
      <c r="CU599" s="1278"/>
      <c r="CV599" s="1278"/>
      <c r="CW599" s="1279"/>
      <c r="CX599" s="1277">
        <f t="shared" si="12"/>
        <v>0</v>
      </c>
      <c r="CY599" s="1278"/>
      <c r="CZ599" s="1278"/>
      <c r="DA599" s="1278"/>
      <c r="DB599" s="1279"/>
      <c r="DC599" s="1277">
        <f t="shared" si="13"/>
        <v>0</v>
      </c>
      <c r="DD599" s="1278"/>
      <c r="DE599" s="1278"/>
      <c r="DF599" s="1278"/>
      <c r="DG599" s="1279"/>
      <c r="DH599" s="1277">
        <f t="shared" si="14"/>
        <v>0</v>
      </c>
      <c r="DI599" s="1278"/>
      <c r="DJ599" s="1278"/>
      <c r="DK599" s="1278"/>
      <c r="DL599" s="1279"/>
      <c r="DM599" s="1277">
        <f t="shared" si="15"/>
        <v>0</v>
      </c>
      <c r="DN599" s="1278"/>
      <c r="DO599" s="1278"/>
      <c r="DP599" s="1278"/>
      <c r="DQ599" s="1279"/>
      <c r="DR599" s="1277">
        <f t="shared" si="16"/>
        <v>0</v>
      </c>
      <c r="DS599" s="1278"/>
      <c r="DT599" s="1278"/>
      <c r="DU599" s="1278"/>
      <c r="DV599" s="1279"/>
    </row>
    <row r="600" spans="1:126" s="5" customFormat="1" ht="12.9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9"/>
        <v>0</v>
      </c>
      <c r="BF600" s="1273"/>
      <c r="BG600" s="1265">
        <f t="shared" si="1"/>
        <v>0</v>
      </c>
      <c r="BH600" s="1267"/>
      <c r="BI600" s="1271">
        <f t="shared" si="10"/>
        <v>0</v>
      </c>
      <c r="BJ600" s="1273"/>
      <c r="BK600" s="1265">
        <f t="shared" si="2"/>
        <v>0</v>
      </c>
      <c r="BL600" s="1267"/>
      <c r="BN600" s="1265">
        <f t="shared" si="3"/>
        <v>0</v>
      </c>
      <c r="BO600" s="1266"/>
      <c r="BP600" s="1266"/>
      <c r="BQ600" s="1266"/>
      <c r="BR600" s="1276"/>
      <c r="BS600" s="1265">
        <f t="shared" si="4"/>
        <v>0</v>
      </c>
      <c r="BT600" s="1266"/>
      <c r="BU600" s="1266"/>
      <c r="BV600" s="1266"/>
      <c r="BW600" s="1267"/>
      <c r="BX600" s="1265">
        <f t="shared" si="5"/>
        <v>0</v>
      </c>
      <c r="BY600" s="1266"/>
      <c r="BZ600" s="1266"/>
      <c r="CA600" s="1266"/>
      <c r="CB600" s="1267"/>
      <c r="CC600" s="1265">
        <f t="shared" si="6"/>
        <v>0</v>
      </c>
      <c r="CD600" s="1266"/>
      <c r="CE600" s="1266"/>
      <c r="CF600" s="1266"/>
      <c r="CG600" s="1267"/>
      <c r="CH600" s="1265">
        <f t="shared" si="7"/>
        <v>0</v>
      </c>
      <c r="CI600" s="1266"/>
      <c r="CJ600" s="1266"/>
      <c r="CK600" s="1266"/>
      <c r="CL600" s="1267"/>
      <c r="CM600" s="1274">
        <f t="shared" si="8"/>
        <v>0</v>
      </c>
      <c r="CN600" s="1275"/>
      <c r="CO600" s="1275"/>
      <c r="CP600" s="1275"/>
      <c r="CQ600" s="1276"/>
      <c r="CS600" s="1277">
        <f t="shared" si="11"/>
        <v>0</v>
      </c>
      <c r="CT600" s="1278"/>
      <c r="CU600" s="1278"/>
      <c r="CV600" s="1278"/>
      <c r="CW600" s="1279"/>
      <c r="CX600" s="1277">
        <f t="shared" si="12"/>
        <v>0</v>
      </c>
      <c r="CY600" s="1278"/>
      <c r="CZ600" s="1278"/>
      <c r="DA600" s="1278"/>
      <c r="DB600" s="1279"/>
      <c r="DC600" s="1277">
        <f t="shared" si="13"/>
        <v>0</v>
      </c>
      <c r="DD600" s="1278"/>
      <c r="DE600" s="1278"/>
      <c r="DF600" s="1278"/>
      <c r="DG600" s="1279"/>
      <c r="DH600" s="1277">
        <f t="shared" si="14"/>
        <v>0</v>
      </c>
      <c r="DI600" s="1278"/>
      <c r="DJ600" s="1278"/>
      <c r="DK600" s="1278"/>
      <c r="DL600" s="1279"/>
      <c r="DM600" s="1277">
        <f t="shared" si="15"/>
        <v>0</v>
      </c>
      <c r="DN600" s="1278"/>
      <c r="DO600" s="1278"/>
      <c r="DP600" s="1278"/>
      <c r="DQ600" s="1279"/>
      <c r="DR600" s="1277">
        <f t="shared" si="16"/>
        <v>0</v>
      </c>
      <c r="DS600" s="1278"/>
      <c r="DT600" s="1278"/>
      <c r="DU600" s="1278"/>
      <c r="DV600" s="1279"/>
    </row>
    <row r="601" spans="1:126" s="5" customFormat="1" ht="12.95" customHeight="1">
      <c r="A601" s="4"/>
      <c r="B601" t="s">
        <v>836</v>
      </c>
      <c r="C601"/>
      <c r="D601"/>
      <c r="E601"/>
      <c r="F601"/>
      <c r="G601"/>
      <c r="H601"/>
      <c r="I601"/>
      <c r="J601"/>
      <c r="K601"/>
      <c r="L601"/>
      <c r="M601"/>
      <c r="N601" s="1056" t="s">
        <v>483</v>
      </c>
      <c r="O601" s="1056"/>
      <c r="P601"/>
      <c r="Q601"/>
      <c r="R601"/>
      <c r="S601"/>
      <c r="T601" s="4"/>
      <c r="U601" t="s">
        <v>836</v>
      </c>
      <c r="V601"/>
      <c r="W601"/>
      <c r="X601"/>
      <c r="Y601"/>
      <c r="Z601"/>
      <c r="AA601"/>
      <c r="AB601"/>
      <c r="AC601"/>
      <c r="AD601"/>
      <c r="AE601"/>
      <c r="AF601"/>
      <c r="AG601" s="1056" t="s">
        <v>483</v>
      </c>
      <c r="AH601" s="1056"/>
      <c r="AI601"/>
      <c r="AJ601"/>
      <c r="AK601"/>
      <c r="AL601"/>
      <c r="AZ601" s="41"/>
      <c r="BA601" s="41"/>
      <c r="BB601" s="41"/>
      <c r="BC601" s="41"/>
      <c r="BD601" s="41"/>
      <c r="BE601" s="1271">
        <f t="shared" si="9"/>
        <v>0</v>
      </c>
      <c r="BF601" s="1273"/>
      <c r="BG601" s="1265">
        <f t="shared" si="1"/>
        <v>0</v>
      </c>
      <c r="BH601" s="1267"/>
      <c r="BI601" s="1271">
        <f t="shared" si="10"/>
        <v>0</v>
      </c>
      <c r="BJ601" s="1273"/>
      <c r="BK601" s="1265">
        <f t="shared" si="2"/>
        <v>0</v>
      </c>
      <c r="BL601" s="1267"/>
      <c r="BN601" s="1265">
        <f t="shared" si="3"/>
        <v>0</v>
      </c>
      <c r="BO601" s="1266"/>
      <c r="BP601" s="1266"/>
      <c r="BQ601" s="1266"/>
      <c r="BR601" s="1276"/>
      <c r="BS601" s="1265">
        <f t="shared" si="4"/>
        <v>0</v>
      </c>
      <c r="BT601" s="1266"/>
      <c r="BU601" s="1266"/>
      <c r="BV601" s="1266"/>
      <c r="BW601" s="1267"/>
      <c r="BX601" s="1265">
        <f t="shared" si="5"/>
        <v>0</v>
      </c>
      <c r="BY601" s="1266"/>
      <c r="BZ601" s="1266"/>
      <c r="CA601" s="1266"/>
      <c r="CB601" s="1267"/>
      <c r="CC601" s="1265">
        <f t="shared" si="6"/>
        <v>0</v>
      </c>
      <c r="CD601" s="1266"/>
      <c r="CE601" s="1266"/>
      <c r="CF601" s="1266"/>
      <c r="CG601" s="1267"/>
      <c r="CH601" s="1265">
        <f t="shared" si="7"/>
        <v>0</v>
      </c>
      <c r="CI601" s="1266"/>
      <c r="CJ601" s="1266"/>
      <c r="CK601" s="1266"/>
      <c r="CL601" s="1267"/>
      <c r="CM601" s="1274">
        <f t="shared" si="8"/>
        <v>0</v>
      </c>
      <c r="CN601" s="1275"/>
      <c r="CO601" s="1275"/>
      <c r="CP601" s="1275"/>
      <c r="CQ601" s="1276"/>
      <c r="CS601" s="1277">
        <f t="shared" si="11"/>
        <v>0</v>
      </c>
      <c r="CT601" s="1278"/>
      <c r="CU601" s="1278"/>
      <c r="CV601" s="1278"/>
      <c r="CW601" s="1279"/>
      <c r="CX601" s="1277">
        <f t="shared" si="12"/>
        <v>0</v>
      </c>
      <c r="CY601" s="1278"/>
      <c r="CZ601" s="1278"/>
      <c r="DA601" s="1278"/>
      <c r="DB601" s="1279"/>
      <c r="DC601" s="1277">
        <f t="shared" si="13"/>
        <v>0</v>
      </c>
      <c r="DD601" s="1278"/>
      <c r="DE601" s="1278"/>
      <c r="DF601" s="1278"/>
      <c r="DG601" s="1279"/>
      <c r="DH601" s="1277">
        <f t="shared" si="14"/>
        <v>0</v>
      </c>
      <c r="DI601" s="1278"/>
      <c r="DJ601" s="1278"/>
      <c r="DK601" s="1278"/>
      <c r="DL601" s="1279"/>
      <c r="DM601" s="1277">
        <f t="shared" si="15"/>
        <v>0</v>
      </c>
      <c r="DN601" s="1278"/>
      <c r="DO601" s="1278"/>
      <c r="DP601" s="1278"/>
      <c r="DQ601" s="1279"/>
      <c r="DR601" s="1277">
        <f t="shared" si="16"/>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9"/>
        <v>0</v>
      </c>
      <c r="BF602" s="1273"/>
      <c r="BG602" s="1265">
        <f t="shared" si="1"/>
        <v>0</v>
      </c>
      <c r="BH602" s="1267"/>
      <c r="BI602" s="1271">
        <f t="shared" si="10"/>
        <v>0</v>
      </c>
      <c r="BJ602" s="1273"/>
      <c r="BK602" s="1265">
        <f t="shared" si="2"/>
        <v>0</v>
      </c>
      <c r="BL602" s="1267"/>
      <c r="BN602" s="1265">
        <f t="shared" si="3"/>
        <v>0</v>
      </c>
      <c r="BO602" s="1266"/>
      <c r="BP602" s="1266"/>
      <c r="BQ602" s="1266"/>
      <c r="BR602" s="1276"/>
      <c r="BS602" s="1265">
        <f t="shared" si="4"/>
        <v>0</v>
      </c>
      <c r="BT602" s="1266"/>
      <c r="BU602" s="1266"/>
      <c r="BV602" s="1266"/>
      <c r="BW602" s="1267"/>
      <c r="BX602" s="1265">
        <f t="shared" si="5"/>
        <v>0</v>
      </c>
      <c r="BY602" s="1266"/>
      <c r="BZ602" s="1266"/>
      <c r="CA602" s="1266"/>
      <c r="CB602" s="1267"/>
      <c r="CC602" s="1265">
        <f t="shared" si="6"/>
        <v>0</v>
      </c>
      <c r="CD602" s="1266"/>
      <c r="CE602" s="1266"/>
      <c r="CF602" s="1266"/>
      <c r="CG602" s="1267"/>
      <c r="CH602" s="1265">
        <f t="shared" si="7"/>
        <v>0</v>
      </c>
      <c r="CI602" s="1266"/>
      <c r="CJ602" s="1266"/>
      <c r="CK602" s="1266"/>
      <c r="CL602" s="1267"/>
      <c r="CM602" s="1274">
        <f t="shared" si="8"/>
        <v>0</v>
      </c>
      <c r="CN602" s="1275"/>
      <c r="CO602" s="1275"/>
      <c r="CP602" s="1275"/>
      <c r="CQ602" s="1276"/>
      <c r="CS602" s="1277">
        <f t="shared" si="11"/>
        <v>0</v>
      </c>
      <c r="CT602" s="1278"/>
      <c r="CU602" s="1278"/>
      <c r="CV602" s="1278"/>
      <c r="CW602" s="1279"/>
      <c r="CX602" s="1277">
        <f t="shared" si="12"/>
        <v>0</v>
      </c>
      <c r="CY602" s="1278"/>
      <c r="CZ602" s="1278"/>
      <c r="DA602" s="1278"/>
      <c r="DB602" s="1279"/>
      <c r="DC602" s="1277">
        <f t="shared" si="13"/>
        <v>0</v>
      </c>
      <c r="DD602" s="1278"/>
      <c r="DE602" s="1278"/>
      <c r="DF602" s="1278"/>
      <c r="DG602" s="1279"/>
      <c r="DH602" s="1277">
        <f t="shared" si="14"/>
        <v>0</v>
      </c>
      <c r="DI602" s="1278"/>
      <c r="DJ602" s="1278"/>
      <c r="DK602" s="1278"/>
      <c r="DL602" s="1279"/>
      <c r="DM602" s="1277">
        <f t="shared" si="15"/>
        <v>0</v>
      </c>
      <c r="DN602" s="1278"/>
      <c r="DO602" s="1278"/>
      <c r="DP602" s="1278"/>
      <c r="DQ602" s="1279"/>
      <c r="DR602" s="1277">
        <f t="shared" si="16"/>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9"/>
        <v>0</v>
      </c>
      <c r="BF603" s="1273"/>
      <c r="BG603" s="1265">
        <f t="shared" si="1"/>
        <v>0</v>
      </c>
      <c r="BH603" s="1267"/>
      <c r="BI603" s="1271">
        <f t="shared" si="10"/>
        <v>0</v>
      </c>
      <c r="BJ603" s="1273"/>
      <c r="BK603" s="1265">
        <f t="shared" si="2"/>
        <v>0</v>
      </c>
      <c r="BL603" s="1267"/>
      <c r="BN603" s="1265">
        <f t="shared" si="3"/>
        <v>0</v>
      </c>
      <c r="BO603" s="1266"/>
      <c r="BP603" s="1266"/>
      <c r="BQ603" s="1266"/>
      <c r="BR603" s="1276"/>
      <c r="BS603" s="1265">
        <f t="shared" si="4"/>
        <v>0</v>
      </c>
      <c r="BT603" s="1266"/>
      <c r="BU603" s="1266"/>
      <c r="BV603" s="1266"/>
      <c r="BW603" s="1267"/>
      <c r="BX603" s="1265">
        <f t="shared" si="5"/>
        <v>0</v>
      </c>
      <c r="BY603" s="1266"/>
      <c r="BZ603" s="1266"/>
      <c r="CA603" s="1266"/>
      <c r="CB603" s="1267"/>
      <c r="CC603" s="1265">
        <f t="shared" si="6"/>
        <v>0</v>
      </c>
      <c r="CD603" s="1266"/>
      <c r="CE603" s="1266"/>
      <c r="CF603" s="1266"/>
      <c r="CG603" s="1267"/>
      <c r="CH603" s="1265">
        <f t="shared" si="7"/>
        <v>0</v>
      </c>
      <c r="CI603" s="1266"/>
      <c r="CJ603" s="1266"/>
      <c r="CK603" s="1266"/>
      <c r="CL603" s="1267"/>
      <c r="CM603" s="1274">
        <f t="shared" si="8"/>
        <v>0</v>
      </c>
      <c r="CN603" s="1275"/>
      <c r="CO603" s="1275"/>
      <c r="CP603" s="1275"/>
      <c r="CQ603" s="1276"/>
      <c r="CS603" s="1277">
        <f t="shared" si="11"/>
        <v>0</v>
      </c>
      <c r="CT603" s="1278"/>
      <c r="CU603" s="1278"/>
      <c r="CV603" s="1278"/>
      <c r="CW603" s="1279"/>
      <c r="CX603" s="1277">
        <f t="shared" si="12"/>
        <v>0</v>
      </c>
      <c r="CY603" s="1278"/>
      <c r="CZ603" s="1278"/>
      <c r="DA603" s="1278"/>
      <c r="DB603" s="1279"/>
      <c r="DC603" s="1277">
        <f t="shared" si="13"/>
        <v>0</v>
      </c>
      <c r="DD603" s="1278"/>
      <c r="DE603" s="1278"/>
      <c r="DF603" s="1278"/>
      <c r="DG603" s="1279"/>
      <c r="DH603" s="1277">
        <f t="shared" si="14"/>
        <v>0</v>
      </c>
      <c r="DI603" s="1278"/>
      <c r="DJ603" s="1278"/>
      <c r="DK603" s="1278"/>
      <c r="DL603" s="1279"/>
      <c r="DM603" s="1277">
        <f t="shared" si="15"/>
        <v>0</v>
      </c>
      <c r="DN603" s="1278"/>
      <c r="DO603" s="1278"/>
      <c r="DP603" s="1278"/>
      <c r="DQ603" s="1279"/>
      <c r="DR603" s="1277">
        <f t="shared" si="16"/>
        <v>0</v>
      </c>
      <c r="DS603" s="1278"/>
      <c r="DT603" s="1278"/>
      <c r="DU603" s="1278"/>
      <c r="DV603" s="1279"/>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9"/>
        <v>0</v>
      </c>
      <c r="BF604" s="1273"/>
      <c r="BG604" s="1265">
        <f t="shared" si="1"/>
        <v>0</v>
      </c>
      <c r="BH604" s="1267"/>
      <c r="BI604" s="1271">
        <f t="shared" si="10"/>
        <v>0</v>
      </c>
      <c r="BJ604" s="1273"/>
      <c r="BK604" s="1265">
        <f t="shared" si="2"/>
        <v>0</v>
      </c>
      <c r="BL604" s="1267"/>
      <c r="BN604" s="1265">
        <f t="shared" si="3"/>
        <v>0</v>
      </c>
      <c r="BO604" s="1266"/>
      <c r="BP604" s="1266"/>
      <c r="BQ604" s="1266"/>
      <c r="BR604" s="1276"/>
      <c r="BS604" s="1265">
        <f t="shared" si="4"/>
        <v>0</v>
      </c>
      <c r="BT604" s="1266"/>
      <c r="BU604" s="1266"/>
      <c r="BV604" s="1266"/>
      <c r="BW604" s="1267"/>
      <c r="BX604" s="1265">
        <f t="shared" si="5"/>
        <v>0</v>
      </c>
      <c r="BY604" s="1266"/>
      <c r="BZ604" s="1266"/>
      <c r="CA604" s="1266"/>
      <c r="CB604" s="1267"/>
      <c r="CC604" s="1265">
        <f t="shared" si="6"/>
        <v>0</v>
      </c>
      <c r="CD604" s="1266"/>
      <c r="CE604" s="1266"/>
      <c r="CF604" s="1266"/>
      <c r="CG604" s="1267"/>
      <c r="CH604" s="1265">
        <f t="shared" si="7"/>
        <v>0</v>
      </c>
      <c r="CI604" s="1266"/>
      <c r="CJ604" s="1266"/>
      <c r="CK604" s="1266"/>
      <c r="CL604" s="1267"/>
      <c r="CM604" s="1274">
        <f t="shared" si="8"/>
        <v>0</v>
      </c>
      <c r="CN604" s="1275"/>
      <c r="CO604" s="1275"/>
      <c r="CP604" s="1275"/>
      <c r="CQ604" s="1276"/>
      <c r="CS604" s="1277">
        <f t="shared" si="11"/>
        <v>0</v>
      </c>
      <c r="CT604" s="1278"/>
      <c r="CU604" s="1278"/>
      <c r="CV604" s="1278"/>
      <c r="CW604" s="1279"/>
      <c r="CX604" s="1277">
        <f t="shared" si="12"/>
        <v>0</v>
      </c>
      <c r="CY604" s="1278"/>
      <c r="CZ604" s="1278"/>
      <c r="DA604" s="1278"/>
      <c r="DB604" s="1279"/>
      <c r="DC604" s="1277">
        <f t="shared" si="13"/>
        <v>0</v>
      </c>
      <c r="DD604" s="1278"/>
      <c r="DE604" s="1278"/>
      <c r="DF604" s="1278"/>
      <c r="DG604" s="1279"/>
      <c r="DH604" s="1277">
        <f t="shared" si="14"/>
        <v>0</v>
      </c>
      <c r="DI604" s="1278"/>
      <c r="DJ604" s="1278"/>
      <c r="DK604" s="1278"/>
      <c r="DL604" s="1279"/>
      <c r="DM604" s="1277">
        <f t="shared" si="15"/>
        <v>0</v>
      </c>
      <c r="DN604" s="1278"/>
      <c r="DO604" s="1278"/>
      <c r="DP604" s="1278"/>
      <c r="DQ604" s="1279"/>
      <c r="DR604" s="1277">
        <f t="shared" si="16"/>
        <v>0</v>
      </c>
      <c r="DS604" s="1278"/>
      <c r="DT604" s="1278"/>
      <c r="DU604" s="1278"/>
      <c r="DV604" s="1279"/>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9"/>
        <v>0</v>
      </c>
      <c r="BF605" s="1273"/>
      <c r="BG605" s="1265">
        <f t="shared" si="1"/>
        <v>0</v>
      </c>
      <c r="BH605" s="1267"/>
      <c r="BI605" s="1271">
        <f t="shared" si="10"/>
        <v>0</v>
      </c>
      <c r="BJ605" s="1273"/>
      <c r="BK605" s="1265">
        <f t="shared" si="2"/>
        <v>0</v>
      </c>
      <c r="BL605" s="1267"/>
      <c r="BN605" s="1265">
        <f t="shared" si="3"/>
        <v>0</v>
      </c>
      <c r="BO605" s="1266"/>
      <c r="BP605" s="1266"/>
      <c r="BQ605" s="1266"/>
      <c r="BR605" s="1276"/>
      <c r="BS605" s="1265">
        <f t="shared" si="4"/>
        <v>0</v>
      </c>
      <c r="BT605" s="1266"/>
      <c r="BU605" s="1266"/>
      <c r="BV605" s="1266"/>
      <c r="BW605" s="1267"/>
      <c r="BX605" s="1265">
        <f t="shared" si="5"/>
        <v>0</v>
      </c>
      <c r="BY605" s="1266"/>
      <c r="BZ605" s="1266"/>
      <c r="CA605" s="1266"/>
      <c r="CB605" s="1267"/>
      <c r="CC605" s="1265">
        <f t="shared" si="6"/>
        <v>0</v>
      </c>
      <c r="CD605" s="1266"/>
      <c r="CE605" s="1266"/>
      <c r="CF605" s="1266"/>
      <c r="CG605" s="1267"/>
      <c r="CH605" s="1265">
        <f t="shared" si="7"/>
        <v>0</v>
      </c>
      <c r="CI605" s="1266"/>
      <c r="CJ605" s="1266"/>
      <c r="CK605" s="1266"/>
      <c r="CL605" s="1267"/>
      <c r="CM605" s="1274">
        <f t="shared" si="8"/>
        <v>0</v>
      </c>
      <c r="CN605" s="1275"/>
      <c r="CO605" s="1275"/>
      <c r="CP605" s="1275"/>
      <c r="CQ605" s="1276"/>
      <c r="CS605" s="1277">
        <f t="shared" si="11"/>
        <v>0</v>
      </c>
      <c r="CT605" s="1278"/>
      <c r="CU605" s="1278"/>
      <c r="CV605" s="1278"/>
      <c r="CW605" s="1279"/>
      <c r="CX605" s="1277">
        <f t="shared" si="12"/>
        <v>0</v>
      </c>
      <c r="CY605" s="1278"/>
      <c r="CZ605" s="1278"/>
      <c r="DA605" s="1278"/>
      <c r="DB605" s="1279"/>
      <c r="DC605" s="1277">
        <f t="shared" si="13"/>
        <v>0</v>
      </c>
      <c r="DD605" s="1278"/>
      <c r="DE605" s="1278"/>
      <c r="DF605" s="1278"/>
      <c r="DG605" s="1279"/>
      <c r="DH605" s="1277">
        <f t="shared" si="14"/>
        <v>0</v>
      </c>
      <c r="DI605" s="1278"/>
      <c r="DJ605" s="1278"/>
      <c r="DK605" s="1278"/>
      <c r="DL605" s="1279"/>
      <c r="DM605" s="1277">
        <f t="shared" si="15"/>
        <v>0</v>
      </c>
      <c r="DN605" s="1278"/>
      <c r="DO605" s="1278"/>
      <c r="DP605" s="1278"/>
      <c r="DQ605" s="1279"/>
      <c r="DR605" s="1277">
        <f t="shared" si="16"/>
        <v>0</v>
      </c>
      <c r="DS605" s="1278"/>
      <c r="DT605" s="1278"/>
      <c r="DU605" s="1278"/>
      <c r="DV605" s="1279"/>
    </row>
    <row r="606" spans="1:126" ht="12.95"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9"/>
        <v>0</v>
      </c>
      <c r="BF606" s="1273"/>
      <c r="BG606" s="1265">
        <f t="shared" si="1"/>
        <v>0</v>
      </c>
      <c r="BH606" s="1267"/>
      <c r="BI606" s="1271">
        <f t="shared" si="10"/>
        <v>0</v>
      </c>
      <c r="BJ606" s="1273"/>
      <c r="BK606" s="1265">
        <f t="shared" si="2"/>
        <v>0</v>
      </c>
      <c r="BL606" s="1267"/>
      <c r="BN606" s="1265">
        <f t="shared" si="3"/>
        <v>0</v>
      </c>
      <c r="BO606" s="1266"/>
      <c r="BP606" s="1266"/>
      <c r="BQ606" s="1266"/>
      <c r="BR606" s="1276"/>
      <c r="BS606" s="1265">
        <f t="shared" si="4"/>
        <v>0</v>
      </c>
      <c r="BT606" s="1266"/>
      <c r="BU606" s="1266"/>
      <c r="BV606" s="1266"/>
      <c r="BW606" s="1267"/>
      <c r="BX606" s="1265">
        <f t="shared" si="5"/>
        <v>0</v>
      </c>
      <c r="BY606" s="1266"/>
      <c r="BZ606" s="1266"/>
      <c r="CA606" s="1266"/>
      <c r="CB606" s="1267"/>
      <c r="CC606" s="1265">
        <f t="shared" si="6"/>
        <v>0</v>
      </c>
      <c r="CD606" s="1266"/>
      <c r="CE606" s="1266"/>
      <c r="CF606" s="1266"/>
      <c r="CG606" s="1267"/>
      <c r="CH606" s="1265">
        <f t="shared" si="7"/>
        <v>0</v>
      </c>
      <c r="CI606" s="1266"/>
      <c r="CJ606" s="1266"/>
      <c r="CK606" s="1266"/>
      <c r="CL606" s="1267"/>
      <c r="CM606" s="1274">
        <f t="shared" si="8"/>
        <v>0</v>
      </c>
      <c r="CN606" s="1275"/>
      <c r="CO606" s="1275"/>
      <c r="CP606" s="1275"/>
      <c r="CQ606" s="1276"/>
      <c r="CS606" s="1277">
        <f t="shared" si="11"/>
        <v>0</v>
      </c>
      <c r="CT606" s="1278"/>
      <c r="CU606" s="1278"/>
      <c r="CV606" s="1278"/>
      <c r="CW606" s="1279"/>
      <c r="CX606" s="1277">
        <f t="shared" si="12"/>
        <v>0</v>
      </c>
      <c r="CY606" s="1278"/>
      <c r="CZ606" s="1278"/>
      <c r="DA606" s="1278"/>
      <c r="DB606" s="1279"/>
      <c r="DC606" s="1277">
        <f t="shared" si="13"/>
        <v>0</v>
      </c>
      <c r="DD606" s="1278"/>
      <c r="DE606" s="1278"/>
      <c r="DF606" s="1278"/>
      <c r="DG606" s="1279"/>
      <c r="DH606" s="1277">
        <f t="shared" si="14"/>
        <v>0</v>
      </c>
      <c r="DI606" s="1278"/>
      <c r="DJ606" s="1278"/>
      <c r="DK606" s="1278"/>
      <c r="DL606" s="1279"/>
      <c r="DM606" s="1277">
        <f t="shared" si="15"/>
        <v>0</v>
      </c>
      <c r="DN606" s="1278"/>
      <c r="DO606" s="1278"/>
      <c r="DP606" s="1278"/>
      <c r="DQ606" s="1279"/>
      <c r="DR606" s="1277">
        <f t="shared" si="16"/>
        <v>0</v>
      </c>
      <c r="DS606" s="1278"/>
      <c r="DT606" s="1278"/>
      <c r="DU606" s="1278"/>
      <c r="DV606" s="1279"/>
    </row>
    <row r="607" spans="1:126" ht="12.95"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9"/>
        <v>0</v>
      </c>
      <c r="BF607" s="1273"/>
      <c r="BG607" s="1265">
        <f t="shared" si="1"/>
        <v>0</v>
      </c>
      <c r="BH607" s="1267"/>
      <c r="BI607" s="1271">
        <f t="shared" si="10"/>
        <v>0</v>
      </c>
      <c r="BJ607" s="1273"/>
      <c r="BK607" s="1265">
        <f t="shared" si="2"/>
        <v>0</v>
      </c>
      <c r="BL607" s="1267"/>
      <c r="BN607" s="1265">
        <f t="shared" si="3"/>
        <v>0</v>
      </c>
      <c r="BO607" s="1266"/>
      <c r="BP607" s="1266"/>
      <c r="BQ607" s="1266"/>
      <c r="BR607" s="1276"/>
      <c r="BS607" s="1265">
        <f t="shared" si="4"/>
        <v>0</v>
      </c>
      <c r="BT607" s="1266"/>
      <c r="BU607" s="1266"/>
      <c r="BV607" s="1266"/>
      <c r="BW607" s="1267"/>
      <c r="BX607" s="1265">
        <f t="shared" si="5"/>
        <v>0</v>
      </c>
      <c r="BY607" s="1266"/>
      <c r="BZ607" s="1266"/>
      <c r="CA607" s="1266"/>
      <c r="CB607" s="1267"/>
      <c r="CC607" s="1265">
        <f t="shared" si="6"/>
        <v>0</v>
      </c>
      <c r="CD607" s="1266"/>
      <c r="CE607" s="1266"/>
      <c r="CF607" s="1266"/>
      <c r="CG607" s="1267"/>
      <c r="CH607" s="1265">
        <f t="shared" si="7"/>
        <v>0</v>
      </c>
      <c r="CI607" s="1266"/>
      <c r="CJ607" s="1266"/>
      <c r="CK607" s="1266"/>
      <c r="CL607" s="1267"/>
      <c r="CM607" s="1274">
        <f t="shared" si="8"/>
        <v>0</v>
      </c>
      <c r="CN607" s="1275"/>
      <c r="CO607" s="1275"/>
      <c r="CP607" s="1275"/>
      <c r="CQ607" s="1276"/>
      <c r="CS607" s="1277">
        <f t="shared" si="11"/>
        <v>0</v>
      </c>
      <c r="CT607" s="1278"/>
      <c r="CU607" s="1278"/>
      <c r="CV607" s="1278"/>
      <c r="CW607" s="1279"/>
      <c r="CX607" s="1277">
        <f t="shared" si="12"/>
        <v>0</v>
      </c>
      <c r="CY607" s="1278"/>
      <c r="CZ607" s="1278"/>
      <c r="DA607" s="1278"/>
      <c r="DB607" s="1279"/>
      <c r="DC607" s="1277">
        <f t="shared" si="13"/>
        <v>0</v>
      </c>
      <c r="DD607" s="1278"/>
      <c r="DE607" s="1278"/>
      <c r="DF607" s="1278"/>
      <c r="DG607" s="1279"/>
      <c r="DH607" s="1277">
        <f t="shared" si="14"/>
        <v>0</v>
      </c>
      <c r="DI607" s="1278"/>
      <c r="DJ607" s="1278"/>
      <c r="DK607" s="1278"/>
      <c r="DL607" s="1279"/>
      <c r="DM607" s="1277">
        <f t="shared" si="15"/>
        <v>0</v>
      </c>
      <c r="DN607" s="1278"/>
      <c r="DO607" s="1278"/>
      <c r="DP607" s="1278"/>
      <c r="DQ607" s="1279"/>
      <c r="DR607" s="1277">
        <f t="shared" si="16"/>
        <v>0</v>
      </c>
      <c r="DS607" s="1278"/>
      <c r="DT607" s="1278"/>
      <c r="DU607" s="1278"/>
      <c r="DV607" s="1279"/>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9"/>
        <v>0</v>
      </c>
      <c r="BF608" s="1273"/>
      <c r="BG608" s="1265">
        <f t="shared" si="1"/>
        <v>0</v>
      </c>
      <c r="BH608" s="1267"/>
      <c r="BI608" s="1271">
        <f t="shared" si="10"/>
        <v>0</v>
      </c>
      <c r="BJ608" s="1273"/>
      <c r="BK608" s="1265">
        <f t="shared" si="2"/>
        <v>0</v>
      </c>
      <c r="BL608" s="1267"/>
      <c r="BN608" s="1265">
        <f t="shared" si="3"/>
        <v>0</v>
      </c>
      <c r="BO608" s="1266"/>
      <c r="BP608" s="1266"/>
      <c r="BQ608" s="1266"/>
      <c r="BR608" s="1276"/>
      <c r="BS608" s="1265">
        <f t="shared" si="4"/>
        <v>0</v>
      </c>
      <c r="BT608" s="1266"/>
      <c r="BU608" s="1266"/>
      <c r="BV608" s="1266"/>
      <c r="BW608" s="1267"/>
      <c r="BX608" s="1265">
        <f t="shared" si="5"/>
        <v>0</v>
      </c>
      <c r="BY608" s="1266"/>
      <c r="BZ608" s="1266"/>
      <c r="CA608" s="1266"/>
      <c r="CB608" s="1267"/>
      <c r="CC608" s="1265">
        <f t="shared" si="6"/>
        <v>0</v>
      </c>
      <c r="CD608" s="1266"/>
      <c r="CE608" s="1266"/>
      <c r="CF608" s="1266"/>
      <c r="CG608" s="1267"/>
      <c r="CH608" s="1265">
        <f t="shared" si="7"/>
        <v>0</v>
      </c>
      <c r="CI608" s="1266"/>
      <c r="CJ608" s="1266"/>
      <c r="CK608" s="1266"/>
      <c r="CL608" s="1267"/>
      <c r="CM608" s="1274">
        <f t="shared" si="8"/>
        <v>0</v>
      </c>
      <c r="CN608" s="1275"/>
      <c r="CO608" s="1275"/>
      <c r="CP608" s="1275"/>
      <c r="CQ608" s="1276"/>
      <c r="CS608" s="1277">
        <f t="shared" si="11"/>
        <v>0</v>
      </c>
      <c r="CT608" s="1278"/>
      <c r="CU608" s="1278"/>
      <c r="CV608" s="1278"/>
      <c r="CW608" s="1279"/>
      <c r="CX608" s="1277">
        <f t="shared" si="12"/>
        <v>0</v>
      </c>
      <c r="CY608" s="1278"/>
      <c r="CZ608" s="1278"/>
      <c r="DA608" s="1278"/>
      <c r="DB608" s="1279"/>
      <c r="DC608" s="1277">
        <f t="shared" si="13"/>
        <v>0</v>
      </c>
      <c r="DD608" s="1278"/>
      <c r="DE608" s="1278"/>
      <c r="DF608" s="1278"/>
      <c r="DG608" s="1279"/>
      <c r="DH608" s="1277">
        <f t="shared" si="14"/>
        <v>0</v>
      </c>
      <c r="DI608" s="1278"/>
      <c r="DJ608" s="1278"/>
      <c r="DK608" s="1278"/>
      <c r="DL608" s="1279"/>
      <c r="DM608" s="1277">
        <f t="shared" si="15"/>
        <v>0</v>
      </c>
      <c r="DN608" s="1278"/>
      <c r="DO608" s="1278"/>
      <c r="DP608" s="1278"/>
      <c r="DQ608" s="1279"/>
      <c r="DR608" s="1277">
        <f t="shared" si="16"/>
        <v>0</v>
      </c>
      <c r="DS608" s="1278"/>
      <c r="DT608" s="1278"/>
      <c r="DU608" s="1278"/>
      <c r="DV608" s="1279"/>
    </row>
    <row r="609" spans="1:126" ht="12.95" customHeight="1">
      <c r="B609" t="s">
        <v>836</v>
      </c>
      <c r="N609" s="1098" t="s">
        <v>483</v>
      </c>
      <c r="O609" s="1098"/>
      <c r="U609" t="s">
        <v>836</v>
      </c>
      <c r="AG609" s="1098" t="s">
        <v>483</v>
      </c>
      <c r="AH609" s="1098"/>
      <c r="AZ609" s="41"/>
      <c r="BA609" s="41"/>
      <c r="BB609" s="41"/>
      <c r="BC609" s="41"/>
      <c r="BD609" s="41"/>
      <c r="BE609" s="1271">
        <f t="shared" si="9"/>
        <v>0</v>
      </c>
      <c r="BF609" s="1273"/>
      <c r="BG609" s="1265">
        <f t="shared" si="1"/>
        <v>0</v>
      </c>
      <c r="BH609" s="1267"/>
      <c r="BI609" s="1271">
        <f t="shared" si="10"/>
        <v>0</v>
      </c>
      <c r="BJ609" s="1273"/>
      <c r="BK609" s="1265">
        <f t="shared" si="2"/>
        <v>0</v>
      </c>
      <c r="BL609" s="1267"/>
      <c r="BN609" s="1265">
        <f t="shared" si="3"/>
        <v>0</v>
      </c>
      <c r="BO609" s="1266"/>
      <c r="BP609" s="1266"/>
      <c r="BQ609" s="1266"/>
      <c r="BR609" s="1276"/>
      <c r="BS609" s="1265">
        <f t="shared" si="4"/>
        <v>0</v>
      </c>
      <c r="BT609" s="1266"/>
      <c r="BU609" s="1266"/>
      <c r="BV609" s="1266"/>
      <c r="BW609" s="1267"/>
      <c r="BX609" s="1265">
        <f t="shared" si="5"/>
        <v>0</v>
      </c>
      <c r="BY609" s="1266"/>
      <c r="BZ609" s="1266"/>
      <c r="CA609" s="1266"/>
      <c r="CB609" s="1267"/>
      <c r="CC609" s="1265">
        <f t="shared" si="6"/>
        <v>0</v>
      </c>
      <c r="CD609" s="1266"/>
      <c r="CE609" s="1266"/>
      <c r="CF609" s="1266"/>
      <c r="CG609" s="1267"/>
      <c r="CH609" s="1265">
        <f t="shared" si="7"/>
        <v>0</v>
      </c>
      <c r="CI609" s="1266"/>
      <c r="CJ609" s="1266"/>
      <c r="CK609" s="1266"/>
      <c r="CL609" s="1267"/>
      <c r="CM609" s="1274">
        <f t="shared" si="8"/>
        <v>0</v>
      </c>
      <c r="CN609" s="1275"/>
      <c r="CO609" s="1275"/>
      <c r="CP609" s="1275"/>
      <c r="CQ609" s="1276"/>
      <c r="CS609" s="1277">
        <f t="shared" si="11"/>
        <v>0</v>
      </c>
      <c r="CT609" s="1278"/>
      <c r="CU609" s="1278"/>
      <c r="CV609" s="1278"/>
      <c r="CW609" s="1279"/>
      <c r="CX609" s="1277">
        <f t="shared" si="12"/>
        <v>0</v>
      </c>
      <c r="CY609" s="1278"/>
      <c r="CZ609" s="1278"/>
      <c r="DA609" s="1278"/>
      <c r="DB609" s="1279"/>
      <c r="DC609" s="1277">
        <f t="shared" si="13"/>
        <v>0</v>
      </c>
      <c r="DD609" s="1278"/>
      <c r="DE609" s="1278"/>
      <c r="DF609" s="1278"/>
      <c r="DG609" s="1279"/>
      <c r="DH609" s="1277">
        <f t="shared" si="14"/>
        <v>0</v>
      </c>
      <c r="DI609" s="1278"/>
      <c r="DJ609" s="1278"/>
      <c r="DK609" s="1278"/>
      <c r="DL609" s="1279"/>
      <c r="DM609" s="1277">
        <f t="shared" si="15"/>
        <v>0</v>
      </c>
      <c r="DN609" s="1278"/>
      <c r="DO609" s="1278"/>
      <c r="DP609" s="1278"/>
      <c r="DQ609" s="1279"/>
      <c r="DR609" s="1277">
        <f t="shared" si="16"/>
        <v>0</v>
      </c>
      <c r="DS609" s="1278"/>
      <c r="DT609" s="1278"/>
      <c r="DU609" s="1278"/>
      <c r="DV609" s="1279"/>
    </row>
    <row r="610" spans="1:126" ht="12.95" customHeight="1">
      <c r="AZ610" s="41"/>
      <c r="BA610" s="41"/>
      <c r="BB610" s="41"/>
      <c r="BC610" s="41"/>
      <c r="BD610" s="41"/>
      <c r="BE610" s="1271">
        <f t="shared" si="9"/>
        <v>0</v>
      </c>
      <c r="BF610" s="1273"/>
      <c r="BG610" s="1265">
        <f t="shared" si="1"/>
        <v>0</v>
      </c>
      <c r="BH610" s="1267"/>
      <c r="BI610" s="1271">
        <f t="shared" si="10"/>
        <v>0</v>
      </c>
      <c r="BJ610" s="1273"/>
      <c r="BK610" s="1265">
        <f t="shared" si="2"/>
        <v>0</v>
      </c>
      <c r="BL610" s="1267"/>
      <c r="BN610" s="1265">
        <f t="shared" si="3"/>
        <v>0</v>
      </c>
      <c r="BO610" s="1266"/>
      <c r="BP610" s="1266"/>
      <c r="BQ610" s="1266"/>
      <c r="BR610" s="1276"/>
      <c r="BS610" s="1265">
        <f t="shared" si="4"/>
        <v>0</v>
      </c>
      <c r="BT610" s="1266"/>
      <c r="BU610" s="1266"/>
      <c r="BV610" s="1266"/>
      <c r="BW610" s="1267"/>
      <c r="BX610" s="1265">
        <f t="shared" si="5"/>
        <v>0</v>
      </c>
      <c r="BY610" s="1266"/>
      <c r="BZ610" s="1266"/>
      <c r="CA610" s="1266"/>
      <c r="CB610" s="1267"/>
      <c r="CC610" s="1265">
        <f t="shared" si="6"/>
        <v>0</v>
      </c>
      <c r="CD610" s="1266"/>
      <c r="CE610" s="1266"/>
      <c r="CF610" s="1266"/>
      <c r="CG610" s="1267"/>
      <c r="CH610" s="1265">
        <f t="shared" si="7"/>
        <v>0</v>
      </c>
      <c r="CI610" s="1266"/>
      <c r="CJ610" s="1266"/>
      <c r="CK610" s="1266"/>
      <c r="CL610" s="1267"/>
      <c r="CM610" s="1274">
        <f t="shared" si="8"/>
        <v>0</v>
      </c>
      <c r="CN610" s="1275"/>
      <c r="CO610" s="1275"/>
      <c r="CP610" s="1275"/>
      <c r="CQ610" s="1276"/>
      <c r="CS610" s="1277">
        <f t="shared" si="11"/>
        <v>0</v>
      </c>
      <c r="CT610" s="1278"/>
      <c r="CU610" s="1278"/>
      <c r="CV610" s="1278"/>
      <c r="CW610" s="1279"/>
      <c r="CX610" s="1277">
        <f t="shared" si="12"/>
        <v>0</v>
      </c>
      <c r="CY610" s="1278"/>
      <c r="CZ610" s="1278"/>
      <c r="DA610" s="1278"/>
      <c r="DB610" s="1279"/>
      <c r="DC610" s="1277">
        <f t="shared" si="13"/>
        <v>0</v>
      </c>
      <c r="DD610" s="1278"/>
      <c r="DE610" s="1278"/>
      <c r="DF610" s="1278"/>
      <c r="DG610" s="1279"/>
      <c r="DH610" s="1277">
        <f t="shared" si="14"/>
        <v>0</v>
      </c>
      <c r="DI610" s="1278"/>
      <c r="DJ610" s="1278"/>
      <c r="DK610" s="1278"/>
      <c r="DL610" s="1279"/>
      <c r="DM610" s="1277">
        <f t="shared" si="15"/>
        <v>0</v>
      </c>
      <c r="DN610" s="1278"/>
      <c r="DO610" s="1278"/>
      <c r="DP610" s="1278"/>
      <c r="DQ610" s="1279"/>
      <c r="DR610" s="1277">
        <f t="shared" si="16"/>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9"/>
        <v>0</v>
      </c>
      <c r="BF611" s="1273"/>
      <c r="BG611" s="1265">
        <f t="shared" si="1"/>
        <v>0</v>
      </c>
      <c r="BH611" s="1267"/>
      <c r="BI611" s="1271">
        <f t="shared" si="10"/>
        <v>0</v>
      </c>
      <c r="BJ611" s="1273"/>
      <c r="BK611" s="1265">
        <f t="shared" si="2"/>
        <v>0</v>
      </c>
      <c r="BL611" s="1267"/>
      <c r="BN611" s="1265">
        <f t="shared" si="3"/>
        <v>0</v>
      </c>
      <c r="BO611" s="1266"/>
      <c r="BP611" s="1266"/>
      <c r="BQ611" s="1266"/>
      <c r="BR611" s="1276"/>
      <c r="BS611" s="1265">
        <f t="shared" si="4"/>
        <v>0</v>
      </c>
      <c r="BT611" s="1266"/>
      <c r="BU611" s="1266"/>
      <c r="BV611" s="1266"/>
      <c r="BW611" s="1267"/>
      <c r="BX611" s="1265">
        <f t="shared" si="5"/>
        <v>0</v>
      </c>
      <c r="BY611" s="1266"/>
      <c r="BZ611" s="1266"/>
      <c r="CA611" s="1266"/>
      <c r="CB611" s="1267"/>
      <c r="CC611" s="1265">
        <f t="shared" si="6"/>
        <v>0</v>
      </c>
      <c r="CD611" s="1266"/>
      <c r="CE611" s="1266"/>
      <c r="CF611" s="1266"/>
      <c r="CG611" s="1267"/>
      <c r="CH611" s="1265">
        <f t="shared" si="7"/>
        <v>0</v>
      </c>
      <c r="CI611" s="1266"/>
      <c r="CJ611" s="1266"/>
      <c r="CK611" s="1266"/>
      <c r="CL611" s="1267"/>
      <c r="CM611" s="1274">
        <f t="shared" si="8"/>
        <v>0</v>
      </c>
      <c r="CN611" s="1275"/>
      <c r="CO611" s="1275"/>
      <c r="CP611" s="1275"/>
      <c r="CQ611" s="1276"/>
      <c r="CS611" s="1277">
        <f t="shared" si="11"/>
        <v>0</v>
      </c>
      <c r="CT611" s="1278"/>
      <c r="CU611" s="1278"/>
      <c r="CV611" s="1278"/>
      <c r="CW611" s="1279"/>
      <c r="CX611" s="1277">
        <f t="shared" si="12"/>
        <v>0</v>
      </c>
      <c r="CY611" s="1278"/>
      <c r="CZ611" s="1278"/>
      <c r="DA611" s="1278"/>
      <c r="DB611" s="1279"/>
      <c r="DC611" s="1277">
        <f t="shared" si="13"/>
        <v>0</v>
      </c>
      <c r="DD611" s="1278"/>
      <c r="DE611" s="1278"/>
      <c r="DF611" s="1278"/>
      <c r="DG611" s="1279"/>
      <c r="DH611" s="1277">
        <f t="shared" si="14"/>
        <v>0</v>
      </c>
      <c r="DI611" s="1278"/>
      <c r="DJ611" s="1278"/>
      <c r="DK611" s="1278"/>
      <c r="DL611" s="1279"/>
      <c r="DM611" s="1277">
        <f t="shared" si="15"/>
        <v>0</v>
      </c>
      <c r="DN611" s="1278"/>
      <c r="DO611" s="1278"/>
      <c r="DP611" s="1278"/>
      <c r="DQ611" s="1279"/>
      <c r="DR611" s="1277">
        <f t="shared" si="16"/>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9"/>
        <v>0</v>
      </c>
      <c r="BF612" s="1273"/>
      <c r="BG612" s="1265">
        <f t="shared" si="1"/>
        <v>0</v>
      </c>
      <c r="BH612" s="1267"/>
      <c r="BI612" s="1271">
        <f t="shared" si="10"/>
        <v>0</v>
      </c>
      <c r="BJ612" s="1273"/>
      <c r="BK612" s="1265">
        <f t="shared" si="2"/>
        <v>0</v>
      </c>
      <c r="BL612" s="1267"/>
      <c r="BN612" s="1265">
        <f t="shared" si="3"/>
        <v>0</v>
      </c>
      <c r="BO612" s="1266"/>
      <c r="BP612" s="1266"/>
      <c r="BQ612" s="1266"/>
      <c r="BR612" s="1276"/>
      <c r="BS612" s="1265">
        <f t="shared" si="4"/>
        <v>0</v>
      </c>
      <c r="BT612" s="1266"/>
      <c r="BU612" s="1266"/>
      <c r="BV612" s="1266"/>
      <c r="BW612" s="1267"/>
      <c r="BX612" s="1265">
        <f t="shared" si="5"/>
        <v>0</v>
      </c>
      <c r="BY612" s="1266"/>
      <c r="BZ612" s="1266"/>
      <c r="CA612" s="1266"/>
      <c r="CB612" s="1267"/>
      <c r="CC612" s="1265">
        <f t="shared" si="6"/>
        <v>0</v>
      </c>
      <c r="CD612" s="1266"/>
      <c r="CE612" s="1266"/>
      <c r="CF612" s="1266"/>
      <c r="CG612" s="1267"/>
      <c r="CH612" s="1265">
        <f t="shared" si="7"/>
        <v>0</v>
      </c>
      <c r="CI612" s="1266"/>
      <c r="CJ612" s="1266"/>
      <c r="CK612" s="1266"/>
      <c r="CL612" s="1267"/>
      <c r="CM612" s="1274">
        <f t="shared" si="8"/>
        <v>0</v>
      </c>
      <c r="CN612" s="1275"/>
      <c r="CO612" s="1275"/>
      <c r="CP612" s="1275"/>
      <c r="CQ612" s="1276"/>
      <c r="CS612" s="1277">
        <f t="shared" si="11"/>
        <v>0</v>
      </c>
      <c r="CT612" s="1278"/>
      <c r="CU612" s="1278"/>
      <c r="CV612" s="1278"/>
      <c r="CW612" s="1279"/>
      <c r="CX612" s="1277">
        <f t="shared" si="12"/>
        <v>0</v>
      </c>
      <c r="CY612" s="1278"/>
      <c r="CZ612" s="1278"/>
      <c r="DA612" s="1278"/>
      <c r="DB612" s="1279"/>
      <c r="DC612" s="1277">
        <f t="shared" si="13"/>
        <v>0</v>
      </c>
      <c r="DD612" s="1278"/>
      <c r="DE612" s="1278"/>
      <c r="DF612" s="1278"/>
      <c r="DG612" s="1279"/>
      <c r="DH612" s="1277">
        <f t="shared" si="14"/>
        <v>0</v>
      </c>
      <c r="DI612" s="1278"/>
      <c r="DJ612" s="1278"/>
      <c r="DK612" s="1278"/>
      <c r="DL612" s="1279"/>
      <c r="DM612" s="1277">
        <f t="shared" si="15"/>
        <v>0</v>
      </c>
      <c r="DN612" s="1278"/>
      <c r="DO612" s="1278"/>
      <c r="DP612" s="1278"/>
      <c r="DQ612" s="1279"/>
      <c r="DR612" s="1277">
        <f t="shared" si="16"/>
        <v>0</v>
      </c>
      <c r="DS612" s="1278"/>
      <c r="DT612" s="1278"/>
      <c r="DU612" s="1278"/>
      <c r="DV612" s="1279"/>
    </row>
    <row r="613" spans="1:126" ht="12.95" customHeight="1">
      <c r="AZ613" s="41"/>
      <c r="BA613" s="41"/>
      <c r="BB613" s="41"/>
      <c r="BC613" s="41"/>
      <c r="BD613" s="41"/>
      <c r="BE613" s="1271">
        <f t="shared" si="9"/>
        <v>0</v>
      </c>
      <c r="BF613" s="1273"/>
      <c r="BG613" s="1265">
        <f t="shared" si="1"/>
        <v>0</v>
      </c>
      <c r="BH613" s="1267"/>
      <c r="BI613" s="1271">
        <f t="shared" si="10"/>
        <v>0</v>
      </c>
      <c r="BJ613" s="1273"/>
      <c r="BK613" s="1265">
        <f t="shared" si="2"/>
        <v>0</v>
      </c>
      <c r="BL613" s="1267"/>
      <c r="BN613" s="1265">
        <f t="shared" si="3"/>
        <v>0</v>
      </c>
      <c r="BO613" s="1266"/>
      <c r="BP613" s="1266"/>
      <c r="BQ613" s="1266"/>
      <c r="BR613" s="1276"/>
      <c r="BS613" s="1265">
        <f t="shared" si="4"/>
        <v>0</v>
      </c>
      <c r="BT613" s="1266"/>
      <c r="BU613" s="1266"/>
      <c r="BV613" s="1266"/>
      <c r="BW613" s="1267"/>
      <c r="BX613" s="1265">
        <f t="shared" si="5"/>
        <v>0</v>
      </c>
      <c r="BY613" s="1266"/>
      <c r="BZ613" s="1266"/>
      <c r="CA613" s="1266"/>
      <c r="CB613" s="1267"/>
      <c r="CC613" s="1265">
        <f t="shared" si="6"/>
        <v>0</v>
      </c>
      <c r="CD613" s="1266"/>
      <c r="CE613" s="1266"/>
      <c r="CF613" s="1266"/>
      <c r="CG613" s="1267"/>
      <c r="CH613" s="1265">
        <f t="shared" si="7"/>
        <v>0</v>
      </c>
      <c r="CI613" s="1266"/>
      <c r="CJ613" s="1266"/>
      <c r="CK613" s="1266"/>
      <c r="CL613" s="1267"/>
      <c r="CM613" s="1274">
        <f t="shared" si="8"/>
        <v>0</v>
      </c>
      <c r="CN613" s="1275"/>
      <c r="CO613" s="1275"/>
      <c r="CP613" s="1275"/>
      <c r="CQ613" s="1276"/>
      <c r="CS613" s="1277">
        <f t="shared" si="11"/>
        <v>0</v>
      </c>
      <c r="CT613" s="1278"/>
      <c r="CU613" s="1278"/>
      <c r="CV613" s="1278"/>
      <c r="CW613" s="1279"/>
      <c r="CX613" s="1277">
        <f t="shared" si="12"/>
        <v>0</v>
      </c>
      <c r="CY613" s="1278"/>
      <c r="CZ613" s="1278"/>
      <c r="DA613" s="1278"/>
      <c r="DB613" s="1279"/>
      <c r="DC613" s="1277">
        <f t="shared" si="13"/>
        <v>0</v>
      </c>
      <c r="DD613" s="1278"/>
      <c r="DE613" s="1278"/>
      <c r="DF613" s="1278"/>
      <c r="DG613" s="1279"/>
      <c r="DH613" s="1277">
        <f t="shared" si="14"/>
        <v>0</v>
      </c>
      <c r="DI613" s="1278"/>
      <c r="DJ613" s="1278"/>
      <c r="DK613" s="1278"/>
      <c r="DL613" s="1279"/>
      <c r="DM613" s="1277">
        <f t="shared" si="15"/>
        <v>0</v>
      </c>
      <c r="DN613" s="1278"/>
      <c r="DO613" s="1278"/>
      <c r="DP613" s="1278"/>
      <c r="DQ613" s="1279"/>
      <c r="DR613" s="1277">
        <f t="shared" si="16"/>
        <v>0</v>
      </c>
      <c r="DS613" s="1278"/>
      <c r="DT613" s="1278"/>
      <c r="DU613" s="1278"/>
      <c r="DV613" s="1279"/>
    </row>
    <row r="614" spans="1:126" ht="12.95" customHeight="1">
      <c r="A614" s="3" t="s">
        <v>653</v>
      </c>
      <c r="B614" s="3"/>
      <c r="C614" s="3" t="s">
        <v>837</v>
      </c>
      <c r="AZ614" s="41"/>
      <c r="BA614" s="41"/>
      <c r="BB614" s="41"/>
      <c r="BC614" s="41"/>
      <c r="BD614" s="41"/>
      <c r="BE614" s="1271">
        <f t="shared" si="9"/>
        <v>0</v>
      </c>
      <c r="BF614" s="1273"/>
      <c r="BG614" s="1265">
        <f t="shared" si="1"/>
        <v>0</v>
      </c>
      <c r="BH614" s="1267"/>
      <c r="BI614" s="1271">
        <f t="shared" si="10"/>
        <v>0</v>
      </c>
      <c r="BJ614" s="1273"/>
      <c r="BK614" s="1265">
        <f t="shared" si="2"/>
        <v>0</v>
      </c>
      <c r="BL614" s="1267"/>
      <c r="BN614" s="1265">
        <f t="shared" si="3"/>
        <v>0</v>
      </c>
      <c r="BO614" s="1266"/>
      <c r="BP614" s="1266"/>
      <c r="BQ614" s="1266"/>
      <c r="BR614" s="1276"/>
      <c r="BS614" s="1265">
        <f t="shared" si="4"/>
        <v>0</v>
      </c>
      <c r="BT614" s="1266"/>
      <c r="BU614" s="1266"/>
      <c r="BV614" s="1266"/>
      <c r="BW614" s="1267"/>
      <c r="BX614" s="1265">
        <f t="shared" si="5"/>
        <v>0</v>
      </c>
      <c r="BY614" s="1266"/>
      <c r="BZ614" s="1266"/>
      <c r="CA614" s="1266"/>
      <c r="CB614" s="1267"/>
      <c r="CC614" s="1265">
        <f t="shared" si="6"/>
        <v>0</v>
      </c>
      <c r="CD614" s="1266"/>
      <c r="CE614" s="1266"/>
      <c r="CF614" s="1266"/>
      <c r="CG614" s="1267"/>
      <c r="CH614" s="1265">
        <f t="shared" si="7"/>
        <v>0</v>
      </c>
      <c r="CI614" s="1266"/>
      <c r="CJ614" s="1266"/>
      <c r="CK614" s="1266"/>
      <c r="CL614" s="1267"/>
      <c r="CM614" s="1274">
        <f t="shared" si="8"/>
        <v>0</v>
      </c>
      <c r="CN614" s="1275"/>
      <c r="CO614" s="1275"/>
      <c r="CP614" s="1275"/>
      <c r="CQ614" s="1276"/>
      <c r="CS614" s="1277">
        <f t="shared" si="11"/>
        <v>0</v>
      </c>
      <c r="CT614" s="1278"/>
      <c r="CU614" s="1278"/>
      <c r="CV614" s="1278"/>
      <c r="CW614" s="1279"/>
      <c r="CX614" s="1277">
        <f t="shared" si="12"/>
        <v>0</v>
      </c>
      <c r="CY614" s="1278"/>
      <c r="CZ614" s="1278"/>
      <c r="DA614" s="1278"/>
      <c r="DB614" s="1279"/>
      <c r="DC614" s="1277">
        <f t="shared" si="13"/>
        <v>0</v>
      </c>
      <c r="DD614" s="1278"/>
      <c r="DE614" s="1278"/>
      <c r="DF614" s="1278"/>
      <c r="DG614" s="1279"/>
      <c r="DH614" s="1277">
        <f t="shared" si="14"/>
        <v>0</v>
      </c>
      <c r="DI614" s="1278"/>
      <c r="DJ614" s="1278"/>
      <c r="DK614" s="1278"/>
      <c r="DL614" s="1279"/>
      <c r="DM614" s="1277">
        <f t="shared" si="15"/>
        <v>0</v>
      </c>
      <c r="DN614" s="1278"/>
      <c r="DO614" s="1278"/>
      <c r="DP614" s="1278"/>
      <c r="DQ614" s="1279"/>
      <c r="DR614" s="1277">
        <f t="shared" si="16"/>
        <v>0</v>
      </c>
      <c r="DS614" s="1278"/>
      <c r="DT614" s="1278"/>
      <c r="DU614" s="1278"/>
      <c r="DV614" s="1279"/>
    </row>
    <row r="615" spans="1:126" ht="12.95" customHeight="1">
      <c r="A615" s="3"/>
      <c r="B615" s="3"/>
      <c r="C615" s="3"/>
      <c r="AZ615" s="41"/>
      <c r="BA615" s="41"/>
      <c r="BB615" s="41"/>
      <c r="BC615" s="41"/>
      <c r="BD615" s="41"/>
      <c r="BE615" s="1271">
        <f t="shared" si="9"/>
        <v>0</v>
      </c>
      <c r="BF615" s="1273"/>
      <c r="BG615" s="1265">
        <f t="shared" si="1"/>
        <v>0</v>
      </c>
      <c r="BH615" s="1267"/>
      <c r="BI615" s="1271">
        <f t="shared" si="10"/>
        <v>0</v>
      </c>
      <c r="BJ615" s="1273"/>
      <c r="BK615" s="1265">
        <f t="shared" si="2"/>
        <v>0</v>
      </c>
      <c r="BL615" s="1267"/>
      <c r="BN615" s="1265">
        <f t="shared" si="3"/>
        <v>0</v>
      </c>
      <c r="BO615" s="1266"/>
      <c r="BP615" s="1266"/>
      <c r="BQ615" s="1266"/>
      <c r="BR615" s="1276"/>
      <c r="BS615" s="1265">
        <f t="shared" si="4"/>
        <v>0</v>
      </c>
      <c r="BT615" s="1266"/>
      <c r="BU615" s="1266"/>
      <c r="BV615" s="1266"/>
      <c r="BW615" s="1267"/>
      <c r="BX615" s="1265">
        <f t="shared" si="5"/>
        <v>0</v>
      </c>
      <c r="BY615" s="1266"/>
      <c r="BZ615" s="1266"/>
      <c r="CA615" s="1266"/>
      <c r="CB615" s="1267"/>
      <c r="CC615" s="1265">
        <f t="shared" si="6"/>
        <v>0</v>
      </c>
      <c r="CD615" s="1266"/>
      <c r="CE615" s="1266"/>
      <c r="CF615" s="1266"/>
      <c r="CG615" s="1267"/>
      <c r="CH615" s="1265">
        <f t="shared" si="7"/>
        <v>0</v>
      </c>
      <c r="CI615" s="1266"/>
      <c r="CJ615" s="1266"/>
      <c r="CK615" s="1266"/>
      <c r="CL615" s="1267"/>
      <c r="CM615" s="1274">
        <f t="shared" si="8"/>
        <v>0</v>
      </c>
      <c r="CN615" s="1275"/>
      <c r="CO615" s="1275"/>
      <c r="CP615" s="1275"/>
      <c r="CQ615" s="1276"/>
      <c r="CS615" s="1277">
        <f t="shared" si="11"/>
        <v>0</v>
      </c>
      <c r="CT615" s="1278"/>
      <c r="CU615" s="1278"/>
      <c r="CV615" s="1278"/>
      <c r="CW615" s="1279"/>
      <c r="CX615" s="1277">
        <f t="shared" si="12"/>
        <v>0</v>
      </c>
      <c r="CY615" s="1278"/>
      <c r="CZ615" s="1278"/>
      <c r="DA615" s="1278"/>
      <c r="DB615" s="1279"/>
      <c r="DC615" s="1277">
        <f t="shared" si="13"/>
        <v>0</v>
      </c>
      <c r="DD615" s="1278"/>
      <c r="DE615" s="1278"/>
      <c r="DF615" s="1278"/>
      <c r="DG615" s="1279"/>
      <c r="DH615" s="1277">
        <f t="shared" si="14"/>
        <v>0</v>
      </c>
      <c r="DI615" s="1278"/>
      <c r="DJ615" s="1278"/>
      <c r="DK615" s="1278"/>
      <c r="DL615" s="1279"/>
      <c r="DM615" s="1277">
        <f t="shared" si="15"/>
        <v>0</v>
      </c>
      <c r="DN615" s="1278"/>
      <c r="DO615" s="1278"/>
      <c r="DP615" s="1278"/>
      <c r="DQ615" s="1279"/>
      <c r="DR615" s="1277">
        <f t="shared" si="16"/>
        <v>0</v>
      </c>
      <c r="DS615" s="1278"/>
      <c r="DT615" s="1278"/>
      <c r="DU615" s="1278"/>
      <c r="DV615" s="1279"/>
    </row>
    <row r="616" spans="1:126" ht="12.95" customHeight="1">
      <c r="C616" s="3" t="s">
        <v>2128</v>
      </c>
      <c r="AZ616" s="41"/>
      <c r="BA616" s="41"/>
      <c r="BB616" s="41"/>
      <c r="BC616" s="41"/>
      <c r="BD616" s="41"/>
      <c r="BE616" s="1271">
        <f t="shared" ref="BE616:BE625" si="17">IF(AND(AH719&lt;=0.5,AH719&gt;=0.36),1,0)</f>
        <v>0</v>
      </c>
      <c r="BF616" s="1273"/>
      <c r="BG616" s="1265">
        <f t="shared" ref="BG616:BG625" si="18">IF(BE616=1,G719,0)</f>
        <v>0</v>
      </c>
      <c r="BH616" s="1267"/>
      <c r="BI616" s="1271">
        <f t="shared" ref="BI616:BI625" si="19">IF(AND(AH719&lt;=0.35,AH719&gt;0),1,0)</f>
        <v>0</v>
      </c>
      <c r="BJ616" s="1273"/>
      <c r="BK616" s="1265">
        <f t="shared" ref="BK616:BK625" si="20">IF(BI616=1,G719,0)</f>
        <v>0</v>
      </c>
      <c r="BL616" s="1267"/>
      <c r="BN616" s="1265">
        <f t="shared" si="3"/>
        <v>0</v>
      </c>
      <c r="BO616" s="1266"/>
      <c r="BP616" s="1266"/>
      <c r="BQ616" s="1266"/>
      <c r="BR616" s="1276"/>
      <c r="BS616" s="1265">
        <f t="shared" si="4"/>
        <v>0</v>
      </c>
      <c r="BT616" s="1266"/>
      <c r="BU616" s="1266"/>
      <c r="BV616" s="1266"/>
      <c r="BW616" s="1267"/>
      <c r="BX616" s="1265">
        <f t="shared" si="5"/>
        <v>0</v>
      </c>
      <c r="BY616" s="1266"/>
      <c r="BZ616" s="1266"/>
      <c r="CA616" s="1266"/>
      <c r="CB616" s="1267"/>
      <c r="CC616" s="1265">
        <f t="shared" si="6"/>
        <v>0</v>
      </c>
      <c r="CD616" s="1266"/>
      <c r="CE616" s="1266"/>
      <c r="CF616" s="1266"/>
      <c r="CG616" s="1267"/>
      <c r="CH616" s="1265">
        <f t="shared" si="7"/>
        <v>0</v>
      </c>
      <c r="CI616" s="1266"/>
      <c r="CJ616" s="1266"/>
      <c r="CK616" s="1266"/>
      <c r="CL616" s="1267"/>
      <c r="CM616" s="1274">
        <f t="shared" si="8"/>
        <v>0</v>
      </c>
      <c r="CN616" s="1275"/>
      <c r="CO616" s="1275"/>
      <c r="CP616" s="1275"/>
      <c r="CQ616" s="1276"/>
      <c r="CS616" s="1277">
        <f t="shared" ref="CS616:CS625" si="21">IF(AND(B719="SRO/Studio",AH719&lt;=0.3),G719,0)</f>
        <v>0</v>
      </c>
      <c r="CT616" s="1278"/>
      <c r="CU616" s="1278"/>
      <c r="CV616" s="1278"/>
      <c r="CW616" s="1279"/>
      <c r="CX616" s="1277">
        <f t="shared" ref="CX616:CX625" si="22">IF(AND(B719="1 Bedroom",AH719&lt;=0.3),G719,0)</f>
        <v>0</v>
      </c>
      <c r="CY616" s="1278"/>
      <c r="CZ616" s="1278"/>
      <c r="DA616" s="1278"/>
      <c r="DB616" s="1279"/>
      <c r="DC616" s="1277">
        <f t="shared" ref="DC616:DC625" si="23">IF(AND(B719="2 Bedrooms",AH719&lt;=0.3),G719,0)</f>
        <v>0</v>
      </c>
      <c r="DD616" s="1278"/>
      <c r="DE616" s="1278"/>
      <c r="DF616" s="1278"/>
      <c r="DG616" s="1279"/>
      <c r="DH616" s="1277">
        <f t="shared" ref="DH616:DH625" si="24">IF(AND(B719="3 Bedrooms",AH719&lt;=0.3),G719,0)</f>
        <v>0</v>
      </c>
      <c r="DI616" s="1278"/>
      <c r="DJ616" s="1278"/>
      <c r="DK616" s="1278"/>
      <c r="DL616" s="1279"/>
      <c r="DM616" s="1277">
        <f t="shared" ref="DM616:DM625" si="25">IF(AND(B719="4 Bedrooms",AH719&lt;=0.3),G719,0)</f>
        <v>0</v>
      </c>
      <c r="DN616" s="1278"/>
      <c r="DO616" s="1278"/>
      <c r="DP616" s="1278"/>
      <c r="DQ616" s="1279"/>
      <c r="DR616" s="1277">
        <f t="shared" ref="DR616:DR625" si="26">IF(AND(B719="5 Bedrooms",AH719&lt;=0.3),G719,0)</f>
        <v>0</v>
      </c>
      <c r="DS616" s="1278"/>
      <c r="DT616" s="1278"/>
      <c r="DU616" s="1278"/>
      <c r="DV616" s="1279"/>
    </row>
    <row r="617" spans="1:126" ht="12.95" customHeight="1">
      <c r="B617" s="839"/>
      <c r="C617" s="3"/>
      <c r="AZ617" s="41"/>
      <c r="BA617" s="41"/>
      <c r="BB617" s="41"/>
      <c r="BC617" s="41"/>
      <c r="BD617" s="41"/>
      <c r="BE617" s="1271">
        <f t="shared" si="17"/>
        <v>0</v>
      </c>
      <c r="BF617" s="1273"/>
      <c r="BG617" s="1265">
        <f t="shared" si="18"/>
        <v>0</v>
      </c>
      <c r="BH617" s="1267"/>
      <c r="BI617" s="1271">
        <f t="shared" si="19"/>
        <v>0</v>
      </c>
      <c r="BJ617" s="1273"/>
      <c r="BK617" s="1265">
        <f t="shared" si="20"/>
        <v>0</v>
      </c>
      <c r="BL617" s="1267"/>
      <c r="BN617" s="1265">
        <f t="shared" si="3"/>
        <v>0</v>
      </c>
      <c r="BO617" s="1266"/>
      <c r="BP617" s="1266"/>
      <c r="BQ617" s="1266"/>
      <c r="BR617" s="1276"/>
      <c r="BS617" s="1265">
        <f t="shared" si="4"/>
        <v>0</v>
      </c>
      <c r="BT617" s="1266"/>
      <c r="BU617" s="1266"/>
      <c r="BV617" s="1266"/>
      <c r="BW617" s="1267"/>
      <c r="BX617" s="1265">
        <f t="shared" si="5"/>
        <v>0</v>
      </c>
      <c r="BY617" s="1266"/>
      <c r="BZ617" s="1266"/>
      <c r="CA617" s="1266"/>
      <c r="CB617" s="1267"/>
      <c r="CC617" s="1265">
        <f t="shared" si="6"/>
        <v>0</v>
      </c>
      <c r="CD617" s="1266"/>
      <c r="CE617" s="1266"/>
      <c r="CF617" s="1266"/>
      <c r="CG617" s="1267"/>
      <c r="CH617" s="1265">
        <f t="shared" si="7"/>
        <v>0</v>
      </c>
      <c r="CI617" s="1266"/>
      <c r="CJ617" s="1266"/>
      <c r="CK617" s="1266"/>
      <c r="CL617" s="1267"/>
      <c r="CM617" s="1274">
        <f t="shared" si="8"/>
        <v>0</v>
      </c>
      <c r="CN617" s="1275"/>
      <c r="CO617" s="1275"/>
      <c r="CP617" s="1275"/>
      <c r="CQ617" s="1276"/>
      <c r="CS617" s="1277">
        <f t="shared" si="21"/>
        <v>0</v>
      </c>
      <c r="CT617" s="1278"/>
      <c r="CU617" s="1278"/>
      <c r="CV617" s="1278"/>
      <c r="CW617" s="1279"/>
      <c r="CX617" s="1277">
        <f t="shared" si="22"/>
        <v>0</v>
      </c>
      <c r="CY617" s="1278"/>
      <c r="CZ617" s="1278"/>
      <c r="DA617" s="1278"/>
      <c r="DB617" s="1279"/>
      <c r="DC617" s="1277">
        <f t="shared" si="23"/>
        <v>0</v>
      </c>
      <c r="DD617" s="1278"/>
      <c r="DE617" s="1278"/>
      <c r="DF617" s="1278"/>
      <c r="DG617" s="1279"/>
      <c r="DH617" s="1277">
        <f t="shared" si="24"/>
        <v>0</v>
      </c>
      <c r="DI617" s="1278"/>
      <c r="DJ617" s="1278"/>
      <c r="DK617" s="1278"/>
      <c r="DL617" s="1279"/>
      <c r="DM617" s="1277">
        <f t="shared" si="25"/>
        <v>0</v>
      </c>
      <c r="DN617" s="1278"/>
      <c r="DO617" s="1278"/>
      <c r="DP617" s="1278"/>
      <c r="DQ617" s="1279"/>
      <c r="DR617" s="1277">
        <f t="shared" si="26"/>
        <v>0</v>
      </c>
      <c r="DS617" s="1278"/>
      <c r="DT617" s="1278"/>
      <c r="DU617" s="1278"/>
      <c r="DV617" s="1279"/>
    </row>
    <row r="618" spans="1:126" ht="12.95" customHeight="1">
      <c r="B618" s="1571" t="s">
        <v>2197</v>
      </c>
      <c r="C618" s="1572"/>
      <c r="D618" s="1572"/>
      <c r="E618" s="1572"/>
      <c r="F618" s="1572"/>
      <c r="G618" s="1572"/>
      <c r="H618" s="1572"/>
      <c r="I618" s="1572"/>
      <c r="J618" s="1572"/>
      <c r="K618" s="1572"/>
      <c r="L618" s="1572"/>
      <c r="M618" s="1411" t="s">
        <v>2171</v>
      </c>
      <c r="N618" s="1411"/>
      <c r="O618" s="1411"/>
      <c r="P618" s="1411"/>
      <c r="Q618" s="1297" t="s">
        <v>2201</v>
      </c>
      <c r="R618" s="1298"/>
      <c r="S618" s="1299"/>
      <c r="T618" s="1297" t="s">
        <v>2200</v>
      </c>
      <c r="U618" s="1298"/>
      <c r="V618" s="1299"/>
      <c r="W618" s="1430" t="s">
        <v>740</v>
      </c>
      <c r="X618" s="1430"/>
      <c r="Y618" s="1431"/>
      <c r="Z618" s="1411" t="s">
        <v>2198</v>
      </c>
      <c r="AA618" s="1411"/>
      <c r="AB618" s="1411"/>
      <c r="AC618" s="1418" t="s">
        <v>1993</v>
      </c>
      <c r="AD618" s="1419"/>
      <c r="AE618" s="1420"/>
      <c r="AF618" s="1297" t="s">
        <v>2129</v>
      </c>
      <c r="AG618" s="1298"/>
      <c r="AH618" s="1298"/>
      <c r="AI618" s="1298"/>
      <c r="AJ618" s="1299"/>
      <c r="AK618" s="1510" t="s">
        <v>2130</v>
      </c>
      <c r="AL618" s="1511"/>
      <c r="AM618" s="1511"/>
      <c r="AN618" s="1512"/>
      <c r="AO618" s="1411" t="s">
        <v>741</v>
      </c>
      <c r="AP618" s="1411"/>
      <c r="AQ618" s="1411"/>
      <c r="AR618" s="1411"/>
      <c r="AS618" s="1411"/>
      <c r="AT618" s="41"/>
      <c r="AU618" s="41"/>
      <c r="AV618" s="41"/>
      <c r="AW618" s="41"/>
      <c r="AX618" s="41"/>
      <c r="AY618" s="41"/>
      <c r="AZ618" s="41"/>
      <c r="BE618" s="1271">
        <f t="shared" si="17"/>
        <v>0</v>
      </c>
      <c r="BF618" s="1273"/>
      <c r="BG618" s="1265">
        <f t="shared" si="18"/>
        <v>0</v>
      </c>
      <c r="BH618" s="1267"/>
      <c r="BI618" s="1271">
        <f t="shared" si="19"/>
        <v>0</v>
      </c>
      <c r="BJ618" s="1273"/>
      <c r="BK618" s="1265">
        <f t="shared" si="20"/>
        <v>0</v>
      </c>
      <c r="BL618" s="1267"/>
      <c r="BN618" s="1265">
        <f t="shared" si="3"/>
        <v>0</v>
      </c>
      <c r="BO618" s="1266"/>
      <c r="BP618" s="1266"/>
      <c r="BQ618" s="1266"/>
      <c r="BR618" s="1276"/>
      <c r="BS618" s="1265">
        <f t="shared" si="4"/>
        <v>0</v>
      </c>
      <c r="BT618" s="1266"/>
      <c r="BU618" s="1266"/>
      <c r="BV618" s="1266"/>
      <c r="BW618" s="1267"/>
      <c r="BX618" s="1265">
        <f t="shared" si="5"/>
        <v>0</v>
      </c>
      <c r="BY618" s="1266"/>
      <c r="BZ618" s="1266"/>
      <c r="CA618" s="1266"/>
      <c r="CB618" s="1267"/>
      <c r="CC618" s="1265">
        <f t="shared" si="6"/>
        <v>0</v>
      </c>
      <c r="CD618" s="1266"/>
      <c r="CE618" s="1266"/>
      <c r="CF618" s="1266"/>
      <c r="CG618" s="1267"/>
      <c r="CH618" s="1265">
        <f t="shared" si="7"/>
        <v>0</v>
      </c>
      <c r="CI618" s="1266"/>
      <c r="CJ618" s="1266"/>
      <c r="CK618" s="1266"/>
      <c r="CL618" s="1267"/>
      <c r="CM618" s="1274">
        <f t="shared" si="8"/>
        <v>0</v>
      </c>
      <c r="CN618" s="1275"/>
      <c r="CO618" s="1275"/>
      <c r="CP618" s="1275"/>
      <c r="CQ618" s="1276"/>
      <c r="CS618" s="1277">
        <f t="shared" si="21"/>
        <v>0</v>
      </c>
      <c r="CT618" s="1278"/>
      <c r="CU618" s="1278"/>
      <c r="CV618" s="1278"/>
      <c r="CW618" s="1279"/>
      <c r="CX618" s="1277">
        <f t="shared" si="22"/>
        <v>0</v>
      </c>
      <c r="CY618" s="1278"/>
      <c r="CZ618" s="1278"/>
      <c r="DA618" s="1278"/>
      <c r="DB618" s="1279"/>
      <c r="DC618" s="1277">
        <f t="shared" si="23"/>
        <v>0</v>
      </c>
      <c r="DD618" s="1278"/>
      <c r="DE618" s="1278"/>
      <c r="DF618" s="1278"/>
      <c r="DG618" s="1279"/>
      <c r="DH618" s="1277">
        <f t="shared" si="24"/>
        <v>0</v>
      </c>
      <c r="DI618" s="1278"/>
      <c r="DJ618" s="1278"/>
      <c r="DK618" s="1278"/>
      <c r="DL618" s="1279"/>
      <c r="DM618" s="1277">
        <f t="shared" si="25"/>
        <v>0</v>
      </c>
      <c r="DN618" s="1278"/>
      <c r="DO618" s="1278"/>
      <c r="DP618" s="1278"/>
      <c r="DQ618" s="1279"/>
      <c r="DR618" s="1277">
        <f t="shared" si="26"/>
        <v>0</v>
      </c>
      <c r="DS618" s="1278"/>
      <c r="DT618" s="1278"/>
      <c r="DU618" s="1278"/>
      <c r="DV618" s="1279"/>
    </row>
    <row r="619" spans="1:126" ht="12.95" customHeight="1">
      <c r="B619" s="1573"/>
      <c r="C619" s="1466"/>
      <c r="D619" s="1466"/>
      <c r="E619" s="1466"/>
      <c r="F619" s="1466"/>
      <c r="G619" s="1466"/>
      <c r="H619" s="1466"/>
      <c r="I619" s="1466"/>
      <c r="J619" s="1466"/>
      <c r="K619" s="1466"/>
      <c r="L619" s="1466"/>
      <c r="M619" s="1411"/>
      <c r="N619" s="1411"/>
      <c r="O619" s="1411"/>
      <c r="P619" s="1411"/>
      <c r="Q619" s="1300"/>
      <c r="R619" s="1301"/>
      <c r="S619" s="1302"/>
      <c r="T619" s="1300"/>
      <c r="U619" s="1301"/>
      <c r="V619" s="1302"/>
      <c r="W619" s="1432"/>
      <c r="X619" s="1432"/>
      <c r="Y619" s="1433"/>
      <c r="Z619" s="1411"/>
      <c r="AA619" s="1411"/>
      <c r="AB619" s="1411"/>
      <c r="AC619" s="1421"/>
      <c r="AD619" s="1422"/>
      <c r="AE619" s="1423"/>
      <c r="AF619" s="1300"/>
      <c r="AG619" s="1301"/>
      <c r="AH619" s="1301"/>
      <c r="AI619" s="1301"/>
      <c r="AJ619" s="1302"/>
      <c r="AK619" s="1513"/>
      <c r="AL619" s="1514"/>
      <c r="AM619" s="1514"/>
      <c r="AN619" s="1515"/>
      <c r="AO619" s="1411"/>
      <c r="AP619" s="1411"/>
      <c r="AQ619" s="1411"/>
      <c r="AR619" s="1411"/>
      <c r="AS619" s="1411"/>
      <c r="AT619" s="41"/>
      <c r="AU619" s="41"/>
      <c r="AV619" s="41"/>
      <c r="AW619" s="41"/>
      <c r="AX619" s="41"/>
      <c r="AY619" s="41"/>
      <c r="AZ619" s="41"/>
      <c r="BE619" s="1271">
        <f t="shared" si="17"/>
        <v>0</v>
      </c>
      <c r="BF619" s="1273"/>
      <c r="BG619" s="1265">
        <f t="shared" si="18"/>
        <v>0</v>
      </c>
      <c r="BH619" s="1267"/>
      <c r="BI619" s="1271">
        <f t="shared" si="19"/>
        <v>0</v>
      </c>
      <c r="BJ619" s="1273"/>
      <c r="BK619" s="1265">
        <f t="shared" si="20"/>
        <v>0</v>
      </c>
      <c r="BL619" s="1267"/>
      <c r="BN619" s="1265">
        <f t="shared" si="3"/>
        <v>0</v>
      </c>
      <c r="BO619" s="1266"/>
      <c r="BP619" s="1266"/>
      <c r="BQ619" s="1266"/>
      <c r="BR619" s="1276"/>
      <c r="BS619" s="1265">
        <f t="shared" si="4"/>
        <v>0</v>
      </c>
      <c r="BT619" s="1266"/>
      <c r="BU619" s="1266"/>
      <c r="BV619" s="1266"/>
      <c r="BW619" s="1267"/>
      <c r="BX619" s="1265">
        <f t="shared" si="5"/>
        <v>0</v>
      </c>
      <c r="BY619" s="1266"/>
      <c r="BZ619" s="1266"/>
      <c r="CA619" s="1266"/>
      <c r="CB619" s="1267"/>
      <c r="CC619" s="1265">
        <f t="shared" si="6"/>
        <v>0</v>
      </c>
      <c r="CD619" s="1266"/>
      <c r="CE619" s="1266"/>
      <c r="CF619" s="1266"/>
      <c r="CG619" s="1267"/>
      <c r="CH619" s="1265">
        <f t="shared" si="7"/>
        <v>0</v>
      </c>
      <c r="CI619" s="1266"/>
      <c r="CJ619" s="1266"/>
      <c r="CK619" s="1266"/>
      <c r="CL619" s="1267"/>
      <c r="CM619" s="1274">
        <f t="shared" si="8"/>
        <v>0</v>
      </c>
      <c r="CN619" s="1275"/>
      <c r="CO619" s="1275"/>
      <c r="CP619" s="1275"/>
      <c r="CQ619" s="1276"/>
      <c r="CS619" s="1277">
        <f t="shared" si="21"/>
        <v>0</v>
      </c>
      <c r="CT619" s="1278"/>
      <c r="CU619" s="1278"/>
      <c r="CV619" s="1278"/>
      <c r="CW619" s="1279"/>
      <c r="CX619" s="1277">
        <f t="shared" si="22"/>
        <v>0</v>
      </c>
      <c r="CY619" s="1278"/>
      <c r="CZ619" s="1278"/>
      <c r="DA619" s="1278"/>
      <c r="DB619" s="1279"/>
      <c r="DC619" s="1277">
        <f t="shared" si="23"/>
        <v>0</v>
      </c>
      <c r="DD619" s="1278"/>
      <c r="DE619" s="1278"/>
      <c r="DF619" s="1278"/>
      <c r="DG619" s="1279"/>
      <c r="DH619" s="1277">
        <f t="shared" si="24"/>
        <v>0</v>
      </c>
      <c r="DI619" s="1278"/>
      <c r="DJ619" s="1278"/>
      <c r="DK619" s="1278"/>
      <c r="DL619" s="1279"/>
      <c r="DM619" s="1277">
        <f t="shared" si="25"/>
        <v>0</v>
      </c>
      <c r="DN619" s="1278"/>
      <c r="DO619" s="1278"/>
      <c r="DP619" s="1278"/>
      <c r="DQ619" s="1279"/>
      <c r="DR619" s="1277">
        <f t="shared" si="26"/>
        <v>0</v>
      </c>
      <c r="DS619" s="1278"/>
      <c r="DT619" s="1278"/>
      <c r="DU619" s="1278"/>
      <c r="DV619" s="1279"/>
    </row>
    <row r="620" spans="1:126" ht="12.95" customHeight="1">
      <c r="B620" s="1574"/>
      <c r="C620" s="1575"/>
      <c r="D620" s="1575"/>
      <c r="E620" s="1575"/>
      <c r="F620" s="1575"/>
      <c r="G620" s="1575"/>
      <c r="H620" s="1575"/>
      <c r="I620" s="1575"/>
      <c r="J620" s="1575"/>
      <c r="K620" s="1575"/>
      <c r="L620" s="1575"/>
      <c r="M620" s="1411"/>
      <c r="N620" s="1411"/>
      <c r="O620" s="1411"/>
      <c r="P620" s="1411"/>
      <c r="Q620" s="1303"/>
      <c r="R620" s="1304"/>
      <c r="S620" s="1305"/>
      <c r="T620" s="1303"/>
      <c r="U620" s="1304"/>
      <c r="V620" s="1305"/>
      <c r="W620" s="1434"/>
      <c r="X620" s="1434"/>
      <c r="Y620" s="1435"/>
      <c r="Z620" s="1411"/>
      <c r="AA620" s="1411"/>
      <c r="AB620" s="1411"/>
      <c r="AC620" s="1424"/>
      <c r="AD620" s="1425"/>
      <c r="AE620" s="1426"/>
      <c r="AF620" s="1303"/>
      <c r="AG620" s="1304"/>
      <c r="AH620" s="1304"/>
      <c r="AI620" s="1304"/>
      <c r="AJ620" s="1305"/>
      <c r="AK620" s="1516"/>
      <c r="AL620" s="1517"/>
      <c r="AM620" s="1517"/>
      <c r="AN620" s="1518"/>
      <c r="AO620" s="1411"/>
      <c r="AP620" s="1411"/>
      <c r="AQ620" s="1411"/>
      <c r="AR620" s="1411"/>
      <c r="AS620" s="1411"/>
      <c r="AT620" s="43"/>
      <c r="AU620" s="43"/>
      <c r="AV620" s="43"/>
      <c r="AW620" s="43"/>
      <c r="AX620" s="43"/>
      <c r="AY620" s="43"/>
      <c r="AZ620" s="43"/>
      <c r="BE620" s="1271">
        <f t="shared" si="17"/>
        <v>0</v>
      </c>
      <c r="BF620" s="1273"/>
      <c r="BG620" s="1265">
        <f t="shared" si="18"/>
        <v>0</v>
      </c>
      <c r="BH620" s="1267"/>
      <c r="BI620" s="1271">
        <f t="shared" si="19"/>
        <v>0</v>
      </c>
      <c r="BJ620" s="1273"/>
      <c r="BK620" s="1265">
        <f t="shared" si="20"/>
        <v>0</v>
      </c>
      <c r="BL620" s="1267"/>
      <c r="BN620" s="1265">
        <f t="shared" si="3"/>
        <v>0</v>
      </c>
      <c r="BO620" s="1266"/>
      <c r="BP620" s="1266"/>
      <c r="BQ620" s="1266"/>
      <c r="BR620" s="1276"/>
      <c r="BS620" s="1265">
        <f t="shared" si="4"/>
        <v>0</v>
      </c>
      <c r="BT620" s="1266"/>
      <c r="BU620" s="1266"/>
      <c r="BV620" s="1266"/>
      <c r="BW620" s="1267"/>
      <c r="BX620" s="1265">
        <f t="shared" si="5"/>
        <v>0</v>
      </c>
      <c r="BY620" s="1266"/>
      <c r="BZ620" s="1266"/>
      <c r="CA620" s="1266"/>
      <c r="CB620" s="1267"/>
      <c r="CC620" s="1265">
        <f t="shared" si="6"/>
        <v>0</v>
      </c>
      <c r="CD620" s="1266"/>
      <c r="CE620" s="1266"/>
      <c r="CF620" s="1266"/>
      <c r="CG620" s="1267"/>
      <c r="CH620" s="1265">
        <f t="shared" si="7"/>
        <v>0</v>
      </c>
      <c r="CI620" s="1266"/>
      <c r="CJ620" s="1266"/>
      <c r="CK620" s="1266"/>
      <c r="CL620" s="1267"/>
      <c r="CM620" s="1274">
        <f t="shared" si="8"/>
        <v>0</v>
      </c>
      <c r="CN620" s="1275"/>
      <c r="CO620" s="1275"/>
      <c r="CP620" s="1275"/>
      <c r="CQ620" s="1276"/>
      <c r="CS620" s="1277">
        <f t="shared" si="21"/>
        <v>0</v>
      </c>
      <c r="CT620" s="1278"/>
      <c r="CU620" s="1278"/>
      <c r="CV620" s="1278"/>
      <c r="CW620" s="1279"/>
      <c r="CX620" s="1277">
        <f t="shared" si="22"/>
        <v>0</v>
      </c>
      <c r="CY620" s="1278"/>
      <c r="CZ620" s="1278"/>
      <c r="DA620" s="1278"/>
      <c r="DB620" s="1279"/>
      <c r="DC620" s="1277">
        <f t="shared" si="23"/>
        <v>0</v>
      </c>
      <c r="DD620" s="1278"/>
      <c r="DE620" s="1278"/>
      <c r="DF620" s="1278"/>
      <c r="DG620" s="1279"/>
      <c r="DH620" s="1277">
        <f t="shared" si="24"/>
        <v>0</v>
      </c>
      <c r="DI620" s="1278"/>
      <c r="DJ620" s="1278"/>
      <c r="DK620" s="1278"/>
      <c r="DL620" s="1279"/>
      <c r="DM620" s="1277">
        <f t="shared" si="25"/>
        <v>0</v>
      </c>
      <c r="DN620" s="1278"/>
      <c r="DO620" s="1278"/>
      <c r="DP620" s="1278"/>
      <c r="DQ620" s="1279"/>
      <c r="DR620" s="1277">
        <f t="shared" si="26"/>
        <v>0</v>
      </c>
      <c r="DS620" s="1278"/>
      <c r="DT620" s="1278"/>
      <c r="DU620" s="1278"/>
      <c r="DV620" s="1279"/>
    </row>
    <row r="621" spans="1:126" ht="12.95" customHeight="1">
      <c r="B621" s="57" t="s">
        <v>900</v>
      </c>
      <c r="C621" s="1295" t="s">
        <v>2422</v>
      </c>
      <c r="D621" s="1295"/>
      <c r="E621" s="1295"/>
      <c r="F621" s="1295"/>
      <c r="G621" s="1295"/>
      <c r="H621" s="1295"/>
      <c r="I621" s="1295"/>
      <c r="J621" s="1295"/>
      <c r="K621" s="1295"/>
      <c r="L621" s="1295"/>
      <c r="M621" s="1373" t="s">
        <v>2181</v>
      </c>
      <c r="N621" s="1373"/>
      <c r="O621" s="1373"/>
      <c r="P621" s="1373"/>
      <c r="Q621" s="1374">
        <v>480</v>
      </c>
      <c r="R621" s="1375"/>
      <c r="S621" s="1376"/>
      <c r="T621" s="1415">
        <v>480</v>
      </c>
      <c r="U621" s="1416"/>
      <c r="V621" s="1417"/>
      <c r="W621" s="1427">
        <v>6.5000000000000002E-2</v>
      </c>
      <c r="X621" s="1428"/>
      <c r="Y621" s="1429"/>
      <c r="Z621" s="1412" t="s">
        <v>2199</v>
      </c>
      <c r="AA621" s="1413"/>
      <c r="AB621" s="1414"/>
      <c r="AC621" s="1326">
        <v>1</v>
      </c>
      <c r="AD621" s="1327"/>
      <c r="AE621" s="1328"/>
      <c r="AF621" s="1209">
        <v>550165</v>
      </c>
      <c r="AG621" s="1210"/>
      <c r="AH621" s="1210"/>
      <c r="AI621" s="1210"/>
      <c r="AJ621" s="1211"/>
      <c r="AK621" s="1370">
        <v>0</v>
      </c>
      <c r="AL621" s="1371"/>
      <c r="AM621" s="1371"/>
      <c r="AN621" s="1372"/>
      <c r="AO621" s="1212">
        <v>7831000</v>
      </c>
      <c r="AP621" s="1212"/>
      <c r="AQ621" s="1212"/>
      <c r="AR621" s="1212"/>
      <c r="AS621" s="1212"/>
      <c r="AT621" s="946" t="str">
        <f t="shared" ref="AT621:AT632" si="27">IF(AND(NOT(C620=""),C621="",NOT(C622="")),"!","")</f>
        <v/>
      </c>
      <c r="AU621" s="43"/>
      <c r="AV621" s="43"/>
      <c r="AW621" s="43"/>
      <c r="AX621" s="43"/>
      <c r="AY621" s="43"/>
      <c r="BA621" s="41" t="s">
        <v>1980</v>
      </c>
      <c r="BC621" s="43"/>
      <c r="BD621" s="43"/>
      <c r="BE621" s="1271">
        <f t="shared" si="17"/>
        <v>0</v>
      </c>
      <c r="BF621" s="1273"/>
      <c r="BG621" s="1265">
        <f t="shared" si="18"/>
        <v>0</v>
      </c>
      <c r="BH621" s="1267"/>
      <c r="BI621" s="1271">
        <f t="shared" si="19"/>
        <v>0</v>
      </c>
      <c r="BJ621" s="1273"/>
      <c r="BK621" s="1265">
        <f t="shared" si="20"/>
        <v>0</v>
      </c>
      <c r="BL621" s="1267"/>
      <c r="BN621" s="1265">
        <f t="shared" si="3"/>
        <v>0</v>
      </c>
      <c r="BO621" s="1266"/>
      <c r="BP621" s="1266"/>
      <c r="BQ621" s="1266"/>
      <c r="BR621" s="1276"/>
      <c r="BS621" s="1265">
        <f t="shared" si="4"/>
        <v>0</v>
      </c>
      <c r="BT621" s="1266"/>
      <c r="BU621" s="1266"/>
      <c r="BV621" s="1266"/>
      <c r="BW621" s="1267"/>
      <c r="BX621" s="1265">
        <f t="shared" si="5"/>
        <v>0</v>
      </c>
      <c r="BY621" s="1266"/>
      <c r="BZ621" s="1266"/>
      <c r="CA621" s="1266"/>
      <c r="CB621" s="1267"/>
      <c r="CC621" s="1265">
        <f t="shared" si="6"/>
        <v>0</v>
      </c>
      <c r="CD621" s="1266"/>
      <c r="CE621" s="1266"/>
      <c r="CF621" s="1266"/>
      <c r="CG621" s="1267"/>
      <c r="CH621" s="1265">
        <f t="shared" si="7"/>
        <v>0</v>
      </c>
      <c r="CI621" s="1266"/>
      <c r="CJ621" s="1266"/>
      <c r="CK621" s="1266"/>
      <c r="CL621" s="1267"/>
      <c r="CM621" s="1274">
        <f t="shared" si="8"/>
        <v>0</v>
      </c>
      <c r="CN621" s="1275"/>
      <c r="CO621" s="1275"/>
      <c r="CP621" s="1275"/>
      <c r="CQ621" s="1276"/>
      <c r="CS621" s="1277">
        <f t="shared" si="21"/>
        <v>0</v>
      </c>
      <c r="CT621" s="1278"/>
      <c r="CU621" s="1278"/>
      <c r="CV621" s="1278"/>
      <c r="CW621" s="1279"/>
      <c r="CX621" s="1277">
        <f t="shared" si="22"/>
        <v>0</v>
      </c>
      <c r="CY621" s="1278"/>
      <c r="CZ621" s="1278"/>
      <c r="DA621" s="1278"/>
      <c r="DB621" s="1279"/>
      <c r="DC621" s="1277">
        <f t="shared" si="23"/>
        <v>0</v>
      </c>
      <c r="DD621" s="1278"/>
      <c r="DE621" s="1278"/>
      <c r="DF621" s="1278"/>
      <c r="DG621" s="1279"/>
      <c r="DH621" s="1277">
        <f t="shared" si="24"/>
        <v>0</v>
      </c>
      <c r="DI621" s="1278"/>
      <c r="DJ621" s="1278"/>
      <c r="DK621" s="1278"/>
      <c r="DL621" s="1279"/>
      <c r="DM621" s="1277">
        <f t="shared" si="25"/>
        <v>0</v>
      </c>
      <c r="DN621" s="1278"/>
      <c r="DO621" s="1278"/>
      <c r="DP621" s="1278"/>
      <c r="DQ621" s="1279"/>
      <c r="DR621" s="1277">
        <f t="shared" si="26"/>
        <v>0</v>
      </c>
      <c r="DS621" s="1278"/>
      <c r="DT621" s="1278"/>
      <c r="DU621" s="1278"/>
      <c r="DV621" s="1279"/>
    </row>
    <row r="622" spans="1:126" ht="12.95" customHeight="1">
      <c r="B622" s="58" t="s">
        <v>901</v>
      </c>
      <c r="C622" s="1295" t="s">
        <v>2407</v>
      </c>
      <c r="D622" s="1295"/>
      <c r="E622" s="1295"/>
      <c r="F622" s="1295"/>
      <c r="G622" s="1295"/>
      <c r="H622" s="1295"/>
      <c r="I622" s="1295"/>
      <c r="J622" s="1295"/>
      <c r="K622" s="1295"/>
      <c r="L622" s="1295"/>
      <c r="M622" s="1373" t="s">
        <v>2189</v>
      </c>
      <c r="N622" s="1373"/>
      <c r="O622" s="1373"/>
      <c r="P622" s="1373"/>
      <c r="Q622" s="1374"/>
      <c r="R622" s="1375"/>
      <c r="S622" s="1376"/>
      <c r="T622" s="1415"/>
      <c r="U622" s="1416"/>
      <c r="V622" s="1417"/>
      <c r="W622" s="1427"/>
      <c r="X622" s="1428"/>
      <c r="Y622" s="1429"/>
      <c r="Z622" s="1412" t="s">
        <v>500</v>
      </c>
      <c r="AA622" s="1413"/>
      <c r="AB622" s="1414"/>
      <c r="AC622" s="1326"/>
      <c r="AD622" s="1327"/>
      <c r="AE622" s="1328"/>
      <c r="AF622" s="1209"/>
      <c r="AG622" s="1210"/>
      <c r="AH622" s="1210"/>
      <c r="AI622" s="1210"/>
      <c r="AJ622" s="1211"/>
      <c r="AK622" s="1370"/>
      <c r="AL622" s="1371"/>
      <c r="AM622" s="1371"/>
      <c r="AN622" s="1372"/>
      <c r="AO622" s="1212">
        <v>794274</v>
      </c>
      <c r="AP622" s="1212"/>
      <c r="AQ622" s="1212"/>
      <c r="AR622" s="1212"/>
      <c r="AS622" s="1212"/>
      <c r="AT622" s="946" t="str">
        <f t="shared" si="27"/>
        <v/>
      </c>
      <c r="AU622" s="43"/>
      <c r="AV622" s="43"/>
      <c r="AW622" s="43"/>
      <c r="AX622" s="43"/>
      <c r="AY622" s="43"/>
      <c r="BA622" s="41" t="s">
        <v>789</v>
      </c>
      <c r="BC622" s="43"/>
      <c r="BD622" s="43"/>
      <c r="BE622" s="1271">
        <f t="shared" si="17"/>
        <v>0</v>
      </c>
      <c r="BF622" s="1273"/>
      <c r="BG622" s="1265">
        <f t="shared" si="18"/>
        <v>0</v>
      </c>
      <c r="BH622" s="1267"/>
      <c r="BI622" s="1271">
        <f t="shared" si="19"/>
        <v>0</v>
      </c>
      <c r="BJ622" s="1273"/>
      <c r="BK622" s="1265">
        <f t="shared" si="20"/>
        <v>0</v>
      </c>
      <c r="BL622" s="1267"/>
      <c r="BN622" s="1265">
        <f t="shared" si="3"/>
        <v>0</v>
      </c>
      <c r="BO622" s="1266"/>
      <c r="BP622" s="1266"/>
      <c r="BQ622" s="1266"/>
      <c r="BR622" s="1276"/>
      <c r="BS622" s="1265">
        <f t="shared" si="4"/>
        <v>0</v>
      </c>
      <c r="BT622" s="1266"/>
      <c r="BU622" s="1266"/>
      <c r="BV622" s="1266"/>
      <c r="BW622" s="1267"/>
      <c r="BX622" s="1265">
        <f t="shared" si="5"/>
        <v>0</v>
      </c>
      <c r="BY622" s="1266"/>
      <c r="BZ622" s="1266"/>
      <c r="CA622" s="1266"/>
      <c r="CB622" s="1267"/>
      <c r="CC622" s="1265">
        <f t="shared" si="6"/>
        <v>0</v>
      </c>
      <c r="CD622" s="1266"/>
      <c r="CE622" s="1266"/>
      <c r="CF622" s="1266"/>
      <c r="CG622" s="1267"/>
      <c r="CH622" s="1265">
        <f t="shared" si="7"/>
        <v>0</v>
      </c>
      <c r="CI622" s="1266"/>
      <c r="CJ622" s="1266"/>
      <c r="CK622" s="1266"/>
      <c r="CL622" s="1267"/>
      <c r="CM622" s="1274">
        <f t="shared" si="8"/>
        <v>0</v>
      </c>
      <c r="CN622" s="1275"/>
      <c r="CO622" s="1275"/>
      <c r="CP622" s="1275"/>
      <c r="CQ622" s="1276"/>
      <c r="CS622" s="1277">
        <f t="shared" si="21"/>
        <v>0</v>
      </c>
      <c r="CT622" s="1278"/>
      <c r="CU622" s="1278"/>
      <c r="CV622" s="1278"/>
      <c r="CW622" s="1279"/>
      <c r="CX622" s="1277">
        <f t="shared" si="22"/>
        <v>0</v>
      </c>
      <c r="CY622" s="1278"/>
      <c r="CZ622" s="1278"/>
      <c r="DA622" s="1278"/>
      <c r="DB622" s="1279"/>
      <c r="DC622" s="1277">
        <f t="shared" si="23"/>
        <v>0</v>
      </c>
      <c r="DD622" s="1278"/>
      <c r="DE622" s="1278"/>
      <c r="DF622" s="1278"/>
      <c r="DG622" s="1279"/>
      <c r="DH622" s="1277">
        <f t="shared" si="24"/>
        <v>0</v>
      </c>
      <c r="DI622" s="1278"/>
      <c r="DJ622" s="1278"/>
      <c r="DK622" s="1278"/>
      <c r="DL622" s="1279"/>
      <c r="DM622" s="1277">
        <f t="shared" si="25"/>
        <v>0</v>
      </c>
      <c r="DN622" s="1278"/>
      <c r="DO622" s="1278"/>
      <c r="DP622" s="1278"/>
      <c r="DQ622" s="1279"/>
      <c r="DR622" s="1277">
        <f t="shared" si="26"/>
        <v>0</v>
      </c>
      <c r="DS622" s="1278"/>
      <c r="DT622" s="1278"/>
      <c r="DU622" s="1278"/>
      <c r="DV622" s="1279"/>
    </row>
    <row r="623" spans="1:126" ht="12.95" customHeight="1">
      <c r="B623" s="58" t="s">
        <v>907</v>
      </c>
      <c r="C623" s="1295"/>
      <c r="D623" s="1295"/>
      <c r="E623" s="1295"/>
      <c r="F623" s="1295"/>
      <c r="G623" s="1295"/>
      <c r="H623" s="1295"/>
      <c r="I623" s="1295"/>
      <c r="J623" s="1295"/>
      <c r="K623" s="1295"/>
      <c r="L623" s="1295"/>
      <c r="M623" s="1373" t="s">
        <v>1980</v>
      </c>
      <c r="N623" s="1373"/>
      <c r="O623" s="1373"/>
      <c r="P623" s="1373"/>
      <c r="Q623" s="1374"/>
      <c r="R623" s="1375"/>
      <c r="S623" s="1376"/>
      <c r="T623" s="1415"/>
      <c r="U623" s="1416"/>
      <c r="V623" s="1417"/>
      <c r="W623" s="1427"/>
      <c r="X623" s="1428"/>
      <c r="Y623" s="1429"/>
      <c r="Z623" s="1412" t="s">
        <v>789</v>
      </c>
      <c r="AA623" s="1413"/>
      <c r="AB623" s="1414"/>
      <c r="AC623" s="1326"/>
      <c r="AD623" s="1327"/>
      <c r="AE623" s="1328"/>
      <c r="AF623" s="1209"/>
      <c r="AG623" s="1210"/>
      <c r="AH623" s="1210"/>
      <c r="AI623" s="1210"/>
      <c r="AJ623" s="1211"/>
      <c r="AK623" s="1370"/>
      <c r="AL623" s="1371"/>
      <c r="AM623" s="1371"/>
      <c r="AN623" s="1372"/>
      <c r="AO623" s="1199"/>
      <c r="AP623" s="1200"/>
      <c r="AQ623" s="1200"/>
      <c r="AR623" s="1200"/>
      <c r="AS623" s="1201"/>
      <c r="AT623" s="946" t="str">
        <f t="shared" si="27"/>
        <v/>
      </c>
      <c r="AU623" s="43"/>
      <c r="AV623" s="43"/>
      <c r="AW623" s="43"/>
      <c r="AX623" s="43"/>
      <c r="AY623" s="43"/>
      <c r="AZ623" s="43"/>
      <c r="BA623" s="41" t="s">
        <v>788</v>
      </c>
      <c r="BB623" s="43"/>
      <c r="BC623" s="43"/>
      <c r="BD623" s="43"/>
      <c r="BE623" s="1271">
        <f t="shared" si="17"/>
        <v>0</v>
      </c>
      <c r="BF623" s="1273"/>
      <c r="BG623" s="1265">
        <f t="shared" si="18"/>
        <v>0</v>
      </c>
      <c r="BH623" s="1267"/>
      <c r="BI623" s="1271">
        <f t="shared" si="19"/>
        <v>0</v>
      </c>
      <c r="BJ623" s="1273"/>
      <c r="BK623" s="1265">
        <f t="shared" si="20"/>
        <v>0</v>
      </c>
      <c r="BL623" s="1267"/>
      <c r="BN623" s="1265">
        <f t="shared" si="3"/>
        <v>0</v>
      </c>
      <c r="BO623" s="1266"/>
      <c r="BP623" s="1266"/>
      <c r="BQ623" s="1266"/>
      <c r="BR623" s="1276"/>
      <c r="BS623" s="1265">
        <f t="shared" si="4"/>
        <v>0</v>
      </c>
      <c r="BT623" s="1266"/>
      <c r="BU623" s="1266"/>
      <c r="BV623" s="1266"/>
      <c r="BW623" s="1267"/>
      <c r="BX623" s="1265">
        <f t="shared" si="5"/>
        <v>0</v>
      </c>
      <c r="BY623" s="1266"/>
      <c r="BZ623" s="1266"/>
      <c r="CA623" s="1266"/>
      <c r="CB623" s="1267"/>
      <c r="CC623" s="1265">
        <f t="shared" si="6"/>
        <v>0</v>
      </c>
      <c r="CD623" s="1266"/>
      <c r="CE623" s="1266"/>
      <c r="CF623" s="1266"/>
      <c r="CG623" s="1267"/>
      <c r="CH623" s="1265">
        <f t="shared" si="7"/>
        <v>0</v>
      </c>
      <c r="CI623" s="1266"/>
      <c r="CJ623" s="1266"/>
      <c r="CK623" s="1266"/>
      <c r="CL623" s="1267"/>
      <c r="CM623" s="1274">
        <f t="shared" si="8"/>
        <v>0</v>
      </c>
      <c r="CN623" s="1275"/>
      <c r="CO623" s="1275"/>
      <c r="CP623" s="1275"/>
      <c r="CQ623" s="1276"/>
      <c r="CS623" s="1277">
        <f t="shared" si="21"/>
        <v>0</v>
      </c>
      <c r="CT623" s="1278"/>
      <c r="CU623" s="1278"/>
      <c r="CV623" s="1278"/>
      <c r="CW623" s="1279"/>
      <c r="CX623" s="1277">
        <f t="shared" si="22"/>
        <v>0</v>
      </c>
      <c r="CY623" s="1278"/>
      <c r="CZ623" s="1278"/>
      <c r="DA623" s="1278"/>
      <c r="DB623" s="1279"/>
      <c r="DC623" s="1277">
        <f t="shared" si="23"/>
        <v>0</v>
      </c>
      <c r="DD623" s="1278"/>
      <c r="DE623" s="1278"/>
      <c r="DF623" s="1278"/>
      <c r="DG623" s="1279"/>
      <c r="DH623" s="1277">
        <f t="shared" si="24"/>
        <v>0</v>
      </c>
      <c r="DI623" s="1278"/>
      <c r="DJ623" s="1278"/>
      <c r="DK623" s="1278"/>
      <c r="DL623" s="1279"/>
      <c r="DM623" s="1277">
        <f t="shared" si="25"/>
        <v>0</v>
      </c>
      <c r="DN623" s="1278"/>
      <c r="DO623" s="1278"/>
      <c r="DP623" s="1278"/>
      <c r="DQ623" s="1279"/>
      <c r="DR623" s="1277">
        <f t="shared" si="26"/>
        <v>0</v>
      </c>
      <c r="DS623" s="1278"/>
      <c r="DT623" s="1278"/>
      <c r="DU623" s="1278"/>
      <c r="DV623" s="1279"/>
    </row>
    <row r="624" spans="1:126" ht="12.95" customHeight="1">
      <c r="B624" s="58" t="s">
        <v>432</v>
      </c>
      <c r="C624" s="1295"/>
      <c r="D624" s="1295"/>
      <c r="E624" s="1295"/>
      <c r="F624" s="1295"/>
      <c r="G624" s="1295"/>
      <c r="H624" s="1295"/>
      <c r="I624" s="1295"/>
      <c r="J624" s="1295"/>
      <c r="K624" s="1295"/>
      <c r="L624" s="1295"/>
      <c r="M624" s="1373" t="s">
        <v>1980</v>
      </c>
      <c r="N624" s="1373"/>
      <c r="O624" s="1373"/>
      <c r="P624" s="1373"/>
      <c r="Q624" s="1374"/>
      <c r="R624" s="1375"/>
      <c r="S624" s="1376"/>
      <c r="T624" s="1415"/>
      <c r="U624" s="1416"/>
      <c r="V624" s="1417"/>
      <c r="W624" s="1427"/>
      <c r="X624" s="1428"/>
      <c r="Y624" s="1429"/>
      <c r="Z624" s="1412" t="s">
        <v>1980</v>
      </c>
      <c r="AA624" s="1413"/>
      <c r="AB624" s="1414"/>
      <c r="AC624" s="1326"/>
      <c r="AD624" s="1327"/>
      <c r="AE624" s="1328"/>
      <c r="AF624" s="1209"/>
      <c r="AG624" s="1210"/>
      <c r="AH624" s="1210"/>
      <c r="AI624" s="1210"/>
      <c r="AJ624" s="1211"/>
      <c r="AK624" s="1370"/>
      <c r="AL624" s="1371"/>
      <c r="AM624" s="1371"/>
      <c r="AN624" s="1372"/>
      <c r="AO624" s="1212"/>
      <c r="AP624" s="1212"/>
      <c r="AQ624" s="1212"/>
      <c r="AR624" s="1212"/>
      <c r="AS624" s="1212"/>
      <c r="AT624" s="946" t="str">
        <f t="shared" si="27"/>
        <v/>
      </c>
      <c r="AU624" s="43"/>
      <c r="AV624" s="43"/>
      <c r="AW624" s="43"/>
      <c r="AX624" s="43"/>
      <c r="AY624" s="43"/>
      <c r="AZ624" s="43"/>
      <c r="BA624" s="41" t="s">
        <v>2199</v>
      </c>
      <c r="BE624" s="1271">
        <f t="shared" si="17"/>
        <v>0</v>
      </c>
      <c r="BF624" s="1273"/>
      <c r="BG624" s="1265">
        <f t="shared" si="18"/>
        <v>0</v>
      </c>
      <c r="BH624" s="1267"/>
      <c r="BI624" s="1271">
        <f t="shared" si="19"/>
        <v>0</v>
      </c>
      <c r="BJ624" s="1273"/>
      <c r="BK624" s="1265">
        <f t="shared" si="20"/>
        <v>0</v>
      </c>
      <c r="BL624" s="1267"/>
      <c r="BN624" s="1265">
        <f t="shared" si="3"/>
        <v>0</v>
      </c>
      <c r="BO624" s="1266"/>
      <c r="BP624" s="1266"/>
      <c r="BQ624" s="1266"/>
      <c r="BR624" s="1276"/>
      <c r="BS624" s="1265">
        <f t="shared" si="4"/>
        <v>0</v>
      </c>
      <c r="BT624" s="1266"/>
      <c r="BU624" s="1266"/>
      <c r="BV624" s="1266"/>
      <c r="BW624" s="1267"/>
      <c r="BX624" s="1265">
        <f t="shared" si="5"/>
        <v>0</v>
      </c>
      <c r="BY624" s="1266"/>
      <c r="BZ624" s="1266"/>
      <c r="CA624" s="1266"/>
      <c r="CB624" s="1267"/>
      <c r="CC624" s="1265">
        <f t="shared" si="6"/>
        <v>0</v>
      </c>
      <c r="CD624" s="1266"/>
      <c r="CE624" s="1266"/>
      <c r="CF624" s="1266"/>
      <c r="CG624" s="1267"/>
      <c r="CH624" s="1265">
        <f t="shared" si="7"/>
        <v>0</v>
      </c>
      <c r="CI624" s="1266"/>
      <c r="CJ624" s="1266"/>
      <c r="CK624" s="1266"/>
      <c r="CL624" s="1267"/>
      <c r="CM624" s="1274">
        <f t="shared" si="8"/>
        <v>0</v>
      </c>
      <c r="CN624" s="1275"/>
      <c r="CO624" s="1275"/>
      <c r="CP624" s="1275"/>
      <c r="CQ624" s="1276"/>
      <c r="CS624" s="1277">
        <f t="shared" si="21"/>
        <v>0</v>
      </c>
      <c r="CT624" s="1278"/>
      <c r="CU624" s="1278"/>
      <c r="CV624" s="1278"/>
      <c r="CW624" s="1279"/>
      <c r="CX624" s="1277">
        <f t="shared" si="22"/>
        <v>0</v>
      </c>
      <c r="CY624" s="1278"/>
      <c r="CZ624" s="1278"/>
      <c r="DA624" s="1278"/>
      <c r="DB624" s="1279"/>
      <c r="DC624" s="1277">
        <f t="shared" si="23"/>
        <v>0</v>
      </c>
      <c r="DD624" s="1278"/>
      <c r="DE624" s="1278"/>
      <c r="DF624" s="1278"/>
      <c r="DG624" s="1279"/>
      <c r="DH624" s="1277">
        <f t="shared" si="24"/>
        <v>0</v>
      </c>
      <c r="DI624" s="1278"/>
      <c r="DJ624" s="1278"/>
      <c r="DK624" s="1278"/>
      <c r="DL624" s="1279"/>
      <c r="DM624" s="1277">
        <f t="shared" si="25"/>
        <v>0</v>
      </c>
      <c r="DN624" s="1278"/>
      <c r="DO624" s="1278"/>
      <c r="DP624" s="1278"/>
      <c r="DQ624" s="1279"/>
      <c r="DR624" s="1277">
        <f t="shared" si="26"/>
        <v>0</v>
      </c>
      <c r="DS624" s="1278"/>
      <c r="DT624" s="1278"/>
      <c r="DU624" s="1278"/>
      <c r="DV624" s="1279"/>
    </row>
    <row r="625" spans="1:126" ht="12.95" customHeight="1">
      <c r="B625" s="58" t="s">
        <v>171</v>
      </c>
      <c r="C625" s="1295"/>
      <c r="D625" s="1295"/>
      <c r="E625" s="1295"/>
      <c r="F625" s="1295"/>
      <c r="G625" s="1295"/>
      <c r="H625" s="1295"/>
      <c r="I625" s="1295"/>
      <c r="J625" s="1295"/>
      <c r="K625" s="1295"/>
      <c r="L625" s="1295"/>
      <c r="M625" s="1373" t="s">
        <v>1980</v>
      </c>
      <c r="N625" s="1373"/>
      <c r="O625" s="1373"/>
      <c r="P625" s="1373"/>
      <c r="Q625" s="1374"/>
      <c r="R625" s="1375"/>
      <c r="S625" s="1376"/>
      <c r="T625" s="1415"/>
      <c r="U625" s="1416"/>
      <c r="V625" s="1417"/>
      <c r="W625" s="1427"/>
      <c r="X625" s="1428"/>
      <c r="Y625" s="1429"/>
      <c r="Z625" s="1412" t="s">
        <v>1980</v>
      </c>
      <c r="AA625" s="1413"/>
      <c r="AB625" s="1414"/>
      <c r="AC625" s="1326"/>
      <c r="AD625" s="1327"/>
      <c r="AE625" s="1328"/>
      <c r="AF625" s="1209"/>
      <c r="AG625" s="1210"/>
      <c r="AH625" s="1210"/>
      <c r="AI625" s="1210"/>
      <c r="AJ625" s="1211"/>
      <c r="AK625" s="1370"/>
      <c r="AL625" s="1371"/>
      <c r="AM625" s="1371"/>
      <c r="AN625" s="1372"/>
      <c r="AO625" s="1212"/>
      <c r="AP625" s="1212"/>
      <c r="AQ625" s="1212"/>
      <c r="AR625" s="1212"/>
      <c r="AS625" s="1212"/>
      <c r="AT625" s="946" t="str">
        <f t="shared" si="27"/>
        <v/>
      </c>
      <c r="AU625" s="43"/>
      <c r="AV625" s="43"/>
      <c r="AW625" s="43"/>
      <c r="AX625" s="43"/>
      <c r="AY625" s="43"/>
      <c r="AZ625" s="43"/>
      <c r="BA625" s="41" t="s">
        <v>500</v>
      </c>
      <c r="BE625" s="1271">
        <f t="shared" si="17"/>
        <v>0</v>
      </c>
      <c r="BF625" s="1273"/>
      <c r="BG625" s="1265">
        <f t="shared" si="18"/>
        <v>0</v>
      </c>
      <c r="BH625" s="1267"/>
      <c r="BI625" s="1271">
        <f t="shared" si="19"/>
        <v>0</v>
      </c>
      <c r="BJ625" s="1273"/>
      <c r="BK625" s="1265">
        <f t="shared" si="20"/>
        <v>0</v>
      </c>
      <c r="BL625" s="1267"/>
      <c r="BN625" s="1265">
        <f t="shared" si="3"/>
        <v>0</v>
      </c>
      <c r="BO625" s="1266"/>
      <c r="BP625" s="1266"/>
      <c r="BQ625" s="1266"/>
      <c r="BR625" s="1276"/>
      <c r="BS625" s="1265">
        <f t="shared" si="4"/>
        <v>0</v>
      </c>
      <c r="BT625" s="1266"/>
      <c r="BU625" s="1266"/>
      <c r="BV625" s="1266"/>
      <c r="BW625" s="1267"/>
      <c r="BX625" s="1265">
        <f t="shared" si="5"/>
        <v>0</v>
      </c>
      <c r="BY625" s="1266"/>
      <c r="BZ625" s="1266"/>
      <c r="CA625" s="1266"/>
      <c r="CB625" s="1267"/>
      <c r="CC625" s="1265">
        <f t="shared" si="6"/>
        <v>0</v>
      </c>
      <c r="CD625" s="1266"/>
      <c r="CE625" s="1266"/>
      <c r="CF625" s="1266"/>
      <c r="CG625" s="1267"/>
      <c r="CH625" s="1265">
        <f t="shared" si="7"/>
        <v>0</v>
      </c>
      <c r="CI625" s="1266"/>
      <c r="CJ625" s="1266"/>
      <c r="CK625" s="1266"/>
      <c r="CL625" s="1267"/>
      <c r="CM625" s="1274">
        <f t="shared" si="8"/>
        <v>0</v>
      </c>
      <c r="CN625" s="1275"/>
      <c r="CO625" s="1275"/>
      <c r="CP625" s="1275"/>
      <c r="CQ625" s="1276"/>
      <c r="CS625" s="1277">
        <f t="shared" si="21"/>
        <v>0</v>
      </c>
      <c r="CT625" s="1278"/>
      <c r="CU625" s="1278"/>
      <c r="CV625" s="1278"/>
      <c r="CW625" s="1279"/>
      <c r="CX625" s="1277">
        <f t="shared" si="22"/>
        <v>0</v>
      </c>
      <c r="CY625" s="1278"/>
      <c r="CZ625" s="1278"/>
      <c r="DA625" s="1278"/>
      <c r="DB625" s="1279"/>
      <c r="DC625" s="1277">
        <f t="shared" si="23"/>
        <v>0</v>
      </c>
      <c r="DD625" s="1278"/>
      <c r="DE625" s="1278"/>
      <c r="DF625" s="1278"/>
      <c r="DG625" s="1279"/>
      <c r="DH625" s="1277">
        <f t="shared" si="24"/>
        <v>0</v>
      </c>
      <c r="DI625" s="1278"/>
      <c r="DJ625" s="1278"/>
      <c r="DK625" s="1278"/>
      <c r="DL625" s="1279"/>
      <c r="DM625" s="1277">
        <f t="shared" si="25"/>
        <v>0</v>
      </c>
      <c r="DN625" s="1278"/>
      <c r="DO625" s="1278"/>
      <c r="DP625" s="1278"/>
      <c r="DQ625" s="1279"/>
      <c r="DR625" s="1277">
        <f t="shared" si="26"/>
        <v>0</v>
      </c>
      <c r="DS625" s="1278"/>
      <c r="DT625" s="1278"/>
      <c r="DU625" s="1278"/>
      <c r="DV625" s="1279"/>
    </row>
    <row r="626" spans="1:126" ht="12.95" customHeight="1">
      <c r="B626" s="58" t="s">
        <v>435</v>
      </c>
      <c r="C626" s="1295"/>
      <c r="D626" s="1295"/>
      <c r="E626" s="1295"/>
      <c r="F626" s="1295"/>
      <c r="G626" s="1295"/>
      <c r="H626" s="1295"/>
      <c r="I626" s="1295"/>
      <c r="J626" s="1295"/>
      <c r="K626" s="1295"/>
      <c r="L626" s="1295"/>
      <c r="M626" s="1373" t="s">
        <v>1980</v>
      </c>
      <c r="N626" s="1373"/>
      <c r="O626" s="1373"/>
      <c r="P626" s="1373"/>
      <c r="Q626" s="1374"/>
      <c r="R626" s="1375"/>
      <c r="S626" s="1376"/>
      <c r="T626" s="1415"/>
      <c r="U626" s="1416"/>
      <c r="V626" s="1417"/>
      <c r="W626" s="1427"/>
      <c r="X626" s="1428"/>
      <c r="Y626" s="1429"/>
      <c r="Z626" s="1412" t="s">
        <v>1980</v>
      </c>
      <c r="AA626" s="1413"/>
      <c r="AB626" s="1414"/>
      <c r="AC626" s="1326"/>
      <c r="AD626" s="1327"/>
      <c r="AE626" s="1328"/>
      <c r="AF626" s="1209"/>
      <c r="AG626" s="1210"/>
      <c r="AH626" s="1210"/>
      <c r="AI626" s="1210"/>
      <c r="AJ626" s="1211"/>
      <c r="AK626" s="1370"/>
      <c r="AL626" s="1371"/>
      <c r="AM626" s="1371"/>
      <c r="AN626" s="1372"/>
      <c r="AO626" s="1212"/>
      <c r="AP626" s="1212"/>
      <c r="AQ626" s="1212"/>
      <c r="AR626" s="1212"/>
      <c r="AS626" s="1212"/>
      <c r="AT626" s="946" t="str">
        <f t="shared" si="27"/>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SUM(BS591:BW625)</f>
        <v>0</v>
      </c>
      <c r="BT626" s="1272"/>
      <c r="BU626" s="1272"/>
      <c r="BV626" s="1272"/>
      <c r="BW626" s="1273"/>
      <c r="BX626" s="1271">
        <f>SUM(BX591:CB625)</f>
        <v>14</v>
      </c>
      <c r="BY626" s="1272"/>
      <c r="BZ626" s="1272"/>
      <c r="CA626" s="1272"/>
      <c r="CB626" s="1273"/>
      <c r="CC626" s="1271">
        <f>SUM(CC591:CG625)</f>
        <v>10</v>
      </c>
      <c r="CD626" s="1272"/>
      <c r="CE626" s="1272"/>
      <c r="CF626" s="1272"/>
      <c r="CG626" s="1273"/>
      <c r="CH626" s="1271">
        <f>SUM(CH591:CL625)</f>
        <v>0</v>
      </c>
      <c r="CI626" s="1272"/>
      <c r="CJ626" s="1272"/>
      <c r="CK626" s="1272"/>
      <c r="CL626" s="1273"/>
      <c r="CM626" s="1271">
        <f>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742</v>
      </c>
      <c r="C627" s="1295"/>
      <c r="D627" s="1295"/>
      <c r="E627" s="1295"/>
      <c r="F627" s="1295"/>
      <c r="G627" s="1295"/>
      <c r="H627" s="1295"/>
      <c r="I627" s="1295"/>
      <c r="J627" s="1295"/>
      <c r="K627" s="1295"/>
      <c r="L627" s="1295"/>
      <c r="M627" s="1373" t="s">
        <v>1980</v>
      </c>
      <c r="N627" s="1373"/>
      <c r="O627" s="1373"/>
      <c r="P627" s="1373"/>
      <c r="Q627" s="1374"/>
      <c r="R627" s="1375"/>
      <c r="S627" s="1376"/>
      <c r="T627" s="1415"/>
      <c r="U627" s="1416"/>
      <c r="V627" s="1417"/>
      <c r="W627" s="1427"/>
      <c r="X627" s="1428"/>
      <c r="Y627" s="1429"/>
      <c r="Z627" s="1412" t="s">
        <v>1980</v>
      </c>
      <c r="AA627" s="1413"/>
      <c r="AB627" s="1414"/>
      <c r="AC627" s="1326"/>
      <c r="AD627" s="1327"/>
      <c r="AE627" s="1328"/>
      <c r="AF627" s="1209"/>
      <c r="AG627" s="1210"/>
      <c r="AH627" s="1210"/>
      <c r="AI627" s="1210"/>
      <c r="AJ627" s="1211"/>
      <c r="AK627" s="1370"/>
      <c r="AL627" s="1371"/>
      <c r="AM627" s="1371"/>
      <c r="AN627" s="1372"/>
      <c r="AO627" s="1212"/>
      <c r="AP627" s="1212"/>
      <c r="AQ627" s="1212"/>
      <c r="AR627" s="1212"/>
      <c r="AS627" s="1212"/>
      <c r="AT627" s="946" t="str">
        <f t="shared" si="27"/>
        <v/>
      </c>
      <c r="AU627" s="43"/>
      <c r="AV627" s="43"/>
      <c r="AW627" s="43"/>
      <c r="AX627" s="43"/>
      <c r="AY627" s="43"/>
      <c r="AZ627" s="43"/>
      <c r="BE627" s="41"/>
      <c r="BF627" s="41"/>
      <c r="BG627" s="1271">
        <f>SUM(BG592:BH626)</f>
        <v>15</v>
      </c>
      <c r="BH627" s="1273"/>
      <c r="BI627" s="41"/>
      <c r="BJ627" s="41"/>
      <c r="BK627" s="1271">
        <f>SUM(BK592:BL626)</f>
        <v>3</v>
      </c>
      <c r="BL627" s="1273"/>
      <c r="BN627" s="41" t="s">
        <v>1724</v>
      </c>
      <c r="BO627" s="41"/>
      <c r="BP627" s="41"/>
      <c r="BQ627" s="41"/>
      <c r="BR627" s="467">
        <f>BN626*1</f>
        <v>0</v>
      </c>
      <c r="BS627" s="41"/>
      <c r="BT627" s="41"/>
      <c r="BU627" s="41"/>
      <c r="BV627" s="41"/>
      <c r="BW627" s="467">
        <f>BS626*1</f>
        <v>0</v>
      </c>
      <c r="BX627" s="41"/>
      <c r="BY627" s="41"/>
      <c r="BZ627" s="41"/>
      <c r="CA627" s="41"/>
      <c r="CB627" s="467">
        <f>BX626*2</f>
        <v>28</v>
      </c>
      <c r="CC627" s="41"/>
      <c r="CD627" s="41"/>
      <c r="CE627" s="41"/>
      <c r="CF627" s="41"/>
      <c r="CG627" s="467">
        <f>CC626*3</f>
        <v>30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0</v>
      </c>
      <c r="CY627" s="1272"/>
      <c r="CZ627" s="1272"/>
      <c r="DA627" s="1272"/>
      <c r="DB627" s="1273"/>
      <c r="DC627" s="1271">
        <f>SUM(DC592:DG626)</f>
        <v>2</v>
      </c>
      <c r="DD627" s="1272"/>
      <c r="DE627" s="1272"/>
      <c r="DF627" s="1272"/>
      <c r="DG627" s="1273"/>
      <c r="DH627" s="1271">
        <f>SUM(DH592:DL626)</f>
        <v>1</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743</v>
      </c>
      <c r="C628" s="1295"/>
      <c r="D628" s="1295"/>
      <c r="E628" s="1295"/>
      <c r="F628" s="1295"/>
      <c r="G628" s="1295"/>
      <c r="H628" s="1295"/>
      <c r="I628" s="1295"/>
      <c r="J628" s="1295"/>
      <c r="K628" s="1295"/>
      <c r="L628" s="1295"/>
      <c r="M628" s="1373" t="s">
        <v>1980</v>
      </c>
      <c r="N628" s="1373"/>
      <c r="O628" s="1373"/>
      <c r="P628" s="1373"/>
      <c r="Q628" s="1374"/>
      <c r="R628" s="1375"/>
      <c r="S628" s="1376"/>
      <c r="T628" s="1415"/>
      <c r="U628" s="1416"/>
      <c r="V628" s="1417"/>
      <c r="W628" s="1427"/>
      <c r="X628" s="1428"/>
      <c r="Y628" s="1429"/>
      <c r="Z628" s="1412" t="s">
        <v>1980</v>
      </c>
      <c r="AA628" s="1413"/>
      <c r="AB628" s="1414"/>
      <c r="AC628" s="1326"/>
      <c r="AD628" s="1327"/>
      <c r="AE628" s="1328"/>
      <c r="AF628" s="1209"/>
      <c r="AG628" s="1210"/>
      <c r="AH628" s="1210"/>
      <c r="AI628" s="1210"/>
      <c r="AJ628" s="1211"/>
      <c r="AK628" s="1370"/>
      <c r="AL628" s="1371"/>
      <c r="AM628" s="1371"/>
      <c r="AN628" s="1372"/>
      <c r="AO628" s="1212"/>
      <c r="AP628" s="1212"/>
      <c r="AQ628" s="1212"/>
      <c r="AR628" s="1212"/>
      <c r="AS628" s="1212"/>
      <c r="AT628" s="946"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58</v>
      </c>
      <c r="CR628" s="41"/>
      <c r="CS628" s="41"/>
    </row>
    <row r="629" spans="1:126" ht="12.95" customHeight="1">
      <c r="B629" s="58" t="s">
        <v>547</v>
      </c>
      <c r="C629" s="1295"/>
      <c r="D629" s="1295"/>
      <c r="E629" s="1295"/>
      <c r="F629" s="1295"/>
      <c r="G629" s="1295"/>
      <c r="H629" s="1295"/>
      <c r="I629" s="1295"/>
      <c r="J629" s="1295"/>
      <c r="K629" s="1295"/>
      <c r="L629" s="1295"/>
      <c r="M629" s="1373" t="s">
        <v>1980</v>
      </c>
      <c r="N629" s="1373"/>
      <c r="O629" s="1373"/>
      <c r="P629" s="1373"/>
      <c r="Q629" s="1374"/>
      <c r="R629" s="1375"/>
      <c r="S629" s="1376"/>
      <c r="T629" s="1415"/>
      <c r="U629" s="1416"/>
      <c r="V629" s="1417"/>
      <c r="W629" s="1427"/>
      <c r="X629" s="1428"/>
      <c r="Y629" s="1429"/>
      <c r="Z629" s="1412" t="s">
        <v>1980</v>
      </c>
      <c r="AA629" s="1413"/>
      <c r="AB629" s="1414"/>
      <c r="AC629" s="1326"/>
      <c r="AD629" s="1327"/>
      <c r="AE629" s="1328"/>
      <c r="AF629" s="1209"/>
      <c r="AG629" s="1210"/>
      <c r="AH629" s="1210"/>
      <c r="AI629" s="1210"/>
      <c r="AJ629" s="1211"/>
      <c r="AK629" s="1370"/>
      <c r="AL629" s="1371"/>
      <c r="AM629" s="1371"/>
      <c r="AN629" s="1372"/>
      <c r="AO629" s="1212"/>
      <c r="AP629" s="1212"/>
      <c r="AQ629" s="1212"/>
      <c r="AR629" s="1212"/>
      <c r="AS629" s="1212"/>
      <c r="AT629" s="946" t="str">
        <f t="shared" si="27"/>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3" t="s">
        <v>1980</v>
      </c>
      <c r="N630" s="1373"/>
      <c r="O630" s="1373"/>
      <c r="P630" s="1373"/>
      <c r="Q630" s="1374"/>
      <c r="R630" s="1375"/>
      <c r="S630" s="1376"/>
      <c r="T630" s="1415"/>
      <c r="U630" s="1416"/>
      <c r="V630" s="1417"/>
      <c r="W630" s="1427"/>
      <c r="X630" s="1428"/>
      <c r="Y630" s="1429"/>
      <c r="Z630" s="1412" t="s">
        <v>1980</v>
      </c>
      <c r="AA630" s="1413"/>
      <c r="AB630" s="1414"/>
      <c r="AC630" s="1326"/>
      <c r="AD630" s="1327"/>
      <c r="AE630" s="1328"/>
      <c r="AF630" s="1209"/>
      <c r="AG630" s="1210"/>
      <c r="AH630" s="1210"/>
      <c r="AI630" s="1210"/>
      <c r="AJ630" s="1211"/>
      <c r="AK630" s="1370"/>
      <c r="AL630" s="1371"/>
      <c r="AM630" s="1371"/>
      <c r="AN630" s="1372"/>
      <c r="AO630" s="1212"/>
      <c r="AP630" s="1212"/>
      <c r="AQ630" s="1212"/>
      <c r="AR630" s="1212"/>
      <c r="AS630" s="1212"/>
      <c r="AT630" s="946" t="str">
        <f t="shared" si="27"/>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3" t="s">
        <v>1980</v>
      </c>
      <c r="N631" s="1373"/>
      <c r="O631" s="1373"/>
      <c r="P631" s="1373"/>
      <c r="Q631" s="1374"/>
      <c r="R631" s="1375"/>
      <c r="S631" s="1376"/>
      <c r="T631" s="1415"/>
      <c r="U631" s="1416"/>
      <c r="V631" s="1417"/>
      <c r="W631" s="1427"/>
      <c r="X631" s="1428"/>
      <c r="Y631" s="1429"/>
      <c r="Z631" s="1412" t="s">
        <v>1980</v>
      </c>
      <c r="AA631" s="1413"/>
      <c r="AB631" s="1414"/>
      <c r="AC631" s="1326"/>
      <c r="AD631" s="1327"/>
      <c r="AE631" s="1328"/>
      <c r="AF631" s="1209"/>
      <c r="AG631" s="1210"/>
      <c r="AH631" s="1210"/>
      <c r="AI631" s="1210"/>
      <c r="AJ631" s="1211"/>
      <c r="AK631" s="1370"/>
      <c r="AL631" s="1371"/>
      <c r="AM631" s="1371"/>
      <c r="AN631" s="1372"/>
      <c r="AO631" s="1212"/>
      <c r="AP631" s="1212"/>
      <c r="AQ631" s="1212"/>
      <c r="AR631" s="1212"/>
      <c r="AS631" s="1212"/>
      <c r="AT631" s="946" t="str">
        <f t="shared" si="27"/>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3" t="s">
        <v>1980</v>
      </c>
      <c r="N632" s="1373"/>
      <c r="O632" s="1373"/>
      <c r="P632" s="1373"/>
      <c r="Q632" s="1374"/>
      <c r="R632" s="1375"/>
      <c r="S632" s="1376"/>
      <c r="T632" s="1415"/>
      <c r="U632" s="1416"/>
      <c r="V632" s="1417"/>
      <c r="W632" s="1427"/>
      <c r="X632" s="1428"/>
      <c r="Y632" s="1429"/>
      <c r="Z632" s="1412" t="s">
        <v>1980</v>
      </c>
      <c r="AA632" s="1413"/>
      <c r="AB632" s="1414"/>
      <c r="AC632" s="1326"/>
      <c r="AD632" s="1327"/>
      <c r="AE632" s="1328"/>
      <c r="AF632" s="1209"/>
      <c r="AG632" s="1210"/>
      <c r="AH632" s="1210"/>
      <c r="AI632" s="1210"/>
      <c r="AJ632" s="1211"/>
      <c r="AK632" s="1370"/>
      <c r="AL632" s="1371"/>
      <c r="AM632" s="1371"/>
      <c r="AN632" s="1372"/>
      <c r="AO632" s="1212"/>
      <c r="AP632" s="1212"/>
      <c r="AQ632" s="1212"/>
      <c r="AR632" s="1212"/>
      <c r="AS632" s="1212"/>
      <c r="AT632" s="946" t="str">
        <f t="shared" si="27"/>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8625274</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1984</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11894491</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3">
        <f>AO633+AO634</f>
        <v>20519765</v>
      </c>
      <c r="AP635" s="1194"/>
      <c r="AQ635" s="1194"/>
      <c r="AR635" s="1194"/>
      <c r="AS635" s="1195"/>
      <c r="AT635" s="43"/>
      <c r="AU635" s="43"/>
      <c r="AV635" s="43"/>
      <c r="AW635" s="43"/>
      <c r="AX635" s="43"/>
      <c r="AY635" s="43"/>
      <c r="AZ635" s="43"/>
      <c r="BN635" s="1265">
        <f t="shared" ref="BN635:BN644" si="28">IF(J766="SRO/Studio",O766,0)</f>
        <v>0</v>
      </c>
      <c r="BO635" s="1266"/>
      <c r="BP635" s="1266"/>
      <c r="BQ635" s="1266"/>
      <c r="BR635" s="1267"/>
      <c r="BS635" s="1265">
        <f t="shared" ref="BS635:BS644" si="29">IF(J766="1 Bedroom",O766,0)</f>
        <v>0</v>
      </c>
      <c r="BT635" s="1266"/>
      <c r="BU635" s="1266"/>
      <c r="BV635" s="1266"/>
      <c r="BW635" s="1267"/>
      <c r="BX635" s="1265">
        <f t="shared" ref="BX635:BX644" si="30">IF(J766="2 Bedrooms",O766,0)</f>
        <v>0</v>
      </c>
      <c r="BY635" s="1266"/>
      <c r="BZ635" s="1266"/>
      <c r="CA635" s="1266"/>
      <c r="CB635" s="1267"/>
      <c r="CC635" s="1265">
        <f t="shared" ref="CC635:CC644" si="31">IF(J766="3 Bedrooms",O766,0)</f>
        <v>0</v>
      </c>
      <c r="CD635" s="1266"/>
      <c r="CE635" s="1266"/>
      <c r="CF635" s="1266"/>
      <c r="CG635" s="1267"/>
      <c r="CH635" s="1265">
        <f t="shared" ref="CH635:CH644" si="32">IF(J766="4 Bedrooms",O766,0)</f>
        <v>0</v>
      </c>
      <c r="CI635" s="1266"/>
      <c r="CJ635" s="1266"/>
      <c r="CK635" s="1266"/>
      <c r="CL635" s="1267"/>
      <c r="CM635" s="1265">
        <f t="shared" ref="CM635:CM644" si="33">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28"/>
        <v>0</v>
      </c>
      <c r="BO636" s="1266"/>
      <c r="BP636" s="1266"/>
      <c r="BQ636" s="1266"/>
      <c r="BR636" s="1267"/>
      <c r="BS636" s="1265">
        <f t="shared" si="29"/>
        <v>0</v>
      </c>
      <c r="BT636" s="1266"/>
      <c r="BU636" s="1266"/>
      <c r="BV636" s="1266"/>
      <c r="BW636" s="1267"/>
      <c r="BX636" s="1265">
        <f t="shared" si="30"/>
        <v>0</v>
      </c>
      <c r="BY636" s="1266"/>
      <c r="BZ636" s="1266"/>
      <c r="CA636" s="1266"/>
      <c r="CB636" s="1267"/>
      <c r="CC636" s="1265">
        <f t="shared" si="31"/>
        <v>0</v>
      </c>
      <c r="CD636" s="1266"/>
      <c r="CE636" s="1266"/>
      <c r="CF636" s="1266"/>
      <c r="CG636" s="1267"/>
      <c r="CH636" s="1265">
        <f t="shared" si="32"/>
        <v>0</v>
      </c>
      <c r="CI636" s="1266"/>
      <c r="CJ636" s="1266"/>
      <c r="CK636" s="1266"/>
      <c r="CL636" s="1267"/>
      <c r="CM636" s="1265">
        <f t="shared" si="33"/>
        <v>0</v>
      </c>
      <c r="CN636" s="1266"/>
      <c r="CO636" s="1266"/>
      <c r="CP636" s="1266"/>
      <c r="CQ636" s="1267"/>
      <c r="CR636" s="41"/>
      <c r="CS636" s="41"/>
    </row>
    <row r="637" spans="1:126" ht="12.95" customHeight="1">
      <c r="A637" s="61" t="s">
        <v>900</v>
      </c>
      <c r="B637" t="s">
        <v>82</v>
      </c>
      <c r="G637" s="1260" t="str">
        <f>C621</f>
        <v>CitiBank</v>
      </c>
      <c r="H637" s="1260"/>
      <c r="I637" s="1260"/>
      <c r="J637" s="1260"/>
      <c r="K637" s="1260"/>
      <c r="L637" s="1260"/>
      <c r="M637" s="1260"/>
      <c r="N637" s="1260"/>
      <c r="O637" s="1260"/>
      <c r="P637" s="1260"/>
      <c r="Q637" s="1260"/>
      <c r="R637" s="1260"/>
      <c r="S637" s="12"/>
      <c r="T637" s="61" t="s">
        <v>901</v>
      </c>
      <c r="U637" t="s">
        <v>82</v>
      </c>
      <c r="Z637" s="1260" t="str">
        <f>C622</f>
        <v>NOI</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28"/>
        <v>0</v>
      </c>
      <c r="BO637" s="1266"/>
      <c r="BP637" s="1266"/>
      <c r="BQ637" s="1266"/>
      <c r="BR637" s="1267"/>
      <c r="BS637" s="1265">
        <f t="shared" si="29"/>
        <v>0</v>
      </c>
      <c r="BT637" s="1266"/>
      <c r="BU637" s="1266"/>
      <c r="BV637" s="1266"/>
      <c r="BW637" s="1267"/>
      <c r="BX637" s="1265">
        <f t="shared" si="30"/>
        <v>0</v>
      </c>
      <c r="BY637" s="1266"/>
      <c r="BZ637" s="1266"/>
      <c r="CA637" s="1266"/>
      <c r="CB637" s="1267"/>
      <c r="CC637" s="1265">
        <f t="shared" si="31"/>
        <v>0</v>
      </c>
      <c r="CD637" s="1266"/>
      <c r="CE637" s="1266"/>
      <c r="CF637" s="1266"/>
      <c r="CG637" s="1267"/>
      <c r="CH637" s="1265">
        <f t="shared" si="32"/>
        <v>0</v>
      </c>
      <c r="CI637" s="1266"/>
      <c r="CJ637" s="1266"/>
      <c r="CK637" s="1266"/>
      <c r="CL637" s="1267"/>
      <c r="CM637" s="1265">
        <f t="shared" si="33"/>
        <v>0</v>
      </c>
      <c r="CN637" s="1266"/>
      <c r="CO637" s="1266"/>
      <c r="CP637" s="1266"/>
      <c r="CQ637" s="1267"/>
      <c r="CR637" s="41"/>
      <c r="CS637" s="41"/>
    </row>
    <row r="638" spans="1:126" ht="12.95" customHeight="1">
      <c r="A638" s="4"/>
      <c r="B638" t="s">
        <v>373</v>
      </c>
      <c r="G638" s="1107" t="s">
        <v>2432</v>
      </c>
      <c r="H638" s="1107"/>
      <c r="I638" s="1107"/>
      <c r="J638" s="1107"/>
      <c r="K638" s="1107"/>
      <c r="L638" s="1107"/>
      <c r="M638" s="1107"/>
      <c r="N638" s="1107"/>
      <c r="O638" s="1107"/>
      <c r="P638" s="1107"/>
      <c r="Q638" s="1107"/>
      <c r="R638" s="1107"/>
      <c r="S638" s="12"/>
      <c r="T638" s="4"/>
      <c r="U638" t="s">
        <v>373</v>
      </c>
      <c r="Z638" s="1107" t="s">
        <v>2328</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28"/>
        <v>0</v>
      </c>
      <c r="BO638" s="1266"/>
      <c r="BP638" s="1266"/>
      <c r="BQ638" s="1266"/>
      <c r="BR638" s="1267"/>
      <c r="BS638" s="1265">
        <f t="shared" si="29"/>
        <v>0</v>
      </c>
      <c r="BT638" s="1266"/>
      <c r="BU638" s="1266"/>
      <c r="BV638" s="1266"/>
      <c r="BW638" s="1267"/>
      <c r="BX638" s="1265">
        <f t="shared" si="30"/>
        <v>0</v>
      </c>
      <c r="BY638" s="1266"/>
      <c r="BZ638" s="1266"/>
      <c r="CA638" s="1266"/>
      <c r="CB638" s="1267"/>
      <c r="CC638" s="1265">
        <f t="shared" si="31"/>
        <v>0</v>
      </c>
      <c r="CD638" s="1266"/>
      <c r="CE638" s="1266"/>
      <c r="CF638" s="1266"/>
      <c r="CG638" s="1267"/>
      <c r="CH638" s="1265">
        <f t="shared" si="32"/>
        <v>0</v>
      </c>
      <c r="CI638" s="1266"/>
      <c r="CJ638" s="1266"/>
      <c r="CK638" s="1266"/>
      <c r="CL638" s="1267"/>
      <c r="CM638" s="1265">
        <f t="shared" si="33"/>
        <v>0</v>
      </c>
      <c r="CN638" s="1266"/>
      <c r="CO638" s="1266"/>
      <c r="CP638" s="1266"/>
      <c r="CQ638" s="1267"/>
      <c r="CR638" s="41"/>
      <c r="CS638" s="41"/>
    </row>
    <row r="639" spans="1:126" ht="12.95" customHeight="1">
      <c r="A639" s="4"/>
      <c r="B639" t="s">
        <v>431</v>
      </c>
      <c r="G639" s="1107" t="s">
        <v>2433</v>
      </c>
      <c r="H639" s="1107"/>
      <c r="I639" s="1107"/>
      <c r="J639" s="1107"/>
      <c r="K639" s="1107"/>
      <c r="L639" s="1107"/>
      <c r="M639" s="1107"/>
      <c r="N639" s="1107"/>
      <c r="O639" s="1107"/>
      <c r="P639" s="1107"/>
      <c r="Q639" s="1107"/>
      <c r="R639" s="1107"/>
      <c r="T639" s="4"/>
      <c r="U639" t="s">
        <v>431</v>
      </c>
      <c r="Z639" s="1258" t="s">
        <v>2344</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28"/>
        <v>0</v>
      </c>
      <c r="BO639" s="1266"/>
      <c r="BP639" s="1266"/>
      <c r="BQ639" s="1266"/>
      <c r="BR639" s="1267"/>
      <c r="BS639" s="1265">
        <f t="shared" si="29"/>
        <v>0</v>
      </c>
      <c r="BT639" s="1266"/>
      <c r="BU639" s="1266"/>
      <c r="BV639" s="1266"/>
      <c r="BW639" s="1267"/>
      <c r="BX639" s="1265">
        <f t="shared" si="30"/>
        <v>0</v>
      </c>
      <c r="BY639" s="1266"/>
      <c r="BZ639" s="1266"/>
      <c r="CA639" s="1266"/>
      <c r="CB639" s="1267"/>
      <c r="CC639" s="1265">
        <f t="shared" si="31"/>
        <v>0</v>
      </c>
      <c r="CD639" s="1266"/>
      <c r="CE639" s="1266"/>
      <c r="CF639" s="1266"/>
      <c r="CG639" s="1267"/>
      <c r="CH639" s="1265">
        <f t="shared" si="32"/>
        <v>0</v>
      </c>
      <c r="CI639" s="1266"/>
      <c r="CJ639" s="1266"/>
      <c r="CK639" s="1266"/>
      <c r="CL639" s="1267"/>
      <c r="CM639" s="1265">
        <f t="shared" si="33"/>
        <v>0</v>
      </c>
      <c r="CN639" s="1266"/>
      <c r="CO639" s="1266"/>
      <c r="CP639" s="1266"/>
      <c r="CQ639" s="1267"/>
      <c r="CR639" s="41"/>
      <c r="CS639" s="41"/>
    </row>
    <row r="640" spans="1:126" ht="12.95" customHeight="1">
      <c r="A640" s="4"/>
      <c r="B640" t="s">
        <v>833</v>
      </c>
      <c r="G640" s="1107" t="s">
        <v>2434</v>
      </c>
      <c r="H640" s="1107"/>
      <c r="I640" s="1107"/>
      <c r="J640" s="1107"/>
      <c r="K640" s="1107"/>
      <c r="L640" s="1107"/>
      <c r="M640" s="1107"/>
      <c r="N640" s="1107"/>
      <c r="O640" s="1107"/>
      <c r="P640" s="1107"/>
      <c r="Q640" s="1107"/>
      <c r="R640" s="1107"/>
      <c r="S640" s="12"/>
      <c r="T640" s="4"/>
      <c r="U640" t="s">
        <v>833</v>
      </c>
      <c r="Z640" s="1258" t="s">
        <v>2321</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28"/>
        <v>0</v>
      </c>
      <c r="BO640" s="1266"/>
      <c r="BP640" s="1266"/>
      <c r="BQ640" s="1266"/>
      <c r="BR640" s="1267"/>
      <c r="BS640" s="1265">
        <f t="shared" si="29"/>
        <v>0</v>
      </c>
      <c r="BT640" s="1266"/>
      <c r="BU640" s="1266"/>
      <c r="BV640" s="1266"/>
      <c r="BW640" s="1267"/>
      <c r="BX640" s="1265">
        <f t="shared" si="30"/>
        <v>0</v>
      </c>
      <c r="BY640" s="1266"/>
      <c r="BZ640" s="1266"/>
      <c r="CA640" s="1266"/>
      <c r="CB640" s="1267"/>
      <c r="CC640" s="1265">
        <f t="shared" si="31"/>
        <v>0</v>
      </c>
      <c r="CD640" s="1266"/>
      <c r="CE640" s="1266"/>
      <c r="CF640" s="1266"/>
      <c r="CG640" s="1267"/>
      <c r="CH640" s="1265">
        <f t="shared" si="32"/>
        <v>0</v>
      </c>
      <c r="CI640" s="1266"/>
      <c r="CJ640" s="1266"/>
      <c r="CK640" s="1266"/>
      <c r="CL640" s="1267"/>
      <c r="CM640" s="1265">
        <f t="shared" si="33"/>
        <v>0</v>
      </c>
      <c r="CN640" s="1266"/>
      <c r="CO640" s="1266"/>
      <c r="CP640" s="1266"/>
      <c r="CQ640" s="1267"/>
      <c r="CR640" s="41"/>
      <c r="CS640" s="41"/>
    </row>
    <row r="641" spans="1:97" ht="12.95" customHeight="1">
      <c r="A641" s="4"/>
      <c r="B641" t="s">
        <v>650</v>
      </c>
      <c r="G641" s="1264" t="s">
        <v>2435</v>
      </c>
      <c r="H641" s="1264"/>
      <c r="I641" s="1264"/>
      <c r="J641" s="1264"/>
      <c r="K641" s="1264"/>
      <c r="L641" s="1264"/>
      <c r="O641" s="42" t="s">
        <v>818</v>
      </c>
      <c r="P641" s="1259"/>
      <c r="Q641" s="1259"/>
      <c r="R641" s="1259"/>
      <c r="S641" s="14"/>
      <c r="T641" s="4"/>
      <c r="U641" t="s">
        <v>650</v>
      </c>
      <c r="Z641" s="1264" t="s">
        <v>2330</v>
      </c>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28"/>
        <v>0</v>
      </c>
      <c r="BO641" s="1266"/>
      <c r="BP641" s="1266"/>
      <c r="BQ641" s="1266"/>
      <c r="BR641" s="1267"/>
      <c r="BS641" s="1265">
        <f t="shared" si="29"/>
        <v>0</v>
      </c>
      <c r="BT641" s="1266"/>
      <c r="BU641" s="1266"/>
      <c r="BV641" s="1266"/>
      <c r="BW641" s="1267"/>
      <c r="BX641" s="1265">
        <f t="shared" si="30"/>
        <v>0</v>
      </c>
      <c r="BY641" s="1266"/>
      <c r="BZ641" s="1266"/>
      <c r="CA641" s="1266"/>
      <c r="CB641" s="1267"/>
      <c r="CC641" s="1265">
        <f t="shared" si="31"/>
        <v>0</v>
      </c>
      <c r="CD641" s="1266"/>
      <c r="CE641" s="1266"/>
      <c r="CF641" s="1266"/>
      <c r="CG641" s="1267"/>
      <c r="CH641" s="1265">
        <f t="shared" si="32"/>
        <v>0</v>
      </c>
      <c r="CI641" s="1266"/>
      <c r="CJ641" s="1266"/>
      <c r="CK641" s="1266"/>
      <c r="CL641" s="1267"/>
      <c r="CM641" s="1265">
        <f t="shared" si="33"/>
        <v>0</v>
      </c>
      <c r="CN641" s="1266"/>
      <c r="CO641" s="1266"/>
      <c r="CP641" s="1266"/>
      <c r="CQ641" s="1267"/>
      <c r="CR641" s="41"/>
      <c r="CS641" s="41"/>
    </row>
    <row r="642" spans="1:97" ht="12.95" customHeight="1">
      <c r="A642" s="4"/>
      <c r="B642" t="s">
        <v>834</v>
      </c>
      <c r="H642" s="1107" t="s">
        <v>2438</v>
      </c>
      <c r="I642" s="1107"/>
      <c r="J642" s="1107"/>
      <c r="K642" s="1107"/>
      <c r="L642" s="1107"/>
      <c r="M642" s="1107"/>
      <c r="N642" s="1107"/>
      <c r="O642" s="1107"/>
      <c r="P642" s="1107"/>
      <c r="Q642" s="1107"/>
      <c r="R642" s="1107"/>
      <c r="S642" s="12"/>
      <c r="T642" s="4"/>
      <c r="U642" t="s">
        <v>834</v>
      </c>
      <c r="AA642" s="1107" t="s">
        <v>2189</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28"/>
        <v>0</v>
      </c>
      <c r="BO642" s="1266"/>
      <c r="BP642" s="1266"/>
      <c r="BQ642" s="1266"/>
      <c r="BR642" s="1267"/>
      <c r="BS642" s="1265">
        <f t="shared" si="29"/>
        <v>0</v>
      </c>
      <c r="BT642" s="1266"/>
      <c r="BU642" s="1266"/>
      <c r="BV642" s="1266"/>
      <c r="BW642" s="1267"/>
      <c r="BX642" s="1265">
        <f t="shared" si="30"/>
        <v>0</v>
      </c>
      <c r="BY642" s="1266"/>
      <c r="BZ642" s="1266"/>
      <c r="CA642" s="1266"/>
      <c r="CB642" s="1267"/>
      <c r="CC642" s="1265">
        <f t="shared" si="31"/>
        <v>0</v>
      </c>
      <c r="CD642" s="1266"/>
      <c r="CE642" s="1266"/>
      <c r="CF642" s="1266"/>
      <c r="CG642" s="1267"/>
      <c r="CH642" s="1265">
        <f t="shared" si="32"/>
        <v>0</v>
      </c>
      <c r="CI642" s="1266"/>
      <c r="CJ642" s="1266"/>
      <c r="CK642" s="1266"/>
      <c r="CL642" s="1267"/>
      <c r="CM642" s="1265">
        <f t="shared" si="33"/>
        <v>0</v>
      </c>
      <c r="CN642" s="1266"/>
      <c r="CO642" s="1266"/>
      <c r="CP642" s="1266"/>
      <c r="CQ642" s="1267"/>
      <c r="CR642" s="41"/>
      <c r="CS642" s="41"/>
    </row>
    <row r="643" spans="1:97" ht="12.95"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28"/>
        <v>0</v>
      </c>
      <c r="BO643" s="1266"/>
      <c r="BP643" s="1266"/>
      <c r="BQ643" s="1266"/>
      <c r="BR643" s="1267"/>
      <c r="BS643" s="1265">
        <f t="shared" si="29"/>
        <v>0</v>
      </c>
      <c r="BT643" s="1266"/>
      <c r="BU643" s="1266"/>
      <c r="BV643" s="1266"/>
      <c r="BW643" s="1267"/>
      <c r="BX643" s="1265">
        <f t="shared" si="30"/>
        <v>0</v>
      </c>
      <c r="BY643" s="1266"/>
      <c r="BZ643" s="1266"/>
      <c r="CA643" s="1266"/>
      <c r="CB643" s="1267"/>
      <c r="CC643" s="1265">
        <f t="shared" si="31"/>
        <v>0</v>
      </c>
      <c r="CD643" s="1266"/>
      <c r="CE643" s="1266"/>
      <c r="CF643" s="1266"/>
      <c r="CG643" s="1267"/>
      <c r="CH643" s="1265">
        <f t="shared" si="32"/>
        <v>0</v>
      </c>
      <c r="CI643" s="1266"/>
      <c r="CJ643" s="1266"/>
      <c r="CK643" s="1266"/>
      <c r="CL643" s="1267"/>
      <c r="CM643" s="1265">
        <f t="shared" si="33"/>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28"/>
        <v>0</v>
      </c>
      <c r="BO644" s="1266"/>
      <c r="BP644" s="1266"/>
      <c r="BQ644" s="1266"/>
      <c r="BR644" s="1267"/>
      <c r="BS644" s="1265">
        <f t="shared" si="29"/>
        <v>0</v>
      </c>
      <c r="BT644" s="1266"/>
      <c r="BU644" s="1266"/>
      <c r="BV644" s="1266"/>
      <c r="BW644" s="1267"/>
      <c r="BX644" s="1265">
        <f t="shared" si="30"/>
        <v>0</v>
      </c>
      <c r="BY644" s="1266"/>
      <c r="BZ644" s="1266"/>
      <c r="CA644" s="1266"/>
      <c r="CB644" s="1267"/>
      <c r="CC644" s="1265">
        <f t="shared" si="31"/>
        <v>0</v>
      </c>
      <c r="CD644" s="1266"/>
      <c r="CE644" s="1266"/>
      <c r="CF644" s="1266"/>
      <c r="CG644" s="1267"/>
      <c r="CH644" s="1265">
        <f t="shared" si="32"/>
        <v>0</v>
      </c>
      <c r="CI644" s="1266"/>
      <c r="CJ644" s="1266"/>
      <c r="CK644" s="1266"/>
      <c r="CL644" s="1267"/>
      <c r="CM644" s="1265">
        <f t="shared" si="33"/>
        <v>0</v>
      </c>
      <c r="CN644" s="1266"/>
      <c r="CO644" s="1266"/>
      <c r="CP644" s="1266"/>
      <c r="CQ644" s="1267"/>
      <c r="CR644" s="41"/>
      <c r="CS644" s="41"/>
    </row>
    <row r="645" spans="1:97" ht="12.95" customHeight="1">
      <c r="A645" s="61" t="s">
        <v>907</v>
      </c>
      <c r="B645" t="s">
        <v>82</v>
      </c>
      <c r="G645" s="1260">
        <f>C623</f>
        <v>0</v>
      </c>
      <c r="H645" s="1260"/>
      <c r="I645" s="1260"/>
      <c r="J645" s="1260"/>
      <c r="K645" s="1260"/>
      <c r="L645" s="1260"/>
      <c r="M645" s="1260"/>
      <c r="N645" s="1260"/>
      <c r="O645" s="1260"/>
      <c r="P645" s="1260"/>
      <c r="Q645" s="1260"/>
      <c r="R645" s="1260"/>
      <c r="T645" s="61" t="s">
        <v>432</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373</v>
      </c>
      <c r="G646" s="1107"/>
      <c r="H646" s="1107"/>
      <c r="I646" s="1107"/>
      <c r="J646" s="1107"/>
      <c r="K646" s="1107"/>
      <c r="L646" s="1107"/>
      <c r="M646" s="1107"/>
      <c r="N646" s="1107"/>
      <c r="O646" s="1107"/>
      <c r="P646" s="1107"/>
      <c r="Q646" s="1107"/>
      <c r="R646" s="1107"/>
      <c r="T646" s="4"/>
      <c r="U646" t="s">
        <v>373</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c r="H647" s="1258"/>
      <c r="I647" s="1258"/>
      <c r="J647" s="1258"/>
      <c r="K647" s="1258"/>
      <c r="L647" s="1258"/>
      <c r="M647" s="1258"/>
      <c r="N647" s="1258"/>
      <c r="O647" s="1258"/>
      <c r="P647" s="1258"/>
      <c r="Q647" s="1258"/>
      <c r="R647" s="1258"/>
      <c r="T647" s="4"/>
      <c r="U647" t="s">
        <v>431</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58"/>
      <c r="H648" s="1258"/>
      <c r="I648" s="1258"/>
      <c r="J648" s="1258"/>
      <c r="K648" s="1258"/>
      <c r="L648" s="1258"/>
      <c r="M648" s="1258"/>
      <c r="N648" s="1258"/>
      <c r="O648" s="1258"/>
      <c r="P648" s="1258"/>
      <c r="Q648" s="1258"/>
      <c r="R648" s="1258"/>
      <c r="T648" s="4"/>
      <c r="U648" t="s">
        <v>833</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4"/>
      <c r="H649" s="1264"/>
      <c r="I649" s="1264"/>
      <c r="J649" s="1264"/>
      <c r="K649" s="1264"/>
      <c r="L649" s="1264"/>
      <c r="O649" s="42" t="s">
        <v>818</v>
      </c>
      <c r="P649" s="1259"/>
      <c r="Q649" s="1259"/>
      <c r="R649" s="1259"/>
      <c r="T649" s="4"/>
      <c r="U649" t="s">
        <v>650</v>
      </c>
      <c r="Z649" s="1264"/>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58</v>
      </c>
      <c r="CR649" s="41"/>
      <c r="CS649" s="41"/>
    </row>
    <row r="650" spans="1:97" ht="12.95" customHeight="1">
      <c r="A650" s="4"/>
      <c r="B650" t="s">
        <v>834</v>
      </c>
      <c r="H650" s="1107"/>
      <c r="I650" s="1107"/>
      <c r="J650" s="1107"/>
      <c r="K650" s="1107"/>
      <c r="L650" s="1107"/>
      <c r="M650" s="1107"/>
      <c r="N650" s="1107"/>
      <c r="O650" s="1107"/>
      <c r="P650" s="1107"/>
      <c r="Q650" s="1107"/>
      <c r="R650" s="1107"/>
      <c r="T650" s="4"/>
      <c r="U650" t="s">
        <v>834</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c r="O651" s="1098"/>
      <c r="T651" s="4"/>
      <c r="U651" t="s">
        <v>836</v>
      </c>
      <c r="AG651" s="1098" t="s">
        <v>483</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0</v>
      </c>
      <c r="BT651" s="1269"/>
      <c r="BU651" s="1269"/>
      <c r="BV651" s="1269"/>
      <c r="BW651" s="1270"/>
      <c r="BX651" s="1268">
        <f>BX626+BX633+BX645</f>
        <v>15</v>
      </c>
      <c r="BY651" s="1269"/>
      <c r="BZ651" s="1269"/>
      <c r="CA651" s="1269"/>
      <c r="CB651" s="1270"/>
      <c r="CC651" s="1268">
        <f>CC626+CC633+CC645</f>
        <v>10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t="s">
        <v>483</v>
      </c>
      <c r="O659" s="1098"/>
      <c r="T659" s="4"/>
      <c r="U659" t="s">
        <v>836</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483</v>
      </c>
      <c r="O667" s="1098"/>
      <c r="T667" s="4"/>
      <c r="U667" t="s">
        <v>836</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483</v>
      </c>
      <c r="O675" s="1098"/>
      <c r="T675" s="4"/>
      <c r="U675" t="s">
        <v>836</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2836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34">IF($G696=0,"N/A",VLOOKUP($T$189,TC_Rent,(MATCH($B696,bedrooms,FALSE))))</f>
        <v>3278</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A680" s="43">
        <f t="shared" si="34"/>
        <v>2836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A681" s="43">
        <f t="shared" si="34"/>
        <v>3278</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A682" s="43">
        <f t="shared" si="34"/>
        <v>2836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483</v>
      </c>
      <c r="O683" s="1098"/>
      <c r="U683" t="s">
        <v>836</v>
      </c>
      <c r="AG683" s="1098" t="s">
        <v>483</v>
      </c>
      <c r="AH683" s="1098"/>
      <c r="AM683" s="41"/>
      <c r="BA683" s="43">
        <f t="shared" si="34"/>
        <v>3278</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34"/>
        <v>2836</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34"/>
        <v>3278</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t="str">
        <f t="shared" si="34"/>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t="str">
        <f t="shared" si="34"/>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t="str">
        <f t="shared" si="34"/>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34"/>
        <v>N/A</v>
      </c>
      <c r="BE689" s="43"/>
      <c r="BF689" s="43"/>
      <c r="BG689" s="445">
        <f t="shared" ref="BG689:BG712" si="35">G695</f>
        <v>2</v>
      </c>
      <c r="BH689" s="452">
        <f>IF($BG$714=0,"",BG689/$BG$714)</f>
        <v>8.3333333333333329E-2</v>
      </c>
      <c r="BI689" s="453">
        <f>IF(BH689="","",BH689*AH695)</f>
        <v>2.4999999999999998E-2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34"/>
        <v>N/A</v>
      </c>
      <c r="BE690" s="43"/>
      <c r="BF690" s="43"/>
      <c r="BG690" s="446">
        <f t="shared" si="35"/>
        <v>1</v>
      </c>
      <c r="BH690" s="452">
        <f t="shared" ref="BH690:BH713" si="36">IF($BG$714=0,"",BG690/$BG$714)</f>
        <v>4.1666666666666664E-2</v>
      </c>
      <c r="BI690" s="453">
        <f t="shared" ref="BI690:BI713" si="37">IF(BH690="","",BH690*AH696)</f>
        <v>1.2499999999999999E-2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1996</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1997</v>
      </c>
      <c r="AI691" s="1240"/>
      <c r="AJ691" s="1240"/>
      <c r="AK691" s="1240"/>
      <c r="AL691" s="1241"/>
      <c r="AM691" s="1239" t="s">
        <v>1998</v>
      </c>
      <c r="AN691" s="1240"/>
      <c r="AO691" s="1241"/>
      <c r="BA691" s="43" t="str">
        <f t="shared" si="34"/>
        <v>N/A</v>
      </c>
      <c r="BB691" s="41"/>
      <c r="BC691" s="41"/>
      <c r="BD691" s="41"/>
      <c r="BE691" s="41"/>
      <c r="BF691" s="41"/>
      <c r="BG691" s="446">
        <f t="shared" si="35"/>
        <v>3</v>
      </c>
      <c r="BH691" s="452">
        <f t="shared" si="36"/>
        <v>0.125</v>
      </c>
      <c r="BI691" s="453">
        <f t="shared" si="37"/>
        <v>0.05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34"/>
        <v>N/A</v>
      </c>
      <c r="BB692" s="41"/>
      <c r="BC692" s="41"/>
      <c r="BD692" s="41"/>
      <c r="BE692" s="41"/>
      <c r="BF692" s="41"/>
      <c r="BG692" s="446">
        <f t="shared" si="35"/>
        <v>1</v>
      </c>
      <c r="BH692" s="452">
        <f t="shared" si="36"/>
        <v>4.1666666666666664E-2</v>
      </c>
      <c r="BI692" s="453">
        <f t="shared" si="37"/>
        <v>1.6666666666666666E-2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34"/>
        <v>N/A</v>
      </c>
      <c r="BB693" s="41"/>
      <c r="BC693" s="41"/>
      <c r="BD693" s="41"/>
      <c r="BE693" s="41"/>
      <c r="BF693" s="41"/>
      <c r="BG693" s="446">
        <f t="shared" si="35"/>
        <v>6</v>
      </c>
      <c r="BH693" s="452">
        <f t="shared" si="36"/>
        <v>0.25</v>
      </c>
      <c r="BI693" s="453">
        <f t="shared" si="37"/>
        <v>0.125</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34"/>
        <v>N/A</v>
      </c>
      <c r="BB694" s="41"/>
      <c r="BC694" s="41"/>
      <c r="BD694" s="41"/>
      <c r="BE694" s="41"/>
      <c r="BF694" s="41"/>
      <c r="BG694" s="446">
        <f t="shared" si="35"/>
        <v>5</v>
      </c>
      <c r="BH694" s="452">
        <f t="shared" si="36"/>
        <v>0.20833333333333334</v>
      </c>
      <c r="BI694" s="453">
        <f t="shared" si="37"/>
        <v>0.10416666666666667</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780</v>
      </c>
      <c r="C695" s="1332"/>
      <c r="D695" s="1332"/>
      <c r="E695" s="1332"/>
      <c r="F695" s="1333"/>
      <c r="G695" s="1261">
        <v>2</v>
      </c>
      <c r="H695" s="1262"/>
      <c r="I695" s="1262"/>
      <c r="J695" s="1263"/>
      <c r="K695" s="1248">
        <v>806</v>
      </c>
      <c r="L695" s="1249"/>
      <c r="M695" s="1249"/>
      <c r="N695" s="1250"/>
      <c r="O695" s="1251">
        <f>851-Y695</f>
        <v>788</v>
      </c>
      <c r="P695" s="1252"/>
      <c r="Q695" s="1252"/>
      <c r="R695" s="1252"/>
      <c r="S695" s="1253"/>
      <c r="T695" s="1224">
        <f t="shared" ref="T695:T729" si="38">G695*O695</f>
        <v>1576</v>
      </c>
      <c r="U695" s="1225"/>
      <c r="V695" s="1225"/>
      <c r="W695" s="1225"/>
      <c r="X695" s="1226"/>
      <c r="Y695" s="1251">
        <v>63</v>
      </c>
      <c r="Z695" s="1252"/>
      <c r="AA695" s="1252"/>
      <c r="AB695" s="1253"/>
      <c r="AC695" s="1224">
        <f t="shared" ref="AC695:AC729" si="39">O695+Y695</f>
        <v>851</v>
      </c>
      <c r="AD695" s="1225"/>
      <c r="AE695" s="1225"/>
      <c r="AF695" s="1225"/>
      <c r="AG695" s="1226"/>
      <c r="AH695" s="1467">
        <v>0.3</v>
      </c>
      <c r="AI695" s="1468"/>
      <c r="AJ695" s="1468"/>
      <c r="AK695" s="1468"/>
      <c r="AL695" s="1469"/>
      <c r="AM695" s="1221">
        <f>IF($AH695&gt;0,($AC695/$BA678),"")</f>
        <v>0.30007052186177713</v>
      </c>
      <c r="AN695" s="1222"/>
      <c r="AO695" s="1223"/>
      <c r="BA695" s="43" t="str">
        <f t="shared" si="34"/>
        <v>N/A</v>
      </c>
      <c r="BB695" s="41"/>
      <c r="BC695" s="41"/>
      <c r="BD695" s="41"/>
      <c r="BE695" s="41"/>
      <c r="BF695" s="41"/>
      <c r="BG695" s="446">
        <f t="shared" si="35"/>
        <v>3</v>
      </c>
      <c r="BH695" s="452">
        <f t="shared" si="36"/>
        <v>0.125</v>
      </c>
      <c r="BI695" s="453">
        <f t="shared" si="37"/>
        <v>7.4999999999999997E-2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781</v>
      </c>
      <c r="C696" s="1332"/>
      <c r="D696" s="1332"/>
      <c r="E696" s="1332"/>
      <c r="F696" s="1333"/>
      <c r="G696" s="1261">
        <v>1</v>
      </c>
      <c r="H696" s="1262"/>
      <c r="I696" s="1262"/>
      <c r="J696" s="1263"/>
      <c r="K696" s="1248">
        <v>1144</v>
      </c>
      <c r="L696" s="1249"/>
      <c r="M696" s="1249"/>
      <c r="N696" s="1250"/>
      <c r="O696" s="1251">
        <f>983-Y696</f>
        <v>872</v>
      </c>
      <c r="P696" s="1252"/>
      <c r="Q696" s="1252"/>
      <c r="R696" s="1252"/>
      <c r="S696" s="1253"/>
      <c r="T696" s="1224">
        <f t="shared" si="38"/>
        <v>872</v>
      </c>
      <c r="U696" s="1225"/>
      <c r="V696" s="1225"/>
      <c r="W696" s="1225"/>
      <c r="X696" s="1226"/>
      <c r="Y696" s="1251">
        <v>111</v>
      </c>
      <c r="Z696" s="1252"/>
      <c r="AA696" s="1252"/>
      <c r="AB696" s="1253"/>
      <c r="AC696" s="1224">
        <f t="shared" si="39"/>
        <v>983</v>
      </c>
      <c r="AD696" s="1225"/>
      <c r="AE696" s="1225"/>
      <c r="AF696" s="1225"/>
      <c r="AG696" s="1226"/>
      <c r="AH696" s="1255">
        <v>0.3</v>
      </c>
      <c r="AI696" s="1256"/>
      <c r="AJ696" s="1256"/>
      <c r="AK696" s="1256"/>
      <c r="AL696" s="1257"/>
      <c r="AM696" s="1221">
        <f t="shared" ref="AM696:AM728" si="40">IF($AH696&gt;0,($AC696/$BA679), "")</f>
        <v>0.29987797437461866</v>
      </c>
      <c r="AN696" s="1222"/>
      <c r="AO696" s="1223"/>
      <c r="BA696" s="43" t="str">
        <f t="shared" si="34"/>
        <v>N/A</v>
      </c>
      <c r="BB696" s="41"/>
      <c r="BC696" s="41"/>
      <c r="BD696" s="41"/>
      <c r="BE696" s="41"/>
      <c r="BF696" s="41"/>
      <c r="BG696" s="446">
        <f t="shared" si="35"/>
        <v>3</v>
      </c>
      <c r="BH696" s="452">
        <f t="shared" si="36"/>
        <v>0.125</v>
      </c>
      <c r="BI696" s="453">
        <f t="shared" si="37"/>
        <v>7.4999999999999997E-2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780</v>
      </c>
      <c r="C697" s="1332"/>
      <c r="D697" s="1332"/>
      <c r="E697" s="1332"/>
      <c r="F697" s="1333"/>
      <c r="G697" s="1261">
        <v>3</v>
      </c>
      <c r="H697" s="1262"/>
      <c r="I697" s="1262"/>
      <c r="J697" s="1263"/>
      <c r="K697" s="1248">
        <v>915</v>
      </c>
      <c r="L697" s="1249"/>
      <c r="M697" s="1249"/>
      <c r="N697" s="1250"/>
      <c r="O697" s="1251">
        <f>1135-Y697</f>
        <v>1083</v>
      </c>
      <c r="P697" s="1252"/>
      <c r="Q697" s="1252"/>
      <c r="R697" s="1252"/>
      <c r="S697" s="1253"/>
      <c r="T697" s="1224">
        <f t="shared" si="38"/>
        <v>3249</v>
      </c>
      <c r="U697" s="1225"/>
      <c r="V697" s="1225"/>
      <c r="W697" s="1225"/>
      <c r="X697" s="1226"/>
      <c r="Y697" s="1251">
        <v>52</v>
      </c>
      <c r="Z697" s="1252"/>
      <c r="AA697" s="1252"/>
      <c r="AB697" s="1253"/>
      <c r="AC697" s="1224">
        <f t="shared" si="39"/>
        <v>1135</v>
      </c>
      <c r="AD697" s="1225"/>
      <c r="AE697" s="1225"/>
      <c r="AF697" s="1225"/>
      <c r="AG697" s="1226"/>
      <c r="AH697" s="1255">
        <v>0.4</v>
      </c>
      <c r="AI697" s="1256"/>
      <c r="AJ697" s="1256"/>
      <c r="AK697" s="1256"/>
      <c r="AL697" s="1257"/>
      <c r="AM697" s="1221">
        <f t="shared" si="40"/>
        <v>0.40021156558533144</v>
      </c>
      <c r="AN697" s="1222"/>
      <c r="AO697" s="1223"/>
      <c r="BA697" s="43" t="str">
        <f t="shared" si="34"/>
        <v>N/A</v>
      </c>
      <c r="BB697" s="41"/>
      <c r="BC697" s="41"/>
      <c r="BD697" s="41"/>
      <c r="BE697" s="41"/>
      <c r="BF697" s="41"/>
      <c r="BG697" s="446">
        <f t="shared" si="35"/>
        <v>0</v>
      </c>
      <c r="BH697" s="452">
        <f t="shared" si="36"/>
        <v>0</v>
      </c>
      <c r="BI697" s="453">
        <f t="shared" si="37"/>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781</v>
      </c>
      <c r="C698" s="1332"/>
      <c r="D698" s="1332"/>
      <c r="E698" s="1332"/>
      <c r="F698" s="1333"/>
      <c r="G698" s="1261">
        <v>1</v>
      </c>
      <c r="H698" s="1262"/>
      <c r="I698" s="1262"/>
      <c r="J698" s="1263"/>
      <c r="K698" s="1248">
        <v>1144</v>
      </c>
      <c r="L698" s="1249"/>
      <c r="M698" s="1249"/>
      <c r="N698" s="1250"/>
      <c r="O698" s="1251">
        <f>1311-Y698</f>
        <v>1200</v>
      </c>
      <c r="P698" s="1252"/>
      <c r="Q698" s="1252"/>
      <c r="R698" s="1252"/>
      <c r="S698" s="1253"/>
      <c r="T698" s="1224">
        <f t="shared" si="38"/>
        <v>1200</v>
      </c>
      <c r="U698" s="1225"/>
      <c r="V698" s="1225"/>
      <c r="W698" s="1225"/>
      <c r="X698" s="1226"/>
      <c r="Y698" s="1251">
        <v>111</v>
      </c>
      <c r="Z698" s="1252"/>
      <c r="AA698" s="1252"/>
      <c r="AB698" s="1253"/>
      <c r="AC698" s="1224">
        <f t="shared" si="39"/>
        <v>1311</v>
      </c>
      <c r="AD698" s="1225"/>
      <c r="AE698" s="1225"/>
      <c r="AF698" s="1225"/>
      <c r="AG698" s="1226"/>
      <c r="AH698" s="1255">
        <v>0.4</v>
      </c>
      <c r="AI698" s="1256"/>
      <c r="AJ698" s="1256"/>
      <c r="AK698" s="1256"/>
      <c r="AL698" s="1257"/>
      <c r="AM698" s="1221">
        <f t="shared" si="40"/>
        <v>0.39993898718730936</v>
      </c>
      <c r="AN698" s="1222"/>
      <c r="AO698" s="1223"/>
      <c r="BA698" s="43" t="str">
        <f t="shared" si="34"/>
        <v>N/A</v>
      </c>
      <c r="BB698" s="41"/>
      <c r="BC698" s="41"/>
      <c r="BD698" s="41"/>
      <c r="BE698" s="41"/>
      <c r="BF698" s="41"/>
      <c r="BG698" s="446">
        <f t="shared" si="35"/>
        <v>0</v>
      </c>
      <c r="BH698" s="452">
        <f t="shared" si="36"/>
        <v>0</v>
      </c>
      <c r="BI698" s="453">
        <f t="shared" si="37"/>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780</v>
      </c>
      <c r="C699" s="1332"/>
      <c r="D699" s="1332"/>
      <c r="E699" s="1332"/>
      <c r="F699" s="1333"/>
      <c r="G699" s="1261">
        <v>6</v>
      </c>
      <c r="H699" s="1262"/>
      <c r="I699" s="1262"/>
      <c r="J699" s="1263"/>
      <c r="K699" s="1248">
        <v>915</v>
      </c>
      <c r="L699" s="1249"/>
      <c r="M699" s="1249"/>
      <c r="N699" s="1250"/>
      <c r="O699" s="1251">
        <f>1418-Y699</f>
        <v>1366</v>
      </c>
      <c r="P699" s="1252"/>
      <c r="Q699" s="1252"/>
      <c r="R699" s="1252"/>
      <c r="S699" s="1253"/>
      <c r="T699" s="1224">
        <f t="shared" si="38"/>
        <v>8196</v>
      </c>
      <c r="U699" s="1225"/>
      <c r="V699" s="1225"/>
      <c r="W699" s="1225"/>
      <c r="X699" s="1226"/>
      <c r="Y699" s="1251">
        <v>52</v>
      </c>
      <c r="Z699" s="1252"/>
      <c r="AA699" s="1252"/>
      <c r="AB699" s="1253"/>
      <c r="AC699" s="1224">
        <f t="shared" si="39"/>
        <v>1418</v>
      </c>
      <c r="AD699" s="1225"/>
      <c r="AE699" s="1225"/>
      <c r="AF699" s="1225"/>
      <c r="AG699" s="1226"/>
      <c r="AH699" s="1255">
        <v>0.5</v>
      </c>
      <c r="AI699" s="1256"/>
      <c r="AJ699" s="1256"/>
      <c r="AK699" s="1256"/>
      <c r="AL699" s="1257"/>
      <c r="AM699" s="1221">
        <f t="shared" si="40"/>
        <v>0.5</v>
      </c>
      <c r="AN699" s="1222"/>
      <c r="AO699" s="1223"/>
      <c r="BA699" s="43" t="str">
        <f t="shared" si="34"/>
        <v>N/A</v>
      </c>
      <c r="BB699" s="41"/>
      <c r="BC699" s="41"/>
      <c r="BD699" s="41"/>
      <c r="BE699" s="41"/>
      <c r="BF699" s="41"/>
      <c r="BG699" s="446">
        <f t="shared" si="35"/>
        <v>0</v>
      </c>
      <c r="BH699" s="452">
        <f t="shared" si="36"/>
        <v>0</v>
      </c>
      <c r="BI699" s="453">
        <f t="shared" si="37"/>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781</v>
      </c>
      <c r="C700" s="1332"/>
      <c r="D700" s="1332"/>
      <c r="E700" s="1332"/>
      <c r="F700" s="1333"/>
      <c r="G700" s="1261">
        <v>5</v>
      </c>
      <c r="H700" s="1262"/>
      <c r="I700" s="1262"/>
      <c r="J700" s="1263"/>
      <c r="K700" s="1248">
        <v>1144</v>
      </c>
      <c r="L700" s="1249"/>
      <c r="M700" s="1249"/>
      <c r="N700" s="1250"/>
      <c r="O700" s="1251">
        <f>1639-Y700</f>
        <v>1528</v>
      </c>
      <c r="P700" s="1252"/>
      <c r="Q700" s="1252"/>
      <c r="R700" s="1252"/>
      <c r="S700" s="1253"/>
      <c r="T700" s="1224">
        <f t="shared" si="38"/>
        <v>7640</v>
      </c>
      <c r="U700" s="1225"/>
      <c r="V700" s="1225"/>
      <c r="W700" s="1225"/>
      <c r="X700" s="1226"/>
      <c r="Y700" s="1251">
        <v>111</v>
      </c>
      <c r="Z700" s="1252"/>
      <c r="AA700" s="1252"/>
      <c r="AB700" s="1253"/>
      <c r="AC700" s="1224">
        <f t="shared" si="39"/>
        <v>1639</v>
      </c>
      <c r="AD700" s="1225"/>
      <c r="AE700" s="1225"/>
      <c r="AF700" s="1225"/>
      <c r="AG700" s="1226"/>
      <c r="AH700" s="1255">
        <v>0.5</v>
      </c>
      <c r="AI700" s="1256"/>
      <c r="AJ700" s="1256"/>
      <c r="AK700" s="1256"/>
      <c r="AL700" s="1257"/>
      <c r="AM700" s="1221">
        <f t="shared" si="40"/>
        <v>0.5</v>
      </c>
      <c r="AN700" s="1222"/>
      <c r="AO700" s="1223"/>
      <c r="BA700" s="43" t="str">
        <f t="shared" si="34"/>
        <v>N/A</v>
      </c>
      <c r="BB700" s="41"/>
      <c r="BC700" s="41"/>
      <c r="BD700" s="41"/>
      <c r="BE700" s="41"/>
      <c r="BF700" s="41"/>
      <c r="BG700" s="446">
        <f t="shared" si="35"/>
        <v>0</v>
      </c>
      <c r="BH700" s="452">
        <f t="shared" si="36"/>
        <v>0</v>
      </c>
      <c r="BI700" s="453">
        <f t="shared" si="37"/>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t="s">
        <v>780</v>
      </c>
      <c r="C701" s="1332"/>
      <c r="D701" s="1332"/>
      <c r="E701" s="1332"/>
      <c r="F701" s="1333"/>
      <c r="G701" s="1261">
        <v>3</v>
      </c>
      <c r="H701" s="1262"/>
      <c r="I701" s="1262"/>
      <c r="J701" s="1263"/>
      <c r="K701" s="1248">
        <v>915</v>
      </c>
      <c r="L701" s="1249"/>
      <c r="M701" s="1249"/>
      <c r="N701" s="1250"/>
      <c r="O701" s="1251">
        <f>1702-Y701</f>
        <v>1650</v>
      </c>
      <c r="P701" s="1252"/>
      <c r="Q701" s="1252"/>
      <c r="R701" s="1252"/>
      <c r="S701" s="1253"/>
      <c r="T701" s="1224">
        <f t="shared" si="38"/>
        <v>4950</v>
      </c>
      <c r="U701" s="1225"/>
      <c r="V701" s="1225"/>
      <c r="W701" s="1225"/>
      <c r="X701" s="1226"/>
      <c r="Y701" s="1251">
        <v>52</v>
      </c>
      <c r="Z701" s="1252"/>
      <c r="AA701" s="1252"/>
      <c r="AB701" s="1253"/>
      <c r="AC701" s="1224">
        <f t="shared" si="39"/>
        <v>1702</v>
      </c>
      <c r="AD701" s="1225"/>
      <c r="AE701" s="1225"/>
      <c r="AF701" s="1225"/>
      <c r="AG701" s="1226"/>
      <c r="AH701" s="1255">
        <v>0.6</v>
      </c>
      <c r="AI701" s="1256"/>
      <c r="AJ701" s="1256"/>
      <c r="AK701" s="1256"/>
      <c r="AL701" s="1257"/>
      <c r="AM701" s="1221">
        <f t="shared" si="40"/>
        <v>0.60014104372355426</v>
      </c>
      <c r="AN701" s="1222"/>
      <c r="AO701" s="1223"/>
      <c r="BA701" s="43" t="str">
        <f t="shared" si="34"/>
        <v>N/A</v>
      </c>
      <c r="BB701" s="41"/>
      <c r="BC701" s="41"/>
      <c r="BD701" s="41"/>
      <c r="BE701" s="41"/>
      <c r="BF701" s="41"/>
      <c r="BG701" s="446">
        <f t="shared" si="35"/>
        <v>0</v>
      </c>
      <c r="BH701" s="452">
        <f t="shared" si="36"/>
        <v>0</v>
      </c>
      <c r="BI701" s="453">
        <f t="shared" si="37"/>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t="s">
        <v>781</v>
      </c>
      <c r="C702" s="1332"/>
      <c r="D702" s="1332"/>
      <c r="E702" s="1332"/>
      <c r="F702" s="1333"/>
      <c r="G702" s="1261">
        <v>3</v>
      </c>
      <c r="H702" s="1262"/>
      <c r="I702" s="1262"/>
      <c r="J702" s="1263"/>
      <c r="K702" s="1248">
        <v>1144</v>
      </c>
      <c r="L702" s="1249"/>
      <c r="M702" s="1249"/>
      <c r="N702" s="1250"/>
      <c r="O702" s="1251">
        <f>1967-Y702</f>
        <v>1856</v>
      </c>
      <c r="P702" s="1252"/>
      <c r="Q702" s="1252"/>
      <c r="R702" s="1252"/>
      <c r="S702" s="1253"/>
      <c r="T702" s="1224">
        <f t="shared" si="38"/>
        <v>5568</v>
      </c>
      <c r="U702" s="1225"/>
      <c r="V702" s="1225"/>
      <c r="W702" s="1225"/>
      <c r="X702" s="1226"/>
      <c r="Y702" s="1251">
        <v>111</v>
      </c>
      <c r="Z702" s="1252"/>
      <c r="AA702" s="1252"/>
      <c r="AB702" s="1253"/>
      <c r="AC702" s="1224">
        <f t="shared" si="39"/>
        <v>1967</v>
      </c>
      <c r="AD702" s="1225"/>
      <c r="AE702" s="1225"/>
      <c r="AF702" s="1225"/>
      <c r="AG702" s="1226"/>
      <c r="AH702" s="1255">
        <v>0.6</v>
      </c>
      <c r="AI702" s="1256"/>
      <c r="AJ702" s="1256"/>
      <c r="AK702" s="1256"/>
      <c r="AL702" s="1257"/>
      <c r="AM702" s="1221">
        <f t="shared" si="40"/>
        <v>0.60006101281269064</v>
      </c>
      <c r="AN702" s="1222"/>
      <c r="AO702" s="1223"/>
      <c r="BA702" s="43" t="str">
        <f>IF($G729=0,"N/A",VLOOKUP($T$189,TC_Rent,(MATCH($B729,bedrooms,FALSE))))</f>
        <v>N/A</v>
      </c>
      <c r="BB702" s="41"/>
      <c r="BC702" s="41"/>
      <c r="BD702" s="41"/>
      <c r="BE702" s="41"/>
      <c r="BF702" s="41"/>
      <c r="BG702" s="446">
        <f t="shared" si="35"/>
        <v>0</v>
      </c>
      <c r="BH702" s="452">
        <f t="shared" si="36"/>
        <v>0</v>
      </c>
      <c r="BI702" s="453">
        <f t="shared" si="37"/>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38"/>
        <v>0</v>
      </c>
      <c r="U703" s="1225"/>
      <c r="V703" s="1225"/>
      <c r="W703" s="1225"/>
      <c r="X703" s="1226"/>
      <c r="Y703" s="1251"/>
      <c r="Z703" s="1252"/>
      <c r="AA703" s="1252"/>
      <c r="AB703" s="1253"/>
      <c r="AC703" s="1224">
        <f t="shared" si="39"/>
        <v>0</v>
      </c>
      <c r="AD703" s="1225"/>
      <c r="AE703" s="1225"/>
      <c r="AF703" s="1225"/>
      <c r="AG703" s="1226"/>
      <c r="AH703" s="1255"/>
      <c r="AI703" s="1256"/>
      <c r="AJ703" s="1256"/>
      <c r="AK703" s="1256"/>
      <c r="AL703" s="1257"/>
      <c r="AM703" s="1221" t="str">
        <f t="shared" si="40"/>
        <v/>
      </c>
      <c r="AN703" s="1222"/>
      <c r="AO703" s="1223"/>
      <c r="BA703" s="41"/>
      <c r="BB703" s="41"/>
      <c r="BC703" s="41"/>
      <c r="BD703" s="41"/>
      <c r="BE703" s="41"/>
      <c r="BF703" s="41"/>
      <c r="BG703" s="446">
        <f t="shared" si="35"/>
        <v>0</v>
      </c>
      <c r="BH703" s="452">
        <f t="shared" si="36"/>
        <v>0</v>
      </c>
      <c r="BI703" s="453">
        <f t="shared" si="37"/>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38"/>
        <v>0</v>
      </c>
      <c r="U704" s="1225"/>
      <c r="V704" s="1225"/>
      <c r="W704" s="1225"/>
      <c r="X704" s="1226"/>
      <c r="Y704" s="1251"/>
      <c r="Z704" s="1252"/>
      <c r="AA704" s="1252"/>
      <c r="AB704" s="1253"/>
      <c r="AC704" s="1224">
        <f t="shared" si="39"/>
        <v>0</v>
      </c>
      <c r="AD704" s="1225"/>
      <c r="AE704" s="1225"/>
      <c r="AF704" s="1225"/>
      <c r="AG704" s="1226"/>
      <c r="AH704" s="1255"/>
      <c r="AI704" s="1256"/>
      <c r="AJ704" s="1256"/>
      <c r="AK704" s="1256"/>
      <c r="AL704" s="1257"/>
      <c r="AM704" s="1221" t="str">
        <f t="shared" si="40"/>
        <v/>
      </c>
      <c r="AN704" s="1222"/>
      <c r="AO704" s="1223"/>
      <c r="BA704" s="41"/>
      <c r="BB704" s="41"/>
      <c r="BC704" s="41"/>
      <c r="BD704" s="41"/>
      <c r="BE704" s="41"/>
      <c r="BF704" s="41"/>
      <c r="BG704" s="446">
        <f t="shared" si="35"/>
        <v>0</v>
      </c>
      <c r="BH704" s="452">
        <f t="shared" si="36"/>
        <v>0</v>
      </c>
      <c r="BI704" s="453">
        <f t="shared" si="37"/>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38"/>
        <v>0</v>
      </c>
      <c r="U705" s="1225"/>
      <c r="V705" s="1225"/>
      <c r="W705" s="1225"/>
      <c r="X705" s="1226"/>
      <c r="Y705" s="1251"/>
      <c r="Z705" s="1252"/>
      <c r="AA705" s="1252"/>
      <c r="AB705" s="1253"/>
      <c r="AC705" s="1224">
        <f t="shared" si="39"/>
        <v>0</v>
      </c>
      <c r="AD705" s="1225"/>
      <c r="AE705" s="1225"/>
      <c r="AF705" s="1225"/>
      <c r="AG705" s="1226"/>
      <c r="AH705" s="1255"/>
      <c r="AI705" s="1256"/>
      <c r="AJ705" s="1256"/>
      <c r="AK705" s="1256"/>
      <c r="AL705" s="1257"/>
      <c r="AM705" s="1221" t="str">
        <f t="shared" si="40"/>
        <v/>
      </c>
      <c r="AN705" s="1222"/>
      <c r="AO705" s="1223"/>
      <c r="BA705" s="41"/>
      <c r="BB705" s="41"/>
      <c r="BC705" s="41"/>
      <c r="BD705" s="41"/>
      <c r="BE705" s="41"/>
      <c r="BF705" s="41"/>
      <c r="BG705" s="446">
        <f t="shared" si="35"/>
        <v>0</v>
      </c>
      <c r="BH705" s="452">
        <f t="shared" si="36"/>
        <v>0</v>
      </c>
      <c r="BI705" s="453">
        <f t="shared" si="37"/>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38"/>
        <v>0</v>
      </c>
      <c r="U706" s="1225"/>
      <c r="V706" s="1225"/>
      <c r="W706" s="1225"/>
      <c r="X706" s="1226"/>
      <c r="Y706" s="1251"/>
      <c r="Z706" s="1252"/>
      <c r="AA706" s="1252"/>
      <c r="AB706" s="1253"/>
      <c r="AC706" s="1224">
        <f t="shared" si="39"/>
        <v>0</v>
      </c>
      <c r="AD706" s="1225"/>
      <c r="AE706" s="1225"/>
      <c r="AF706" s="1225"/>
      <c r="AG706" s="1226"/>
      <c r="AH706" s="1255"/>
      <c r="AI706" s="1256"/>
      <c r="AJ706" s="1256"/>
      <c r="AK706" s="1256"/>
      <c r="AL706" s="1257"/>
      <c r="AM706" s="1221" t="str">
        <f t="shared" si="40"/>
        <v/>
      </c>
      <c r="AN706" s="1222"/>
      <c r="AO706" s="1223"/>
      <c r="BA706" s="41"/>
      <c r="BB706" s="41"/>
      <c r="BC706" s="41"/>
      <c r="BD706" s="41"/>
      <c r="BE706" s="41"/>
      <c r="BF706" s="41"/>
      <c r="BG706" s="446">
        <f t="shared" si="35"/>
        <v>0</v>
      </c>
      <c r="BH706" s="452">
        <f t="shared" si="36"/>
        <v>0</v>
      </c>
      <c r="BI706" s="453">
        <f t="shared" si="37"/>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38"/>
        <v>0</v>
      </c>
      <c r="U707" s="1225"/>
      <c r="V707" s="1225"/>
      <c r="W707" s="1225"/>
      <c r="X707" s="1226"/>
      <c r="Y707" s="1251"/>
      <c r="Z707" s="1252"/>
      <c r="AA707" s="1252"/>
      <c r="AB707" s="1253"/>
      <c r="AC707" s="1224">
        <f t="shared" si="39"/>
        <v>0</v>
      </c>
      <c r="AD707" s="1225"/>
      <c r="AE707" s="1225"/>
      <c r="AF707" s="1225"/>
      <c r="AG707" s="1226"/>
      <c r="AH707" s="1255"/>
      <c r="AI707" s="1256"/>
      <c r="AJ707" s="1256"/>
      <c r="AK707" s="1256"/>
      <c r="AL707" s="1257"/>
      <c r="AM707" s="1221" t="str">
        <f t="shared" si="40"/>
        <v/>
      </c>
      <c r="AN707" s="1222"/>
      <c r="AO707" s="1223"/>
      <c r="BA707" s="41"/>
      <c r="BB707" s="41"/>
      <c r="BC707" s="41"/>
      <c r="BD707" s="41"/>
      <c r="BE707" s="41"/>
      <c r="BF707" s="41"/>
      <c r="BG707" s="446">
        <f t="shared" si="35"/>
        <v>0</v>
      </c>
      <c r="BH707" s="452">
        <f t="shared" si="36"/>
        <v>0</v>
      </c>
      <c r="BI707" s="453">
        <f t="shared" si="37"/>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38"/>
        <v>0</v>
      </c>
      <c r="U708" s="1225"/>
      <c r="V708" s="1225"/>
      <c r="W708" s="1225"/>
      <c r="X708" s="1226"/>
      <c r="Y708" s="1251"/>
      <c r="Z708" s="1252"/>
      <c r="AA708" s="1252"/>
      <c r="AB708" s="1253"/>
      <c r="AC708" s="1224">
        <f t="shared" si="39"/>
        <v>0</v>
      </c>
      <c r="AD708" s="1225"/>
      <c r="AE708" s="1225"/>
      <c r="AF708" s="1225"/>
      <c r="AG708" s="1226"/>
      <c r="AH708" s="1255"/>
      <c r="AI708" s="1256"/>
      <c r="AJ708" s="1256"/>
      <c r="AK708" s="1256"/>
      <c r="AL708" s="1257"/>
      <c r="AM708" s="1221" t="str">
        <f t="shared" si="40"/>
        <v/>
      </c>
      <c r="AN708" s="1222"/>
      <c r="AO708" s="1223"/>
      <c r="BA708" s="41"/>
      <c r="BB708" s="41"/>
      <c r="BC708" s="41"/>
      <c r="BD708" s="41"/>
      <c r="BE708" s="41"/>
      <c r="BF708" s="41"/>
      <c r="BG708" s="446">
        <f t="shared" si="35"/>
        <v>0</v>
      </c>
      <c r="BH708" s="452">
        <f t="shared" si="36"/>
        <v>0</v>
      </c>
      <c r="BI708" s="453">
        <f t="shared" si="37"/>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38"/>
        <v>0</v>
      </c>
      <c r="U709" s="1225"/>
      <c r="V709" s="1225"/>
      <c r="W709" s="1225"/>
      <c r="X709" s="1226"/>
      <c r="Y709" s="1251"/>
      <c r="Z709" s="1252"/>
      <c r="AA709" s="1252"/>
      <c r="AB709" s="1253"/>
      <c r="AC709" s="1224">
        <f t="shared" si="39"/>
        <v>0</v>
      </c>
      <c r="AD709" s="1225"/>
      <c r="AE709" s="1225"/>
      <c r="AF709" s="1225"/>
      <c r="AG709" s="1226"/>
      <c r="AH709" s="1255"/>
      <c r="AI709" s="1256"/>
      <c r="AJ709" s="1256"/>
      <c r="AK709" s="1256"/>
      <c r="AL709" s="1257"/>
      <c r="AM709" s="1221" t="str">
        <f t="shared" si="40"/>
        <v/>
      </c>
      <c r="AN709" s="1222"/>
      <c r="AO709" s="1223"/>
      <c r="BA709" s="41"/>
      <c r="BB709" s="41"/>
      <c r="BC709" s="41"/>
      <c r="BD709" s="41"/>
      <c r="BE709" s="41"/>
      <c r="BF709" s="41"/>
      <c r="BG709" s="446">
        <f t="shared" si="35"/>
        <v>0</v>
      </c>
      <c r="BH709" s="452">
        <f t="shared" si="36"/>
        <v>0</v>
      </c>
      <c r="BI709" s="453">
        <f t="shared" si="37"/>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38"/>
        <v>0</v>
      </c>
      <c r="U710" s="1225"/>
      <c r="V710" s="1225"/>
      <c r="W710" s="1225"/>
      <c r="X710" s="1226"/>
      <c r="Y710" s="1251"/>
      <c r="Z710" s="1252"/>
      <c r="AA710" s="1252"/>
      <c r="AB710" s="1253"/>
      <c r="AC710" s="1224">
        <f t="shared" si="39"/>
        <v>0</v>
      </c>
      <c r="AD710" s="1225"/>
      <c r="AE710" s="1225"/>
      <c r="AF710" s="1225"/>
      <c r="AG710" s="1226"/>
      <c r="AH710" s="1255"/>
      <c r="AI710" s="1256"/>
      <c r="AJ710" s="1256"/>
      <c r="AK710" s="1256"/>
      <c r="AL710" s="1257"/>
      <c r="AM710" s="1221" t="str">
        <f t="shared" si="40"/>
        <v/>
      </c>
      <c r="AN710" s="1222"/>
      <c r="AO710" s="1223"/>
      <c r="BA710" s="41"/>
      <c r="BB710" s="41"/>
      <c r="BC710" s="41"/>
      <c r="BD710" s="41"/>
      <c r="BE710" s="41"/>
      <c r="BF710" s="41"/>
      <c r="BG710" s="446">
        <f t="shared" si="35"/>
        <v>0</v>
      </c>
      <c r="BH710" s="452">
        <f t="shared" si="36"/>
        <v>0</v>
      </c>
      <c r="BI710" s="453">
        <f t="shared" si="37"/>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38"/>
        <v>0</v>
      </c>
      <c r="U711" s="1225"/>
      <c r="V711" s="1225"/>
      <c r="W711" s="1225"/>
      <c r="X711" s="1226"/>
      <c r="Y711" s="1251"/>
      <c r="Z711" s="1252"/>
      <c r="AA711" s="1252"/>
      <c r="AB711" s="1253"/>
      <c r="AC711" s="1224">
        <f t="shared" si="39"/>
        <v>0</v>
      </c>
      <c r="AD711" s="1225"/>
      <c r="AE711" s="1225"/>
      <c r="AF711" s="1225"/>
      <c r="AG711" s="1226"/>
      <c r="AH711" s="1255"/>
      <c r="AI711" s="1256"/>
      <c r="AJ711" s="1256"/>
      <c r="AK711" s="1256"/>
      <c r="AL711" s="1257"/>
      <c r="AM711" s="1221" t="str">
        <f t="shared" si="40"/>
        <v/>
      </c>
      <c r="AN711" s="1222"/>
      <c r="AO711" s="1223"/>
      <c r="BA711" s="41"/>
      <c r="BB711" s="41"/>
      <c r="BC711" s="41"/>
      <c r="BD711" s="41"/>
      <c r="BE711" s="41"/>
      <c r="BF711" s="41"/>
      <c r="BG711" s="446">
        <f t="shared" si="35"/>
        <v>0</v>
      </c>
      <c r="BH711" s="452">
        <f t="shared" si="36"/>
        <v>0</v>
      </c>
      <c r="BI711" s="453">
        <f t="shared" si="37"/>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38"/>
        <v>0</v>
      </c>
      <c r="U712" s="1225"/>
      <c r="V712" s="1225"/>
      <c r="W712" s="1225"/>
      <c r="X712" s="1226"/>
      <c r="Y712" s="1251"/>
      <c r="Z712" s="1252"/>
      <c r="AA712" s="1252"/>
      <c r="AB712" s="1253"/>
      <c r="AC712" s="1224">
        <f t="shared" si="39"/>
        <v>0</v>
      </c>
      <c r="AD712" s="1225"/>
      <c r="AE712" s="1225"/>
      <c r="AF712" s="1225"/>
      <c r="AG712" s="1226"/>
      <c r="AH712" s="1255"/>
      <c r="AI712" s="1256"/>
      <c r="AJ712" s="1256"/>
      <c r="AK712" s="1256"/>
      <c r="AL712" s="1257"/>
      <c r="AM712" s="1221" t="str">
        <f t="shared" si="40"/>
        <v/>
      </c>
      <c r="AN712" s="1222"/>
      <c r="AO712" s="1223"/>
      <c r="BA712" s="43"/>
      <c r="BB712" s="43"/>
      <c r="BC712" s="43"/>
      <c r="BD712" s="43"/>
      <c r="BE712" s="41"/>
      <c r="BF712" s="41"/>
      <c r="BG712" s="446">
        <f t="shared" si="35"/>
        <v>0</v>
      </c>
      <c r="BH712" s="452">
        <f t="shared" si="36"/>
        <v>0</v>
      </c>
      <c r="BI712" s="453">
        <f t="shared" si="37"/>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38"/>
        <v>0</v>
      </c>
      <c r="U713" s="1225"/>
      <c r="V713" s="1225"/>
      <c r="W713" s="1225"/>
      <c r="X713" s="1226"/>
      <c r="Y713" s="1251"/>
      <c r="Z713" s="1252"/>
      <c r="AA713" s="1252"/>
      <c r="AB713" s="1253"/>
      <c r="AC713" s="1224">
        <f t="shared" si="39"/>
        <v>0</v>
      </c>
      <c r="AD713" s="1225"/>
      <c r="AE713" s="1225"/>
      <c r="AF713" s="1225"/>
      <c r="AG713" s="1226"/>
      <c r="AH713" s="1255"/>
      <c r="AI713" s="1256"/>
      <c r="AJ713" s="1256"/>
      <c r="AK713" s="1256"/>
      <c r="AL713" s="1257"/>
      <c r="AM713" s="1221" t="str">
        <f t="shared" si="40"/>
        <v/>
      </c>
      <c r="AN713" s="1222"/>
      <c r="AO713" s="1223"/>
      <c r="BA713" s="43"/>
      <c r="BB713" s="43"/>
      <c r="BC713" s="43"/>
      <c r="BD713" s="43"/>
      <c r="BE713" s="41"/>
      <c r="BF713" s="41"/>
      <c r="BG713" s="447">
        <f>G729</f>
        <v>0</v>
      </c>
      <c r="BH713" s="452">
        <f t="shared" si="36"/>
        <v>0</v>
      </c>
      <c r="BI713" s="453">
        <f t="shared" si="37"/>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38"/>
        <v>0</v>
      </c>
      <c r="U714" s="1225"/>
      <c r="V714" s="1225"/>
      <c r="W714" s="1225"/>
      <c r="X714" s="1226"/>
      <c r="Y714" s="1251"/>
      <c r="Z714" s="1252"/>
      <c r="AA714" s="1252"/>
      <c r="AB714" s="1253"/>
      <c r="AC714" s="1224">
        <f t="shared" si="39"/>
        <v>0</v>
      </c>
      <c r="AD714" s="1225"/>
      <c r="AE714" s="1225"/>
      <c r="AF714" s="1225"/>
      <c r="AG714" s="1226"/>
      <c r="AH714" s="1255"/>
      <c r="AI714" s="1256"/>
      <c r="AJ714" s="1256"/>
      <c r="AK714" s="1256"/>
      <c r="AL714" s="1257"/>
      <c r="AM714" s="1221" t="str">
        <f t="shared" si="40"/>
        <v/>
      </c>
      <c r="AN714" s="1222"/>
      <c r="AO714" s="1223"/>
      <c r="BA714" s="43"/>
      <c r="BB714" s="43"/>
      <c r="BC714" s="43"/>
      <c r="BD714" s="43"/>
      <c r="BE714" s="42"/>
      <c r="BF714" s="62" t="s">
        <v>875</v>
      </c>
      <c r="BG714" s="454">
        <f>SUM(BG689:BG713)</f>
        <v>24</v>
      </c>
      <c r="BH714" s="455">
        <f>SUM(BH689:BH713)</f>
        <v>1</v>
      </c>
      <c r="BI714" s="455">
        <f>SUM(BI689:BI713)</f>
        <v>0.48333333333333334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38"/>
        <v>0</v>
      </c>
      <c r="U715" s="1225"/>
      <c r="V715" s="1225"/>
      <c r="W715" s="1225"/>
      <c r="X715" s="1226"/>
      <c r="Y715" s="1251"/>
      <c r="Z715" s="1252"/>
      <c r="AA715" s="1252"/>
      <c r="AB715" s="1253"/>
      <c r="AC715" s="1224">
        <f t="shared" si="39"/>
        <v>0</v>
      </c>
      <c r="AD715" s="1225"/>
      <c r="AE715" s="1225"/>
      <c r="AF715" s="1225"/>
      <c r="AG715" s="1226"/>
      <c r="AH715" s="1255"/>
      <c r="AI715" s="1256"/>
      <c r="AJ715" s="1256"/>
      <c r="AK715" s="1256"/>
      <c r="AL715" s="1257"/>
      <c r="AM715" s="1221" t="str">
        <f t="shared" si="40"/>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38"/>
        <v>0</v>
      </c>
      <c r="U716" s="1225"/>
      <c r="V716" s="1225"/>
      <c r="W716" s="1225"/>
      <c r="X716" s="1226"/>
      <c r="Y716" s="1251"/>
      <c r="Z716" s="1252"/>
      <c r="AA716" s="1252"/>
      <c r="AB716" s="1253"/>
      <c r="AC716" s="1224">
        <f t="shared" si="39"/>
        <v>0</v>
      </c>
      <c r="AD716" s="1225"/>
      <c r="AE716" s="1225"/>
      <c r="AF716" s="1225"/>
      <c r="AG716" s="1226"/>
      <c r="AH716" s="1255"/>
      <c r="AI716" s="1256"/>
      <c r="AJ716" s="1256"/>
      <c r="AK716" s="1256"/>
      <c r="AL716" s="1257"/>
      <c r="AM716" s="1221" t="str">
        <f t="shared" si="40"/>
        <v/>
      </c>
      <c r="AN716" s="1222"/>
      <c r="AO716" s="1223"/>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38"/>
        <v>0</v>
      </c>
      <c r="U717" s="1225"/>
      <c r="V717" s="1225"/>
      <c r="W717" s="1225"/>
      <c r="X717" s="1226"/>
      <c r="Y717" s="1251"/>
      <c r="Z717" s="1252"/>
      <c r="AA717" s="1252"/>
      <c r="AB717" s="1253"/>
      <c r="AC717" s="1224">
        <f t="shared" si="39"/>
        <v>0</v>
      </c>
      <c r="AD717" s="1225"/>
      <c r="AE717" s="1225"/>
      <c r="AF717" s="1225"/>
      <c r="AG717" s="1226"/>
      <c r="AH717" s="1255"/>
      <c r="AI717" s="1256"/>
      <c r="AJ717" s="1256"/>
      <c r="AK717" s="1256"/>
      <c r="AL717" s="1257"/>
      <c r="AM717" s="1221" t="str">
        <f t="shared" si="40"/>
        <v/>
      </c>
      <c r="AN717" s="1222"/>
      <c r="AO717" s="1223"/>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38"/>
        <v>0</v>
      </c>
      <c r="U718" s="1225"/>
      <c r="V718" s="1225"/>
      <c r="W718" s="1225"/>
      <c r="X718" s="1226"/>
      <c r="Y718" s="1251"/>
      <c r="Z718" s="1252"/>
      <c r="AA718" s="1252"/>
      <c r="AB718" s="1253"/>
      <c r="AC718" s="1224">
        <f t="shared" si="39"/>
        <v>0</v>
      </c>
      <c r="AD718" s="1225"/>
      <c r="AE718" s="1225"/>
      <c r="AF718" s="1225"/>
      <c r="AG718" s="1226"/>
      <c r="AH718" s="1255"/>
      <c r="AI718" s="1256"/>
      <c r="AJ718" s="1256"/>
      <c r="AK718" s="1256"/>
      <c r="AL718" s="1257"/>
      <c r="AM718" s="1221" t="str">
        <f t="shared" si="40"/>
        <v/>
      </c>
      <c r="AN718" s="1222"/>
      <c r="AO718" s="1223"/>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41">G719*O719</f>
        <v>0</v>
      </c>
      <c r="U719" s="1225"/>
      <c r="V719" s="1225"/>
      <c r="W719" s="1225"/>
      <c r="X719" s="1226"/>
      <c r="Y719" s="1251"/>
      <c r="Z719" s="1252"/>
      <c r="AA719" s="1252"/>
      <c r="AB719" s="1253"/>
      <c r="AC719" s="1224">
        <f t="shared" ref="AC719:AC728" si="42">O719+Y719</f>
        <v>0</v>
      </c>
      <c r="AD719" s="1225"/>
      <c r="AE719" s="1225"/>
      <c r="AF719" s="1225"/>
      <c r="AG719" s="1226"/>
      <c r="AH719" s="1255"/>
      <c r="AI719" s="1256"/>
      <c r="AJ719" s="1256"/>
      <c r="AK719" s="1256"/>
      <c r="AL719" s="1257"/>
      <c r="AM719" s="1221" t="str">
        <f t="shared" si="40"/>
        <v/>
      </c>
      <c r="AN719" s="1222"/>
      <c r="AO719" s="1223"/>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41"/>
        <v>0</v>
      </c>
      <c r="U720" s="1225"/>
      <c r="V720" s="1225"/>
      <c r="W720" s="1225"/>
      <c r="X720" s="1226"/>
      <c r="Y720" s="1251"/>
      <c r="Z720" s="1252"/>
      <c r="AA720" s="1252"/>
      <c r="AB720" s="1253"/>
      <c r="AC720" s="1224">
        <f t="shared" si="42"/>
        <v>0</v>
      </c>
      <c r="AD720" s="1225"/>
      <c r="AE720" s="1225"/>
      <c r="AF720" s="1225"/>
      <c r="AG720" s="1226"/>
      <c r="AH720" s="1255"/>
      <c r="AI720" s="1256"/>
      <c r="AJ720" s="1256"/>
      <c r="AK720" s="1256"/>
      <c r="AL720" s="1257"/>
      <c r="AM720" s="1221" t="str">
        <f t="shared" si="40"/>
        <v/>
      </c>
      <c r="AN720" s="1222"/>
      <c r="AO720" s="1223"/>
      <c r="BA720" s="41"/>
      <c r="BB720" s="41"/>
      <c r="BC720" s="41"/>
      <c r="BD720" s="41"/>
      <c r="BE720" s="41"/>
      <c r="BF720" s="41"/>
      <c r="BG720" s="851">
        <f t="shared" ref="BG720:BG733" si="43">G695</f>
        <v>2</v>
      </c>
      <c r="BH720" s="855">
        <f>IF(BG720=0,"",BG720/$BG$745)</f>
        <v>8.3333333333333329E-2</v>
      </c>
      <c r="BI720" s="856">
        <f>IF(BH720="","",BH720*AM695)</f>
        <v>2.5005876821814758E-2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41"/>
        <v>0</v>
      </c>
      <c r="U721" s="1225"/>
      <c r="V721" s="1225"/>
      <c r="W721" s="1225"/>
      <c r="X721" s="1226"/>
      <c r="Y721" s="1251"/>
      <c r="Z721" s="1252"/>
      <c r="AA721" s="1252"/>
      <c r="AB721" s="1253"/>
      <c r="AC721" s="1224">
        <f t="shared" si="42"/>
        <v>0</v>
      </c>
      <c r="AD721" s="1225"/>
      <c r="AE721" s="1225"/>
      <c r="AF721" s="1225"/>
      <c r="AG721" s="1226"/>
      <c r="AH721" s="1255"/>
      <c r="AI721" s="1256"/>
      <c r="AJ721" s="1256"/>
      <c r="AK721" s="1256"/>
      <c r="AL721" s="1257"/>
      <c r="AM721" s="1221" t="str">
        <f t="shared" si="40"/>
        <v/>
      </c>
      <c r="AN721" s="1222"/>
      <c r="AO721" s="1223"/>
      <c r="BA721" s="41"/>
      <c r="BB721" s="41"/>
      <c r="BC721" s="41"/>
      <c r="BD721" s="41"/>
      <c r="BE721" s="41"/>
      <c r="BF721" s="41"/>
      <c r="BG721" s="851">
        <f t="shared" si="43"/>
        <v>1</v>
      </c>
      <c r="BH721" s="855">
        <f t="shared" ref="BH721:BH744" si="44">IF(BG721=0,"",BG721/$BG$745)</f>
        <v>4.1666666666666664E-2</v>
      </c>
      <c r="BI721" s="856">
        <f t="shared" ref="BI721:BI744" si="45">IF(BH721="","",BH721*AM696)</f>
        <v>1.2494915598942443E-2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41"/>
        <v>0</v>
      </c>
      <c r="U722" s="1225"/>
      <c r="V722" s="1225"/>
      <c r="W722" s="1225"/>
      <c r="X722" s="1226"/>
      <c r="Y722" s="1251"/>
      <c r="Z722" s="1252"/>
      <c r="AA722" s="1252"/>
      <c r="AB722" s="1253"/>
      <c r="AC722" s="1224">
        <f t="shared" si="42"/>
        <v>0</v>
      </c>
      <c r="AD722" s="1225"/>
      <c r="AE722" s="1225"/>
      <c r="AF722" s="1225"/>
      <c r="AG722" s="1226"/>
      <c r="AH722" s="1255"/>
      <c r="AI722" s="1256"/>
      <c r="AJ722" s="1256"/>
      <c r="AK722" s="1256"/>
      <c r="AL722" s="1257"/>
      <c r="AM722" s="1221" t="str">
        <f t="shared" si="40"/>
        <v/>
      </c>
      <c r="AN722" s="1222"/>
      <c r="AO722" s="1223"/>
      <c r="BA722" s="41"/>
      <c r="BB722" s="41"/>
      <c r="BC722" s="41"/>
      <c r="BD722" s="41"/>
      <c r="BE722" s="43"/>
      <c r="BF722" s="43"/>
      <c r="BG722" s="851">
        <f t="shared" si="43"/>
        <v>3</v>
      </c>
      <c r="BH722" s="855">
        <f t="shared" si="44"/>
        <v>0.125</v>
      </c>
      <c r="BI722" s="856">
        <f t="shared" si="45"/>
        <v>5.002644569816643E-2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41"/>
        <v>0</v>
      </c>
      <c r="U723" s="1225"/>
      <c r="V723" s="1225"/>
      <c r="W723" s="1225"/>
      <c r="X723" s="1226"/>
      <c r="Y723" s="1251"/>
      <c r="Z723" s="1252"/>
      <c r="AA723" s="1252"/>
      <c r="AB723" s="1253"/>
      <c r="AC723" s="1224">
        <f t="shared" si="42"/>
        <v>0</v>
      </c>
      <c r="AD723" s="1225"/>
      <c r="AE723" s="1225"/>
      <c r="AF723" s="1225"/>
      <c r="AG723" s="1226"/>
      <c r="AH723" s="1255"/>
      <c r="AI723" s="1256"/>
      <c r="AJ723" s="1256"/>
      <c r="AK723" s="1256"/>
      <c r="AL723" s="1257"/>
      <c r="AM723" s="1221" t="str">
        <f t="shared" si="40"/>
        <v/>
      </c>
      <c r="AN723" s="1222"/>
      <c r="AO723" s="1223"/>
      <c r="BA723" s="41"/>
      <c r="BB723" s="41"/>
      <c r="BC723" s="41"/>
      <c r="BD723" s="41"/>
      <c r="BE723" s="43"/>
      <c r="BF723" s="43"/>
      <c r="BG723" s="851">
        <f t="shared" si="43"/>
        <v>1</v>
      </c>
      <c r="BH723" s="855">
        <f t="shared" si="44"/>
        <v>4.1666666666666664E-2</v>
      </c>
      <c r="BI723" s="856">
        <f t="shared" si="45"/>
        <v>1.6664124466137888E-2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41"/>
        <v>0</v>
      </c>
      <c r="U724" s="1225"/>
      <c r="V724" s="1225"/>
      <c r="W724" s="1225"/>
      <c r="X724" s="1226"/>
      <c r="Y724" s="1251"/>
      <c r="Z724" s="1252"/>
      <c r="AA724" s="1252"/>
      <c r="AB724" s="1253"/>
      <c r="AC724" s="1224">
        <f t="shared" si="42"/>
        <v>0</v>
      </c>
      <c r="AD724" s="1225"/>
      <c r="AE724" s="1225"/>
      <c r="AF724" s="1225"/>
      <c r="AG724" s="1226"/>
      <c r="AH724" s="1255"/>
      <c r="AI724" s="1256"/>
      <c r="AJ724" s="1256"/>
      <c r="AK724" s="1256"/>
      <c r="AL724" s="1257"/>
      <c r="AM724" s="1221" t="str">
        <f t="shared" si="40"/>
        <v/>
      </c>
      <c r="AN724" s="1222"/>
      <c r="AO724" s="1223"/>
      <c r="BA724" s="41"/>
      <c r="BB724" s="41"/>
      <c r="BC724" s="41"/>
      <c r="BD724" s="41"/>
      <c r="BE724" s="43"/>
      <c r="BF724" s="43"/>
      <c r="BG724" s="851">
        <f t="shared" si="43"/>
        <v>6</v>
      </c>
      <c r="BH724" s="855">
        <f t="shared" si="44"/>
        <v>0.25</v>
      </c>
      <c r="BI724" s="856">
        <f t="shared" si="45"/>
        <v>0.125</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41"/>
        <v>0</v>
      </c>
      <c r="U725" s="1225"/>
      <c r="V725" s="1225"/>
      <c r="W725" s="1225"/>
      <c r="X725" s="1226"/>
      <c r="Y725" s="1251"/>
      <c r="Z725" s="1252"/>
      <c r="AA725" s="1252"/>
      <c r="AB725" s="1253"/>
      <c r="AC725" s="1224">
        <f t="shared" si="42"/>
        <v>0</v>
      </c>
      <c r="AD725" s="1225"/>
      <c r="AE725" s="1225"/>
      <c r="AF725" s="1225"/>
      <c r="AG725" s="1226"/>
      <c r="AH725" s="1255"/>
      <c r="AI725" s="1256"/>
      <c r="AJ725" s="1256"/>
      <c r="AK725" s="1256"/>
      <c r="AL725" s="1257"/>
      <c r="AM725" s="1221" t="str">
        <f t="shared" si="40"/>
        <v/>
      </c>
      <c r="AN725" s="1222"/>
      <c r="AO725" s="1223"/>
      <c r="BA725" s="41"/>
      <c r="BB725" s="41"/>
      <c r="BC725" s="41"/>
      <c r="BD725" s="41"/>
      <c r="BE725" s="43"/>
      <c r="BF725" s="43"/>
      <c r="BG725" s="851">
        <f t="shared" si="43"/>
        <v>5</v>
      </c>
      <c r="BH725" s="855">
        <f t="shared" si="44"/>
        <v>0.20833333333333334</v>
      </c>
      <c r="BI725" s="856">
        <f t="shared" si="45"/>
        <v>0.10416666666666667</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41"/>
        <v>0</v>
      </c>
      <c r="U726" s="1225"/>
      <c r="V726" s="1225"/>
      <c r="W726" s="1225"/>
      <c r="X726" s="1226"/>
      <c r="Y726" s="1251"/>
      <c r="Z726" s="1252"/>
      <c r="AA726" s="1252"/>
      <c r="AB726" s="1253"/>
      <c r="AC726" s="1224">
        <f t="shared" si="42"/>
        <v>0</v>
      </c>
      <c r="AD726" s="1225"/>
      <c r="AE726" s="1225"/>
      <c r="AF726" s="1225"/>
      <c r="AG726" s="1226"/>
      <c r="AH726" s="1255"/>
      <c r="AI726" s="1256"/>
      <c r="AJ726" s="1256"/>
      <c r="AK726" s="1256"/>
      <c r="AL726" s="1257"/>
      <c r="AM726" s="1221" t="str">
        <f t="shared" si="40"/>
        <v/>
      </c>
      <c r="AN726" s="1222"/>
      <c r="AO726" s="1223"/>
      <c r="BA726" s="41"/>
      <c r="BB726" s="41"/>
      <c r="BC726" s="41"/>
      <c r="BD726" s="41"/>
      <c r="BE726" s="43"/>
      <c r="BF726" s="43"/>
      <c r="BG726" s="851">
        <f t="shared" si="43"/>
        <v>3</v>
      </c>
      <c r="BH726" s="855">
        <f t="shared" si="44"/>
        <v>0.125</v>
      </c>
      <c r="BI726" s="856">
        <f t="shared" si="45"/>
        <v>7.5017630465444282E-2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41"/>
        <v>0</v>
      </c>
      <c r="U727" s="1225"/>
      <c r="V727" s="1225"/>
      <c r="W727" s="1225"/>
      <c r="X727" s="1226"/>
      <c r="Y727" s="1251"/>
      <c r="Z727" s="1252"/>
      <c r="AA727" s="1252"/>
      <c r="AB727" s="1253"/>
      <c r="AC727" s="1224">
        <f t="shared" si="42"/>
        <v>0</v>
      </c>
      <c r="AD727" s="1225"/>
      <c r="AE727" s="1225"/>
      <c r="AF727" s="1225"/>
      <c r="AG727" s="1226"/>
      <c r="AH727" s="1255"/>
      <c r="AI727" s="1256"/>
      <c r="AJ727" s="1256"/>
      <c r="AK727" s="1256"/>
      <c r="AL727" s="1257"/>
      <c r="AM727" s="1221" t="str">
        <f t="shared" si="40"/>
        <v/>
      </c>
      <c r="AN727" s="1222"/>
      <c r="AO727" s="1223"/>
      <c r="BA727" s="41"/>
      <c r="BB727" s="41"/>
      <c r="BC727" s="41"/>
      <c r="BD727" s="41"/>
      <c r="BE727" s="43"/>
      <c r="BF727" s="43"/>
      <c r="BG727" s="851">
        <f t="shared" si="43"/>
        <v>3</v>
      </c>
      <c r="BH727" s="855">
        <f t="shared" si="44"/>
        <v>0.125</v>
      </c>
      <c r="BI727" s="856">
        <f t="shared" si="45"/>
        <v>7.500762660158633E-2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41"/>
        <v>0</v>
      </c>
      <c r="U728" s="1225"/>
      <c r="V728" s="1225"/>
      <c r="W728" s="1225"/>
      <c r="X728" s="1226"/>
      <c r="Y728" s="1251"/>
      <c r="Z728" s="1252"/>
      <c r="AA728" s="1252"/>
      <c r="AB728" s="1253"/>
      <c r="AC728" s="1224">
        <f t="shared" si="42"/>
        <v>0</v>
      </c>
      <c r="AD728" s="1225"/>
      <c r="AE728" s="1225"/>
      <c r="AF728" s="1225"/>
      <c r="AG728" s="1226"/>
      <c r="AH728" s="1255"/>
      <c r="AI728" s="1256"/>
      <c r="AJ728" s="1256"/>
      <c r="AK728" s="1256"/>
      <c r="AL728" s="1257"/>
      <c r="AM728" s="1221" t="str">
        <f t="shared" si="40"/>
        <v/>
      </c>
      <c r="AN728" s="1222"/>
      <c r="AO728" s="1223"/>
      <c r="BA728" s="41"/>
      <c r="BB728" s="41"/>
      <c r="BC728" s="41"/>
      <c r="BD728" s="41"/>
      <c r="BE728" s="43"/>
      <c r="BF728" s="43"/>
      <c r="BG728" s="851">
        <f t="shared" si="43"/>
        <v>0</v>
      </c>
      <c r="BH728" s="855" t="str">
        <f t="shared" si="44"/>
        <v/>
      </c>
      <c r="BI728" s="856" t="str">
        <f t="shared" si="45"/>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38"/>
        <v>0</v>
      </c>
      <c r="U729" s="1225"/>
      <c r="V729" s="1225"/>
      <c r="W729" s="1225"/>
      <c r="X729" s="1226"/>
      <c r="Y729" s="1251"/>
      <c r="Z729" s="1252"/>
      <c r="AA729" s="1252"/>
      <c r="AB729" s="1253"/>
      <c r="AC729" s="1224">
        <f t="shared" si="39"/>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43"/>
        <v>0</v>
      </c>
      <c r="BH729" s="855" t="str">
        <f t="shared" si="44"/>
        <v/>
      </c>
      <c r="BI729" s="856" t="str">
        <f t="shared" si="45"/>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877</v>
      </c>
      <c r="C730" s="1183"/>
      <c r="D730" s="1183"/>
      <c r="E730" s="1183"/>
      <c r="F730" s="1184"/>
      <c r="G730" s="1501">
        <f>SUM(G695:J729)</f>
        <v>24</v>
      </c>
      <c r="H730" s="1502"/>
      <c r="I730" s="1502"/>
      <c r="J730" s="1503"/>
      <c r="O730" s="430" t="s">
        <v>876</v>
      </c>
      <c r="P730" s="168"/>
      <c r="Q730" s="168"/>
      <c r="R730" s="168"/>
      <c r="S730" s="842"/>
      <c r="T730" s="1224">
        <f>SUM(T695:X729)</f>
        <v>33251</v>
      </c>
      <c r="U730" s="1225"/>
      <c r="V730" s="1225"/>
      <c r="W730" s="1225"/>
      <c r="X730" s="1226"/>
      <c r="AC730" s="843" t="s">
        <v>1139</v>
      </c>
      <c r="AD730" s="844"/>
      <c r="AE730" s="844"/>
      <c r="AF730" s="844"/>
      <c r="AG730" s="845"/>
      <c r="AH730" s="1227">
        <f>BI714</f>
        <v>0.48333333333333334</v>
      </c>
      <c r="AI730" s="1228"/>
      <c r="AJ730" s="1228"/>
      <c r="AK730" s="1228"/>
      <c r="AL730" s="1229"/>
      <c r="AM730" s="1227">
        <f>IFERROR(BI745,0)</f>
        <v>0.48338328631875882</v>
      </c>
      <c r="AN730" s="1228"/>
      <c r="AO730" s="1229"/>
      <c r="BA730" s="41"/>
      <c r="BB730" s="41"/>
      <c r="BC730" s="41"/>
      <c r="BD730" s="41"/>
      <c r="BE730" s="43"/>
      <c r="BF730" s="43"/>
      <c r="BG730" s="851">
        <f t="shared" si="43"/>
        <v>0</v>
      </c>
      <c r="BH730" s="855" t="str">
        <f t="shared" si="44"/>
        <v/>
      </c>
      <c r="BI730" s="856" t="str">
        <f t="shared" si="45"/>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6" t="s">
        <v>2062</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G731" s="851">
        <f t="shared" si="43"/>
        <v>0</v>
      </c>
      <c r="BH731" s="855" t="str">
        <f t="shared" si="44"/>
        <v/>
      </c>
      <c r="BI731" s="856" t="str">
        <f t="shared" si="45"/>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G732" s="851">
        <f t="shared" si="43"/>
        <v>0</v>
      </c>
      <c r="BH732" s="855" t="str">
        <f t="shared" si="44"/>
        <v/>
      </c>
      <c r="BI732" s="856" t="str">
        <f t="shared" si="45"/>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32">
        <f>CQ628</f>
        <v>58</v>
      </c>
      <c r="P733" s="1532"/>
      <c r="Q733" s="1532"/>
      <c r="R733" s="1532"/>
      <c r="S733" s="924"/>
      <c r="T733" s="924"/>
      <c r="U733" s="270" t="s">
        <v>2064</v>
      </c>
      <c r="V733" s="922"/>
      <c r="W733" s="922"/>
      <c r="X733" s="922"/>
      <c r="Y733" s="923"/>
      <c r="Z733" s="923"/>
      <c r="AA733" s="923"/>
      <c r="AB733" s="923"/>
      <c r="AC733" s="922"/>
      <c r="AD733" s="922"/>
      <c r="AE733" s="922"/>
      <c r="AF733" s="922"/>
      <c r="AG733" s="1498"/>
      <c r="AH733" s="1498"/>
      <c r="AI733" s="1498"/>
      <c r="AJ733" s="1498"/>
      <c r="AK733" s="41"/>
      <c r="AL733" s="41"/>
      <c r="AM733" s="41"/>
      <c r="BA733" s="41"/>
      <c r="BB733" s="41"/>
      <c r="BC733" s="41"/>
      <c r="BD733" s="41"/>
      <c r="BE733" s="41"/>
      <c r="BF733" s="41"/>
      <c r="BG733" s="851">
        <f t="shared" si="43"/>
        <v>0</v>
      </c>
      <c r="BH733" s="855" t="str">
        <f t="shared" si="44"/>
        <v/>
      </c>
      <c r="BI733" s="856" t="str">
        <f t="shared" si="45"/>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46">G709</f>
        <v>0</v>
      </c>
      <c r="BH734" s="855" t="str">
        <f t="shared" si="44"/>
        <v/>
      </c>
      <c r="BI734" s="856" t="str">
        <f t="shared" si="45"/>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46"/>
        <v>0</v>
      </c>
      <c r="BH735" s="855" t="str">
        <f t="shared" si="44"/>
        <v/>
      </c>
      <c r="BI735" s="856" t="str">
        <f t="shared" si="45"/>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46"/>
        <v>0</v>
      </c>
      <c r="BH736" s="855" t="str">
        <f t="shared" si="44"/>
        <v/>
      </c>
      <c r="BI736" s="856" t="str">
        <f t="shared" si="45"/>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2060</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46"/>
        <v>0</v>
      </c>
      <c r="BH737" s="855" t="str">
        <f t="shared" si="44"/>
        <v/>
      </c>
      <c r="BI737" s="856" t="str">
        <f t="shared" si="45"/>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46"/>
        <v>0</v>
      </c>
      <c r="BH738" s="855" t="str">
        <f t="shared" si="44"/>
        <v/>
      </c>
      <c r="BI738" s="856" t="str">
        <f t="shared" si="45"/>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46"/>
        <v>0</v>
      </c>
      <c r="BH739" s="855" t="str">
        <f t="shared" si="44"/>
        <v/>
      </c>
      <c r="BI739" s="856" t="str">
        <f t="shared" si="45"/>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46"/>
        <v>0</v>
      </c>
      <c r="BH740" s="855" t="str">
        <f t="shared" si="44"/>
        <v/>
      </c>
      <c r="BI740" s="856" t="str">
        <f t="shared" si="45"/>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46"/>
        <v>0</v>
      </c>
      <c r="BH741" s="855" t="str">
        <f t="shared" si="44"/>
        <v/>
      </c>
      <c r="BI741" s="856" t="str">
        <f t="shared" si="45"/>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46"/>
        <v>0</v>
      </c>
      <c r="BH742" s="855" t="str">
        <f t="shared" si="44"/>
        <v/>
      </c>
      <c r="BI742" s="856" t="str">
        <f t="shared" si="45"/>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46"/>
        <v>0</v>
      </c>
      <c r="BH743" s="855" t="str">
        <f t="shared" si="44"/>
        <v/>
      </c>
      <c r="BI743" s="856" t="str">
        <f t="shared" si="45"/>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44"/>
        <v/>
      </c>
      <c r="BI744" s="856" t="str">
        <f t="shared" si="45"/>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24</v>
      </c>
      <c r="BH745" s="853">
        <f>SUM(BH720:BH744)</f>
        <v>1</v>
      </c>
      <c r="BI745" s="853">
        <f>SUM(BI720:BI744)</f>
        <v>0.48338328631875882</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5" t="s">
        <v>256</v>
      </c>
      <c r="P748" s="1505"/>
      <c r="Q748" s="1505"/>
      <c r="R748" s="1505"/>
      <c r="S748" s="1505"/>
      <c r="T748" s="1230" t="s">
        <v>1996</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5"/>
      <c r="P749" s="1505"/>
      <c r="Q749" s="1505"/>
      <c r="R749" s="1505"/>
      <c r="S749" s="1505"/>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5"/>
      <c r="P750" s="1505"/>
      <c r="Q750" s="1505"/>
      <c r="R750" s="1505"/>
      <c r="S750" s="1505"/>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5"/>
      <c r="P751" s="1505"/>
      <c r="Q751" s="1505"/>
      <c r="R751" s="1505"/>
      <c r="S751" s="1505"/>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1" t="s">
        <v>780</v>
      </c>
      <c r="K752" s="1332"/>
      <c r="L752" s="1332"/>
      <c r="M752" s="1332"/>
      <c r="N752" s="1333"/>
      <c r="O752" s="1383">
        <v>1</v>
      </c>
      <c r="P752" s="1383"/>
      <c r="Q752" s="1383"/>
      <c r="R752" s="1383"/>
      <c r="S752" s="1383"/>
      <c r="T752" s="1248">
        <v>915</v>
      </c>
      <c r="U752" s="1249"/>
      <c r="V752" s="1249"/>
      <c r="W752" s="1250"/>
      <c r="X752" s="1251">
        <f>+'Subsidy Contract Calculation'!E6</f>
        <v>2940</v>
      </c>
      <c r="Y752" s="1252"/>
      <c r="Z752" s="1252"/>
      <c r="AA752" s="1252"/>
      <c r="AB752" s="1253"/>
      <c r="AC752" s="1224">
        <f>X752*O752</f>
        <v>2940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3"/>
      <c r="P753" s="1383"/>
      <c r="Q753" s="1383"/>
      <c r="R753" s="1383"/>
      <c r="S753" s="1383"/>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3"/>
      <c r="P754" s="1383"/>
      <c r="Q754" s="1383"/>
      <c r="R754" s="1383"/>
      <c r="S754" s="1383"/>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3"/>
      <c r="P755" s="1383"/>
      <c r="Q755" s="1383"/>
      <c r="R755" s="1383"/>
      <c r="S755" s="1383"/>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877</v>
      </c>
      <c r="K756" s="1183"/>
      <c r="L756" s="1183"/>
      <c r="M756" s="1183"/>
      <c r="N756" s="1184"/>
      <c r="O756" s="1271">
        <f>SUM(O752:S755)</f>
        <v>1</v>
      </c>
      <c r="P756" s="1272"/>
      <c r="Q756" s="1272"/>
      <c r="R756" s="1272"/>
      <c r="S756" s="1273"/>
      <c r="X756" s="1182" t="s">
        <v>876</v>
      </c>
      <c r="Y756" s="1183"/>
      <c r="Z756" s="1183"/>
      <c r="AA756" s="1183"/>
      <c r="AB756" s="1184"/>
      <c r="AC756" s="1224">
        <f>SUM(AC752:AG755)</f>
        <v>2940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5" t="s">
        <v>256</v>
      </c>
      <c r="P762" s="1505"/>
      <c r="Q762" s="1505"/>
      <c r="R762" s="1505"/>
      <c r="S762" s="1505"/>
      <c r="T762" s="1230" t="s">
        <v>1996</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5"/>
      <c r="P763" s="1505"/>
      <c r="Q763" s="1505"/>
      <c r="R763" s="1505"/>
      <c r="S763" s="1505"/>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5"/>
      <c r="P764" s="1505"/>
      <c r="Q764" s="1505"/>
      <c r="R764" s="1505"/>
      <c r="S764" s="1505"/>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5"/>
      <c r="P765" s="1505"/>
      <c r="Q765" s="1505"/>
      <c r="R765" s="1505"/>
      <c r="S765" s="1505"/>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3"/>
      <c r="P766" s="1383"/>
      <c r="Q766" s="1383"/>
      <c r="R766" s="1383"/>
      <c r="S766" s="1383"/>
      <c r="T766" s="1248"/>
      <c r="U766" s="1249"/>
      <c r="V766" s="1249"/>
      <c r="W766" s="1250"/>
      <c r="X766" s="1251"/>
      <c r="Y766" s="1252"/>
      <c r="Z766" s="1252"/>
      <c r="AA766" s="1252"/>
      <c r="AB766" s="1253"/>
      <c r="AC766" s="1224">
        <f t="shared" ref="AC766:AC775" si="47">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3"/>
      <c r="P767" s="1383"/>
      <c r="Q767" s="1383"/>
      <c r="R767" s="1383"/>
      <c r="S767" s="1383"/>
      <c r="T767" s="1248"/>
      <c r="U767" s="1249"/>
      <c r="V767" s="1249"/>
      <c r="W767" s="1250"/>
      <c r="X767" s="1251"/>
      <c r="Y767" s="1252"/>
      <c r="Z767" s="1252"/>
      <c r="AA767" s="1252"/>
      <c r="AB767" s="1253"/>
      <c r="AC767" s="1224">
        <f t="shared" si="47"/>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3"/>
      <c r="P768" s="1383"/>
      <c r="Q768" s="1383"/>
      <c r="R768" s="1383"/>
      <c r="S768" s="1383"/>
      <c r="T768" s="1248"/>
      <c r="U768" s="1249"/>
      <c r="V768" s="1249"/>
      <c r="W768" s="1250"/>
      <c r="X768" s="1251"/>
      <c r="Y768" s="1252"/>
      <c r="Z768" s="1252"/>
      <c r="AA768" s="1252"/>
      <c r="AB768" s="1253"/>
      <c r="AC768" s="1224">
        <f t="shared" si="47"/>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3"/>
      <c r="P769" s="1383"/>
      <c r="Q769" s="1383"/>
      <c r="R769" s="1383"/>
      <c r="S769" s="1383"/>
      <c r="T769" s="1248"/>
      <c r="U769" s="1249"/>
      <c r="V769" s="1249"/>
      <c r="W769" s="1250"/>
      <c r="X769" s="1251"/>
      <c r="Y769" s="1252"/>
      <c r="Z769" s="1252"/>
      <c r="AA769" s="1252"/>
      <c r="AB769" s="1253"/>
      <c r="AC769" s="1224">
        <f t="shared" si="47"/>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3"/>
      <c r="P770" s="1383"/>
      <c r="Q770" s="1383"/>
      <c r="R770" s="1383"/>
      <c r="S770" s="1383"/>
      <c r="T770" s="1248"/>
      <c r="U770" s="1249"/>
      <c r="V770" s="1249"/>
      <c r="W770" s="1250"/>
      <c r="X770" s="1251"/>
      <c r="Y770" s="1252"/>
      <c r="Z770" s="1252"/>
      <c r="AA770" s="1252"/>
      <c r="AB770" s="1253"/>
      <c r="AC770" s="1224">
        <f t="shared" si="47"/>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3"/>
      <c r="P771" s="1383"/>
      <c r="Q771" s="1383"/>
      <c r="R771" s="1383"/>
      <c r="S771" s="1383"/>
      <c r="T771" s="1248"/>
      <c r="U771" s="1249"/>
      <c r="V771" s="1249"/>
      <c r="W771" s="1250"/>
      <c r="X771" s="1251"/>
      <c r="Y771" s="1252"/>
      <c r="Z771" s="1252"/>
      <c r="AA771" s="1252"/>
      <c r="AB771" s="1253"/>
      <c r="AC771" s="1224">
        <f t="shared" si="47"/>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3"/>
      <c r="P772" s="1383"/>
      <c r="Q772" s="1383"/>
      <c r="R772" s="1383"/>
      <c r="S772" s="1383"/>
      <c r="T772" s="1248"/>
      <c r="U772" s="1249"/>
      <c r="V772" s="1249"/>
      <c r="W772" s="1250"/>
      <c r="X772" s="1251"/>
      <c r="Y772" s="1252"/>
      <c r="Z772" s="1252"/>
      <c r="AA772" s="1252"/>
      <c r="AB772" s="1253"/>
      <c r="AC772" s="1224">
        <f t="shared" si="47"/>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3"/>
      <c r="P773" s="1383"/>
      <c r="Q773" s="1383"/>
      <c r="R773" s="1383"/>
      <c r="S773" s="1383"/>
      <c r="T773" s="1248"/>
      <c r="U773" s="1249"/>
      <c r="V773" s="1249"/>
      <c r="W773" s="1250"/>
      <c r="X773" s="1251"/>
      <c r="Y773" s="1252"/>
      <c r="Z773" s="1252"/>
      <c r="AA773" s="1252"/>
      <c r="AB773" s="1253"/>
      <c r="AC773" s="1224">
        <f t="shared" si="47"/>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3"/>
      <c r="P774" s="1383"/>
      <c r="Q774" s="1383"/>
      <c r="R774" s="1383"/>
      <c r="S774" s="1383"/>
      <c r="T774" s="1248"/>
      <c r="U774" s="1249"/>
      <c r="V774" s="1249"/>
      <c r="W774" s="1250"/>
      <c r="X774" s="1251"/>
      <c r="Y774" s="1252"/>
      <c r="Z774" s="1252"/>
      <c r="AA774" s="1252"/>
      <c r="AB774" s="1253"/>
      <c r="AC774" s="1224">
        <f t="shared" si="47"/>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3"/>
      <c r="P775" s="1383"/>
      <c r="Q775" s="1383"/>
      <c r="R775" s="1383"/>
      <c r="S775" s="1383"/>
      <c r="T775" s="1248"/>
      <c r="U775" s="1249"/>
      <c r="V775" s="1249"/>
      <c r="W775" s="1250"/>
      <c r="X775" s="1251"/>
      <c r="Y775" s="1252"/>
      <c r="Z775" s="1252"/>
      <c r="AA775" s="1252"/>
      <c r="AB775" s="1253"/>
      <c r="AC775" s="1224">
        <f t="shared" si="47"/>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877</v>
      </c>
      <c r="K776" s="1183"/>
      <c r="L776" s="1183"/>
      <c r="M776" s="1183"/>
      <c r="N776" s="1184"/>
      <c r="O776" s="1532">
        <f>SUM(O766:S775)</f>
        <v>0</v>
      </c>
      <c r="P776" s="1532"/>
      <c r="Q776" s="1532"/>
      <c r="R776" s="1532"/>
      <c r="S776" s="1532"/>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5">
        <f>T730+AC756+AC776</f>
        <v>36191</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5">
        <f>(T730+AC756+AC776)*12</f>
        <v>434292</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9">
        <v>25</v>
      </c>
      <c r="AA785" s="1381"/>
      <c r="AB785" s="1381"/>
      <c r="AC785" s="1381"/>
      <c r="AD785" s="1381"/>
      <c r="AE785" s="138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80">
        <v>20</v>
      </c>
      <c r="AA786" s="1381"/>
      <c r="AB786" s="1381"/>
      <c r="AC786" s="1381"/>
      <c r="AD786" s="1381"/>
      <c r="AE786" s="138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7">
        <v>52871</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6">
        <f>'Subsidy Contract Calculation'!I40</f>
        <v>549948</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99">
        <f>10*25*12</f>
        <v>3000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3" t="s">
        <v>563</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3">
        <f>SUM(Z792:AE795)</f>
        <v>3000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3">
        <f>Z796+Y780+Z788</f>
        <v>987240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1" t="s">
        <v>878</v>
      </c>
      <c r="N802" s="1551"/>
      <c r="O802" s="1551"/>
      <c r="P802" s="1552"/>
      <c r="Q802" s="1500" t="s">
        <v>263</v>
      </c>
      <c r="R802" s="1500"/>
      <c r="S802" s="1500"/>
      <c r="T802" s="1500"/>
      <c r="U802" s="1500" t="s">
        <v>264</v>
      </c>
      <c r="V802" s="1500"/>
      <c r="W802" s="1500"/>
      <c r="X802" s="1500"/>
      <c r="Y802" s="1500" t="s">
        <v>265</v>
      </c>
      <c r="Z802" s="1500"/>
      <c r="AA802" s="1500"/>
      <c r="AB802" s="1500"/>
      <c r="AC802" s="1500" t="s">
        <v>31</v>
      </c>
      <c r="AD802" s="1500"/>
      <c r="AE802" s="1500"/>
      <c r="AF802" s="1500"/>
      <c r="AG802" s="1504" t="s">
        <v>2439</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5"/>
      <c r="N803" s="1545"/>
      <c r="O803" s="1545"/>
      <c r="P803" s="1546"/>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6"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1" t="s">
        <v>695</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1"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1"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1" t="s">
        <v>790</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2409</v>
      </c>
      <c r="G810" s="1204"/>
      <c r="H810" s="1204"/>
      <c r="I810" s="1204"/>
      <c r="J810" s="1204"/>
      <c r="K810" s="1204"/>
      <c r="L810" s="1204"/>
      <c r="M810" s="1064"/>
      <c r="N810" s="1064"/>
      <c r="O810" s="1064"/>
      <c r="P810" s="1064"/>
      <c r="Q810" s="1064"/>
      <c r="R810" s="1064"/>
      <c r="S810" s="1064"/>
      <c r="T810" s="1064"/>
      <c r="U810" s="1064">
        <v>52</v>
      </c>
      <c r="V810" s="1064"/>
      <c r="W810" s="1064"/>
      <c r="X810" s="1064"/>
      <c r="Y810" s="1064">
        <v>111</v>
      </c>
      <c r="Z810" s="1064"/>
      <c r="AA810" s="1064"/>
      <c r="AB810" s="1064"/>
      <c r="AC810" s="1209"/>
      <c r="AD810" s="1210"/>
      <c r="AE810" s="1210"/>
      <c r="AF810" s="1211"/>
      <c r="AG810" s="1209">
        <v>63</v>
      </c>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876</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52</v>
      </c>
      <c r="V811" s="1202"/>
      <c r="W811" s="1202"/>
      <c r="X811" s="1202"/>
      <c r="Y811" s="1202">
        <f>SUM(Y804:AB810)</f>
        <v>111</v>
      </c>
      <c r="Z811" s="1202"/>
      <c r="AA811" s="1202"/>
      <c r="AB811" s="1202"/>
      <c r="AC811" s="1202">
        <f>SUM(AC804:AF810)</f>
        <v>0</v>
      </c>
      <c r="AD811" s="1202"/>
      <c r="AE811" s="1202"/>
      <c r="AF811" s="1202"/>
      <c r="AG811" s="1202">
        <f>SUM(AG804:AJ810)</f>
        <v>63</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2473</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3" t="s">
        <v>369</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2">
        <v>2000</v>
      </c>
      <c r="X821" s="1212"/>
      <c r="Y821" s="1212"/>
      <c r="Z821" s="1212"/>
      <c r="AA821" s="1212"/>
      <c r="AB821" s="1212"/>
      <c r="AC821" s="1212"/>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2">
        <v>5000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2">
        <v>5000</v>
      </c>
      <c r="X823" s="1212"/>
      <c r="Y823" s="1212"/>
      <c r="Z823" s="1212"/>
      <c r="AA823" s="1212"/>
      <c r="AB823" s="1212"/>
      <c r="AC823" s="1212"/>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2">
        <v>5000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2401</v>
      </c>
      <c r="N825" s="1204"/>
      <c r="O825" s="1204"/>
      <c r="P825" s="1204"/>
      <c r="Q825" s="1204"/>
      <c r="R825" s="1204"/>
      <c r="S825" s="1204"/>
      <c r="T825" s="1204"/>
      <c r="U825" s="1204"/>
      <c r="V825" s="1205"/>
      <c r="W825" s="1212">
        <v>8500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0" t="str">
        <f>T189</f>
        <v>Los Angeles</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25500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30000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v>22000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2">
        <v>22000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26161</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70161</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6">
        <v>45000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461</v>
      </c>
      <c r="K838" s="9"/>
      <c r="L838" s="9"/>
      <c r="M838" s="9"/>
      <c r="N838" s="9"/>
      <c r="O838" s="9"/>
      <c r="P838" s="9"/>
      <c r="Q838" s="9"/>
      <c r="R838" s="9"/>
      <c r="S838" s="9"/>
      <c r="T838" s="9"/>
      <c r="U838" s="9"/>
      <c r="V838" s="52"/>
      <c r="W838" s="1206">
        <v>40000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t="s">
        <v>563</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4">
        <f>SUM(W836:AC840)</f>
        <v>85000</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2">
        <v>5000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2">
        <v>5500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2">
        <v>8500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2">
        <v>5000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2">
        <v>3500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563</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27500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03" t="s">
        <v>563</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03" t="s">
        <v>563</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563</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563</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563</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238161</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25</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5" t="s">
        <v>347</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3">
        <f>IF(ISERROR((ROUNDDOWN(AC862/AC863,0))),0,(ROUNDDOWN(AC862/AC863,0)))</f>
        <v>9526</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Budget'!B74</f>
        <v>214000</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94"/>
      <c r="AW866" s="1494"/>
      <c r="AX866" s="1494"/>
      <c r="AY866" s="1494"/>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7500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v>10000</v>
      </c>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50"/>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2411</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v>22500</v>
      </c>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7"/>
      <c r="AO875" s="1547"/>
      <c r="AP875" s="1494"/>
      <c r="AQ875" s="1494"/>
      <c r="AR875" s="1494"/>
      <c r="AS875" s="1494"/>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8" t="s">
        <v>961</v>
      </c>
      <c r="G892" s="1549"/>
      <c r="H892" s="1549"/>
      <c r="I892" s="1549"/>
      <c r="J892" s="1549"/>
      <c r="K892" s="1549"/>
      <c r="L892" s="1549"/>
      <c r="M892" s="1549"/>
      <c r="N892" s="1549"/>
      <c r="O892" s="1549"/>
      <c r="P892" s="1549"/>
      <c r="Q892" s="1549"/>
      <c r="R892" s="1549"/>
      <c r="S892" s="1549"/>
      <c r="T892" s="1550"/>
      <c r="U892" s="1553" t="s">
        <v>346</v>
      </c>
      <c r="V892" s="1551"/>
      <c r="W892" s="1551"/>
      <c r="X892" s="1551"/>
      <c r="Y892" s="1551"/>
      <c r="Z892" s="155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1" t="s">
        <v>1039</v>
      </c>
      <c r="G893" s="1542"/>
      <c r="H893" s="1542"/>
      <c r="I893" s="1542"/>
      <c r="J893" s="1542"/>
      <c r="K893" s="1542"/>
      <c r="L893" s="1542"/>
      <c r="M893" s="1542"/>
      <c r="N893" s="1542"/>
      <c r="O893" s="1542"/>
      <c r="P893" s="1542"/>
      <c r="Q893" s="1542"/>
      <c r="R893" s="1542"/>
      <c r="S893" s="1542"/>
      <c r="T893" s="1543"/>
      <c r="U893" s="1541"/>
      <c r="V893" s="1542"/>
      <c r="W893" s="1542"/>
      <c r="X893" s="1542"/>
      <c r="Y893" s="1542"/>
      <c r="Z893" s="154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4"/>
      <c r="G894" s="1545"/>
      <c r="H894" s="1545"/>
      <c r="I894" s="1545"/>
      <c r="J894" s="1545"/>
      <c r="K894" s="1545"/>
      <c r="L894" s="1545"/>
      <c r="M894" s="1545"/>
      <c r="N894" s="1545"/>
      <c r="O894" s="1545"/>
      <c r="P894" s="1545"/>
      <c r="Q894" s="1545"/>
      <c r="R894" s="1545"/>
      <c r="S894" s="1545"/>
      <c r="T894" s="1546"/>
      <c r="U894" s="1544"/>
      <c r="V894" s="1545"/>
      <c r="W894" s="1545"/>
      <c r="X894" s="1545"/>
      <c r="Y894" s="1545"/>
      <c r="Z894" s="1545"/>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2290</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2287</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2288</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2289</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2283</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2280</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1906</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2291</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2293</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2281</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2285</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2282</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1904</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2294</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1905</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2292</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1"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2284</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563</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826</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563</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5">
        <v>45505</v>
      </c>
      <c r="M931" s="1186"/>
      <c r="N931" s="1186"/>
      <c r="O931" s="1186"/>
      <c r="P931" s="1186"/>
      <c r="Q931" s="1186"/>
      <c r="R931" s="1186"/>
      <c r="S931" s="1187"/>
      <c r="U931" s="72" t="s">
        <v>827</v>
      </c>
      <c r="V931" s="9"/>
      <c r="W931" s="9"/>
      <c r="X931" s="9"/>
      <c r="Y931" s="9"/>
      <c r="Z931" s="9"/>
      <c r="AA931" s="9"/>
      <c r="AB931" s="9"/>
      <c r="AC931" s="9"/>
      <c r="AD931" s="52"/>
      <c r="AE931" s="1185"/>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2" t="s">
        <v>2409</v>
      </c>
      <c r="M932" s="1186"/>
      <c r="N932" s="1186"/>
      <c r="O932" s="1186"/>
      <c r="P932" s="1186"/>
      <c r="Q932" s="1186"/>
      <c r="R932" s="1186"/>
      <c r="S932" s="1187"/>
      <c r="U932" s="72" t="s">
        <v>828</v>
      </c>
      <c r="V932" s="9"/>
      <c r="W932" s="9"/>
      <c r="X932" s="9"/>
      <c r="Y932" s="9"/>
      <c r="Z932" s="9"/>
      <c r="AA932" s="9"/>
      <c r="AB932" s="9"/>
      <c r="AC932" s="9"/>
      <c r="AD932" s="52"/>
      <c r="AE932" s="1528"/>
      <c r="AF932" s="1529"/>
      <c r="AG932" s="1529"/>
      <c r="AH932" s="1529"/>
      <c r="AI932" s="1529"/>
      <c r="AJ932" s="1529"/>
      <c r="AK932" s="153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9" t="s">
        <v>2465</v>
      </c>
      <c r="M933" s="1390"/>
      <c r="N933" s="1390"/>
      <c r="O933" s="1390"/>
      <c r="P933" s="1390"/>
      <c r="Q933" s="1390"/>
      <c r="R933" s="1390"/>
      <c r="S933" s="1391"/>
      <c r="U933" s="72" t="s">
        <v>1108</v>
      </c>
      <c r="V933" s="9"/>
      <c r="W933" s="9"/>
      <c r="AE933" s="1389" t="s">
        <v>79</v>
      </c>
      <c r="AF933" s="1390"/>
      <c r="AG933" s="1390"/>
      <c r="AH933" s="1390"/>
      <c r="AI933" s="1390"/>
      <c r="AJ933" s="1390"/>
      <c r="AK933" s="13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5">
        <v>1</v>
      </c>
      <c r="M934" s="1526"/>
      <c r="N934" s="1526"/>
      <c r="O934" s="1526"/>
      <c r="P934" s="1526"/>
      <c r="Q934" s="1526"/>
      <c r="R934" s="1526"/>
      <c r="S934" s="1527"/>
      <c r="U934" s="72" t="s">
        <v>829</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3">
        <v>25</v>
      </c>
      <c r="M935" s="1534"/>
      <c r="N935" s="1534"/>
      <c r="O935" s="1534"/>
      <c r="P935" s="1534"/>
      <c r="Q935" s="1534"/>
      <c r="R935" s="1534"/>
      <c r="S935" s="1535"/>
      <c r="U935" s="72" t="s">
        <v>830</v>
      </c>
      <c r="V935" s="9"/>
      <c r="W935" s="9"/>
      <c r="X935" s="9"/>
      <c r="Y935" s="9"/>
      <c r="Z935" s="9"/>
      <c r="AA935" s="9"/>
      <c r="AB935" s="9"/>
      <c r="AC935" s="9"/>
      <c r="AD935" s="52"/>
      <c r="AE935" s="1499"/>
      <c r="AF935" s="1381"/>
      <c r="AG935" s="1381"/>
      <c r="AH935" s="1381"/>
      <c r="AI935" s="1381"/>
      <c r="AJ935" s="1381"/>
      <c r="AK935" s="138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99">
        <v>984240</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199">
        <f>L936*12</f>
        <v>11810880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33">
        <v>20</v>
      </c>
      <c r="M938" s="1534"/>
      <c r="N938" s="1534"/>
      <c r="O938" s="1534"/>
      <c r="P938" s="1534"/>
      <c r="Q938" s="1534"/>
      <c r="R938" s="1534"/>
      <c r="S938" s="1535"/>
      <c r="U938" s="214" t="s">
        <v>1974</v>
      </c>
      <c r="V938" s="9"/>
      <c r="W938" s="9"/>
      <c r="X938" s="9"/>
      <c r="Y938" s="9"/>
      <c r="Z938" s="9"/>
      <c r="AA938" s="9"/>
      <c r="AB938" s="9"/>
      <c r="AC938" s="9"/>
      <c r="AD938" s="52"/>
      <c r="AE938" s="1533"/>
      <c r="AF938" s="1534"/>
      <c r="AG938" s="1534"/>
      <c r="AH938" s="1534"/>
      <c r="AI938" s="1534"/>
      <c r="AJ938" s="1534"/>
      <c r="AK938" s="153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8"/>
      <c r="N943" s="1449"/>
      <c r="O943" s="1449"/>
      <c r="P943" s="1449"/>
      <c r="Q943" s="1449"/>
      <c r="R943" s="1449"/>
      <c r="S943" s="1450"/>
      <c r="T943" s="72" t="s">
        <v>950</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8"/>
      <c r="N944" s="1449"/>
      <c r="O944" s="1449"/>
      <c r="P944" s="1449"/>
      <c r="Q944" s="1449"/>
      <c r="R944" s="1449"/>
      <c r="S944" s="1450"/>
      <c r="T944" s="72" t="s">
        <v>949</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4" t="s">
        <v>124</v>
      </c>
      <c r="N945" s="1258"/>
      <c r="O945" s="1258"/>
      <c r="P945" s="1258"/>
      <c r="Q945" s="1258"/>
      <c r="R945" s="1258"/>
      <c r="S945" s="1325"/>
      <c r="T945" s="8" t="s">
        <v>566</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8"/>
      <c r="N946" s="1449"/>
      <c r="O946" s="1449"/>
      <c r="P946" s="1449"/>
      <c r="Q946" s="1449"/>
      <c r="R946" s="1449"/>
      <c r="S946" s="1450"/>
      <c r="T946" s="8" t="s">
        <v>567</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8">
        <f>(5044*12)+(33904*12)+(32500*12)</f>
        <v>857376</v>
      </c>
      <c r="N947" s="1449"/>
      <c r="O947" s="1449"/>
      <c r="P947" s="1449"/>
      <c r="Q947" s="1449"/>
      <c r="R947" s="1449"/>
      <c r="S947" s="1450"/>
      <c r="T947" s="8" t="s">
        <v>494</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9" t="s">
        <v>2465</v>
      </c>
      <c r="N948" s="1390"/>
      <c r="O948" s="1390"/>
      <c r="P948" s="1390"/>
      <c r="Q948" s="1390"/>
      <c r="R948" s="1390"/>
      <c r="S948" s="1391"/>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4" t="s">
        <v>108</v>
      </c>
      <c r="P950" s="1325"/>
      <c r="Q950" s="146"/>
      <c r="R950" s="146"/>
      <c r="S950" s="147"/>
      <c r="T950" s="6" t="s">
        <v>283</v>
      </c>
      <c r="U950" s="7"/>
      <c r="V950" s="7"/>
      <c r="W950" s="1454" t="s">
        <v>563</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6" t="s">
        <v>226</v>
      </c>
      <c r="G951" s="1260"/>
      <c r="H951" s="1260"/>
      <c r="I951" s="1260"/>
      <c r="J951" s="1260"/>
      <c r="K951" s="1260"/>
      <c r="L951" s="1260"/>
      <c r="M951" s="1448">
        <f>L936</f>
        <v>984240</v>
      </c>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1" t="s">
        <v>425</v>
      </c>
      <c r="E960" s="1452"/>
      <c r="F960" s="1452"/>
      <c r="G960" s="1452"/>
      <c r="H960" s="1452"/>
      <c r="I960" s="1452"/>
      <c r="J960" s="1452"/>
      <c r="K960" s="1452"/>
      <c r="L960" s="1452"/>
      <c r="M960" s="1452"/>
      <c r="N960" s="1452"/>
      <c r="O960" s="1452"/>
      <c r="P960" s="1452"/>
      <c r="Q960" s="1453"/>
      <c r="R960" s="1451" t="s">
        <v>426</v>
      </c>
      <c r="S960" s="1452"/>
      <c r="T960" s="1452"/>
      <c r="U960" s="1452"/>
      <c r="V960" s="1452"/>
      <c r="W960" s="1452"/>
      <c r="X960" s="1452"/>
      <c r="Y960" s="1452"/>
      <c r="Z960" s="1452"/>
      <c r="AA960" s="1453"/>
      <c r="AB960" s="1451" t="s">
        <v>427</v>
      </c>
      <c r="AC960" s="1452"/>
      <c r="AD960" s="1452"/>
      <c r="AE960" s="1452"/>
      <c r="AF960" s="1452"/>
      <c r="AG960" s="1452"/>
      <c r="AH960" s="1452"/>
      <c r="AI960" s="1453"/>
      <c r="AJ960" s="1451" t="s">
        <v>428</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437727</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504695</v>
      </c>
      <c r="S962" s="1139"/>
      <c r="T962" s="1139"/>
      <c r="U962" s="1139"/>
      <c r="V962" s="1139"/>
      <c r="W962" s="1139"/>
      <c r="X962" s="1139"/>
      <c r="Y962" s="1139"/>
      <c r="Z962" s="1139"/>
      <c r="AA962" s="1139"/>
      <c r="AB962" s="1140">
        <f>BS651</f>
        <v>0</v>
      </c>
      <c r="AC962" s="1141"/>
      <c r="AD962" s="1141"/>
      <c r="AE962" s="1141"/>
      <c r="AF962" s="1141"/>
      <c r="AG962" s="1141"/>
      <c r="AH962" s="1141"/>
      <c r="AI962" s="1142"/>
      <c r="AJ962" s="1143">
        <f>IF(ISERROR((R962*AB962)),0,(R962*AB962))</f>
        <v>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608800</v>
      </c>
      <c r="S963" s="1139"/>
      <c r="T963" s="1139"/>
      <c r="U963" s="1139"/>
      <c r="V963" s="1139"/>
      <c r="W963" s="1139"/>
      <c r="X963" s="1139"/>
      <c r="Y963" s="1139"/>
      <c r="Z963" s="1139"/>
      <c r="AA963" s="1139"/>
      <c r="AB963" s="1140">
        <f>BX651</f>
        <v>15</v>
      </c>
      <c r="AC963" s="1141"/>
      <c r="AD963" s="1141"/>
      <c r="AE963" s="1141"/>
      <c r="AF963" s="1141"/>
      <c r="AG963" s="1141"/>
      <c r="AH963" s="1141"/>
      <c r="AI963" s="1142"/>
      <c r="AJ963" s="1143">
        <f>IF(ISERROR((R963*AB963)),0,(R963*AB963))</f>
        <v>9132000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779264</v>
      </c>
      <c r="S964" s="1139"/>
      <c r="T964" s="1139"/>
      <c r="U964" s="1139"/>
      <c r="V964" s="1139"/>
      <c r="W964" s="1139"/>
      <c r="X964" s="1139"/>
      <c r="Y964" s="1139"/>
      <c r="Z964" s="1139"/>
      <c r="AA964" s="1139"/>
      <c r="AB964" s="1140">
        <f>CC651</f>
        <v>10</v>
      </c>
      <c r="AC964" s="1141"/>
      <c r="AD964" s="1141"/>
      <c r="AE964" s="1141"/>
      <c r="AF964" s="1141"/>
      <c r="AG964" s="1141"/>
      <c r="AH964" s="1141"/>
      <c r="AI964" s="1142"/>
      <c r="AJ964" s="1143">
        <f>IF(ISERROR((R964*AB964)),0,(R964*AB964))</f>
        <v>7792640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868149</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25</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3" t="s">
        <v>747</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3">
        <f>SUM(AJ961:AQ965)</f>
        <v>16924640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480</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6" t="s">
        <v>1891</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2277</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2278</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5"/>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2000</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1892</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0" t="s">
        <v>2001</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2002</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1893</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1894</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1895</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1896</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0.01</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6" t="s">
        <v>1897</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108</v>
      </c>
      <c r="AH991" s="1150"/>
      <c r="AI991" s="85"/>
      <c r="AJ991" s="1127">
        <f>IF(AG991="yes",AJ967*BA992,0)</f>
        <v>507739.19999999995</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2003</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0.03</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3" t="s">
        <v>1898</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1899</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7"/>
      <c r="AG998" s="1537"/>
      <c r="AH998" s="1537"/>
      <c r="AI998" s="1537"/>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7"/>
      <c r="AG999" s="1537"/>
      <c r="AH999" s="1537"/>
      <c r="AI999" s="1537"/>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0" t="s">
        <v>1900</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2004</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8" t="str">
        <f>IF(AG1000="yes","Please Enter Amount:","")</f>
        <v/>
      </c>
      <c r="AG1001" s="1539"/>
      <c r="AH1001" s="1539"/>
      <c r="AI1001" s="1540"/>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7"/>
      <c r="AG1002" s="1537"/>
      <c r="AH1002" s="1537"/>
      <c r="AI1002" s="1537"/>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7"/>
      <c r="AG1003" s="1537"/>
      <c r="AH1003" s="1537"/>
      <c r="AI1003" s="1537"/>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578</v>
      </c>
      <c r="D1004" s="1146" t="s">
        <v>1901</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1902</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581</v>
      </c>
      <c r="D1007" s="1170" t="s">
        <v>2005</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2006</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6" t="s">
        <v>2007</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2008</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0" t="s">
        <v>1903</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483</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2217</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7" t="s">
        <v>748</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17432379.199999999</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8">
        <f>'Sources and Uses Budget'!S106+'Sources and Uses Budget'!T106</f>
        <v>17430835</v>
      </c>
      <c r="Y1024" s="1388"/>
      <c r="Z1024" s="1388"/>
      <c r="AA1024" s="1388"/>
      <c r="AB1024" s="1388"/>
      <c r="AC1024" s="138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4">
        <f>IFERROR(X1024/AJ1020,"")</f>
        <v>0.9999114177139975</v>
      </c>
      <c r="Y1025" s="1385"/>
      <c r="Z1025" s="1385"/>
      <c r="AA1025" s="1385"/>
      <c r="AB1025" s="1385"/>
      <c r="AC1025" s="138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7"/>
      <c r="C1031" s="1387"/>
      <c r="D1031" s="1387"/>
      <c r="E1031" s="1387"/>
      <c r="F1031" s="1387"/>
      <c r="G1031" s="1387"/>
      <c r="H1031" s="1387"/>
      <c r="I1031" s="1387"/>
      <c r="J1031" s="1387"/>
      <c r="K1031" s="1387"/>
      <c r="L1031" s="1387"/>
      <c r="M1031" s="1387"/>
      <c r="N1031" s="1387"/>
      <c r="O1031" s="1387"/>
      <c r="P1031" s="1387"/>
      <c r="Q1031" s="1387"/>
      <c r="R1031" s="1387"/>
      <c r="S1031" s="1387"/>
      <c r="T1031" s="1387"/>
      <c r="U1031" s="1387"/>
      <c r="V1031" s="1387"/>
      <c r="W1031" s="1387"/>
      <c r="X1031" s="1387"/>
      <c r="Y1031" s="1387"/>
      <c r="Z1031" s="1387"/>
      <c r="AA1031" s="1387"/>
      <c r="AB1031" s="1387"/>
      <c r="AC1031" s="1387"/>
      <c r="AD1031" s="1387"/>
      <c r="AE1031" s="1387"/>
      <c r="AF1031" s="1387"/>
      <c r="AG1031" s="1387"/>
      <c r="AH1031" s="1387"/>
      <c r="AI1031" s="1387"/>
      <c r="AJ1031" s="1387"/>
      <c r="AK1031" s="138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2216</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2048</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1722</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108</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108</v>
      </c>
      <c r="B1071" s="1098"/>
      <c r="C1071" s="350">
        <v>8</v>
      </c>
      <c r="D1071" s="968" t="s">
        <v>2020</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31" t="s">
        <v>124</v>
      </c>
      <c r="B1075" s="1531"/>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O119" sqref="O119"/>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797</v>
      </c>
      <c r="C2" s="232" t="s">
        <v>508</v>
      </c>
      <c r="D2" s="232" t="s">
        <v>507</v>
      </c>
      <c r="E2" s="232" t="s">
        <v>798</v>
      </c>
      <c r="F2" s="233" t="str">
        <f>Application!B621&amp;Application!C621</f>
        <v>1)CitiBank</v>
      </c>
      <c r="G2" s="233" t="str">
        <f>Application!B622&amp;Application!C622</f>
        <v>2)NOI</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1272654</v>
      </c>
      <c r="C4" s="241">
        <v>1272654</v>
      </c>
      <c r="D4" s="241"/>
      <c r="E4" s="241">
        <v>1272654</v>
      </c>
      <c r="F4" s="241"/>
      <c r="G4" s="241"/>
      <c r="H4" s="241"/>
      <c r="I4" s="241"/>
      <c r="J4" s="241"/>
      <c r="K4" s="241"/>
      <c r="L4" s="241"/>
      <c r="M4" s="241"/>
      <c r="N4" s="241"/>
      <c r="O4" s="241"/>
      <c r="P4" s="241"/>
      <c r="Q4" s="241"/>
      <c r="R4" s="241">
        <f>C4</f>
        <v>1272654</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1272654</v>
      </c>
      <c r="C8" s="240">
        <f t="shared" ref="C8:R8" si="0">SUM(C4:C7)</f>
        <v>1272654</v>
      </c>
      <c r="D8" s="240">
        <f t="shared" si="0"/>
        <v>0</v>
      </c>
      <c r="E8" s="240">
        <f t="shared" si="0"/>
        <v>1272654</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1272654</v>
      </c>
      <c r="S8" s="242"/>
      <c r="T8" s="242"/>
      <c r="U8" s="237"/>
    </row>
    <row r="9" spans="1:21" s="238" customFormat="1">
      <c r="A9" s="239" t="s">
        <v>1721</v>
      </c>
      <c r="B9" s="240">
        <f>SUM(C9+D9)</f>
        <v>10227346</v>
      </c>
      <c r="C9" s="241">
        <v>10227346</v>
      </c>
      <c r="D9" s="241"/>
      <c r="E9" s="241">
        <v>10227346</v>
      </c>
      <c r="F9" s="241"/>
      <c r="G9" s="241"/>
      <c r="H9" s="241"/>
      <c r="I9" s="241"/>
      <c r="J9" s="241"/>
      <c r="K9" s="241"/>
      <c r="L9" s="241"/>
      <c r="M9" s="241"/>
      <c r="N9" s="241"/>
      <c r="O9" s="241"/>
      <c r="P9" s="241"/>
      <c r="Q9" s="241"/>
      <c r="R9" s="241">
        <f>C9</f>
        <v>10227346</v>
      </c>
      <c r="S9" s="242"/>
      <c r="T9" s="241">
        <v>9962346</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10227346</v>
      </c>
      <c r="C11" s="240">
        <f t="shared" ref="C11:T11" si="1">SUM(C9:C10)</f>
        <v>10227346</v>
      </c>
      <c r="D11" s="240">
        <f t="shared" si="1"/>
        <v>0</v>
      </c>
      <c r="E11" s="240">
        <f t="shared" si="1"/>
        <v>10227346</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10227346</v>
      </c>
      <c r="S11" s="242"/>
      <c r="T11" s="240">
        <f t="shared" si="1"/>
        <v>9962346</v>
      </c>
      <c r="U11" s="237"/>
    </row>
    <row r="12" spans="1:21" s="238" customFormat="1">
      <c r="A12" s="243" t="s">
        <v>711</v>
      </c>
      <c r="B12" s="240">
        <f t="shared" ref="B12:R12" si="2">SUM(B8+B11)</f>
        <v>11500000</v>
      </c>
      <c r="C12" s="240">
        <f t="shared" si="2"/>
        <v>11500000</v>
      </c>
      <c r="D12" s="240">
        <f t="shared" si="2"/>
        <v>0</v>
      </c>
      <c r="E12" s="240">
        <f t="shared" si="2"/>
        <v>11500000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11500000</v>
      </c>
      <c r="S12" s="242"/>
      <c r="T12" s="242"/>
      <c r="U12" s="237"/>
    </row>
    <row r="13" spans="1:21" s="238" customFormat="1">
      <c r="A13" s="456" t="s">
        <v>1110</v>
      </c>
      <c r="B13" s="240">
        <f>SUM(C13+D13)</f>
        <v>20000</v>
      </c>
      <c r="C13" s="241">
        <v>20000</v>
      </c>
      <c r="D13" s="241"/>
      <c r="E13" s="241"/>
      <c r="F13" s="241">
        <v>20000</v>
      </c>
      <c r="G13" s="241"/>
      <c r="H13" s="241"/>
      <c r="I13" s="241"/>
      <c r="J13" s="241"/>
      <c r="K13" s="241"/>
      <c r="L13" s="241"/>
      <c r="M13" s="241"/>
      <c r="N13" s="241"/>
      <c r="O13" s="241"/>
      <c r="P13" s="241"/>
      <c r="Q13" s="241"/>
      <c r="R13" s="241">
        <v>20000</v>
      </c>
      <c r="S13" s="241">
        <v>20000</v>
      </c>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f>C17</f>
        <v>0</v>
      </c>
      <c r="T17" s="241"/>
      <c r="U17" s="237"/>
    </row>
    <row r="18" spans="1:21" s="238" customFormat="1">
      <c r="A18" s="239" t="s">
        <v>911</v>
      </c>
      <c r="B18" s="240">
        <f t="shared" si="3"/>
        <v>3000000</v>
      </c>
      <c r="C18" s="241">
        <v>3000000</v>
      </c>
      <c r="D18" s="241"/>
      <c r="E18" s="241">
        <f>E107-(SUM(E4,E9))</f>
        <v>394491</v>
      </c>
      <c r="F18" s="241">
        <f>C18-E18</f>
        <v>2605509</v>
      </c>
      <c r="G18" s="241"/>
      <c r="H18" s="241"/>
      <c r="I18" s="241"/>
      <c r="J18" s="241"/>
      <c r="K18" s="241"/>
      <c r="L18" s="241"/>
      <c r="M18" s="241"/>
      <c r="N18" s="241"/>
      <c r="O18" s="241"/>
      <c r="P18" s="241"/>
      <c r="Q18" s="241"/>
      <c r="R18" s="241">
        <f>SUM(E18:Q18)</f>
        <v>3000000</v>
      </c>
      <c r="S18" s="241">
        <f t="shared" ref="S18:S25" si="4">C18</f>
        <v>3000000</v>
      </c>
      <c r="T18" s="241"/>
      <c r="U18" s="237"/>
    </row>
    <row r="19" spans="1:21" s="238" customFormat="1">
      <c r="A19" s="239" t="s">
        <v>912</v>
      </c>
      <c r="B19" s="240">
        <f t="shared" si="3"/>
        <v>180000</v>
      </c>
      <c r="C19" s="241">
        <v>180000</v>
      </c>
      <c r="D19" s="241"/>
      <c r="E19" s="241"/>
      <c r="F19" s="241">
        <v>180000</v>
      </c>
      <c r="G19" s="241"/>
      <c r="H19" s="241"/>
      <c r="I19" s="241"/>
      <c r="J19" s="241"/>
      <c r="K19" s="241"/>
      <c r="L19" s="241"/>
      <c r="M19" s="241"/>
      <c r="N19" s="241"/>
      <c r="O19" s="241"/>
      <c r="P19" s="241"/>
      <c r="Q19" s="241"/>
      <c r="R19" s="241">
        <f>SUM(E19:Q19)</f>
        <v>180000</v>
      </c>
      <c r="S19" s="241">
        <f t="shared" si="4"/>
        <v>180000</v>
      </c>
      <c r="T19" s="241"/>
      <c r="U19" s="237"/>
    </row>
    <row r="20" spans="1:21" s="238" customFormat="1">
      <c r="A20" s="239" t="s">
        <v>913</v>
      </c>
      <c r="B20" s="240">
        <f t="shared" si="3"/>
        <v>120000</v>
      </c>
      <c r="C20" s="241">
        <v>120000</v>
      </c>
      <c r="D20" s="241"/>
      <c r="E20" s="241"/>
      <c r="F20" s="241">
        <v>120000</v>
      </c>
      <c r="G20" s="241"/>
      <c r="H20" s="241"/>
      <c r="I20" s="241"/>
      <c r="J20" s="241"/>
      <c r="K20" s="241"/>
      <c r="L20" s="241"/>
      <c r="M20" s="241"/>
      <c r="N20" s="241"/>
      <c r="O20" s="241"/>
      <c r="P20" s="241"/>
      <c r="Q20" s="241"/>
      <c r="R20" s="241">
        <f t="shared" ref="R20:R27" si="5">SUM(E20:Q20)</f>
        <v>120000</v>
      </c>
      <c r="S20" s="241">
        <f t="shared" si="4"/>
        <v>120000</v>
      </c>
      <c r="T20" s="241"/>
      <c r="U20" s="237"/>
    </row>
    <row r="21" spans="1:21" s="238" customFormat="1">
      <c r="A21" s="239" t="s">
        <v>914</v>
      </c>
      <c r="B21" s="240">
        <f t="shared" si="3"/>
        <v>120000</v>
      </c>
      <c r="C21" s="241">
        <v>120000</v>
      </c>
      <c r="D21" s="241"/>
      <c r="E21" s="241"/>
      <c r="F21" s="241">
        <v>120000</v>
      </c>
      <c r="G21" s="241"/>
      <c r="H21" s="241"/>
      <c r="I21" s="241"/>
      <c r="J21" s="241"/>
      <c r="K21" s="241"/>
      <c r="L21" s="241"/>
      <c r="M21" s="241"/>
      <c r="N21" s="241"/>
      <c r="O21" s="241"/>
      <c r="P21" s="241"/>
      <c r="Q21" s="241"/>
      <c r="R21" s="241">
        <f t="shared" si="5"/>
        <v>120000</v>
      </c>
      <c r="S21" s="241">
        <f t="shared" si="4"/>
        <v>120000</v>
      </c>
      <c r="T21" s="241"/>
      <c r="U21" s="237"/>
    </row>
    <row r="22" spans="1:21" s="238" customFormat="1">
      <c r="A22" s="239" t="s">
        <v>915</v>
      </c>
      <c r="B22" s="240">
        <f t="shared" si="3"/>
        <v>0</v>
      </c>
      <c r="C22" s="241"/>
      <c r="D22" s="241"/>
      <c r="E22" s="241"/>
      <c r="F22" s="241">
        <f t="shared" ref="F22:F24" si="6">C22</f>
        <v>0</v>
      </c>
      <c r="G22" s="241"/>
      <c r="H22" s="241"/>
      <c r="I22" s="241"/>
      <c r="J22" s="241"/>
      <c r="K22" s="241"/>
      <c r="L22" s="241"/>
      <c r="M22" s="241"/>
      <c r="N22" s="241"/>
      <c r="O22" s="241"/>
      <c r="P22" s="241"/>
      <c r="Q22" s="241"/>
      <c r="R22" s="241">
        <f t="shared" si="5"/>
        <v>0</v>
      </c>
      <c r="S22" s="241">
        <f t="shared" si="4"/>
        <v>0</v>
      </c>
      <c r="T22" s="241"/>
      <c r="U22" s="237"/>
    </row>
    <row r="23" spans="1:21" s="238" customFormat="1">
      <c r="A23" s="239" t="s">
        <v>916</v>
      </c>
      <c r="B23" s="240">
        <f t="shared" si="3"/>
        <v>34500</v>
      </c>
      <c r="C23" s="241">
        <v>34500</v>
      </c>
      <c r="D23" s="241"/>
      <c r="E23" s="241"/>
      <c r="F23" s="241">
        <v>34500</v>
      </c>
      <c r="G23" s="241"/>
      <c r="H23" s="241"/>
      <c r="I23" s="241"/>
      <c r="J23" s="241"/>
      <c r="K23" s="241"/>
      <c r="L23" s="241"/>
      <c r="M23" s="241"/>
      <c r="N23" s="241"/>
      <c r="O23" s="241"/>
      <c r="P23" s="241"/>
      <c r="Q23" s="241"/>
      <c r="R23" s="241">
        <f t="shared" si="5"/>
        <v>34500</v>
      </c>
      <c r="S23" s="241">
        <f t="shared" si="4"/>
        <v>34500</v>
      </c>
      <c r="T23" s="241"/>
      <c r="U23" s="237"/>
    </row>
    <row r="24" spans="1:21" s="238" customFormat="1">
      <c r="A24" s="250" t="s">
        <v>1955</v>
      </c>
      <c r="B24" s="240">
        <f t="shared" si="3"/>
        <v>0</v>
      </c>
      <c r="C24" s="241"/>
      <c r="D24" s="241"/>
      <c r="E24" s="241"/>
      <c r="F24" s="241">
        <f t="shared" si="6"/>
        <v>0</v>
      </c>
      <c r="G24" s="241"/>
      <c r="H24" s="241"/>
      <c r="I24" s="241"/>
      <c r="J24" s="241"/>
      <c r="K24" s="241"/>
      <c r="L24" s="241"/>
      <c r="M24" s="241"/>
      <c r="N24" s="241"/>
      <c r="O24" s="241"/>
      <c r="P24" s="241"/>
      <c r="Q24" s="241"/>
      <c r="R24" s="241">
        <f t="shared" si="5"/>
        <v>0</v>
      </c>
      <c r="S24" s="241">
        <f t="shared" si="4"/>
        <v>0</v>
      </c>
      <c r="T24" s="241"/>
      <c r="U24" s="237"/>
    </row>
    <row r="25" spans="1:21" s="238" customFormat="1">
      <c r="A25" s="246" t="s">
        <v>2402</v>
      </c>
      <c r="B25" s="240">
        <f t="shared" si="3"/>
        <v>34500</v>
      </c>
      <c r="C25" s="241">
        <v>34500</v>
      </c>
      <c r="D25" s="241"/>
      <c r="E25" s="241"/>
      <c r="F25" s="241">
        <v>34500</v>
      </c>
      <c r="G25" s="241"/>
      <c r="H25" s="241"/>
      <c r="I25" s="241"/>
      <c r="J25" s="241"/>
      <c r="K25" s="241"/>
      <c r="L25" s="241"/>
      <c r="M25" s="241"/>
      <c r="N25" s="241"/>
      <c r="O25" s="241"/>
      <c r="P25" s="241"/>
      <c r="Q25" s="241"/>
      <c r="R25" s="241">
        <f t="shared" si="5"/>
        <v>34500</v>
      </c>
      <c r="S25" s="241">
        <f t="shared" si="4"/>
        <v>34500</v>
      </c>
      <c r="T25" s="241"/>
      <c r="U25" s="237"/>
    </row>
    <row r="26" spans="1:21" s="238" customFormat="1">
      <c r="A26" s="243" t="s">
        <v>222</v>
      </c>
      <c r="B26" s="240">
        <f t="shared" si="3"/>
        <v>3489000</v>
      </c>
      <c r="C26" s="240">
        <f>SUM(C17:C25)</f>
        <v>3489000</v>
      </c>
      <c r="D26" s="240">
        <f>SUM(D17:D25)</f>
        <v>0</v>
      </c>
      <c r="E26" s="240">
        <f>SUM(E17:E25)</f>
        <v>394491</v>
      </c>
      <c r="F26" s="240">
        <f t="shared" ref="F26:T26" si="7">SUM(F17:F25)</f>
        <v>3094509</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3489000</v>
      </c>
      <c r="S26" s="244">
        <f t="shared" si="7"/>
        <v>3489000</v>
      </c>
      <c r="T26" s="244">
        <f t="shared" si="7"/>
        <v>0</v>
      </c>
      <c r="U26" s="237"/>
    </row>
    <row r="27" spans="1:21" s="238" customFormat="1">
      <c r="A27" s="243" t="s">
        <v>917</v>
      </c>
      <c r="B27" s="240">
        <f t="shared" si="3"/>
        <v>62500</v>
      </c>
      <c r="C27" s="241">
        <v>62500</v>
      </c>
      <c r="D27" s="241"/>
      <c r="E27" s="241"/>
      <c r="F27" s="241">
        <v>62500</v>
      </c>
      <c r="G27" s="241"/>
      <c r="H27" s="241"/>
      <c r="I27" s="241"/>
      <c r="J27" s="241"/>
      <c r="K27" s="241"/>
      <c r="L27" s="241"/>
      <c r="M27" s="241"/>
      <c r="N27" s="241"/>
      <c r="O27" s="241"/>
      <c r="P27" s="241"/>
      <c r="Q27" s="241"/>
      <c r="R27" s="241">
        <f t="shared" si="5"/>
        <v>62500</v>
      </c>
      <c r="S27" s="241">
        <f>C27</f>
        <v>62500</v>
      </c>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c r="A30" s="239" t="s">
        <v>911</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c r="A31" s="239" t="s">
        <v>912</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c r="A32" s="239" t="s">
        <v>913</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c r="A33" s="239" t="s">
        <v>914</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c r="A34" s="239" t="s">
        <v>915</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c r="A35" s="239" t="s">
        <v>916</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c r="A36" s="250" t="s">
        <v>1955</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c r="A37" s="246" t="s">
        <v>534</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919</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85000</v>
      </c>
      <c r="C40" s="241">
        <v>85000</v>
      </c>
      <c r="D40" s="241"/>
      <c r="E40" s="241"/>
      <c r="F40" s="241">
        <v>85000</v>
      </c>
      <c r="G40" s="241"/>
      <c r="H40" s="241"/>
      <c r="I40" s="241"/>
      <c r="J40" s="241"/>
      <c r="K40" s="241"/>
      <c r="L40" s="241"/>
      <c r="M40" s="241"/>
      <c r="N40" s="241"/>
      <c r="O40" s="241"/>
      <c r="P40" s="241"/>
      <c r="Q40" s="241"/>
      <c r="R40" s="241">
        <f>SUM(E40:Q40)</f>
        <v>85000</v>
      </c>
      <c r="S40" s="241">
        <f>C40</f>
        <v>85000</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85000</v>
      </c>
      <c r="C42" s="240">
        <f>SUM(C39:C41)</f>
        <v>85000</v>
      </c>
      <c r="D42" s="240">
        <f>SUM(D39:D41)</f>
        <v>0</v>
      </c>
      <c r="E42" s="240">
        <f t="shared" ref="E42:T42" si="11">SUM(E40:E41)</f>
        <v>0</v>
      </c>
      <c r="F42" s="240">
        <f t="shared" si="11"/>
        <v>85000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85000</v>
      </c>
      <c r="S42" s="244">
        <f t="shared" si="11"/>
        <v>85000</v>
      </c>
      <c r="T42" s="244">
        <f t="shared" si="11"/>
        <v>0</v>
      </c>
      <c r="U42" s="237"/>
    </row>
    <row r="43" spans="1:21" s="238" customFormat="1">
      <c r="A43" s="243" t="s">
        <v>924</v>
      </c>
      <c r="B43" s="240">
        <f>SUM(C43:D43)</f>
        <v>100000</v>
      </c>
      <c r="C43" s="241">
        <v>100000</v>
      </c>
      <c r="D43" s="241"/>
      <c r="E43" s="241"/>
      <c r="F43" s="241">
        <v>100000</v>
      </c>
      <c r="G43" s="241"/>
      <c r="H43" s="241"/>
      <c r="I43" s="241"/>
      <c r="J43" s="241"/>
      <c r="K43" s="241"/>
      <c r="L43" s="241"/>
      <c r="M43" s="241"/>
      <c r="N43" s="241"/>
      <c r="O43" s="241"/>
      <c r="P43" s="241"/>
      <c r="Q43" s="241"/>
      <c r="R43" s="241">
        <f>SUM(E43:Q43)</f>
        <v>100000</v>
      </c>
      <c r="S43" s="241">
        <f>C43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1511145</v>
      </c>
      <c r="C45" s="241">
        <v>1511145</v>
      </c>
      <c r="D45" s="241"/>
      <c r="E45" s="241"/>
      <c r="F45" s="241">
        <f>C45-G45</f>
        <v>716871</v>
      </c>
      <c r="G45" s="241">
        <f>G107</f>
        <v>794274</v>
      </c>
      <c r="H45" s="241"/>
      <c r="I45" s="241"/>
      <c r="J45" s="241"/>
      <c r="K45" s="241"/>
      <c r="L45" s="241"/>
      <c r="M45" s="241"/>
      <c r="N45" s="241"/>
      <c r="O45" s="241"/>
      <c r="P45" s="241"/>
      <c r="Q45" s="241"/>
      <c r="R45" s="241">
        <f t="shared" ref="R45:R52" si="13">SUM(E45:Q45)</f>
        <v>1511145</v>
      </c>
      <c r="S45" s="241">
        <v>1043010</v>
      </c>
      <c r="T45" s="241"/>
      <c r="U45" s="237"/>
    </row>
    <row r="46" spans="1:21" s="238" customFormat="1">
      <c r="A46" s="239" t="s">
        <v>927</v>
      </c>
      <c r="B46" s="240">
        <f t="shared" si="12"/>
        <v>170783</v>
      </c>
      <c r="C46" s="241">
        <v>170783</v>
      </c>
      <c r="D46" s="241"/>
      <c r="E46" s="241"/>
      <c r="F46" s="241">
        <v>170783</v>
      </c>
      <c r="G46" s="241"/>
      <c r="H46" s="241"/>
      <c r="I46" s="241"/>
      <c r="J46" s="241"/>
      <c r="K46" s="241"/>
      <c r="L46" s="241"/>
      <c r="M46" s="241"/>
      <c r="N46" s="241"/>
      <c r="O46" s="241"/>
      <c r="P46" s="241"/>
      <c r="Q46" s="241"/>
      <c r="R46" s="241">
        <f t="shared" si="13"/>
        <v>170783</v>
      </c>
      <c r="S46" s="241">
        <f t="shared" ref="S46:S52" si="14">C46</f>
        <v>170783</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3"/>
        <v>0</v>
      </c>
      <c r="S47" s="241">
        <f t="shared" si="14"/>
        <v>0</v>
      </c>
      <c r="T47" s="241"/>
      <c r="U47" s="237"/>
    </row>
    <row r="48" spans="1:21" s="238" customFormat="1">
      <c r="A48" s="239" t="s">
        <v>929</v>
      </c>
      <c r="B48" s="240">
        <f t="shared" si="12"/>
        <v>0</v>
      </c>
      <c r="C48" s="241"/>
      <c r="D48" s="241"/>
      <c r="E48" s="241"/>
      <c r="F48" s="241"/>
      <c r="G48" s="241"/>
      <c r="H48" s="241"/>
      <c r="I48" s="241"/>
      <c r="J48" s="241"/>
      <c r="K48" s="241"/>
      <c r="L48" s="241"/>
      <c r="M48" s="241"/>
      <c r="N48" s="241"/>
      <c r="O48" s="241"/>
      <c r="P48" s="241"/>
      <c r="Q48" s="241"/>
      <c r="R48" s="241">
        <f t="shared" si="13"/>
        <v>0</v>
      </c>
      <c r="S48" s="241">
        <f t="shared" si="14"/>
        <v>0</v>
      </c>
      <c r="T48" s="241"/>
      <c r="U48" s="237"/>
    </row>
    <row r="49" spans="1:21" s="238" customFormat="1">
      <c r="A49" s="239" t="s">
        <v>932</v>
      </c>
      <c r="B49" s="240">
        <f t="shared" si="12"/>
        <v>105000</v>
      </c>
      <c r="C49" s="241">
        <v>105000</v>
      </c>
      <c r="D49" s="241"/>
      <c r="E49" s="241"/>
      <c r="F49" s="241">
        <v>105000</v>
      </c>
      <c r="G49" s="241"/>
      <c r="H49" s="241"/>
      <c r="I49" s="241"/>
      <c r="J49" s="241"/>
      <c r="K49" s="241"/>
      <c r="L49" s="241"/>
      <c r="M49" s="241"/>
      <c r="N49" s="241"/>
      <c r="O49" s="241"/>
      <c r="P49" s="241"/>
      <c r="Q49" s="241"/>
      <c r="R49" s="241">
        <f t="shared" si="13"/>
        <v>105000</v>
      </c>
      <c r="S49" s="241">
        <f t="shared" si="14"/>
        <v>105000</v>
      </c>
      <c r="T49" s="241"/>
      <c r="U49" s="237"/>
    </row>
    <row r="50" spans="1:21" s="238" customFormat="1">
      <c r="A50" s="239" t="s">
        <v>930</v>
      </c>
      <c r="B50" s="240">
        <f t="shared" si="12"/>
        <v>0</v>
      </c>
      <c r="C50" s="241"/>
      <c r="D50" s="241"/>
      <c r="E50" s="241"/>
      <c r="F50" s="241"/>
      <c r="G50" s="241"/>
      <c r="H50" s="241"/>
      <c r="I50" s="241"/>
      <c r="J50" s="241"/>
      <c r="K50" s="241"/>
      <c r="L50" s="241"/>
      <c r="M50" s="241"/>
      <c r="N50" s="241"/>
      <c r="O50" s="241"/>
      <c r="P50" s="241"/>
      <c r="Q50" s="241"/>
      <c r="R50" s="241">
        <f t="shared" si="13"/>
        <v>0</v>
      </c>
      <c r="S50" s="241">
        <f t="shared" si="14"/>
        <v>0</v>
      </c>
      <c r="T50" s="241"/>
      <c r="U50" s="237"/>
    </row>
    <row r="51" spans="1:21" s="238" customFormat="1">
      <c r="A51" s="239" t="s">
        <v>931</v>
      </c>
      <c r="B51" s="240">
        <f t="shared" si="12"/>
        <v>22500</v>
      </c>
      <c r="C51" s="241">
        <v>22500</v>
      </c>
      <c r="D51" s="241"/>
      <c r="E51" s="241"/>
      <c r="F51" s="241">
        <v>22500</v>
      </c>
      <c r="G51" s="241"/>
      <c r="H51" s="241"/>
      <c r="I51" s="241"/>
      <c r="J51" s="241"/>
      <c r="K51" s="241"/>
      <c r="L51" s="241"/>
      <c r="M51" s="241"/>
      <c r="N51" s="241"/>
      <c r="O51" s="241"/>
      <c r="P51" s="241"/>
      <c r="Q51" s="241"/>
      <c r="R51" s="241">
        <f t="shared" si="13"/>
        <v>22500</v>
      </c>
      <c r="S51" s="241">
        <f t="shared" si="14"/>
        <v>22500</v>
      </c>
      <c r="T51" s="241"/>
      <c r="U51" s="237"/>
    </row>
    <row r="52" spans="1:21" s="238" customFormat="1">
      <c r="A52" s="246" t="s">
        <v>2405</v>
      </c>
      <c r="B52" s="240">
        <f t="shared" si="12"/>
        <v>195000</v>
      </c>
      <c r="C52" s="241">
        <v>195000</v>
      </c>
      <c r="D52" s="241"/>
      <c r="E52" s="241"/>
      <c r="F52" s="241">
        <v>195000</v>
      </c>
      <c r="G52" s="241"/>
      <c r="H52" s="241"/>
      <c r="I52" s="241"/>
      <c r="J52" s="241"/>
      <c r="K52" s="241"/>
      <c r="L52" s="241"/>
      <c r="M52" s="241"/>
      <c r="N52" s="241"/>
      <c r="O52" s="241"/>
      <c r="P52" s="241"/>
      <c r="Q52" s="241"/>
      <c r="R52" s="241">
        <f t="shared" si="13"/>
        <v>195000</v>
      </c>
      <c r="S52" s="241">
        <f t="shared" si="14"/>
        <v>195000</v>
      </c>
      <c r="T52" s="241"/>
      <c r="U52" s="237"/>
    </row>
    <row r="53" spans="1:21" s="248" customFormat="1">
      <c r="A53" s="243" t="s">
        <v>933</v>
      </c>
      <c r="B53" s="244">
        <f>SUM(C53:D53)</f>
        <v>2004428</v>
      </c>
      <c r="C53" s="244">
        <f t="shared" ref="C53:T53" si="15">SUM(C45:C52)</f>
        <v>2004428</v>
      </c>
      <c r="D53" s="244">
        <f t="shared" si="15"/>
        <v>0</v>
      </c>
      <c r="E53" s="244">
        <f t="shared" si="15"/>
        <v>0</v>
      </c>
      <c r="F53" s="244">
        <f t="shared" si="15"/>
        <v>1210154</v>
      </c>
      <c r="G53" s="244">
        <f t="shared" si="15"/>
        <v>794274</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2004428</v>
      </c>
      <c r="S53" s="244">
        <f t="shared" si="15"/>
        <v>1536293</v>
      </c>
      <c r="T53" s="244">
        <f t="shared" si="15"/>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78310</v>
      </c>
      <c r="C55" s="241">
        <v>78310</v>
      </c>
      <c r="D55" s="241"/>
      <c r="E55" s="241"/>
      <c r="F55" s="241">
        <f>C55</f>
        <v>78310</v>
      </c>
      <c r="G55" s="241"/>
      <c r="H55" s="241"/>
      <c r="I55" s="241"/>
      <c r="J55" s="241"/>
      <c r="K55" s="241"/>
      <c r="L55" s="241"/>
      <c r="M55" s="241"/>
      <c r="N55" s="241"/>
      <c r="O55" s="241"/>
      <c r="P55" s="241"/>
      <c r="Q55" s="241"/>
      <c r="R55" s="241">
        <f t="shared" ref="R55:R60" si="17">SUM(E55:Q55)</f>
        <v>78310</v>
      </c>
      <c r="S55" s="242"/>
      <c r="T55" s="242"/>
      <c r="U55" s="237"/>
    </row>
    <row r="56" spans="1:21" s="238" customFormat="1" ht="12" customHeight="1">
      <c r="A56" s="239" t="s">
        <v>928</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932</v>
      </c>
      <c r="B57" s="240">
        <f t="shared" si="16"/>
        <v>0</v>
      </c>
      <c r="C57" s="241"/>
      <c r="D57" s="241"/>
      <c r="E57" s="241"/>
      <c r="F57" s="241"/>
      <c r="G57" s="241"/>
      <c r="H57" s="241"/>
      <c r="I57" s="241"/>
      <c r="J57" s="241"/>
      <c r="K57" s="241"/>
      <c r="L57" s="241"/>
      <c r="M57" s="241"/>
      <c r="N57" s="241"/>
      <c r="O57" s="241"/>
      <c r="P57" s="241"/>
      <c r="Q57" s="241"/>
      <c r="R57" s="241">
        <f t="shared" si="17"/>
        <v>0</v>
      </c>
      <c r="S57" s="242"/>
      <c r="T57" s="242"/>
      <c r="U57" s="237"/>
    </row>
    <row r="58" spans="1:21" s="238" customFormat="1">
      <c r="A58" s="239" t="s">
        <v>930</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931</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534</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4.1" customHeight="1">
      <c r="A61" s="243" t="s">
        <v>501</v>
      </c>
      <c r="B61" s="240">
        <f>SUM(C61:D61)</f>
        <v>78310</v>
      </c>
      <c r="C61" s="240">
        <f t="shared" ref="C61:R61" si="18">SUM(C55:C60)</f>
        <v>78310</v>
      </c>
      <c r="D61" s="240">
        <f t="shared" si="18"/>
        <v>0</v>
      </c>
      <c r="E61" s="240">
        <f t="shared" si="18"/>
        <v>0</v>
      </c>
      <c r="F61" s="240">
        <f t="shared" si="18"/>
        <v>78310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78310</v>
      </c>
      <c r="S61" s="242"/>
      <c r="T61" s="242"/>
      <c r="U61" s="237"/>
    </row>
    <row r="62" spans="1:21" s="238" customFormat="1">
      <c r="A62" s="249" t="s">
        <v>502</v>
      </c>
      <c r="B62" s="240">
        <f>SUM(C62:D62)</f>
        <v>17339238</v>
      </c>
      <c r="C62" s="240">
        <f t="shared" ref="C62:R62" si="19">SUM(C8+C11+C13+C14+C15+C26+C27+C38+C42+C43+C53+C61)</f>
        <v>17339238</v>
      </c>
      <c r="D62" s="240">
        <f t="shared" si="19"/>
        <v>0</v>
      </c>
      <c r="E62" s="240">
        <f t="shared" si="19"/>
        <v>11894491</v>
      </c>
      <c r="F62" s="240">
        <f t="shared" si="19"/>
        <v>4650473</v>
      </c>
      <c r="G62" s="240">
        <f t="shared" si="19"/>
        <v>794274</v>
      </c>
      <c r="H62" s="240">
        <f t="shared" si="19"/>
        <v>0</v>
      </c>
      <c r="I62" s="240">
        <f t="shared" si="19"/>
        <v>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17339238</v>
      </c>
      <c r="S62" s="240">
        <f>SUM(S10+S13+S14+S15+S26+S27+S38+S42+S43+S53)</f>
        <v>5292793</v>
      </c>
      <c r="T62" s="240">
        <f>SUM(T11+T13+T14+T15+T26+T27+T38+T42+T43+T53)</f>
        <v>9962346</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112500</v>
      </c>
      <c r="C64" s="241">
        <v>112500</v>
      </c>
      <c r="D64" s="241"/>
      <c r="E64" s="241"/>
      <c r="F64" s="241">
        <v>112500</v>
      </c>
      <c r="G64" s="241"/>
      <c r="H64" s="241"/>
      <c r="I64" s="241"/>
      <c r="J64" s="241"/>
      <c r="K64" s="241"/>
      <c r="L64" s="241"/>
      <c r="M64" s="241"/>
      <c r="N64" s="241"/>
      <c r="O64" s="241"/>
      <c r="P64" s="241"/>
      <c r="Q64" s="241"/>
      <c r="R64" s="241">
        <f>SUM(E64:Q64)</f>
        <v>112500</v>
      </c>
      <c r="S64" s="241">
        <v>112500</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c r="B68" s="240">
        <f>SUM(C68+D68)</f>
        <v>0</v>
      </c>
      <c r="C68" s="241"/>
      <c r="D68" s="241"/>
      <c r="E68" s="241"/>
      <c r="F68" s="241"/>
      <c r="G68" s="241"/>
      <c r="H68" s="241"/>
      <c r="I68" s="241"/>
      <c r="J68" s="241"/>
      <c r="K68" s="241"/>
      <c r="L68" s="241"/>
      <c r="M68" s="241"/>
      <c r="N68" s="241"/>
      <c r="O68" s="241"/>
      <c r="P68" s="241"/>
      <c r="Q68" s="241"/>
      <c r="R68" s="241">
        <f>SUM(E68:Q68)</f>
        <v>0</v>
      </c>
      <c r="S68" s="241">
        <f>C68</f>
        <v>0</v>
      </c>
      <c r="T68" s="241"/>
      <c r="U68" s="237"/>
    </row>
    <row r="69" spans="1:21" s="238" customFormat="1">
      <c r="A69" s="243" t="s">
        <v>1960</v>
      </c>
      <c r="B69" s="240">
        <f>SUM(C69:D69)</f>
        <v>112500</v>
      </c>
      <c r="C69" s="240">
        <f>SUM(C63:C68)</f>
        <v>112500</v>
      </c>
      <c r="D69" s="240">
        <f>SUM(D63:D68)</f>
        <v>0</v>
      </c>
      <c r="E69" s="240">
        <f t="shared" ref="E69:T69" si="20">SUM(E64:E68)</f>
        <v>0</v>
      </c>
      <c r="F69" s="240">
        <f t="shared" si="20"/>
        <v>112500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112500</v>
      </c>
      <c r="S69" s="244">
        <f t="shared" si="20"/>
        <v>112500</v>
      </c>
      <c r="T69" s="244">
        <f t="shared" si="20"/>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214000</v>
      </c>
      <c r="C74" s="241">
        <v>214000</v>
      </c>
      <c r="D74" s="241"/>
      <c r="E74" s="241"/>
      <c r="F74" s="241">
        <f>C74</f>
        <v>214000</v>
      </c>
      <c r="G74" s="241"/>
      <c r="H74" s="241"/>
      <c r="I74" s="241"/>
      <c r="J74" s="241"/>
      <c r="K74" s="241"/>
      <c r="L74" s="241"/>
      <c r="M74" s="241"/>
      <c r="N74" s="241"/>
      <c r="O74" s="241"/>
      <c r="P74" s="241"/>
      <c r="Q74" s="241"/>
      <c r="R74" s="241">
        <f>SUM(E74:Q74)</f>
        <v>214000</v>
      </c>
      <c r="S74" s="242"/>
      <c r="T74" s="242"/>
      <c r="U74" s="237"/>
    </row>
    <row r="75" spans="1:21" s="238" customFormat="1">
      <c r="A75" s="246" t="s">
        <v>2412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214000</v>
      </c>
      <c r="C76" s="240">
        <f t="shared" ref="C76:Q76" si="21">SUM(C71:C75)</f>
        <v>214000</v>
      </c>
      <c r="D76" s="240">
        <f t="shared" si="21"/>
        <v>0</v>
      </c>
      <c r="E76" s="240">
        <f>SUM(E71:E75)</f>
        <v>0</v>
      </c>
      <c r="F76" s="240">
        <f>SUM(F71:F75)</f>
        <v>214000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214000</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348900</v>
      </c>
      <c r="C78" s="241">
        <v>348900</v>
      </c>
      <c r="D78" s="241"/>
      <c r="E78" s="241"/>
      <c r="F78" s="241">
        <v>348900</v>
      </c>
      <c r="G78" s="241"/>
      <c r="H78" s="241"/>
      <c r="I78" s="241"/>
      <c r="J78" s="241"/>
      <c r="K78" s="241"/>
      <c r="L78" s="241"/>
      <c r="M78" s="241"/>
      <c r="N78" s="241"/>
      <c r="O78" s="241"/>
      <c r="P78" s="241"/>
      <c r="Q78" s="241"/>
      <c r="R78" s="241">
        <f>SUM(E78:Q78)</f>
        <v>348900</v>
      </c>
      <c r="S78" s="241">
        <f>C78</f>
        <v>348900</v>
      </c>
      <c r="T78" s="241"/>
      <c r="U78" s="237"/>
    </row>
    <row r="79" spans="1:21" s="238" customFormat="1">
      <c r="A79" s="239" t="s">
        <v>539</v>
      </c>
      <c r="B79" s="240">
        <f>SUM(C79+D79)</f>
        <v>150000</v>
      </c>
      <c r="C79" s="241">
        <v>150000</v>
      </c>
      <c r="D79" s="241"/>
      <c r="E79" s="241"/>
      <c r="F79" s="241">
        <v>150000</v>
      </c>
      <c r="G79" s="241"/>
      <c r="H79" s="241"/>
      <c r="I79" s="241"/>
      <c r="J79" s="241"/>
      <c r="K79" s="241"/>
      <c r="L79" s="241"/>
      <c r="M79" s="241"/>
      <c r="N79" s="241"/>
      <c r="O79" s="241"/>
      <c r="P79" s="241"/>
      <c r="Q79" s="241"/>
      <c r="R79" s="241">
        <f>SUM(E79:Q79)</f>
        <v>150000</v>
      </c>
      <c r="S79" s="241">
        <f>C79</f>
        <v>150000</v>
      </c>
      <c r="T79" s="241"/>
      <c r="U79" s="237"/>
    </row>
    <row r="80" spans="1:21" s="238" customFormat="1">
      <c r="A80" s="243" t="s">
        <v>1743</v>
      </c>
      <c r="B80" s="240">
        <f>SUM(C80:D80)</f>
        <v>498900</v>
      </c>
      <c r="C80" s="666">
        <f>SUM(C78:C79)</f>
        <v>498900</v>
      </c>
      <c r="D80" s="666">
        <f t="shared" ref="D80:R80" si="22">SUM(D78:D79)</f>
        <v>0</v>
      </c>
      <c r="E80" s="666">
        <f t="shared" si="22"/>
        <v>0</v>
      </c>
      <c r="F80" s="666">
        <f t="shared" si="22"/>
        <v>498900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498900</v>
      </c>
      <c r="S80" s="666">
        <f>SUM(S78:S79)</f>
        <v>498900</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2116</v>
      </c>
      <c r="B82" s="240">
        <f>SUM(C82+D82)</f>
        <v>54080</v>
      </c>
      <c r="C82" s="241">
        <v>54080</v>
      </c>
      <c r="D82" s="241"/>
      <c r="E82" s="241"/>
      <c r="F82" s="241">
        <v>54080</v>
      </c>
      <c r="G82" s="241"/>
      <c r="H82" s="241"/>
      <c r="I82" s="241"/>
      <c r="J82" s="241"/>
      <c r="K82" s="241"/>
      <c r="L82" s="241"/>
      <c r="M82" s="241"/>
      <c r="N82" s="241"/>
      <c r="O82" s="241"/>
      <c r="P82" s="241"/>
      <c r="Q82" s="241"/>
      <c r="R82" s="241">
        <f>SUM(E82:Q82)</f>
        <v>54080</v>
      </c>
      <c r="S82" s="242"/>
      <c r="T82" s="242"/>
      <c r="U82" s="237"/>
    </row>
    <row r="83" spans="1:21" s="238" customFormat="1">
      <c r="A83" s="239" t="s">
        <v>517</v>
      </c>
      <c r="B83" s="240">
        <f t="shared" ref="B83:B93" si="23">SUM(C83+D83)</f>
        <v>42500</v>
      </c>
      <c r="C83" s="241">
        <v>42500</v>
      </c>
      <c r="D83" s="241"/>
      <c r="E83" s="241"/>
      <c r="F83" s="241">
        <v>42500</v>
      </c>
      <c r="G83" s="241"/>
      <c r="H83" s="241"/>
      <c r="I83" s="241"/>
      <c r="J83" s="241"/>
      <c r="K83" s="241"/>
      <c r="L83" s="241"/>
      <c r="M83" s="241"/>
      <c r="N83" s="241"/>
      <c r="O83" s="241"/>
      <c r="P83" s="241"/>
      <c r="Q83" s="241"/>
      <c r="R83" s="241">
        <f t="shared" ref="R83:R93" si="24">SUM(E83:Q83)</f>
        <v>42500</v>
      </c>
      <c r="S83" s="241">
        <f>C83</f>
        <v>42500</v>
      </c>
      <c r="T83" s="241"/>
      <c r="U83" s="237"/>
    </row>
    <row r="84" spans="1:21" s="238" customFormat="1">
      <c r="A84" s="239" t="s">
        <v>518</v>
      </c>
      <c r="B84" s="240">
        <f t="shared" si="23"/>
        <v>0</v>
      </c>
      <c r="C84" s="241"/>
      <c r="D84" s="241"/>
      <c r="E84" s="241"/>
      <c r="F84" s="241"/>
      <c r="G84" s="241"/>
      <c r="H84" s="241"/>
      <c r="I84" s="241"/>
      <c r="J84" s="241"/>
      <c r="K84" s="241"/>
      <c r="L84" s="241"/>
      <c r="M84" s="241"/>
      <c r="N84" s="241"/>
      <c r="O84" s="241"/>
      <c r="P84" s="241"/>
      <c r="Q84" s="241"/>
      <c r="R84" s="241">
        <f t="shared" si="24"/>
        <v>0</v>
      </c>
      <c r="S84" s="241"/>
      <c r="T84" s="241"/>
      <c r="U84" s="237"/>
    </row>
    <row r="85" spans="1:21" s="238" customFormat="1">
      <c r="A85" s="239" t="s">
        <v>519</v>
      </c>
      <c r="B85" s="240">
        <f t="shared" si="23"/>
        <v>75000</v>
      </c>
      <c r="C85" s="241">
        <v>75000</v>
      </c>
      <c r="D85" s="241"/>
      <c r="E85" s="241"/>
      <c r="F85" s="241">
        <v>75000</v>
      </c>
      <c r="G85" s="241"/>
      <c r="H85" s="241"/>
      <c r="I85" s="241"/>
      <c r="J85" s="241"/>
      <c r="K85" s="241"/>
      <c r="L85" s="241"/>
      <c r="M85" s="241"/>
      <c r="N85" s="241"/>
      <c r="O85" s="241"/>
      <c r="P85" s="241"/>
      <c r="Q85" s="241"/>
      <c r="R85" s="241">
        <f t="shared" si="24"/>
        <v>75000</v>
      </c>
      <c r="S85" s="241">
        <f>C85</f>
        <v>75000</v>
      </c>
      <c r="T85" s="241"/>
      <c r="U85" s="237"/>
    </row>
    <row r="86" spans="1:21" s="238" customFormat="1">
      <c r="A86" s="239" t="s">
        <v>520</v>
      </c>
      <c r="B86" s="240">
        <f t="shared" si="23"/>
        <v>0</v>
      </c>
      <c r="C86" s="241"/>
      <c r="D86" s="241"/>
      <c r="E86" s="241"/>
      <c r="F86" s="241"/>
      <c r="G86" s="241"/>
      <c r="H86" s="241"/>
      <c r="I86" s="241"/>
      <c r="J86" s="241"/>
      <c r="K86" s="241"/>
      <c r="L86" s="241"/>
      <c r="M86" s="241"/>
      <c r="N86" s="241"/>
      <c r="O86" s="241"/>
      <c r="P86" s="241"/>
      <c r="Q86" s="241"/>
      <c r="R86" s="241">
        <f t="shared" si="24"/>
        <v>0</v>
      </c>
      <c r="S86" s="241"/>
      <c r="T86" s="241"/>
      <c r="U86" s="237"/>
    </row>
    <row r="87" spans="1:21" s="238" customFormat="1">
      <c r="A87" s="239" t="s">
        <v>521</v>
      </c>
      <c r="B87" s="240">
        <f t="shared" si="23"/>
        <v>0</v>
      </c>
      <c r="C87" s="241"/>
      <c r="D87" s="241"/>
      <c r="E87" s="241"/>
      <c r="F87" s="241"/>
      <c r="G87" s="241"/>
      <c r="H87" s="241"/>
      <c r="I87" s="241"/>
      <c r="J87" s="241"/>
      <c r="K87" s="241"/>
      <c r="L87" s="241"/>
      <c r="M87" s="241"/>
      <c r="N87" s="241"/>
      <c r="O87" s="241"/>
      <c r="P87" s="241"/>
      <c r="Q87" s="241"/>
      <c r="R87" s="241">
        <f t="shared" si="24"/>
        <v>0</v>
      </c>
      <c r="S87" s="242"/>
      <c r="T87" s="242"/>
      <c r="U87" s="237"/>
    </row>
    <row r="88" spans="1:21" s="238" customFormat="1">
      <c r="A88" s="239" t="s">
        <v>522</v>
      </c>
      <c r="B88" s="240">
        <f t="shared" si="23"/>
        <v>0</v>
      </c>
      <c r="C88" s="241"/>
      <c r="D88" s="241"/>
      <c r="E88" s="241"/>
      <c r="F88" s="241"/>
      <c r="G88" s="241"/>
      <c r="H88" s="241"/>
      <c r="I88" s="241"/>
      <c r="J88" s="241"/>
      <c r="K88" s="241"/>
      <c r="L88" s="241"/>
      <c r="M88" s="241"/>
      <c r="N88" s="241"/>
      <c r="O88" s="241"/>
      <c r="P88" s="241"/>
      <c r="Q88" s="241"/>
      <c r="R88" s="241">
        <f t="shared" si="24"/>
        <v>0</v>
      </c>
      <c r="S88" s="241"/>
      <c r="T88" s="241"/>
      <c r="U88" s="237"/>
    </row>
    <row r="89" spans="1:21" s="238" customFormat="1">
      <c r="A89" s="239" t="s">
        <v>523</v>
      </c>
      <c r="B89" s="240">
        <f t="shared" si="23"/>
        <v>7500</v>
      </c>
      <c r="C89" s="241">
        <v>7500</v>
      </c>
      <c r="D89" s="241"/>
      <c r="E89" s="241"/>
      <c r="F89" s="241">
        <v>7500</v>
      </c>
      <c r="G89" s="241"/>
      <c r="H89" s="241"/>
      <c r="I89" s="241"/>
      <c r="J89" s="241"/>
      <c r="K89" s="241"/>
      <c r="L89" s="241"/>
      <c r="M89" s="241"/>
      <c r="N89" s="241"/>
      <c r="O89" s="241"/>
      <c r="P89" s="241"/>
      <c r="Q89" s="241"/>
      <c r="R89" s="241">
        <f t="shared" si="24"/>
        <v>7500</v>
      </c>
      <c r="S89" s="241">
        <f>C89</f>
        <v>7500</v>
      </c>
      <c r="T89" s="241"/>
      <c r="U89" s="237"/>
    </row>
    <row r="90" spans="1:21" s="238" customFormat="1">
      <c r="A90" s="250" t="s">
        <v>1315</v>
      </c>
      <c r="B90" s="240">
        <f t="shared" si="23"/>
        <v>15000</v>
      </c>
      <c r="C90" s="241">
        <v>15000</v>
      </c>
      <c r="D90" s="241"/>
      <c r="E90" s="241"/>
      <c r="F90" s="241">
        <v>15000</v>
      </c>
      <c r="G90" s="241"/>
      <c r="H90" s="241"/>
      <c r="I90" s="241"/>
      <c r="J90" s="241"/>
      <c r="K90" s="241"/>
      <c r="L90" s="241"/>
      <c r="M90" s="241"/>
      <c r="N90" s="241"/>
      <c r="O90" s="241"/>
      <c r="P90" s="241"/>
      <c r="Q90" s="241"/>
      <c r="R90" s="241">
        <f t="shared" si="24"/>
        <v>15000</v>
      </c>
      <c r="S90" s="241"/>
      <c r="T90" s="241"/>
      <c r="U90" s="237"/>
    </row>
    <row r="91" spans="1:21" s="238" customFormat="1">
      <c r="A91" s="250" t="s">
        <v>1741</v>
      </c>
      <c r="B91" s="240">
        <f t="shared" si="23"/>
        <v>7500</v>
      </c>
      <c r="C91" s="241">
        <v>7500</v>
      </c>
      <c r="D91" s="241"/>
      <c r="E91" s="241"/>
      <c r="F91" s="241">
        <v>7500</v>
      </c>
      <c r="G91" s="241"/>
      <c r="H91" s="241"/>
      <c r="I91" s="241"/>
      <c r="J91" s="241"/>
      <c r="K91" s="241"/>
      <c r="L91" s="241"/>
      <c r="M91" s="241"/>
      <c r="N91" s="241"/>
      <c r="O91" s="241"/>
      <c r="P91" s="241"/>
      <c r="Q91" s="241"/>
      <c r="R91" s="241">
        <f t="shared" si="24"/>
        <v>7500</v>
      </c>
      <c r="S91" s="241">
        <f>C91</f>
        <v>7500</v>
      </c>
      <c r="T91" s="241"/>
      <c r="U91" s="237"/>
    </row>
    <row r="92" spans="1:21" s="238" customFormat="1">
      <c r="A92" s="246" t="s">
        <v>2403</v>
      </c>
      <c r="B92" s="240">
        <f t="shared" si="23"/>
        <v>24500</v>
      </c>
      <c r="C92" s="241">
        <v>24500</v>
      </c>
      <c r="D92" s="241"/>
      <c r="E92" s="241"/>
      <c r="F92" s="241">
        <v>24500</v>
      </c>
      <c r="G92" s="241"/>
      <c r="H92" s="241"/>
      <c r="I92" s="241"/>
      <c r="J92" s="241"/>
      <c r="K92" s="241"/>
      <c r="L92" s="241"/>
      <c r="M92" s="241"/>
      <c r="N92" s="241"/>
      <c r="O92" s="241"/>
      <c r="P92" s="241"/>
      <c r="Q92" s="241"/>
      <c r="R92" s="241">
        <f t="shared" si="24"/>
        <v>24500</v>
      </c>
      <c r="S92" s="241">
        <f>C92</f>
        <v>24500</v>
      </c>
      <c r="T92" s="241"/>
      <c r="U92" s="237"/>
    </row>
    <row r="93" spans="1:21" s="238" customFormat="1">
      <c r="A93" s="246" t="s">
        <v>2404</v>
      </c>
      <c r="B93" s="240">
        <f t="shared" si="23"/>
        <v>37500</v>
      </c>
      <c r="C93" s="241">
        <v>37500</v>
      </c>
      <c r="D93" s="241"/>
      <c r="E93" s="241"/>
      <c r="F93" s="241">
        <v>37500</v>
      </c>
      <c r="G93" s="241"/>
      <c r="H93" s="241"/>
      <c r="I93" s="241"/>
      <c r="J93" s="241"/>
      <c r="K93" s="241"/>
      <c r="L93" s="241"/>
      <c r="M93" s="241"/>
      <c r="N93" s="241"/>
      <c r="O93" s="241"/>
      <c r="P93" s="241"/>
      <c r="Q93" s="241"/>
      <c r="R93" s="241">
        <f t="shared" si="24"/>
        <v>37500</v>
      </c>
      <c r="S93" s="241"/>
      <c r="T93" s="241"/>
      <c r="U93" s="237"/>
    </row>
    <row r="94" spans="1:21" s="238" customFormat="1">
      <c r="A94" s="246" t="s">
        <v>2406</v>
      </c>
      <c r="B94" s="240">
        <f>SUM(C94+D94)</f>
        <v>684251</v>
      </c>
      <c r="C94" s="241">
        <v>684251</v>
      </c>
      <c r="D94" s="241"/>
      <c r="E94" s="241"/>
      <c r="F94" s="241">
        <v>684251</v>
      </c>
      <c r="G94" s="241"/>
      <c r="H94" s="241"/>
      <c r="I94" s="241"/>
      <c r="J94" s="241"/>
      <c r="K94" s="241"/>
      <c r="L94" s="241"/>
      <c r="M94" s="241"/>
      <c r="N94" s="241"/>
      <c r="O94" s="241"/>
      <c r="P94" s="241"/>
      <c r="Q94" s="241"/>
      <c r="R94" s="241">
        <f>SUM(E94:Q94)</f>
        <v>684251</v>
      </c>
      <c r="S94" s="241"/>
      <c r="T94" s="241"/>
      <c r="U94" s="237"/>
    </row>
    <row r="95" spans="1:21" s="238" customFormat="1">
      <c r="A95" s="243" t="s">
        <v>524</v>
      </c>
      <c r="B95" s="240">
        <f>SUM(C95:D95)</f>
        <v>947831</v>
      </c>
      <c r="C95" s="240">
        <f t="shared" ref="C95:R95" si="25">SUM(C82:C94)</f>
        <v>947831</v>
      </c>
      <c r="D95" s="240">
        <f t="shared" si="25"/>
        <v>0</v>
      </c>
      <c r="E95" s="240">
        <f t="shared" si="25"/>
        <v>0</v>
      </c>
      <c r="F95" s="240">
        <f t="shared" si="25"/>
        <v>947831</v>
      </c>
      <c r="G95" s="240">
        <f t="shared" si="25"/>
        <v>0</v>
      </c>
      <c r="H95" s="240">
        <f t="shared" si="25"/>
        <v>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947831</v>
      </c>
      <c r="S95" s="244">
        <f>SUM(S83:S86,S88:S94)</f>
        <v>157000</v>
      </c>
      <c r="T95" s="240">
        <f>SUM(T83:T86,T88:T94)</f>
        <v>0</v>
      </c>
      <c r="U95" s="237"/>
    </row>
    <row r="96" spans="1:21" s="238" customFormat="1">
      <c r="A96" s="243" t="s">
        <v>525</v>
      </c>
      <c r="B96" s="240">
        <f>SUM(C96:D96)</f>
        <v>19112469</v>
      </c>
      <c r="C96" s="240">
        <f t="shared" ref="C96:R96" si="26">SUM(C62+C69+C76+C80+C95)</f>
        <v>19112469</v>
      </c>
      <c r="D96" s="240">
        <f t="shared" si="26"/>
        <v>0</v>
      </c>
      <c r="E96" s="240">
        <f t="shared" si="26"/>
        <v>11894491</v>
      </c>
      <c r="F96" s="240">
        <f t="shared" si="26"/>
        <v>6423704</v>
      </c>
      <c r="G96" s="240">
        <f t="shared" si="26"/>
        <v>794274</v>
      </c>
      <c r="H96" s="240">
        <f t="shared" si="26"/>
        <v>0</v>
      </c>
      <c r="I96" s="240">
        <f t="shared" si="26"/>
        <v>0</v>
      </c>
      <c r="J96" s="240">
        <f t="shared" si="26"/>
        <v>0</v>
      </c>
      <c r="K96" s="240">
        <f t="shared" si="26"/>
        <v>0</v>
      </c>
      <c r="L96" s="240">
        <f t="shared" si="26"/>
        <v>0</v>
      </c>
      <c r="M96" s="240">
        <f t="shared" si="26"/>
        <v>0</v>
      </c>
      <c r="N96" s="240">
        <f t="shared" si="26"/>
        <v>0</v>
      </c>
      <c r="O96" s="240">
        <f t="shared" si="26"/>
        <v>0</v>
      </c>
      <c r="P96" s="240">
        <f t="shared" si="26"/>
        <v>0</v>
      </c>
      <c r="Q96" s="240">
        <f t="shared" si="26"/>
        <v>0</v>
      </c>
      <c r="R96" s="240">
        <f t="shared" si="26"/>
        <v>19112469</v>
      </c>
      <c r="S96" s="244">
        <f>SUM(+S62+S69+S80+S95)</f>
        <v>6061193</v>
      </c>
      <c r="T96" s="244">
        <f>SUM(T62+T69+T80+T95)</f>
        <v>9962346</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1407296</v>
      </c>
      <c r="C98" s="241">
        <v>1407296</v>
      </c>
      <c r="D98" s="241"/>
      <c r="E98" s="241"/>
      <c r="F98" s="241">
        <f>C98</f>
        <v>1407296</v>
      </c>
      <c r="G98" s="241"/>
      <c r="H98" s="241"/>
      <c r="I98" s="241"/>
      <c r="J98" s="241"/>
      <c r="K98" s="241"/>
      <c r="L98" s="241"/>
      <c r="M98" s="241"/>
      <c r="N98" s="241"/>
      <c r="O98" s="241"/>
      <c r="P98" s="241"/>
      <c r="Q98" s="241"/>
      <c r="R98" s="241">
        <f>SUM(E98:Q98)</f>
        <v>1407296</v>
      </c>
      <c r="S98" s="241">
        <v>909179</v>
      </c>
      <c r="T98" s="241">
        <v>498117</v>
      </c>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1407296</v>
      </c>
      <c r="C103" s="240">
        <f t="shared" ref="C103:T103" si="27">SUM(C98:C102)</f>
        <v>1407296</v>
      </c>
      <c r="D103" s="240">
        <f t="shared" si="27"/>
        <v>0</v>
      </c>
      <c r="E103" s="240">
        <f t="shared" si="27"/>
        <v>0</v>
      </c>
      <c r="F103" s="240">
        <f t="shared" si="27"/>
        <v>1407296</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1407296</v>
      </c>
      <c r="S103" s="244">
        <f t="shared" si="27"/>
        <v>909179</v>
      </c>
      <c r="T103" s="244">
        <f t="shared" si="27"/>
        <v>498117</v>
      </c>
      <c r="U103" s="237"/>
    </row>
    <row r="104" spans="1:21" s="238" customFormat="1">
      <c r="A104" s="243" t="s">
        <v>1156</v>
      </c>
      <c r="B104" s="244">
        <f>SUM(C104:D104)</f>
        <v>20519765</v>
      </c>
      <c r="C104" s="244">
        <f t="shared" ref="C104:R104" si="28">SUM(C96+C103)</f>
        <v>20519765</v>
      </c>
      <c r="D104" s="244">
        <f t="shared" si="28"/>
        <v>0</v>
      </c>
      <c r="E104" s="244">
        <f t="shared" si="28"/>
        <v>11894491</v>
      </c>
      <c r="F104" s="244">
        <f t="shared" si="28"/>
        <v>7831000</v>
      </c>
      <c r="G104" s="244">
        <f t="shared" si="28"/>
        <v>794274</v>
      </c>
      <c r="H104" s="244">
        <f t="shared" si="28"/>
        <v>0</v>
      </c>
      <c r="I104" s="244">
        <f t="shared" si="28"/>
        <v>0</v>
      </c>
      <c r="J104" s="244">
        <f t="shared" si="28"/>
        <v>0</v>
      </c>
      <c r="K104" s="244">
        <f t="shared" si="28"/>
        <v>0</v>
      </c>
      <c r="L104" s="244">
        <f t="shared" si="28"/>
        <v>0</v>
      </c>
      <c r="M104" s="244">
        <f t="shared" si="28"/>
        <v>0</v>
      </c>
      <c r="N104" s="244">
        <f t="shared" si="28"/>
        <v>0</v>
      </c>
      <c r="O104" s="244">
        <f t="shared" si="28"/>
        <v>0</v>
      </c>
      <c r="P104" s="244">
        <f t="shared" si="28"/>
        <v>0</v>
      </c>
      <c r="Q104" s="244">
        <f t="shared" si="28"/>
        <v>0</v>
      </c>
      <c r="R104" s="240">
        <f t="shared" si="28"/>
        <v>20519765</v>
      </c>
      <c r="S104" s="244">
        <f>S96+S103</f>
        <v>6970372</v>
      </c>
      <c r="T104" s="244">
        <f>T96+T103</f>
        <v>10460463</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6970372</v>
      </c>
      <c r="T106" s="244">
        <f>T104+T105</f>
        <v>10460463</v>
      </c>
      <c r="U106" s="256"/>
    </row>
    <row r="107" spans="1:21" s="258" customFormat="1">
      <c r="A107" s="257" t="s">
        <v>1107</v>
      </c>
      <c r="B107" s="252"/>
      <c r="C107" s="252"/>
      <c r="D107" s="252"/>
      <c r="E107" s="240">
        <f>Application!AO634</f>
        <v>11894491</v>
      </c>
      <c r="F107" s="240">
        <f>Application!AO621</f>
        <v>7831000</v>
      </c>
      <c r="G107" s="240">
        <f>Application!AO622</f>
        <v>794274</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2" t="s">
        <v>1291</v>
      </c>
      <c r="E122" s="1592"/>
      <c r="F122" s="1592"/>
      <c r="U122" s="256"/>
    </row>
    <row r="123" spans="1:21" s="253" customFormat="1">
      <c r="A123" s="253" t="s">
        <v>1292</v>
      </c>
      <c r="B123" s="546"/>
      <c r="D123" s="1584" t="s">
        <v>1316</v>
      </c>
      <c r="E123" s="1580"/>
      <c r="F123" s="1580"/>
      <c r="G123" s="1580"/>
      <c r="H123" s="1580"/>
      <c r="I123" s="1580"/>
      <c r="J123" s="1580"/>
      <c r="K123" s="1580"/>
      <c r="L123" s="1580"/>
      <c r="M123" s="1580"/>
      <c r="N123" s="1580"/>
      <c r="O123" s="1580"/>
      <c r="P123" s="1580"/>
      <c r="Q123" s="1580"/>
      <c r="R123" s="1580"/>
      <c r="S123" s="1580"/>
      <c r="U123" s="256"/>
    </row>
    <row r="124" spans="1:21" s="253" customFormat="1" ht="12.75">
      <c r="A124" s="209" t="s">
        <v>1293</v>
      </c>
      <c r="B124" s="546"/>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2.75">
      <c r="A125" s="209" t="s">
        <v>1294</v>
      </c>
      <c r="B125" s="546"/>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2.75">
      <c r="A129" s="209" t="s">
        <v>500</v>
      </c>
      <c r="B129" s="546"/>
      <c r="C129" s="209"/>
      <c r="D129" s="1591" t="s">
        <v>1298</v>
      </c>
      <c r="E129" s="1591"/>
      <c r="F129" s="1591"/>
      <c r="G129" s="1591"/>
      <c r="H129" s="1591"/>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2.75">
      <c r="A132" s="548"/>
      <c r="B132" s="209"/>
      <c r="C132" s="209"/>
      <c r="D132" s="1585" t="s">
        <v>1301</v>
      </c>
      <c r="E132" s="1585"/>
      <c r="F132" s="1585"/>
      <c r="G132" s="1585"/>
      <c r="H132" s="1585"/>
      <c r="I132" s="209"/>
      <c r="J132" s="1585" t="s">
        <v>1302</v>
      </c>
      <c r="K132" s="1585"/>
      <c r="L132" s="1585"/>
      <c r="M132" s="1585"/>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1304</v>
      </c>
      <c r="B139" s="1582"/>
      <c r="C139" s="1582"/>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Normal="100" workbookViewId="0">
      <selection activeCell="AB77" activeCellId="1" sqref="AB56:AF56 AB77:AF7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6" t="s">
        <v>1747</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NON-DDA/
NON-QCT Building(s)</v>
      </c>
      <c r="U7" s="1612"/>
      <c r="V7" s="1612"/>
      <c r="W7" s="1612"/>
      <c r="X7" s="1612"/>
      <c r="Y7" s="1612" t="str">
        <f>IF(T25=100%,"",'Sources and Basis Breakdown'!G2)</f>
        <v/>
      </c>
      <c r="Z7" s="1612"/>
      <c r="AA7" s="1612"/>
      <c r="AB7" s="1612"/>
      <c r="AC7" s="1612"/>
      <c r="AD7" s="1612" t="str">
        <f>IF(T25=100%,'Sources and Basis Breakdown'!J2,'Sources and Basis Breakdown'!I2)</f>
        <v>30% PVC for Acquisition
NON-DDA/
NON-QCT Building(s)</v>
      </c>
      <c r="AE7" s="1612"/>
      <c r="AF7" s="1612"/>
      <c r="AG7" s="1612"/>
      <c r="AH7" s="1612"/>
      <c r="AI7" s="1612" t="str">
        <f>IF(T25=100%,"",'Sources and Basis Breakdown'!J2)</f>
        <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20">
        <f>IF('Sources and Basis Breakdown'!F105=0,'Sources and Basis Breakdown'!E105,'Sources and Basis Breakdown'!F105)</f>
        <v>6970372</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10460463</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5" customHeight="1">
      <c r="B12" s="1614" t="s">
        <v>448</v>
      </c>
      <c r="C12" s="1029"/>
      <c r="D12" s="1029"/>
      <c r="E12" s="1029"/>
      <c r="F12" s="1029"/>
      <c r="G12" s="1029"/>
      <c r="H12" s="1029"/>
      <c r="I12" s="1029"/>
      <c r="J12" s="1029"/>
      <c r="K12" s="1029"/>
      <c r="L12" s="1029"/>
      <c r="M12" s="1029"/>
      <c r="N12" s="1029"/>
      <c r="O12" s="1029"/>
      <c r="P12" s="1029"/>
      <c r="Q12" s="1029"/>
      <c r="R12" s="1029"/>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1713</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1"/>
      <c r="C18" s="1593" t="s">
        <v>1217</v>
      </c>
      <c r="D18" s="1593"/>
      <c r="E18" s="1593"/>
      <c r="F18" s="1593"/>
      <c r="G18" s="1593"/>
      <c r="H18" s="1593"/>
      <c r="I18" s="1593"/>
      <c r="J18" s="1593"/>
      <c r="K18" s="1593"/>
      <c r="L18" s="1593"/>
      <c r="M18" s="1593"/>
      <c r="N18" s="1593"/>
      <c r="O18" s="1593"/>
      <c r="P18" s="1593"/>
      <c r="Q18" s="1593"/>
      <c r="R18" s="1593"/>
      <c r="S18" s="1594"/>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93" t="s">
        <v>1217</v>
      </c>
      <c r="D19" s="1593"/>
      <c r="E19" s="1593"/>
      <c r="F19" s="1593"/>
      <c r="G19" s="1593"/>
      <c r="H19" s="1593"/>
      <c r="I19" s="1593"/>
      <c r="J19" s="1593"/>
      <c r="K19" s="1593"/>
      <c r="L19" s="1593"/>
      <c r="M19" s="1593"/>
      <c r="N19" s="1593"/>
      <c r="O19" s="1593"/>
      <c r="P19" s="1593"/>
      <c r="Q19" s="1593"/>
      <c r="R19" s="1593"/>
      <c r="S19" s="1594"/>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5">
        <f>SUM(T13:X19)</f>
        <v>0</v>
      </c>
      <c r="U20" s="1202"/>
      <c r="V20" s="1202"/>
      <c r="W20" s="1202"/>
      <c r="X20" s="1202"/>
      <c r="Y20" s="1605">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6">
        <f>(ABS(T20)+ABS(T21))*-1</f>
        <v>0</v>
      </c>
      <c r="U22" s="1607"/>
      <c r="V22" s="1607"/>
      <c r="W22" s="1607"/>
      <c r="X22" s="1607"/>
      <c r="Y22" s="1606">
        <f>(ABS(Y20)+ABS(Y21))*-1</f>
        <v>0</v>
      </c>
      <c r="Z22" s="1607"/>
      <c r="AA22" s="1607"/>
      <c r="AB22" s="1607"/>
      <c r="AC22" s="1607"/>
      <c r="AD22" s="1606">
        <f>(ABS(AD20)+ABS(AD21))*-1</f>
        <v>0</v>
      </c>
      <c r="AE22" s="1607"/>
      <c r="AF22" s="1607"/>
      <c r="AG22" s="1607"/>
      <c r="AH22" s="1607"/>
      <c r="AI22" s="1606">
        <f>(ABS(AI20)+ABS(AI21))*-1</f>
        <v>0</v>
      </c>
      <c r="AJ22" s="1607"/>
      <c r="AK22" s="1607"/>
      <c r="AL22" s="1607"/>
      <c r="AM22" s="1607"/>
    </row>
    <row r="23" spans="1:39" ht="12.95" customHeight="1">
      <c r="B23" s="1182" t="s">
        <v>1907</v>
      </c>
      <c r="C23" s="1183"/>
      <c r="D23" s="1183"/>
      <c r="E23" s="1183"/>
      <c r="F23" s="1183"/>
      <c r="G23" s="1183"/>
      <c r="H23" s="1183"/>
      <c r="I23" s="1183"/>
      <c r="J23" s="1183"/>
      <c r="K23" s="1183"/>
      <c r="L23" s="1183"/>
      <c r="M23" s="1183"/>
      <c r="N23" s="1183"/>
      <c r="O23" s="1183"/>
      <c r="P23" s="1183"/>
      <c r="Q23" s="1183"/>
      <c r="R23" s="1183"/>
      <c r="S23" s="1184"/>
      <c r="T23" s="1605">
        <f>T11+T22</f>
        <v>6970372</v>
      </c>
      <c r="U23" s="1202"/>
      <c r="V23" s="1202"/>
      <c r="W23" s="1202"/>
      <c r="X23" s="1202"/>
      <c r="Y23" s="1605">
        <f>Y11+Y22</f>
        <v>0</v>
      </c>
      <c r="Z23" s="1202"/>
      <c r="AA23" s="1202"/>
      <c r="AB23" s="1202"/>
      <c r="AC23" s="1202"/>
      <c r="AD23" s="1605">
        <f>IF(AD11=AD21,0,AD11)</f>
        <v>10460463</v>
      </c>
      <c r="AE23" s="1202"/>
      <c r="AF23" s="1202"/>
      <c r="AG23" s="1202"/>
      <c r="AH23" s="1202"/>
      <c r="AI23" s="1605">
        <f>IF(AI11=AI21,0,AI11)</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3">
        <f>Application!AJ1020</f>
        <v>17432379.199999999</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1909</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6970372</v>
      </c>
      <c r="U26" s="1608"/>
      <c r="V26" s="1608"/>
      <c r="W26" s="1608"/>
      <c r="X26" s="1608"/>
      <c r="Y26" s="1226">
        <f>Y23*Y25</f>
        <v>0</v>
      </c>
      <c r="Z26" s="1608"/>
      <c r="AA26" s="1608"/>
      <c r="AB26" s="1608"/>
      <c r="AC26" s="1608"/>
      <c r="AD26" s="1226">
        <f>AD23*AD25</f>
        <v>10460463</v>
      </c>
      <c r="AE26" s="1608"/>
      <c r="AF26" s="1608"/>
      <c r="AG26" s="1608"/>
      <c r="AH26" s="1608"/>
      <c r="AI26" s="1226">
        <f>AI23*AI25</f>
        <v>0</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6970372</v>
      </c>
      <c r="U28" s="1608"/>
      <c r="V28" s="1608"/>
      <c r="W28" s="1608"/>
      <c r="X28" s="1608"/>
      <c r="Y28" s="1226">
        <f>IF(ISERROR((Y26*Y27)),0,(Y26*Y27))</f>
        <v>0</v>
      </c>
      <c r="Z28" s="1608"/>
      <c r="AA28" s="1608"/>
      <c r="AB28" s="1608"/>
      <c r="AC28" s="1608"/>
      <c r="AD28" s="1226">
        <f>IF(ISERROR((AD26*AD27)),0,(AD26*AD27))</f>
        <v>10460463</v>
      </c>
      <c r="AE28" s="1608"/>
      <c r="AF28" s="1608"/>
      <c r="AG28" s="1608"/>
      <c r="AH28" s="1608"/>
      <c r="AI28" s="1226">
        <f>IF(ISERROR((AI26*AI27)),0,(AI26*AI27))</f>
        <v>0</v>
      </c>
      <c r="AJ28" s="1608"/>
      <c r="AK28" s="1608"/>
      <c r="AL28" s="1608"/>
      <c r="AM28" s="1608"/>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3">
        <f>T28+Y28+AD28+AI28</f>
        <v>17430835</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639" t="s">
        <v>1908</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2.95" customHeight="1">
      <c r="B31" s="1640" t="s">
        <v>1910</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4" ht="12.95" customHeight="1">
      <c r="B36" s="204"/>
      <c r="X36" s="71"/>
      <c r="Y36" s="1612"/>
      <c r="Z36" s="1612"/>
      <c r="AA36" s="1612"/>
      <c r="AB36" s="1612"/>
      <c r="AC36" s="1612"/>
      <c r="AD36" s="1500"/>
      <c r="AE36" s="1500"/>
      <c r="AF36" s="1500"/>
      <c r="AG36" s="1500"/>
      <c r="AH36" s="150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4"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6970372</v>
      </c>
      <c r="Z38" s="1202"/>
      <c r="AA38" s="1202"/>
      <c r="AB38" s="1202"/>
      <c r="AC38" s="1202"/>
      <c r="AD38" s="1202">
        <f>IF(T24&gt;=(T23+Y23+AD23+AI23),AD28+AI28,0)</f>
        <v>10460463</v>
      </c>
      <c r="AE38" s="1202"/>
      <c r="AF38" s="1202"/>
      <c r="AG38" s="1202"/>
      <c r="AH38" s="1202"/>
    </row>
    <row r="39" spans="1:44" ht="12.95" customHeight="1">
      <c r="B39" s="1182" t="s">
        <v>1817</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3">
        <v>0.09</v>
      </c>
      <c r="Z39" s="1643"/>
      <c r="AA39" s="1643"/>
      <c r="AB39" s="1643"/>
      <c r="AC39" s="1643"/>
      <c r="AD39" s="1643">
        <v>0.04</v>
      </c>
      <c r="AE39" s="1643"/>
      <c r="AF39" s="1643"/>
      <c r="AG39" s="1643"/>
      <c r="AH39" s="1643"/>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627333</v>
      </c>
      <c r="Z40" s="1202"/>
      <c r="AA40" s="1202"/>
      <c r="AB40" s="1202"/>
      <c r="AC40" s="1202"/>
      <c r="AD40" s="1605">
        <f>ROUND(AD38*AD39,0)</f>
        <v>418419</v>
      </c>
      <c r="AE40" s="1202"/>
      <c r="AF40" s="1202"/>
      <c r="AG40" s="1202"/>
      <c r="AH40" s="1202"/>
    </row>
    <row r="41" spans="1:44"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3">
        <f>IF(Application!Y211="No",'Basis &amp; Credits'!AR42,AR43)</f>
        <v>1045752</v>
      </c>
      <c r="Z41" s="1604"/>
      <c r="AA41" s="1604"/>
      <c r="AB41" s="1604"/>
      <c r="AC41" s="1604"/>
      <c r="AD41" s="1604"/>
      <c r="AE41" s="1604"/>
      <c r="AF41" s="1604"/>
      <c r="AG41" s="1604"/>
      <c r="AH41" s="1605"/>
    </row>
    <row r="42" spans="1:44" ht="12.95" customHeight="1">
      <c r="A42" s="3"/>
      <c r="B42" s="1637" t="s">
        <v>1818</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1045752</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1045752</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20519765</v>
      </c>
      <c r="AC46" s="1194"/>
      <c r="AD46" s="1194"/>
      <c r="AE46" s="1194"/>
      <c r="AF46" s="1195"/>
    </row>
    <row r="47" spans="1:44" ht="12.95" customHeight="1">
      <c r="D47" s="3" t="s">
        <v>837</v>
      </c>
      <c r="AB47" s="1193">
        <f>Application!AO633-MAX(IF('Sources and Uses Budget'!B15="",0,'Sources and Uses Budget'!B15),IF(Application!AG387="",0,Application!AG387))</f>
        <v>8625274</v>
      </c>
      <c r="AC47" s="1194"/>
      <c r="AD47" s="1194"/>
      <c r="AE47" s="1194"/>
      <c r="AF47" s="1195"/>
    </row>
    <row r="48" spans="1:44" ht="12.95" customHeight="1">
      <c r="D48" s="3" t="s">
        <v>379</v>
      </c>
      <c r="AB48" s="1193">
        <f>AB46-AB47</f>
        <v>11894491</v>
      </c>
      <c r="AC48" s="1194"/>
      <c r="AD48" s="1194"/>
      <c r="AE48" s="1194"/>
      <c r="AF48" s="1195"/>
    </row>
    <row r="49" spans="1:40" ht="12.95" customHeight="1">
      <c r="D49" s="3" t="s">
        <v>872</v>
      </c>
      <c r="AA49" s="34"/>
      <c r="AB49" s="1632">
        <v>0.89</v>
      </c>
      <c r="AC49" s="1633"/>
      <c r="AD49" s="1633"/>
      <c r="AE49" s="1633"/>
      <c r="AF49" s="1634"/>
    </row>
    <row r="50" spans="1:40" s="323" customFormat="1" ht="12.95" customHeight="1">
      <c r="A50"/>
      <c r="B50"/>
      <c r="C50"/>
      <c r="D50"/>
      <c r="E50" s="1638" t="s">
        <v>1954</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13364597</v>
      </c>
      <c r="AC53" s="1194"/>
      <c r="AD53" s="1194"/>
      <c r="AE53" s="1194"/>
      <c r="AF53" s="1195"/>
    </row>
    <row r="54" spans="1:40" ht="12.95" customHeight="1">
      <c r="D54" s="3" t="s">
        <v>562</v>
      </c>
      <c r="AB54" s="1193">
        <f>(AB53/10)</f>
        <v>1336459.7</v>
      </c>
      <c r="AC54" s="1194"/>
      <c r="AD54" s="1194"/>
      <c r="AE54" s="1194"/>
      <c r="AF54" s="1195"/>
    </row>
    <row r="55" spans="1:40" ht="12.95" customHeight="1">
      <c r="D55" s="3" t="s">
        <v>342</v>
      </c>
      <c r="AB55" s="1193">
        <f>(IF((Y41&lt;AB54),Y41,AB54))</f>
        <v>1045752</v>
      </c>
      <c r="AC55" s="1194"/>
      <c r="AD55" s="1194"/>
      <c r="AE55" s="1194"/>
      <c r="AF55" s="1195"/>
    </row>
    <row r="56" spans="1:40" ht="12.95" customHeight="1">
      <c r="D56" s="3" t="s">
        <v>107</v>
      </c>
      <c r="AB56" s="1193">
        <f>ROUND((10*AB55*AB49),0)</f>
        <v>9307193</v>
      </c>
      <c r="AC56" s="1194"/>
      <c r="AD56" s="1194"/>
      <c r="AE56" s="1194"/>
      <c r="AF56" s="1195"/>
    </row>
    <row r="57" spans="1:40" ht="12.95" customHeight="1">
      <c r="D57" s="3"/>
      <c r="AB57" s="276"/>
      <c r="AC57" s="276"/>
      <c r="AD57" s="276"/>
      <c r="AE57" s="276"/>
      <c r="AF57" s="276"/>
    </row>
    <row r="58" spans="1:40" ht="12.95" customHeight="1">
      <c r="D58" s="3" t="s">
        <v>106</v>
      </c>
      <c r="AB58" s="1215">
        <f>AB48-AB56</f>
        <v>2587298</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1751</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6970372</v>
      </c>
      <c r="Z63" s="1635"/>
      <c r="AA63" s="1635"/>
      <c r="AB63" s="1635"/>
      <c r="AC63" s="1635"/>
      <c r="AD63" s="1202">
        <f>IF(AND(T25=1.3,Application!D214="At-Risk"),AI28,IF(Application!D214&lt;&gt;"At-Risk",0,AD28))</f>
        <v>10460463</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2.95" customHeight="1">
      <c r="C67" s="3"/>
      <c r="D67" s="3" t="s">
        <v>941</v>
      </c>
      <c r="Y67" s="1202">
        <f>ROUND(Y63*Y66,0)</f>
        <v>2091112</v>
      </c>
      <c r="Z67" s="1635"/>
      <c r="AA67" s="1635"/>
      <c r="AB67" s="1635"/>
      <c r="AC67" s="1635"/>
      <c r="AD67" s="1202">
        <f>IF(OR(Application!D211="At-Risk",Application!D211="At-Risk/Located in Rural Census Tract",Application!D214="At-Risk"),ROUND(AD63*AD66,0),"$0")</f>
        <v>1359860</v>
      </c>
      <c r="AE67" s="1202"/>
      <c r="AF67" s="1202"/>
      <c r="AG67" s="1202"/>
      <c r="AH67" s="1202"/>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2">
        <v>0.75000100000000003</v>
      </c>
      <c r="AC70" s="1633"/>
      <c r="AD70" s="1633"/>
      <c r="AE70" s="1633"/>
      <c r="AF70" s="1634"/>
    </row>
    <row r="71" spans="1:34" ht="12.95" customHeight="1">
      <c r="A71" s="3"/>
      <c r="C71" s="3"/>
      <c r="D71" s="3"/>
      <c r="E71" s="1636" t="s">
        <v>2252</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9">
        <f>ROUND(IF(ISERROR((AB58/AB70)),0,(AB58/AB70)),0)</f>
        <v>3449726</v>
      </c>
      <c r="AC75" s="1519"/>
      <c r="AD75" s="1519"/>
      <c r="AE75" s="1519"/>
      <c r="AF75" s="1519"/>
    </row>
    <row r="76" spans="1:34" ht="12.95" customHeight="1">
      <c r="C76" s="3"/>
      <c r="D76" s="3" t="s">
        <v>105</v>
      </c>
      <c r="AB76" s="1554">
        <f>IF((Y67+AD67&lt;AB75),Y67+AD67,AB75)</f>
        <v>3449726</v>
      </c>
      <c r="AC76" s="1555"/>
      <c r="AD76" s="1555"/>
      <c r="AE76" s="1555"/>
      <c r="AF76" s="1556"/>
    </row>
    <row r="77" spans="1:34" ht="12.95" customHeight="1">
      <c r="C77" s="3"/>
      <c r="D77" s="3" t="s">
        <v>942</v>
      </c>
      <c r="AB77" s="1630">
        <f>AB76*AB70</f>
        <v>2587297.949726</v>
      </c>
      <c r="AC77" s="1630"/>
      <c r="AD77" s="1630"/>
      <c r="AE77" s="1630"/>
      <c r="AF77" s="1630"/>
    </row>
    <row r="78" spans="1:34" ht="12.95" customHeight="1">
      <c r="C78" s="3"/>
      <c r="D78" s="3"/>
      <c r="AB78" s="598"/>
      <c r="AC78" s="598"/>
      <c r="AD78" s="598"/>
      <c r="AE78" s="598"/>
      <c r="AF78" s="598"/>
    </row>
    <row r="79" spans="1:34" ht="12.95" customHeight="1">
      <c r="D79" s="3" t="s">
        <v>106</v>
      </c>
      <c r="AB79" s="1215">
        <f>AB48-(AB56+AB77)</f>
        <v>5.0273999571800232E-2</v>
      </c>
      <c r="AC79" s="1215"/>
      <c r="AD79" s="1215"/>
      <c r="AE79" s="1215"/>
      <c r="AF79" s="1215"/>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H9" sqref="H9"/>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1825</v>
      </c>
      <c r="B1" s="1645"/>
      <c r="C1" s="1645"/>
      <c r="D1" s="1645"/>
      <c r="E1" s="1645"/>
      <c r="F1" s="1645"/>
      <c r="G1" s="1645"/>
      <c r="H1" s="1645"/>
      <c r="I1" s="1645"/>
      <c r="J1" s="1646"/>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1272654</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1272654</v>
      </c>
      <c r="C8" s="584">
        <f>SUM(C4:C7)</f>
        <v>0</v>
      </c>
      <c r="D8" s="584">
        <f>SUM(D4:D7)</f>
        <v>0</v>
      </c>
      <c r="E8" s="586"/>
      <c r="F8" s="586"/>
      <c r="G8" s="586"/>
      <c r="H8" s="586"/>
      <c r="I8" s="586"/>
      <c r="J8" s="586"/>
      <c r="K8" s="579"/>
    </row>
    <row r="9" spans="1:11" s="253" customFormat="1">
      <c r="A9" s="239" t="s">
        <v>1721</v>
      </c>
      <c r="B9" s="584">
        <f>'Sources and Uses Budget'!C9</f>
        <v>10227346</v>
      </c>
      <c r="C9" s="585"/>
      <c r="D9" s="585"/>
      <c r="E9" s="586"/>
      <c r="F9" s="586"/>
      <c r="G9" s="586"/>
      <c r="H9" s="584">
        <f>'Sources and Uses Budget'!T9</f>
        <v>9962346</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10227346</v>
      </c>
      <c r="C11" s="584">
        <f>SUM(C9:C10)</f>
        <v>0</v>
      </c>
      <c r="D11" s="584">
        <f>SUM(D9:D10)</f>
        <v>0</v>
      </c>
      <c r="E11" s="586"/>
      <c r="F11" s="586"/>
      <c r="G11" s="586"/>
      <c r="H11" s="584">
        <f>'Sources and Uses Budget'!T11</f>
        <v>9962346</v>
      </c>
      <c r="I11" s="584">
        <f>SUM(I9:I10)</f>
        <v>0</v>
      </c>
      <c r="J11" s="584">
        <f>SUM(J9:J10)</f>
        <v>0</v>
      </c>
      <c r="K11" s="579"/>
    </row>
    <row r="12" spans="1:11" s="253" customFormat="1">
      <c r="A12" s="243" t="s">
        <v>711</v>
      </c>
      <c r="B12" s="584">
        <f>'Sources and Uses Budget'!C12</f>
        <v>11500000</v>
      </c>
      <c r="C12" s="584">
        <f>SUM(C8+C11)</f>
        <v>0</v>
      </c>
      <c r="D12" s="584">
        <f>SUM(D8+D11)</f>
        <v>0</v>
      </c>
      <c r="E12" s="586"/>
      <c r="F12" s="586"/>
      <c r="G12" s="586"/>
      <c r="H12" s="586"/>
      <c r="I12" s="586"/>
      <c r="J12" s="586"/>
      <c r="K12" s="579"/>
    </row>
    <row r="13" spans="1:11" s="253" customFormat="1">
      <c r="A13" s="456" t="s">
        <v>1110</v>
      </c>
      <c r="B13" s="584">
        <f>'Sources and Uses Budget'!C13</f>
        <v>20000</v>
      </c>
      <c r="C13" s="585"/>
      <c r="D13" s="585"/>
      <c r="E13" s="584">
        <f>'Sources and Uses Budget'!S13</f>
        <v>20000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3000000</v>
      </c>
      <c r="C18" s="585"/>
      <c r="D18" s="585"/>
      <c r="E18" s="584">
        <f>'Sources and Uses Budget'!S18</f>
        <v>3000000</v>
      </c>
      <c r="F18" s="585"/>
      <c r="G18" s="585"/>
      <c r="H18" s="584">
        <f>'Sources and Uses Budget'!T18</f>
        <v>0</v>
      </c>
      <c r="I18" s="585"/>
      <c r="J18" s="585"/>
      <c r="K18" s="579"/>
    </row>
    <row r="19" spans="1:11" s="253" customFormat="1">
      <c r="A19" s="239" t="s">
        <v>912</v>
      </c>
      <c r="B19" s="584">
        <f>'Sources and Uses Budget'!C19</f>
        <v>180000</v>
      </c>
      <c r="C19" s="585"/>
      <c r="D19" s="585"/>
      <c r="E19" s="584">
        <f>'Sources and Uses Budget'!S19</f>
        <v>180000</v>
      </c>
      <c r="F19" s="585"/>
      <c r="G19" s="585"/>
      <c r="H19" s="584">
        <f>'Sources and Uses Budget'!T19</f>
        <v>0</v>
      </c>
      <c r="I19" s="585"/>
      <c r="J19" s="585"/>
      <c r="K19" s="579"/>
    </row>
    <row r="20" spans="1:11" s="253" customFormat="1">
      <c r="A20" s="239" t="s">
        <v>913</v>
      </c>
      <c r="B20" s="584">
        <f>'Sources and Uses Budget'!C20</f>
        <v>120000</v>
      </c>
      <c r="C20" s="585"/>
      <c r="D20" s="585"/>
      <c r="E20" s="584">
        <f>'Sources and Uses Budget'!S20</f>
        <v>120000</v>
      </c>
      <c r="F20" s="585"/>
      <c r="G20" s="585"/>
      <c r="H20" s="584">
        <f>'Sources and Uses Budget'!T20</f>
        <v>0</v>
      </c>
      <c r="I20" s="585"/>
      <c r="J20" s="585"/>
      <c r="K20" s="579"/>
    </row>
    <row r="21" spans="1:11" s="253" customFormat="1">
      <c r="A21" s="239" t="s">
        <v>914</v>
      </c>
      <c r="B21" s="584">
        <f>'Sources and Uses Budget'!C21</f>
        <v>120000</v>
      </c>
      <c r="C21" s="585"/>
      <c r="D21" s="585"/>
      <c r="E21" s="584">
        <f>'Sources and Uses Budget'!S21</f>
        <v>120000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34500</v>
      </c>
      <c r="C23" s="585"/>
      <c r="D23" s="585"/>
      <c r="E23" s="584">
        <f>'Sources and Uses Budget'!S23</f>
        <v>34500</v>
      </c>
      <c r="F23" s="585"/>
      <c r="G23" s="585"/>
      <c r="H23" s="584">
        <f>'Sources and Uses Budget'!T23</f>
        <v>0</v>
      </c>
      <c r="I23" s="585"/>
      <c r="J23" s="585"/>
      <c r="K23" s="579"/>
    </row>
    <row r="24" spans="1:11" s="253" customFormat="1">
      <c r="A24" s="239" t="str">
        <f>'Sources and Uses Budget'!$A25</f>
        <v>Builder Bond</v>
      </c>
      <c r="B24" s="584">
        <f>'Sources and Uses Budget'!C25</f>
        <v>34500</v>
      </c>
      <c r="C24" s="585"/>
      <c r="D24" s="585"/>
      <c r="E24" s="584">
        <f>'Sources and Uses Budget'!S25</f>
        <v>34500</v>
      </c>
      <c r="F24" s="585"/>
      <c r="G24" s="585"/>
      <c r="H24" s="584">
        <f>'Sources and Uses Budget'!T25</f>
        <v>0</v>
      </c>
      <c r="I24" s="585"/>
      <c r="J24" s="585"/>
      <c r="K24" s="579"/>
    </row>
    <row r="25" spans="1:11" s="253" customFormat="1">
      <c r="A25" s="243" t="s">
        <v>222</v>
      </c>
      <c r="B25" s="584">
        <f>'Sources and Uses Budget'!C26</f>
        <v>3489000</v>
      </c>
      <c r="C25" s="584">
        <f>SUM(C17:C24)</f>
        <v>0</v>
      </c>
      <c r="D25" s="584">
        <f>SUM(D17:D24)</f>
        <v>0</v>
      </c>
      <c r="E25" s="584">
        <f>'Sources and Uses Budget'!S26</f>
        <v>3489000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62500</v>
      </c>
      <c r="C26" s="585"/>
      <c r="D26" s="585"/>
      <c r="E26" s="584">
        <f>'Sources and Uses Budget'!S27</f>
        <v>62500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85000</v>
      </c>
      <c r="C39" s="585"/>
      <c r="D39" s="585"/>
      <c r="E39" s="584">
        <f>'Sources and Uses Budget'!S40</f>
        <v>85000</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85000</v>
      </c>
      <c r="C41" s="584">
        <f>SUM(C38:C40)</f>
        <v>0</v>
      </c>
      <c r="D41" s="584">
        <f>SUM(D38:D40)</f>
        <v>0</v>
      </c>
      <c r="E41" s="584">
        <f>'Sources and Uses Budget'!S42</f>
        <v>85000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c r="D42" s="585"/>
      <c r="E42" s="584">
        <f>'Sources and Uses Budget'!S43</f>
        <v>100000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1511145</v>
      </c>
      <c r="C44" s="585"/>
      <c r="D44" s="585"/>
      <c r="E44" s="584">
        <f>'Sources and Uses Budget'!S45</f>
        <v>1043010</v>
      </c>
      <c r="F44" s="585"/>
      <c r="G44" s="585"/>
      <c r="H44" s="584">
        <f>'Sources and Uses Budget'!T45</f>
        <v>0</v>
      </c>
      <c r="I44" s="585"/>
      <c r="J44" s="585"/>
      <c r="K44" s="579"/>
    </row>
    <row r="45" spans="1:11" s="253" customFormat="1">
      <c r="A45" s="239" t="s">
        <v>927</v>
      </c>
      <c r="B45" s="584">
        <f>'Sources and Uses Budget'!C46</f>
        <v>170783</v>
      </c>
      <c r="C45" s="585"/>
      <c r="D45" s="585"/>
      <c r="E45" s="584">
        <f>'Sources and Uses Budget'!S46</f>
        <v>170783</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105000</v>
      </c>
      <c r="C48" s="585"/>
      <c r="D48" s="585"/>
      <c r="E48" s="584">
        <f>'Sources and Uses Budget'!S49</f>
        <v>105000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22500</v>
      </c>
      <c r="C50" s="585"/>
      <c r="D50" s="585"/>
      <c r="E50" s="584">
        <f>'Sources and Uses Budget'!S51</f>
        <v>22500</v>
      </c>
      <c r="F50" s="585"/>
      <c r="G50" s="585"/>
      <c r="H50" s="584">
        <f>'Sources and Uses Budget'!T51</f>
        <v>0</v>
      </c>
      <c r="I50" s="585"/>
      <c r="J50" s="585"/>
      <c r="K50" s="579"/>
    </row>
    <row r="51" spans="1:11" s="253" customFormat="1">
      <c r="A51" s="239" t="str">
        <f>'Sources and Uses Budget'!$A52</f>
        <v>Closing, Underwriting, monitoring</v>
      </c>
      <c r="B51" s="584">
        <f>'Sources and Uses Budget'!C52</f>
        <v>195000</v>
      </c>
      <c r="C51" s="585"/>
      <c r="D51" s="585"/>
      <c r="E51" s="584">
        <f>'Sources and Uses Budget'!S52</f>
        <v>195000</v>
      </c>
      <c r="F51" s="585"/>
      <c r="G51" s="585"/>
      <c r="H51" s="584">
        <f>'Sources and Uses Budget'!T52</f>
        <v>0</v>
      </c>
      <c r="I51" s="585"/>
      <c r="J51" s="585"/>
      <c r="K51" s="579"/>
    </row>
    <row r="52" spans="1:11" s="577" customFormat="1">
      <c r="A52" s="243" t="s">
        <v>933</v>
      </c>
      <c r="B52" s="584">
        <f>'Sources and Uses Budget'!C53</f>
        <v>2004428</v>
      </c>
      <c r="C52" s="587">
        <f>SUM(C44:C51)</f>
        <v>0</v>
      </c>
      <c r="D52" s="587">
        <f>SUM(D44:D51)</f>
        <v>0</v>
      </c>
      <c r="E52" s="584">
        <f>'Sources and Uses Budget'!S53</f>
        <v>1536293</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78310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501</v>
      </c>
      <c r="B60" s="584">
        <f>'Sources and Uses Budget'!C61</f>
        <v>78310</v>
      </c>
      <c r="C60" s="584">
        <f>SUM(C54:C59)</f>
        <v>0</v>
      </c>
      <c r="D60" s="584">
        <f>SUM(D54:D59)</f>
        <v>0</v>
      </c>
      <c r="E60" s="586"/>
      <c r="F60" s="586"/>
      <c r="G60" s="586"/>
      <c r="H60" s="586"/>
      <c r="I60" s="586"/>
      <c r="J60" s="586"/>
      <c r="K60" s="579"/>
    </row>
    <row r="61" spans="1:11" s="253" customFormat="1">
      <c r="A61" s="249" t="s">
        <v>502</v>
      </c>
      <c r="B61" s="584">
        <f>'Sources and Uses Budget'!C62</f>
        <v>17339238</v>
      </c>
      <c r="C61" s="584">
        <f>SUM(C8+C11+C13+C14+C15+C25+C26+C37+C41+C42+C52+C60)</f>
        <v>0</v>
      </c>
      <c r="D61" s="584">
        <f>SUM(D8+D11+D13+D14+D15+D25+D26+D37+D41+D42+D52+D60)</f>
        <v>0</v>
      </c>
      <c r="E61" s="584">
        <f>'Sources and Uses Budget'!S62</f>
        <v>5292793</v>
      </c>
      <c r="F61" s="584">
        <f>SUM(F10+F13+F14+F15+F25+F26+F37+F41+F42+F52)</f>
        <v>0</v>
      </c>
      <c r="G61" s="584">
        <f>SUM(G10+G13+G14+G15+G25+G26+G37+G41+G42+G52)</f>
        <v>0</v>
      </c>
      <c r="H61" s="584">
        <f>'Sources and Uses Budget'!T62</f>
        <v>9962346</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112500</v>
      </c>
      <c r="C63" s="585"/>
      <c r="D63" s="585"/>
      <c r="E63" s="584">
        <f>'Sources and Uses Budget'!S64</f>
        <v>112500</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112500</v>
      </c>
      <c r="C68" s="584">
        <f>SUM(C62:C67)</f>
        <v>0</v>
      </c>
      <c r="D68" s="584">
        <f>SUM(D62:D67)</f>
        <v>0</v>
      </c>
      <c r="E68" s="584">
        <f>'Sources and Uses Budget'!S69</f>
        <v>112500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214000</v>
      </c>
      <c r="C73" s="585"/>
      <c r="D73" s="585"/>
      <c r="E73" s="586"/>
      <c r="F73" s="586"/>
      <c r="G73" s="586"/>
      <c r="H73" s="586"/>
      <c r="I73" s="586"/>
      <c r="J73" s="586"/>
      <c r="K73" s="579"/>
    </row>
    <row r="74" spans="1:11" s="253" customFormat="1">
      <c r="A74" s="239" t="str">
        <f>'Sources and Uses Budget'!$A75</f>
        <v>Transition Reserve</v>
      </c>
      <c r="B74" s="584">
        <f>'Sources and Uses Budget'!C75</f>
        <v>0</v>
      </c>
      <c r="C74" s="585"/>
      <c r="D74" s="585"/>
      <c r="E74" s="586"/>
      <c r="F74" s="586"/>
      <c r="G74" s="586"/>
      <c r="H74" s="586"/>
      <c r="I74" s="586"/>
      <c r="J74" s="586"/>
      <c r="K74" s="579"/>
    </row>
    <row r="75" spans="1:11" s="253" customFormat="1">
      <c r="A75" s="243" t="s">
        <v>289</v>
      </c>
      <c r="B75" s="584">
        <f>'Sources and Uses Budget'!C76</f>
        <v>214000</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348900</v>
      </c>
      <c r="C77" s="585"/>
      <c r="D77" s="585"/>
      <c r="E77" s="584">
        <f>'Sources and Uses Budget'!S78</f>
        <v>348900</v>
      </c>
      <c r="F77" s="585"/>
      <c r="G77" s="585"/>
      <c r="H77" s="584">
        <f>'Sources and Uses Budget'!T78</f>
        <v>0</v>
      </c>
      <c r="I77" s="585"/>
      <c r="J77" s="585"/>
      <c r="K77" s="579"/>
    </row>
    <row r="78" spans="1:11" s="253" customFormat="1">
      <c r="A78" s="239" t="s">
        <v>539</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1743</v>
      </c>
      <c r="B79" s="584">
        <f>'Sources and Uses Budget'!C80</f>
        <v>498900</v>
      </c>
      <c r="C79" s="667">
        <f>SUM(C77:C78)</f>
        <v>0</v>
      </c>
      <c r="D79" s="667">
        <f>SUM(D77:D78)</f>
        <v>0</v>
      </c>
      <c r="E79" s="584">
        <f>'Sources and Uses Budget'!S80</f>
        <v>498900</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4.1" customHeight="1">
      <c r="A81" s="239" t="s">
        <v>2116</v>
      </c>
      <c r="B81" s="584">
        <f>'Sources and Uses Budget'!C82</f>
        <v>54080</v>
      </c>
      <c r="C81" s="585"/>
      <c r="D81" s="585"/>
      <c r="E81" s="586"/>
      <c r="F81" s="586"/>
      <c r="G81" s="586"/>
      <c r="H81" s="586"/>
      <c r="I81" s="586"/>
      <c r="J81" s="586"/>
      <c r="K81" s="579"/>
    </row>
    <row r="82" spans="1:11" s="253" customFormat="1">
      <c r="A82" s="239" t="s">
        <v>517</v>
      </c>
      <c r="B82" s="584">
        <f>'Sources and Uses Budget'!C83</f>
        <v>42500</v>
      </c>
      <c r="C82" s="585"/>
      <c r="D82" s="585"/>
      <c r="E82" s="584">
        <f>'Sources and Uses Budget'!S83</f>
        <v>42500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75000</v>
      </c>
      <c r="C84" s="585"/>
      <c r="D84" s="585"/>
      <c r="E84" s="584">
        <f>'Sources and Uses Budget'!S85</f>
        <v>75000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0</v>
      </c>
      <c r="C86" s="585"/>
      <c r="D86" s="585"/>
      <c r="E86" s="586"/>
      <c r="F86" s="586"/>
      <c r="G86" s="586"/>
      <c r="H86" s="586"/>
      <c r="I86" s="586"/>
      <c r="J86" s="586"/>
      <c r="K86" s="579"/>
    </row>
    <row r="87" spans="1:11" s="253" customFormat="1">
      <c r="A87" s="239" t="s">
        <v>522</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523</v>
      </c>
      <c r="B88" s="584">
        <f>'Sources and Uses Budget'!C89</f>
        <v>7500</v>
      </c>
      <c r="C88" s="585"/>
      <c r="D88" s="585"/>
      <c r="E88" s="584">
        <f>'Sources and Uses Budget'!S89</f>
        <v>7500</v>
      </c>
      <c r="F88" s="585"/>
      <c r="G88" s="585"/>
      <c r="H88" s="584">
        <f>'Sources and Uses Budget'!T89</f>
        <v>0</v>
      </c>
      <c r="I88" s="585"/>
      <c r="J88" s="585"/>
      <c r="K88" s="579"/>
    </row>
    <row r="89" spans="1:11" s="253" customFormat="1">
      <c r="A89" s="239" t="s">
        <v>1315</v>
      </c>
      <c r="B89" s="584">
        <f>'Sources and Uses Budget'!C90</f>
        <v>15000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7500</v>
      </c>
      <c r="C90" s="585"/>
      <c r="D90" s="585"/>
      <c r="E90" s="584">
        <f>'Sources and Uses Budget'!S91</f>
        <v>7500</v>
      </c>
      <c r="F90" s="585"/>
      <c r="G90" s="585"/>
      <c r="H90" s="584">
        <f>'Sources and Uses Budget'!T91</f>
        <v>0</v>
      </c>
      <c r="I90" s="585"/>
      <c r="J90" s="585"/>
      <c r="K90" s="579"/>
    </row>
    <row r="91" spans="1:11" s="253" customFormat="1">
      <c r="A91" s="239" t="str">
        <f>'Sources and Uses Budget'!$A92</f>
        <v>Other 3rd Party Reports</v>
      </c>
      <c r="B91" s="584">
        <f>'Sources and Uses Budget'!C92</f>
        <v>24500</v>
      </c>
      <c r="C91" s="585"/>
      <c r="D91" s="585"/>
      <c r="E91" s="584">
        <f>'Sources and Uses Budget'!S92</f>
        <v>24500</v>
      </c>
      <c r="F91" s="585"/>
      <c r="G91" s="585"/>
      <c r="H91" s="584">
        <f>'Sources and Uses Budget'!T92</f>
        <v>0</v>
      </c>
      <c r="I91" s="585"/>
      <c r="J91" s="585"/>
      <c r="K91" s="579"/>
    </row>
    <row r="92" spans="1:11" s="253" customFormat="1">
      <c r="A92" s="239" t="str">
        <f>'Sources and Uses Budget'!$A93</f>
        <v>Partership legal</v>
      </c>
      <c r="B92" s="584">
        <f>'Sources and Uses Budget'!C93</f>
        <v>37500</v>
      </c>
      <c r="C92" s="585"/>
      <c r="D92" s="585"/>
      <c r="E92" s="584">
        <f>'Sources and Uses Budget'!S93</f>
        <v>0</v>
      </c>
      <c r="F92" s="585"/>
      <c r="G92" s="585"/>
      <c r="H92" s="584">
        <f>'Sources and Uses Budget'!T93</f>
        <v>0</v>
      </c>
      <c r="I92" s="585"/>
      <c r="J92" s="585"/>
      <c r="K92" s="579"/>
    </row>
    <row r="93" spans="1:11" s="253" customFormat="1">
      <c r="A93" s="239" t="str">
        <f>'Sources and Uses Budget'!$A94</f>
        <v>Mansion  Tax</v>
      </c>
      <c r="B93" s="584">
        <f>'Sources and Uses Budget'!C94</f>
        <v>684251</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947831</v>
      </c>
      <c r="C94" s="584">
        <f>SUM(C81:C93)</f>
        <v>0</v>
      </c>
      <c r="D94" s="584">
        <f>SUM(D81:D93)</f>
        <v>0</v>
      </c>
      <c r="E94" s="584">
        <f>'Sources and Uses Budget'!S95</f>
        <v>157000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19112469</v>
      </c>
      <c r="C95" s="584">
        <f>SUM(C61+C68+C75+C79+C94)</f>
        <v>0</v>
      </c>
      <c r="D95" s="584">
        <f>SUM(D61+D68+D75+D79+D94)</f>
        <v>0</v>
      </c>
      <c r="E95" s="584">
        <f>'Sources and Uses Budget'!S96</f>
        <v>6061193</v>
      </c>
      <c r="F95" s="587">
        <f>SUM(+F61+F68+F79+F94)</f>
        <v>0</v>
      </c>
      <c r="G95" s="587">
        <f>SUM(+G61+G68+G79+G94)</f>
        <v>0</v>
      </c>
      <c r="H95" s="584">
        <f>'Sources and Uses Budget'!T96</f>
        <v>9962346</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1407296</v>
      </c>
      <c r="C97" s="585"/>
      <c r="D97" s="585"/>
      <c r="E97" s="584">
        <f>'Sources and Uses Budget'!S98</f>
        <v>909179</v>
      </c>
      <c r="F97" s="585"/>
      <c r="G97" s="585"/>
      <c r="H97" s="584">
        <f>'Sources and Uses Budget'!T98</f>
        <v>498117</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1407296</v>
      </c>
      <c r="C102" s="584">
        <f>SUM(C97:C101)</f>
        <v>0</v>
      </c>
      <c r="D102" s="584">
        <f>SUM(D97:D101)</f>
        <v>0</v>
      </c>
      <c r="E102" s="584">
        <f>'Sources and Uses Budget'!S103</f>
        <v>909179</v>
      </c>
      <c r="F102" s="587">
        <f>SUM(F97:F101)</f>
        <v>0</v>
      </c>
      <c r="G102" s="587">
        <f>SUM(G97:G101)</f>
        <v>0</v>
      </c>
      <c r="H102" s="584">
        <f>'Sources and Uses Budget'!T103</f>
        <v>498117</v>
      </c>
      <c r="I102" s="587">
        <f>SUM(I97:I101)</f>
        <v>0</v>
      </c>
      <c r="J102" s="587">
        <f>SUM(J97:J101)</f>
        <v>0</v>
      </c>
      <c r="K102" s="579"/>
    </row>
    <row r="103" spans="1:11" s="253" customFormat="1">
      <c r="A103" s="243" t="s">
        <v>1357</v>
      </c>
      <c r="B103" s="584">
        <f>'Sources and Uses Budget'!C104</f>
        <v>20519765</v>
      </c>
      <c r="C103" s="587">
        <f>SUM(C95+C102)</f>
        <v>0</v>
      </c>
      <c r="D103" s="587">
        <f>SUM(D95+D102)</f>
        <v>0</v>
      </c>
      <c r="E103" s="584">
        <f>'Sources and Uses Budget'!S104</f>
        <v>6970372</v>
      </c>
      <c r="F103" s="587">
        <f>F95+F102</f>
        <v>0</v>
      </c>
      <c r="G103" s="587">
        <f>G95+G102</f>
        <v>0</v>
      </c>
      <c r="H103" s="584">
        <f>'Sources and Uses Budget'!T104</f>
        <v>10460463</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6970372</v>
      </c>
      <c r="F105" s="587">
        <f>F103+F104</f>
        <v>0</v>
      </c>
      <c r="G105" s="587">
        <f>G103+G104</f>
        <v>0</v>
      </c>
      <c r="H105" s="584">
        <f>'Sources and Uses Budget'!T106</f>
        <v>10460463</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Normal="100" workbookViewId="0">
      <selection activeCell="AN8" sqref="AN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7" t="s">
        <v>846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3" t="s">
        <v>365</v>
      </c>
      <c r="AF4" s="1723"/>
      <c r="AG4" s="1723"/>
      <c r="AH4" s="1723"/>
      <c r="AI4" s="1723"/>
      <c r="AJ4" s="1723"/>
      <c r="AK4" s="1723"/>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1" t="s">
        <v>854</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7" t="s">
        <v>2441</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7" t="s">
        <v>1243</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9" t="s">
        <v>124</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7" t="s">
        <v>1119</v>
      </c>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2210</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61</v>
      </c>
      <c r="AG33" s="1711"/>
      <c r="AH33" s="1711"/>
      <c r="AI33" s="1711"/>
      <c r="AJ33" s="1711"/>
      <c r="AK33" s="1711"/>
      <c r="AL33" s="171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7" t="s">
        <v>2442</v>
      </c>
      <c r="C35" s="1647"/>
      <c r="D35" s="1647"/>
      <c r="E35" s="1647"/>
      <c r="F35" s="1647"/>
      <c r="G35" s="1647"/>
      <c r="H35" s="1647"/>
      <c r="I35" s="1647"/>
      <c r="J35" s="1647"/>
      <c r="K35" s="1647"/>
      <c r="L35" s="1647"/>
      <c r="M35" s="1647"/>
      <c r="N35" s="1647"/>
      <c r="O35" s="1647"/>
      <c r="P35" s="1647"/>
      <c r="Q35" s="1647"/>
      <c r="R35" s="1647"/>
      <c r="S35" s="1647"/>
      <c r="T35" s="1647"/>
      <c r="U35" s="1647"/>
      <c r="V35" s="1647"/>
      <c r="W35" s="1647"/>
      <c r="X35" s="1647"/>
      <c r="Y35" s="1647"/>
      <c r="Z35" s="1647"/>
      <c r="AA35" s="1647"/>
      <c r="AB35" s="1647"/>
      <c r="AC35" s="164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7" t="s">
        <v>1247</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7" t="s">
        <v>124</v>
      </c>
      <c r="AA40" s="164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t="s">
        <v>1119</v>
      </c>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5" t="s">
        <v>1470</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6"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2203</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3.1"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3" t="s">
        <v>365</v>
      </c>
      <c r="AF64" s="1723"/>
      <c r="AG64" s="1723"/>
      <c r="AH64" s="1723"/>
      <c r="AI64" s="1723"/>
      <c r="AJ64" s="1723"/>
      <c r="AK64" s="172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7" t="s">
        <v>564</v>
      </c>
      <c r="C66" s="1647"/>
      <c r="D66" s="1647"/>
      <c r="E66" s="1647"/>
      <c r="F66" s="1647"/>
      <c r="G66" s="1647"/>
      <c r="H66" s="1647"/>
      <c r="I66" s="1647"/>
      <c r="J66" s="1647"/>
      <c r="K66" s="1647"/>
      <c r="AF66" s="1711" t="s">
        <v>938</v>
      </c>
      <c r="AG66" s="1711"/>
      <c r="AH66" s="1711"/>
      <c r="AI66" s="1711"/>
      <c r="AJ66" s="1711"/>
      <c r="AK66" s="1711"/>
      <c r="AL66" s="1711"/>
      <c r="AN66" s="281"/>
      <c r="AP66" s="4" t="s">
        <v>124</v>
      </c>
      <c r="AS66" s="4" t="s">
        <v>665</v>
      </c>
      <c r="AT66" s="4">
        <v>10</v>
      </c>
    </row>
    <row r="67" spans="1:46" s="4" customFormat="1" ht="12.75" customHeight="1">
      <c r="B67" s="1817" t="s">
        <v>1319</v>
      </c>
      <c r="C67" s="1817"/>
      <c r="D67" s="1817"/>
      <c r="E67" s="1817"/>
      <c r="F67" s="1817"/>
      <c r="G67" s="1817"/>
      <c r="H67" s="1817"/>
      <c r="I67" s="1817"/>
      <c r="J67" s="1817"/>
      <c r="K67" s="1817"/>
      <c r="L67" s="1817"/>
      <c r="M67" s="1817"/>
      <c r="N67" s="1817"/>
      <c r="O67" s="1817"/>
      <c r="P67" s="1817"/>
      <c r="Q67" s="1817"/>
      <c r="R67" s="1817"/>
      <c r="S67" s="1817"/>
      <c r="T67" s="1647" t="s">
        <v>124</v>
      </c>
      <c r="U67" s="1647"/>
      <c r="V67" s="1647"/>
      <c r="W67" s="1647"/>
      <c r="X67" s="1647"/>
      <c r="Y67" s="1647"/>
      <c r="Z67" s="1647"/>
      <c r="AA67" s="1647"/>
      <c r="AB67" s="1647"/>
      <c r="AC67" s="164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977</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2118</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1" t="s">
        <v>854</v>
      </c>
      <c r="AG90" s="1711"/>
      <c r="AH90" s="1711"/>
      <c r="AI90" s="1711"/>
      <c r="AJ90" s="1711"/>
      <c r="AK90" s="1711"/>
      <c r="AL90" s="171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58</v>
      </c>
      <c r="AG95" s="1711"/>
      <c r="AH95" s="1711"/>
      <c r="AI95" s="1711"/>
      <c r="AJ95" s="1711"/>
      <c r="AK95" s="1711"/>
      <c r="AL95" s="171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59</v>
      </c>
      <c r="AG100" s="1711"/>
      <c r="AH100" s="1711"/>
      <c r="AI100" s="1711"/>
      <c r="AJ100" s="1711"/>
      <c r="AK100" s="1711"/>
      <c r="AL100" s="171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60</v>
      </c>
      <c r="AG105" s="1711"/>
      <c r="AH105" s="1711"/>
      <c r="AI105" s="1711"/>
      <c r="AJ105" s="1711"/>
      <c r="AK105" s="1711"/>
      <c r="AL105" s="171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61</v>
      </c>
      <c r="AG109" s="1711"/>
      <c r="AH109" s="1711"/>
      <c r="AI109" s="1711"/>
      <c r="AJ109" s="1711"/>
      <c r="AK109" s="1711"/>
      <c r="AL109" s="1711"/>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2" t="s">
        <v>197</v>
      </c>
      <c r="I112" s="1812"/>
      <c r="J112" s="116"/>
      <c r="K112" s="116"/>
      <c r="L112" s="116"/>
      <c r="M112" s="937" t="s">
        <v>2102</v>
      </c>
      <c r="R112" s="1816"/>
      <c r="S112" s="1816"/>
      <c r="T112" s="1816"/>
      <c r="U112" s="1816"/>
      <c r="V112" s="1816"/>
      <c r="W112" s="1816"/>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9"/>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9"/>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50" t="s">
        <v>2251</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2">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1471</v>
      </c>
      <c r="AP117" s="4">
        <v>3</v>
      </c>
    </row>
    <row r="118" spans="1:47" s="4" customFormat="1" ht="12.75" customHeight="1">
      <c r="B118" s="5"/>
      <c r="C118" s="115"/>
      <c r="E118" s="4" t="s">
        <v>147</v>
      </c>
      <c r="F118" s="116"/>
      <c r="G118" s="116"/>
      <c r="H118" s="1815" t="s">
        <v>124</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5" t="s">
        <v>1770</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5">
        <f>VLOOKUP($H$112,$AO$96:$AP$101,2,FALSE)+IF(R112=AO108,0,VLOOKUP($H$118,$AO$116:$AP$118,2,FALSE))</f>
        <v>6</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3" t="s">
        <v>1839</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61</v>
      </c>
      <c r="AG128" s="1711"/>
      <c r="AH128" s="1711"/>
      <c r="AI128" s="1711"/>
      <c r="AJ128" s="1711"/>
      <c r="AK128" s="1711"/>
      <c r="AL128" s="1711"/>
      <c r="AM128" s="4"/>
      <c r="AN128" s="298"/>
      <c r="AO128" s="4" t="str">
        <f>S133</f>
        <v>N/A</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3.1"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0" t="s">
        <v>124</v>
      </c>
      <c r="T133" s="1810"/>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103</v>
      </c>
      <c r="AG135" s="1711"/>
      <c r="AH135" s="1711"/>
      <c r="AI135" s="1711"/>
      <c r="AJ135" s="1711"/>
      <c r="AK135" s="1711"/>
      <c r="AL135" s="171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2" t="s">
        <v>581</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61</v>
      </c>
      <c r="AG143" s="1711"/>
      <c r="AH143" s="1711"/>
      <c r="AI143" s="1711"/>
      <c r="AJ143" s="1711"/>
      <c r="AK143" s="1711"/>
      <c r="AL143" s="171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103</v>
      </c>
      <c r="AG146" s="1711"/>
      <c r="AH146" s="1711"/>
      <c r="AI146" s="1711"/>
      <c r="AJ146" s="1711"/>
      <c r="AK146" s="1711"/>
      <c r="AL146" s="171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2" t="s">
        <v>124</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0</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5" t="s">
        <v>746</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66" t="s">
        <v>59</v>
      </c>
      <c r="AG156" s="1466"/>
      <c r="AH156" s="1466"/>
      <c r="AI156" s="1466"/>
      <c r="AJ156" s="1466"/>
      <c r="AK156" s="1466"/>
      <c r="AL156" s="1466"/>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5" t="s">
        <v>1714</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66" t="s">
        <v>60</v>
      </c>
      <c r="AG160" s="1466"/>
      <c r="AH160" s="1466"/>
      <c r="AI160" s="1466"/>
      <c r="AJ160" s="1466"/>
      <c r="AK160" s="1466"/>
      <c r="AL160" s="1466"/>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5" t="s">
        <v>1715</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66" t="s">
        <v>61</v>
      </c>
      <c r="AG164" s="1466"/>
      <c r="AH164" s="1466"/>
      <c r="AI164" s="1466"/>
      <c r="AJ164" s="1466"/>
      <c r="AK164" s="1466"/>
      <c r="AL164" s="1466"/>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66"/>
      <c r="AF165" s="1466"/>
      <c r="AG165" s="1466"/>
      <c r="AH165" s="1466"/>
      <c r="AI165" s="1466"/>
      <c r="AJ165" s="1466"/>
      <c r="AK165" s="1466"/>
      <c r="AL165" s="967"/>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5" t="s">
        <v>1716</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66" t="s">
        <v>60</v>
      </c>
      <c r="AG168" s="1466"/>
      <c r="AH168" s="1466"/>
      <c r="AI168" s="1466"/>
      <c r="AJ168" s="1466"/>
      <c r="AK168" s="1466"/>
      <c r="AL168" s="1466"/>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5" t="s">
        <v>1717</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66" t="s">
        <v>61</v>
      </c>
      <c r="AG172" s="1466"/>
      <c r="AH172" s="1466"/>
      <c r="AI172" s="1466"/>
      <c r="AJ172" s="1466"/>
      <c r="AK172" s="1466"/>
      <c r="AL172" s="1466"/>
      <c r="AM172" s="20"/>
      <c r="AN172" s="281"/>
      <c r="AO172" s="26" t="s">
        <v>890</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5" t="s">
        <v>1473</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66" t="s">
        <v>103</v>
      </c>
      <c r="AG176" s="1466"/>
      <c r="AH176" s="1466"/>
      <c r="AI176" s="1466"/>
      <c r="AJ176" s="1466"/>
      <c r="AK176" s="1466"/>
      <c r="AL176" s="1466"/>
      <c r="AM176" s="20"/>
      <c r="AN176" s="281"/>
      <c r="AO176" s="26" t="s">
        <v>281</v>
      </c>
      <c r="AP176" s="4">
        <v>1</v>
      </c>
    </row>
    <row r="177" spans="1:61" s="4" customFormat="1" ht="23.1"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5" t="s">
        <v>1474</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66" t="s">
        <v>319</v>
      </c>
      <c r="AG179" s="1466"/>
      <c r="AH179" s="1466"/>
      <c r="AI179" s="1466"/>
      <c r="AJ179" s="1466"/>
      <c r="AK179" s="1466"/>
      <c r="AL179" s="1466"/>
      <c r="AM179" s="20"/>
      <c r="AN179" s="281"/>
    </row>
    <row r="180" spans="1:61" s="4" customFormat="1" ht="23.1"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2" t="s">
        <v>197</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4</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8" t="s">
        <v>2317</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01" t="s">
        <v>61</v>
      </c>
      <c r="AG188" s="1301"/>
      <c r="AH188" s="1301"/>
      <c r="AI188" s="1301"/>
      <c r="AJ188" s="1301"/>
      <c r="AK188" s="1301"/>
      <c r="AL188" s="1301"/>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5" t="s">
        <v>2237</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66" t="s">
        <v>61</v>
      </c>
      <c r="AG191" s="1466"/>
      <c r="AH191" s="1466"/>
      <c r="AI191" s="1466"/>
      <c r="AJ191" s="1466"/>
      <c r="AK191" s="1466"/>
      <c r="AL191" s="1466"/>
      <c r="AN191" s="281"/>
      <c r="AO191" s="26" t="s">
        <v>581</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890</v>
      </c>
      <c r="AP193" s="26">
        <f>2*$AO$197</f>
        <v>2</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5" t="s">
        <v>2238</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66" t="s">
        <v>103</v>
      </c>
      <c r="AG196" s="1466"/>
      <c r="AH196" s="1466"/>
      <c r="AI196" s="1466"/>
      <c r="AJ196" s="1466"/>
      <c r="AK196" s="1466"/>
      <c r="AL196" s="1466"/>
      <c r="AN196" s="281"/>
      <c r="AY196" s="4" t="s">
        <v>2239</v>
      </c>
      <c r="AZ196" s="959">
        <f>Application!AC215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66"/>
      <c r="AG197" s="1466"/>
      <c r="AH197" s="1466"/>
      <c r="AI197" s="1466"/>
      <c r="AJ197" s="1466"/>
      <c r="AK197" s="1466"/>
      <c r="AL197" s="1466"/>
      <c r="AN197" s="281"/>
      <c r="AO197" s="127" t="b">
        <f>IF(AND(OR(Application!D214="Special Needs",Application!D211="At-Risk and Special Needs"),Application!E217="Large Family"),IF(BA203&gt;=0.25,TRUE,FALSE),IF(AZ203&gt;=0.25,TRUE,FALSE))</f>
        <v>1</v>
      </c>
      <c r="AY197" s="4" t="s">
        <v>2240</v>
      </c>
      <c r="AZ197" s="959">
        <f>Application!G730</f>
        <v>24</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2242</v>
      </c>
      <c r="AZ198" s="4">
        <f>Application!CC626</f>
        <v>10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2297</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2245</v>
      </c>
      <c r="AZ202">
        <f>AZ198+AZ199+AZ201</f>
        <v>10</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2246</v>
      </c>
      <c r="AZ203">
        <f>IFERROR(AZ202/AZ197,0)</f>
        <v>0.41666666666666669</v>
      </c>
      <c r="BA203">
        <f>IFERROR(AZ202/(AZ197-AZ196),0)</f>
        <v>0.41666666666666669</v>
      </c>
    </row>
    <row r="204" spans="1:53" customFormat="1" ht="12.75" customHeight="1">
      <c r="A204" s="4"/>
      <c r="B204" s="5"/>
      <c r="C204" s="45"/>
      <c r="D204" s="4" t="s">
        <v>147</v>
      </c>
      <c r="E204" s="116"/>
      <c r="F204" s="116"/>
      <c r="G204" s="116"/>
      <c r="H204" s="1812" t="s">
        <v>890</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5">
        <f>VLOOKUP($H$204,$AO$190:$AP$193,2,FALSE)</f>
        <v>2</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1" t="s">
        <v>1254</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61</v>
      </c>
      <c r="AG210" s="1711"/>
      <c r="AH210" s="1711"/>
      <c r="AI210" s="1711"/>
      <c r="AJ210" s="1711"/>
      <c r="AK210" s="1711"/>
      <c r="AL210" s="1711"/>
      <c r="AM210" s="4"/>
      <c r="AN210" s="204"/>
      <c r="AO210" s="4" t="s">
        <v>124</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581</v>
      </c>
      <c r="AP211" s="4">
        <v>3</v>
      </c>
    </row>
    <row r="212" spans="1:52" customFormat="1" ht="14.1"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197</v>
      </c>
      <c r="AP212" s="4">
        <v>2</v>
      </c>
    </row>
    <row r="213" spans="1:52" customFormat="1" ht="14.1" customHeight="1">
      <c r="A213" s="4"/>
      <c r="B213" s="5"/>
      <c r="C213" s="45"/>
      <c r="D213" s="26" t="s">
        <v>197</v>
      </c>
      <c r="E213" s="1875" t="s">
        <v>1255</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1" t="s">
        <v>103</v>
      </c>
      <c r="AG213" s="1711"/>
      <c r="AH213" s="1711"/>
      <c r="AI213" s="1711"/>
      <c r="AJ213" s="1711"/>
      <c r="AK213" s="1711"/>
      <c r="AL213" s="1711"/>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12" t="s">
        <v>124</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5" t="s">
        <v>1490</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1" t="s">
        <v>61</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5" t="s">
        <v>882</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1" t="s">
        <v>103</v>
      </c>
      <c r="AG225" s="1711"/>
      <c r="AH225" s="1711"/>
      <c r="AI225" s="1711"/>
      <c r="AJ225" s="1711"/>
      <c r="AK225" s="1711"/>
      <c r="AL225" s="1711"/>
      <c r="AM225" s="4"/>
      <c r="AN225" s="204"/>
      <c r="AO225" s="4" t="s">
        <v>124</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2" t="s">
        <v>124</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5" t="s">
        <v>1123</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1" t="s">
        <v>61</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5" t="s">
        <v>1124</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1" t="s">
        <v>103</v>
      </c>
      <c r="AG238" s="1711"/>
      <c r="AH238" s="1711"/>
      <c r="AI238" s="1711"/>
      <c r="AJ238" s="1711"/>
      <c r="AK238" s="1711"/>
      <c r="AL238" s="1711"/>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2" t="s">
        <v>124</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5" t="s">
        <v>318</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1" t="s">
        <v>103</v>
      </c>
      <c r="AG248" s="1711"/>
      <c r="AH248" s="1711"/>
      <c r="AI248" s="1711"/>
      <c r="AJ248" s="1711"/>
      <c r="AK248" s="1711"/>
      <c r="AL248" s="171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1256</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1" t="s">
        <v>319</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2" t="s">
        <v>124</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0</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5" t="s">
        <v>1952</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1" t="s">
        <v>103</v>
      </c>
      <c r="AG260" s="1711"/>
      <c r="AH260" s="1711"/>
      <c r="AI260" s="1711"/>
      <c r="AJ260" s="1711"/>
      <c r="AK260" s="1711"/>
      <c r="AL260" s="1711"/>
      <c r="AM260" s="104"/>
      <c r="AN260" s="204"/>
      <c r="AO260" s="4" t="s">
        <v>124</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1953</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1" t="s">
        <v>61</v>
      </c>
      <c r="AG264" s="1711"/>
      <c r="AH264" s="1711"/>
      <c r="AI264" s="1711"/>
      <c r="AJ264" s="1711"/>
      <c r="AK264" s="1711"/>
      <c r="AL264" s="1711"/>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2" t="s">
        <v>124</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5" t="s">
        <v>2212</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1" t="s">
        <v>1633</v>
      </c>
      <c r="AG275" s="1711"/>
      <c r="AH275" s="1711"/>
      <c r="AI275" s="1711"/>
      <c r="AJ275" s="1711"/>
      <c r="AK275" s="1711"/>
      <c r="AL275" s="1711"/>
      <c r="AM275" s="104"/>
      <c r="AN275" s="204"/>
      <c r="AO275" s="26" t="s">
        <v>108</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2" t="s">
        <v>124</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15</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2414</v>
      </c>
      <c r="I287" s="1107"/>
      <c r="J287" s="1107"/>
      <c r="K287" s="1107"/>
      <c r="L287" s="1107"/>
      <c r="M287" s="1107"/>
      <c r="N287" s="1107"/>
      <c r="O287" s="1107"/>
      <c r="P287" s="1107"/>
      <c r="Q287" s="1107"/>
      <c r="R287" s="1107"/>
      <c r="S287"/>
      <c r="T287" s="41" t="s">
        <v>89</v>
      </c>
      <c r="U287"/>
      <c r="V287" s="41"/>
      <c r="W287" s="41"/>
      <c r="X287" s="41"/>
      <c r="Y287" s="41"/>
      <c r="Z287"/>
      <c r="AA287" s="1107" t="s">
        <v>2387</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2415</v>
      </c>
      <c r="I288" s="1258"/>
      <c r="J288" s="1258"/>
      <c r="K288" s="1258"/>
      <c r="L288" s="1258"/>
      <c r="M288" s="1258"/>
      <c r="N288" s="1258"/>
      <c r="O288" s="1258"/>
      <c r="P288" s="1258"/>
      <c r="Q288" s="1258"/>
      <c r="R288" s="1258"/>
      <c r="S288"/>
      <c r="T288" s="41" t="s">
        <v>699</v>
      </c>
      <c r="U288"/>
      <c r="V288" s="41"/>
      <c r="W288" s="41"/>
      <c r="X288" s="41"/>
      <c r="Y288" s="41"/>
      <c r="Z288"/>
      <c r="AA288" s="1258" t="s">
        <v>2388</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2416</v>
      </c>
      <c r="I289" s="1258"/>
      <c r="J289" s="1258"/>
      <c r="K289" s="1258"/>
      <c r="L289" s="1258"/>
      <c r="M289" s="1258"/>
      <c r="N289" s="1258"/>
      <c r="O289" s="1258"/>
      <c r="P289" s="1258"/>
      <c r="Q289" s="1258"/>
      <c r="R289" s="1258"/>
      <c r="S289"/>
      <c r="T289" s="41" t="s">
        <v>99</v>
      </c>
      <c r="U289"/>
      <c r="V289" s="41"/>
      <c r="W289" s="41"/>
      <c r="X289" s="41"/>
      <c r="Y289" s="41"/>
      <c r="Z289"/>
      <c r="AA289" s="1258" t="s">
        <v>2389</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353" t="s">
        <v>2464</v>
      </c>
      <c r="I290" s="1258"/>
      <c r="J290" s="1258"/>
      <c r="K290" s="1258"/>
      <c r="L290" s="1258"/>
      <c r="M290" s="1258"/>
      <c r="N290" s="1258"/>
      <c r="O290" s="1258"/>
      <c r="P290" s="1258"/>
      <c r="Q290" s="1258"/>
      <c r="R290" s="1258"/>
      <c r="S290"/>
      <c r="T290" s="41" t="s">
        <v>375</v>
      </c>
      <c r="U290"/>
      <c r="V290" s="41"/>
      <c r="W290" s="41"/>
      <c r="X290" s="41"/>
      <c r="Y290" s="41"/>
      <c r="Z290"/>
      <c r="AA290" s="1258" t="s">
        <v>2390</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75" t="s">
        <v>2417</v>
      </c>
      <c r="I291" s="1404"/>
      <c r="J291" s="1404"/>
      <c r="K291" s="1404"/>
      <c r="L291" s="1404"/>
      <c r="M291" s="1404"/>
      <c r="N291" s="5" t="s">
        <v>818</v>
      </c>
      <c r="O291" s="5"/>
      <c r="P291" s="1393"/>
      <c r="Q291" s="1393"/>
      <c r="R291" s="1393"/>
      <c r="S291" s="41"/>
      <c r="T291" s="41" t="s">
        <v>376</v>
      </c>
      <c r="U291"/>
      <c r="V291" s="41"/>
      <c r="W291" s="41"/>
      <c r="X291" s="41"/>
      <c r="Y291" s="41"/>
      <c r="Z291"/>
      <c r="AA291" s="1475" t="s">
        <v>2391</v>
      </c>
      <c r="AB291" s="1404"/>
      <c r="AC291" s="1404"/>
      <c r="AD291" s="1404"/>
      <c r="AE291" s="1404"/>
      <c r="AF291" s="1404"/>
      <c r="AG291" s="5" t="s">
        <v>818</v>
      </c>
      <c r="AH291" s="5"/>
      <c r="AI291" s="1393"/>
      <c r="AJ291" s="1393"/>
      <c r="AK291" s="1393"/>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2418</v>
      </c>
      <c r="I293" s="1258"/>
      <c r="J293" s="1258"/>
      <c r="K293" s="1258"/>
      <c r="L293" s="1258"/>
      <c r="M293" s="1258"/>
      <c r="N293" s="1258"/>
      <c r="O293" s="1258"/>
      <c r="P293" s="1258"/>
      <c r="Q293" s="1258"/>
      <c r="R293" s="1258"/>
      <c r="S293" s="41"/>
      <c r="T293" s="41" t="s">
        <v>90</v>
      </c>
      <c r="U293"/>
      <c r="V293" s="41"/>
      <c r="W293" s="41"/>
      <c r="X293" s="41"/>
      <c r="Y293" s="41"/>
      <c r="Z293"/>
      <c r="AA293" s="1353" t="s">
        <v>2393</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74" t="s">
        <v>2419</v>
      </c>
      <c r="I294" s="1674"/>
      <c r="J294" s="1674"/>
      <c r="K294" s="1674"/>
      <c r="L294" s="1674"/>
      <c r="M294" s="1674"/>
      <c r="N294" s="1674"/>
      <c r="O294" s="1674"/>
      <c r="P294" s="1674"/>
      <c r="Q294" s="1674"/>
      <c r="R294" s="1674"/>
      <c r="S294" s="41"/>
      <c r="T294" s="41" t="s">
        <v>101</v>
      </c>
      <c r="U294" s="41"/>
      <c r="V294" s="41"/>
      <c r="W294" s="41"/>
      <c r="X294" s="41"/>
      <c r="Y294" s="41"/>
      <c r="Z294" s="12"/>
      <c r="AA294" s="1674" t="s">
        <v>2392</v>
      </c>
      <c r="AB294" s="1674"/>
      <c r="AC294" s="1674"/>
      <c r="AD294" s="1674"/>
      <c r="AE294" s="1674"/>
      <c r="AF294" s="1674"/>
      <c r="AG294" s="1674"/>
      <c r="AH294" s="1674"/>
      <c r="AI294" s="1674"/>
      <c r="AJ294" s="1674"/>
      <c r="AK294" s="1674"/>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3" t="s">
        <v>2394</v>
      </c>
      <c r="I296" s="1107"/>
      <c r="J296" s="1107"/>
      <c r="K296" s="1107"/>
      <c r="L296" s="1107"/>
      <c r="M296" s="1107"/>
      <c r="N296" s="1107"/>
      <c r="O296" s="1107"/>
      <c r="P296" s="1107"/>
      <c r="Q296" s="1107"/>
      <c r="R296" s="1107"/>
      <c r="S296"/>
      <c r="T296" s="41" t="s">
        <v>89</v>
      </c>
      <c r="U296"/>
      <c r="V296" s="41"/>
      <c r="W296" s="41"/>
      <c r="X296" s="41"/>
      <c r="Y296" s="41"/>
      <c r="Z296"/>
      <c r="AA296" s="1103" t="s">
        <v>2450</v>
      </c>
      <c r="AB296" s="1103"/>
      <c r="AC296" s="1103"/>
      <c r="AD296" s="1103"/>
      <c r="AE296" s="1103"/>
      <c r="AF296" s="1103"/>
      <c r="AG296" s="1103"/>
      <c r="AH296" s="1103"/>
      <c r="AI296" s="1103"/>
      <c r="AJ296" s="1103"/>
      <c r="AK296" s="1103"/>
      <c r="AL296" s="10"/>
      <c r="AN296" s="281"/>
      <c r="AP296" s="48" t="s">
        <v>349</v>
      </c>
    </row>
    <row r="297" spans="1:42" s="20" customFormat="1" ht="12.75" customHeight="1">
      <c r="A297" s="4"/>
      <c r="B297" s="41" t="s">
        <v>699</v>
      </c>
      <c r="C297" s="41"/>
      <c r="D297" s="41"/>
      <c r="E297" s="41"/>
      <c r="F297" s="41"/>
      <c r="G297"/>
      <c r="H297" s="1353" t="s">
        <v>2395</v>
      </c>
      <c r="I297" s="1258"/>
      <c r="J297" s="1258"/>
      <c r="K297" s="1258"/>
      <c r="L297" s="1258"/>
      <c r="M297" s="1258"/>
      <c r="N297" s="1258"/>
      <c r="O297" s="1258"/>
      <c r="P297" s="1258"/>
      <c r="Q297" s="1258"/>
      <c r="R297" s="1258"/>
      <c r="S297"/>
      <c r="T297" s="41" t="s">
        <v>699</v>
      </c>
      <c r="U297"/>
      <c r="V297" s="41"/>
      <c r="W297" s="41"/>
      <c r="X297" s="41"/>
      <c r="Y297" s="41"/>
      <c r="Z297"/>
      <c r="AA297" s="1353" t="s">
        <v>2451</v>
      </c>
      <c r="AB297" s="1353"/>
      <c r="AC297" s="1353"/>
      <c r="AD297" s="1353"/>
      <c r="AE297" s="1353"/>
      <c r="AF297" s="1353"/>
      <c r="AG297" s="1353"/>
      <c r="AH297" s="1353"/>
      <c r="AI297" s="1353"/>
      <c r="AJ297" s="1353"/>
      <c r="AK297" s="1353"/>
      <c r="AL297" s="10"/>
      <c r="AM297" s="4"/>
      <c r="AN297" s="281"/>
      <c r="AO297" s="4"/>
    </row>
    <row r="298" spans="1:42" s="20" customFormat="1" ht="12.75" customHeight="1">
      <c r="A298" s="4"/>
      <c r="B298" s="41" t="s">
        <v>99</v>
      </c>
      <c r="C298" s="41"/>
      <c r="D298" s="41"/>
      <c r="E298" s="41"/>
      <c r="F298" s="41"/>
      <c r="G298"/>
      <c r="H298" s="1353" t="s">
        <v>2396</v>
      </c>
      <c r="I298" s="1258"/>
      <c r="J298" s="1258"/>
      <c r="K298" s="1258"/>
      <c r="L298" s="1258"/>
      <c r="M298" s="1258"/>
      <c r="N298" s="1258"/>
      <c r="O298" s="1258"/>
      <c r="P298" s="1258"/>
      <c r="Q298" s="1258"/>
      <c r="R298" s="1258"/>
      <c r="S298"/>
      <c r="T298" s="41" t="s">
        <v>99</v>
      </c>
      <c r="U298"/>
      <c r="V298" s="41"/>
      <c r="W298" s="41"/>
      <c r="X298" s="41"/>
      <c r="Y298" s="41"/>
      <c r="Z298"/>
      <c r="AA298" s="1353" t="s">
        <v>2452</v>
      </c>
      <c r="AB298" s="1353"/>
      <c r="AC298" s="1353"/>
      <c r="AD298" s="1353"/>
      <c r="AE298" s="1353"/>
      <c r="AF298" s="1353"/>
      <c r="AG298" s="1353"/>
      <c r="AH298" s="1353"/>
      <c r="AI298" s="1353"/>
      <c r="AJ298" s="1353"/>
      <c r="AK298" s="1353"/>
      <c r="AL298" s="10"/>
      <c r="AM298" s="4"/>
      <c r="AN298" s="281"/>
      <c r="AO298" s="4"/>
    </row>
    <row r="299" spans="1:42" s="4" customFormat="1" ht="12.75" customHeight="1">
      <c r="B299" s="41" t="s">
        <v>375</v>
      </c>
      <c r="C299" s="41"/>
      <c r="D299" s="41"/>
      <c r="E299" s="41"/>
      <c r="F299" s="41"/>
      <c r="G299"/>
      <c r="H299" s="1353" t="s">
        <v>2400</v>
      </c>
      <c r="I299" s="1258"/>
      <c r="J299" s="1258"/>
      <c r="K299" s="1258"/>
      <c r="L299" s="1258"/>
      <c r="M299" s="1258"/>
      <c r="N299" s="1258"/>
      <c r="O299" s="1258"/>
      <c r="P299" s="1258"/>
      <c r="Q299" s="1258"/>
      <c r="R299" s="1258"/>
      <c r="S299"/>
      <c r="T299" s="41" t="s">
        <v>375</v>
      </c>
      <c r="U299"/>
      <c r="V299" s="41"/>
      <c r="W299" s="41"/>
      <c r="X299" s="41"/>
      <c r="Y299" s="41"/>
      <c r="Z299"/>
      <c r="AA299" s="1353" t="s">
        <v>2453</v>
      </c>
      <c r="AB299" s="1353"/>
      <c r="AC299" s="1353"/>
      <c r="AD299" s="1353"/>
      <c r="AE299" s="1353"/>
      <c r="AF299" s="1353"/>
      <c r="AG299" s="1353"/>
      <c r="AH299" s="1353"/>
      <c r="AI299" s="1353"/>
      <c r="AJ299" s="1353"/>
      <c r="AK299" s="1353"/>
      <c r="AL299" s="10"/>
      <c r="AN299" s="281"/>
    </row>
    <row r="300" spans="1:42" s="4" customFormat="1" ht="12.75" customHeight="1">
      <c r="B300" s="41" t="s">
        <v>376</v>
      </c>
      <c r="C300" s="41"/>
      <c r="D300" s="41"/>
      <c r="E300" s="41"/>
      <c r="F300" s="41"/>
      <c r="G300" s="41"/>
      <c r="H300" s="1475" t="s">
        <v>2397</v>
      </c>
      <c r="I300" s="1404"/>
      <c r="J300" s="1404"/>
      <c r="K300" s="1404"/>
      <c r="L300" s="1404"/>
      <c r="M300" s="1404"/>
      <c r="N300" s="5" t="s">
        <v>818</v>
      </c>
      <c r="O300" s="5"/>
      <c r="P300" s="1393"/>
      <c r="Q300" s="1393"/>
      <c r="R300" s="1393"/>
      <c r="S300" s="41"/>
      <c r="T300" s="41" t="s">
        <v>376</v>
      </c>
      <c r="U300"/>
      <c r="V300" s="41"/>
      <c r="W300" s="41"/>
      <c r="X300" s="41"/>
      <c r="Y300" s="41"/>
      <c r="Z300"/>
      <c r="AA300" s="1475" t="s">
        <v>2455</v>
      </c>
      <c r="AB300" s="1404"/>
      <c r="AC300" s="1404"/>
      <c r="AD300" s="1404"/>
      <c r="AE300" s="1404"/>
      <c r="AF300" s="1404"/>
      <c r="AG300" s="5" t="s">
        <v>818</v>
      </c>
      <c r="AH300" s="5"/>
      <c r="AI300" s="1393"/>
      <c r="AJ300" s="1393"/>
      <c r="AK300" s="1393"/>
      <c r="AL300" s="10"/>
      <c r="AN300" s="281"/>
    </row>
    <row r="301" spans="1:42" s="4" customFormat="1" ht="12.75" customHeight="1">
      <c r="B301" s="41" t="s">
        <v>88</v>
      </c>
      <c r="C301" s="41"/>
      <c r="D301" s="41"/>
      <c r="E301" s="41"/>
      <c r="F301" s="41"/>
      <c r="G301" s="41"/>
      <c r="H301" s="1258" t="s">
        <v>348</v>
      </c>
      <c r="I301" s="1258"/>
      <c r="J301" s="1258"/>
      <c r="K301" s="1258"/>
      <c r="L301" s="1258"/>
      <c r="M301" s="1258"/>
      <c r="N301" s="1258"/>
      <c r="O301" s="1258"/>
      <c r="P301" s="1258"/>
      <c r="Q301" s="1258"/>
      <c r="R301" s="1258"/>
      <c r="S301" s="41"/>
      <c r="T301" s="41" t="s">
        <v>88</v>
      </c>
      <c r="U301"/>
      <c r="V301" s="41"/>
      <c r="W301" s="41"/>
      <c r="X301" s="41"/>
      <c r="Y301" s="41"/>
      <c r="Z301"/>
      <c r="AA301" s="1258" t="s">
        <v>100</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353" t="s">
        <v>2398</v>
      </c>
      <c r="I302" s="1258"/>
      <c r="J302" s="1258"/>
      <c r="K302" s="1258"/>
      <c r="L302" s="1258"/>
      <c r="M302" s="1258"/>
      <c r="N302" s="1258"/>
      <c r="O302" s="1258"/>
      <c r="P302" s="1258"/>
      <c r="Q302" s="1258"/>
      <c r="R302" s="1258"/>
      <c r="S302" s="41"/>
      <c r="T302" s="41" t="s">
        <v>90</v>
      </c>
      <c r="U302"/>
      <c r="V302" s="41"/>
      <c r="W302" s="41"/>
      <c r="X302" s="41"/>
      <c r="Y302" s="41"/>
      <c r="Z302"/>
      <c r="AA302" s="1353" t="s">
        <v>2456</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3" t="s">
        <v>2399</v>
      </c>
      <c r="I303" s="1674"/>
      <c r="J303" s="1674"/>
      <c r="K303" s="1674"/>
      <c r="L303" s="1674"/>
      <c r="M303" s="1674"/>
      <c r="N303" s="1674"/>
      <c r="O303" s="1674"/>
      <c r="P303" s="1674"/>
      <c r="Q303" s="1674"/>
      <c r="R303" s="1674"/>
      <c r="S303" s="41"/>
      <c r="T303" s="41" t="s">
        <v>101</v>
      </c>
      <c r="U303" s="41"/>
      <c r="V303" s="41"/>
      <c r="W303" s="41"/>
      <c r="X303" s="41"/>
      <c r="Y303" s="41"/>
      <c r="Z303" s="12"/>
      <c r="AA303" s="1673" t="s">
        <v>2454</v>
      </c>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c r="I308" s="1258"/>
      <c r="J308" s="1258"/>
      <c r="K308" s="1258"/>
      <c r="L308" s="1258"/>
      <c r="M308" s="1258"/>
      <c r="N308" s="1258"/>
      <c r="O308" s="1258"/>
      <c r="P308" s="1258"/>
      <c r="Q308" s="1258"/>
      <c r="R308" s="1258"/>
      <c r="S308"/>
      <c r="T308" s="41" t="s">
        <v>375</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75"/>
      <c r="I309" s="1404"/>
      <c r="J309" s="1404"/>
      <c r="K309" s="1404"/>
      <c r="L309" s="1404"/>
      <c r="M309" s="1404"/>
      <c r="N309" s="5" t="s">
        <v>818</v>
      </c>
      <c r="O309" s="5"/>
      <c r="P309" s="1393"/>
      <c r="Q309" s="1393"/>
      <c r="R309" s="1393"/>
      <c r="S309" s="41"/>
      <c r="T309" s="41" t="s">
        <v>376</v>
      </c>
      <c r="U309"/>
      <c r="V309" s="41"/>
      <c r="W309" s="41"/>
      <c r="X309" s="41"/>
      <c r="Y309" s="41"/>
      <c r="Z309"/>
      <c r="AA309" s="1404"/>
      <c r="AB309" s="1404"/>
      <c r="AC309" s="1404"/>
      <c r="AD309" s="1404"/>
      <c r="AE309" s="1404"/>
      <c r="AF309" s="1404"/>
      <c r="AG309" s="5" t="s">
        <v>818</v>
      </c>
      <c r="AH309" s="5"/>
      <c r="AI309" s="1393"/>
      <c r="AJ309" s="1393"/>
      <c r="AK309" s="1393"/>
      <c r="AL309" s="10"/>
      <c r="AN309" s="281"/>
    </row>
    <row r="310" spans="2:40" s="4" customFormat="1" ht="12.75" customHeight="1">
      <c r="B310" s="41" t="s">
        <v>88</v>
      </c>
      <c r="C310" s="41"/>
      <c r="D310" s="41"/>
      <c r="E310" s="41"/>
      <c r="F310" s="41"/>
      <c r="G310" s="41"/>
      <c r="H310" s="1258"/>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353"/>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4"/>
      <c r="I312" s="1674"/>
      <c r="J312" s="1674"/>
      <c r="K312" s="1674"/>
      <c r="L312" s="1674"/>
      <c r="M312" s="1674"/>
      <c r="N312" s="1674"/>
      <c r="O312" s="1674"/>
      <c r="P312" s="1674"/>
      <c r="Q312" s="1674"/>
      <c r="R312" s="1674"/>
      <c r="S312" s="41"/>
      <c r="T312" s="41" t="s">
        <v>101</v>
      </c>
      <c r="U312" s="41"/>
      <c r="V312" s="41"/>
      <c r="W312" s="41"/>
      <c r="X312" s="41"/>
      <c r="Y312" s="41"/>
      <c r="Z312" s="12"/>
      <c r="AA312" s="1674"/>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4"/>
      <c r="I318" s="1404"/>
      <c r="J318" s="1404"/>
      <c r="K318" s="1404"/>
      <c r="L318" s="1404"/>
      <c r="M318" s="1404"/>
      <c r="N318" s="5" t="s">
        <v>818</v>
      </c>
      <c r="O318" s="5"/>
      <c r="P318" s="1393"/>
      <c r="Q318" s="1393"/>
      <c r="R318" s="1393"/>
      <c r="S318" s="41"/>
      <c r="T318" s="41" t="s">
        <v>376</v>
      </c>
      <c r="U318"/>
      <c r="V318" s="41"/>
      <c r="W318" s="41"/>
      <c r="X318" s="41"/>
      <c r="Y318" s="41"/>
      <c r="Z318"/>
      <c r="AA318" s="1404"/>
      <c r="AB318" s="1404"/>
      <c r="AC318" s="1404"/>
      <c r="AD318" s="1404"/>
      <c r="AE318" s="1404"/>
      <c r="AF318" s="1404"/>
      <c r="AG318" s="5" t="s">
        <v>818</v>
      </c>
      <c r="AH318" s="5"/>
      <c r="AI318" s="1393"/>
      <c r="AJ318" s="1393"/>
      <c r="AK318" s="1393"/>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4"/>
      <c r="I321" s="1674"/>
      <c r="J321" s="1674"/>
      <c r="K321" s="1674"/>
      <c r="L321" s="1674"/>
      <c r="M321" s="1674"/>
      <c r="N321" s="1674"/>
      <c r="O321" s="1674"/>
      <c r="P321" s="1674"/>
      <c r="Q321" s="1674"/>
      <c r="R321" s="1674"/>
      <c r="S321" s="41"/>
      <c r="T321" s="41" t="s">
        <v>101</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4"/>
      <c r="I327" s="1404"/>
      <c r="J327" s="1404"/>
      <c r="K327" s="1404"/>
      <c r="L327" s="1404"/>
      <c r="M327" s="1404"/>
      <c r="N327" s="5" t="s">
        <v>818</v>
      </c>
      <c r="O327" s="5"/>
      <c r="P327" s="1393"/>
      <c r="Q327" s="1393"/>
      <c r="R327" s="1393"/>
      <c r="S327" s="41"/>
      <c r="T327" s="41" t="s">
        <v>376</v>
      </c>
      <c r="U327"/>
      <c r="V327" s="41"/>
      <c r="W327" s="41"/>
      <c r="X327" s="41"/>
      <c r="Y327" s="41"/>
      <c r="Z327"/>
      <c r="AA327" s="1404"/>
      <c r="AB327" s="1404"/>
      <c r="AC327" s="1404"/>
      <c r="AD327" s="1404"/>
      <c r="AE327" s="1404"/>
      <c r="AF327" s="1404"/>
      <c r="AG327" s="5" t="s">
        <v>818</v>
      </c>
      <c r="AH327" s="5"/>
      <c r="AI327" s="1393"/>
      <c r="AJ327" s="1393"/>
      <c r="AK327" s="1393"/>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4"/>
      <c r="I330" s="1674"/>
      <c r="J330" s="1674"/>
      <c r="K330" s="1674"/>
      <c r="L330" s="1674"/>
      <c r="M330" s="1674"/>
      <c r="N330" s="1674"/>
      <c r="O330" s="1674"/>
      <c r="P330" s="1674"/>
      <c r="Q330" s="1674"/>
      <c r="R330" s="1674"/>
      <c r="S330" s="41"/>
      <c r="T330" s="41" t="s">
        <v>101</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3" t="s">
        <v>365</v>
      </c>
      <c r="AF333" s="1723"/>
      <c r="AG333" s="1723"/>
      <c r="AH333" s="1723"/>
      <c r="AI333" s="1723"/>
      <c r="AJ333" s="1723"/>
      <c r="AK333" s="1723"/>
      <c r="AL333" s="3"/>
      <c r="AM333" s="827"/>
      <c r="AN333" s="3"/>
    </row>
    <row r="334" spans="1:76" s="4" customFormat="1" ht="12.75" customHeight="1">
      <c r="A334" s="3"/>
      <c r="B334" s="5"/>
      <c r="C334" s="1714" t="s">
        <v>1840</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1841</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6"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2298</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1842</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3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900</v>
      </c>
      <c r="AP354" s="71">
        <f>IF(C379="Yes",5,0)</f>
        <v>0</v>
      </c>
      <c r="AS354" s="3" t="s">
        <v>1778</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2">
        <f>IF(AQ368=0,AQ381,AQ368)</f>
        <v>10</v>
      </c>
      <c r="AT355" s="1692"/>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901</v>
      </c>
      <c r="AP356" s="71">
        <f>IF(C389="Yes",5,0)</f>
        <v>0</v>
      </c>
      <c r="AS356" s="3" t="s">
        <v>1811</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2">
        <f>IF(AND(AQ368&gt;0,AQ381&gt;0),(AQ368+AQ381)/2,0)</f>
        <v>0</v>
      </c>
      <c r="AT357" s="1692"/>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907</v>
      </c>
      <c r="AP358" s="71">
        <f>IF(C399="Yes",7,0)</f>
        <v>7</v>
      </c>
    </row>
    <row r="359" spans="1:46" s="4" customFormat="1" ht="12.75" customHeight="1">
      <c r="A359" s="27"/>
      <c r="B359" s="26"/>
      <c r="C359" s="1714" t="s">
        <v>1843</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0</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432</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3</v>
      </c>
    </row>
    <row r="363" spans="1:46" s="4" customFormat="1" ht="12.6"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171</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435</v>
      </c>
      <c r="AP365" s="71">
        <f>IF(C423="Yes",5,0)</f>
        <v>0</v>
      </c>
    </row>
    <row r="366" spans="1:46" s="4" customFormat="1" ht="12.75" customHeight="1">
      <c r="A366" s="27"/>
      <c r="B366" s="26"/>
      <c r="C366" s="1714" t="s">
        <v>1844</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610</v>
      </c>
      <c r="AP368" s="168">
        <f>SUM(AP354:AP367)</f>
        <v>10</v>
      </c>
      <c r="AQ368" s="1500">
        <f>IF(AP368&gt;0,AP368,0)</f>
        <v>10</v>
      </c>
      <c r="AR368" s="1500"/>
    </row>
    <row r="369" spans="1:153" s="4" customFormat="1" ht="12.6"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7">
        <f>Application!CQ649-U371</f>
        <v>58</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8">
        <f>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2" t="s">
        <v>1787</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124</v>
      </c>
      <c r="D379" s="109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0">
        <f>IF(AP381&gt;0,AP381,0)</f>
        <v>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2" t="s">
        <v>1786</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124</v>
      </c>
      <c r="D389" s="109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2" t="s">
        <v>1951</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108</v>
      </c>
      <c r="D399" s="109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124</v>
      </c>
      <c r="D401" s="109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2" t="s">
        <v>1785</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124</v>
      </c>
      <c r="D409" s="109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124</v>
      </c>
      <c r="D414" s="1098"/>
      <c r="E414" s="698" t="s">
        <v>193</v>
      </c>
      <c r="F414" s="1682" t="s">
        <v>1789</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1" t="s">
        <v>320</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2" t="s">
        <v>1791</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124</v>
      </c>
      <c r="D423" s="109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320</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7"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962</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2" t="s">
        <v>1792</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6"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124</v>
      </c>
      <c r="D432" s="109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320</v>
      </c>
      <c r="AG432" s="1711"/>
      <c r="AH432" s="1711"/>
      <c r="AI432" s="1711"/>
      <c r="AJ432" s="1711"/>
      <c r="AK432" s="1711"/>
      <c r="AL432" s="171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682" t="s">
        <v>1793</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124</v>
      </c>
      <c r="D444" s="109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320</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2" t="s">
        <v>1796</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124</v>
      </c>
      <c r="D451" s="109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320</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967</v>
      </c>
      <c r="F455" s="1682" t="s">
        <v>969</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1" t="s">
        <v>320</v>
      </c>
      <c r="AG455" s="1721"/>
      <c r="AH455" s="1721"/>
      <c r="AI455" s="1721"/>
      <c r="AJ455" s="1721"/>
      <c r="AK455" s="1721"/>
      <c r="AL455" s="1722"/>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9" t="s">
        <v>124</v>
      </c>
      <c r="D459" s="1870"/>
      <c r="E459" s="698" t="s">
        <v>968</v>
      </c>
      <c r="F459" s="1682" t="s">
        <v>1833</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1" t="s">
        <v>320</v>
      </c>
      <c r="AG459" s="1721"/>
      <c r="AH459" s="1721"/>
      <c r="AI459" s="1721"/>
      <c r="AJ459" s="1721"/>
      <c r="AK459" s="1721"/>
      <c r="AL459" s="1722"/>
      <c r="AM459"/>
      <c r="AN459" s="670"/>
      <c r="AO459" s="4" t="s">
        <v>1335</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1331</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1332</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2" t="s">
        <v>1834</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975</v>
      </c>
      <c r="BA465" s="345" t="s">
        <v>976</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7" t="s">
        <v>124</v>
      </c>
      <c r="D468" s="109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5" t="s">
        <v>124</v>
      </c>
      <c r="D483" s="1686"/>
      <c r="E483" s="749" t="s">
        <v>195</v>
      </c>
      <c r="F483" s="1719" t="s">
        <v>972</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1334</v>
      </c>
      <c r="AP484" s="4">
        <v>1</v>
      </c>
    </row>
    <row r="485" spans="1:50" s="4" customFormat="1" ht="12.75" hidden="1" customHeight="1">
      <c r="C485" s="727"/>
      <c r="D485" s="714"/>
      <c r="E485" s="728"/>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6" t="s">
        <v>657</v>
      </c>
      <c r="AV504" s="1707"/>
      <c r="AW504" s="1707"/>
      <c r="AX504" s="1707"/>
      <c r="AY504" s="1707"/>
      <c r="AZ504" s="1707"/>
      <c r="BA504" s="1707"/>
      <c r="BB504" s="20"/>
      <c r="BC504" s="20"/>
      <c r="BE504" s="4"/>
      <c r="BF504" s="4"/>
      <c r="BG504" s="4"/>
      <c r="BH504" s="4"/>
      <c r="BI504" s="4"/>
      <c r="BJ504" s="1704" t="s">
        <v>30</v>
      </c>
      <c r="BK504" s="1705"/>
      <c r="BL504" s="1705"/>
      <c r="BM504" s="1705"/>
      <c r="BN504" s="1705"/>
      <c r="BO504" s="1705"/>
      <c r="BP504" s="170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6"/>
      <c r="AV505" s="1707"/>
      <c r="AW505" s="1707"/>
      <c r="AX505" s="1707"/>
      <c r="AY505" s="1707"/>
      <c r="AZ505" s="1707"/>
      <c r="BA505" s="1707"/>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120"/>
      <c r="B506" s="4"/>
      <c r="C506" s="1685" t="s">
        <v>124</v>
      </c>
      <c r="D506" s="1686"/>
      <c r="E506" s="742" t="s">
        <v>195</v>
      </c>
      <c r="F506" s="1719" t="s">
        <v>972</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10" t="s">
        <v>1498</v>
      </c>
      <c r="AQ507" s="1511"/>
      <c r="AR507" s="1512"/>
      <c r="AS507" s="624">
        <v>80</v>
      </c>
      <c r="AT507" s="4">
        <v>0</v>
      </c>
      <c r="AU507" s="160">
        <v>10</v>
      </c>
      <c r="AV507" s="160">
        <v>25</v>
      </c>
      <c r="AW507" s="160">
        <v>37.5</v>
      </c>
      <c r="AX507" s="160">
        <v>35</v>
      </c>
      <c r="AY507" s="160">
        <v>37.5</v>
      </c>
      <c r="AZ507" s="160">
        <v>50</v>
      </c>
      <c r="BA507" s="160">
        <v>50</v>
      </c>
      <c r="BB507" s="21"/>
      <c r="BC507" s="21"/>
      <c r="BE507" s="1510" t="s">
        <v>1498</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974</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124</v>
      </c>
      <c r="D510" s="1686"/>
      <c r="E510" s="742" t="s">
        <v>303</v>
      </c>
      <c r="F510" s="1871" t="s">
        <v>1158</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124</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124</v>
      </c>
      <c r="D515" s="168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124</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124</v>
      </c>
      <c r="D520" s="169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124</v>
      </c>
      <c r="D524" s="1691"/>
      <c r="F524" s="496" t="s">
        <v>874</v>
      </c>
      <c r="G524" s="1675" t="s">
        <v>983</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703">
        <f>BJ528</f>
        <v>24</v>
      </c>
      <c r="BE524" s="1703"/>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3">
        <f>SUM(E581:J589)</f>
        <v>24</v>
      </c>
      <c r="BE525" s="1703"/>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01">
        <v>0</v>
      </c>
      <c r="BK526" s="170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1">
        <f>Application!AG431</f>
        <v>0</v>
      </c>
      <c r="BK527" s="1702"/>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1">
        <f>Application!AG433</f>
        <v>24</v>
      </c>
      <c r="BK528" s="1702"/>
      <c r="BM528" s="1698"/>
      <c r="BN528" s="1700"/>
      <c r="BO528" s="1698"/>
      <c r="BP528" s="1700"/>
      <c r="BQ528" s="1708"/>
      <c r="BR528" s="1710"/>
      <c r="BS528" s="1708"/>
      <c r="BT528" s="1710"/>
      <c r="BU528" s="1698">
        <f>IF(T611&gt;0,1,0)</f>
        <v>1</v>
      </c>
      <c r="BV528" s="1700"/>
      <c r="BW528" s="1698">
        <f>IF(Y611&gt;=0.1,1,0)</f>
        <v>1</v>
      </c>
      <c r="BX528" s="1700"/>
      <c r="BY528" s="1708"/>
      <c r="BZ528" s="1710"/>
      <c r="CA528" s="1708"/>
      <c r="CB528" s="1710"/>
      <c r="CC528" s="1698"/>
      <c r="CD528" s="1700"/>
      <c r="CE528" s="1698"/>
      <c r="CF528" s="1700"/>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8"/>
      <c r="BN529" s="1700"/>
      <c r="BO529" s="1698"/>
      <c r="BP529" s="1700"/>
      <c r="BQ529" s="1708"/>
      <c r="BR529" s="1710"/>
      <c r="BS529" s="1708"/>
      <c r="BT529" s="1710"/>
      <c r="BU529" s="1698"/>
      <c r="BV529" s="1700"/>
      <c r="BW529" s="1698"/>
      <c r="BX529" s="1700"/>
      <c r="BY529" s="1708">
        <f>IF(T612&gt;0,1,0)</f>
        <v>0</v>
      </c>
      <c r="BZ529" s="1710"/>
      <c r="CA529" s="1708">
        <f>IF(Y612&gt;=0.1,1,0)</f>
        <v>0</v>
      </c>
      <c r="CB529" s="1710"/>
      <c r="CC529" s="1698"/>
      <c r="CD529" s="1700"/>
      <c r="CE529" s="1698"/>
      <c r="CF529" s="1700"/>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8"/>
      <c r="BN530" s="1700"/>
      <c r="BO530" s="1698"/>
      <c r="BP530" s="1700"/>
      <c r="BQ530" s="1708"/>
      <c r="BR530" s="1710"/>
      <c r="BS530" s="1708"/>
      <c r="BT530" s="1710"/>
      <c r="BU530" s="1698"/>
      <c r="BV530" s="1700"/>
      <c r="BW530" s="1698"/>
      <c r="BX530" s="1700"/>
      <c r="BY530" s="1708"/>
      <c r="BZ530" s="1710"/>
      <c r="CA530" s="1708"/>
      <c r="CB530" s="1710"/>
      <c r="CC530" s="1698">
        <f>IF(T613&gt;0,1,0)</f>
        <v>0</v>
      </c>
      <c r="CD530" s="1700"/>
      <c r="CE530" s="1698">
        <f>IF(Y613&gt;=0.1,1,0)</f>
        <v>0</v>
      </c>
      <c r="CF530" s="170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8">
        <f>SUM(BM526:BN530)</f>
        <v>0</v>
      </c>
      <c r="BN531" s="1700"/>
      <c r="BO531" s="1698">
        <f>SUM(BO526:BP530)</f>
        <v>0</v>
      </c>
      <c r="BP531" s="1700"/>
      <c r="BQ531" s="1698">
        <f>SUM(BQ526:BR530)</f>
        <v>1</v>
      </c>
      <c r="BR531" s="1700"/>
      <c r="BS531" s="1698">
        <f>SUM(BS526:BT530)</f>
        <v>1</v>
      </c>
      <c r="BT531" s="1700"/>
      <c r="BU531" s="1698">
        <f>SUM(BU526:BV530)</f>
        <v>1</v>
      </c>
      <c r="BV531" s="1700"/>
      <c r="BW531" s="1698">
        <f>SUM(BW526:BX530)</f>
        <v>1</v>
      </c>
      <c r="BX531" s="1700"/>
      <c r="BY531" s="1698">
        <f>SUM(BY526:BZ530)</f>
        <v>0</v>
      </c>
      <c r="BZ531" s="1700"/>
      <c r="CA531" s="1698">
        <f>SUM(CA526:CB530)</f>
        <v>0</v>
      </c>
      <c r="CB531" s="1700"/>
      <c r="CC531" s="1698">
        <f>SUM(CC526:CD530)</f>
        <v>0</v>
      </c>
      <c r="CD531" s="1700"/>
      <c r="CE531" s="1698">
        <f>SUM(CE526:CF530)</f>
        <v>0</v>
      </c>
      <c r="CF531" s="1700"/>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456</v>
      </c>
      <c r="AQ532" s="1716"/>
      <c r="AR532" s="1716"/>
      <c r="AS532" s="1716"/>
      <c r="AT532" s="1717"/>
      <c r="AU532" s="1715" t="s">
        <v>457</v>
      </c>
      <c r="AV532" s="1716"/>
      <c r="AW532" s="1716"/>
      <c r="AX532" s="1716"/>
      <c r="AY532" s="1717"/>
      <c r="BM532" s="1708">
        <f>SUM(BM531:BP531)</f>
        <v>0</v>
      </c>
      <c r="BN532" s="1709"/>
      <c r="BO532" s="1709"/>
      <c r="BP532" s="1710"/>
      <c r="BQ532" s="1708">
        <f>SUM(BQ531:BT531)</f>
        <v>2</v>
      </c>
      <c r="BR532" s="1709"/>
      <c r="BS532" s="1709"/>
      <c r="BT532" s="1710"/>
      <c r="BU532" s="1708">
        <f>SUM(BU531:BX531)</f>
        <v>2</v>
      </c>
      <c r="BV532" s="1709"/>
      <c r="BW532" s="1709"/>
      <c r="BX532" s="1710"/>
      <c r="BY532" s="1708">
        <f>SUM(BY531:CB531)</f>
        <v>0</v>
      </c>
      <c r="BZ532" s="1709"/>
      <c r="CA532" s="1709"/>
      <c r="CB532" s="1710"/>
      <c r="CC532" s="1708">
        <f>SUM(CC531:CF531)</f>
        <v>0</v>
      </c>
      <c r="CD532" s="1709"/>
      <c r="CE532" s="1709"/>
      <c r="CF532" s="1710"/>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3">
        <f>RANK(T609,$T$609:$X$613,0)+COUNTIF($T$609:$X$613,T609)-1</f>
        <v>5</v>
      </c>
      <c r="AQ533" s="1694"/>
      <c r="AR533" s="1694"/>
      <c r="AS533" s="1694"/>
      <c r="AT533" s="1695"/>
      <c r="AU533" s="1693">
        <f>RANK(Y609,$Y$609:$AC$613,0)+COUNTIF($Y$609:$AC$613,Y609)-1</f>
        <v>5</v>
      </c>
      <c r="AV533" s="1694"/>
      <c r="AW533" s="1694"/>
      <c r="AX533" s="1694"/>
      <c r="AY533" s="1695"/>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3">
        <f>RANK(T610,$T$609:$X$613,0)+COUNTIF($T$609:$X$613,T610)-1</f>
        <v>2</v>
      </c>
      <c r="AQ534" s="1694"/>
      <c r="AR534" s="1694"/>
      <c r="AS534" s="1694"/>
      <c r="AT534" s="1695"/>
      <c r="AU534" s="1693">
        <f>RANK(Y610,$Y$609:$AC$613,0)+COUNTIF($Y$609:$AC$613,Y610)-1</f>
        <v>2</v>
      </c>
      <c r="AV534" s="1694"/>
      <c r="AW534" s="1694"/>
      <c r="AX534" s="1694"/>
      <c r="AY534" s="1695"/>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3">
        <f>RANK(T611,$T$609:$X$613,0)+COUNTIF($T$609:$X$613,T611)-1</f>
        <v>1</v>
      </c>
      <c r="AQ535" s="1694"/>
      <c r="AR535" s="1694"/>
      <c r="AS535" s="1694"/>
      <c r="AT535" s="1695"/>
      <c r="AU535" s="1693">
        <f>RANK(Y611,$Y$609:$AC$613,0)+COUNTIF($Y$609:$AC$613,Y611)-1</f>
        <v>1</v>
      </c>
      <c r="AV535" s="1694"/>
      <c r="AW535" s="1694"/>
      <c r="AX535" s="1694"/>
      <c r="AY535" s="1695"/>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3">
        <f>RANK(T612,$T$609:$X$613,0)+COUNTIF($T$609:$X$613,T612)-1</f>
        <v>5</v>
      </c>
      <c r="AQ536" s="1694"/>
      <c r="AR536" s="1694"/>
      <c r="AS536" s="1694"/>
      <c r="AT536" s="1695"/>
      <c r="AU536" s="1693">
        <f>RANK(Y612,$Y$609:$AC$613,0)+COUNTIF($Y$609:$AC$613,Y612)-1</f>
        <v>5</v>
      </c>
      <c r="AV536" s="1694"/>
      <c r="AW536" s="1694"/>
      <c r="AX536" s="1694"/>
      <c r="AY536" s="1695"/>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3">
        <f>RANK(T613,$T$609:$X$613,0)+COUNTIF($T$609:$X$613,T613)-1</f>
        <v>5</v>
      </c>
      <c r="AQ537" s="1694"/>
      <c r="AR537" s="1694"/>
      <c r="AS537" s="1694"/>
      <c r="AT537" s="1695"/>
      <c r="AU537" s="1693">
        <f>RANK(Y613,$Y$609:$AC$613,0)+COUNTIF($Y$609:$AC$613,Y613)-1</f>
        <v>5</v>
      </c>
      <c r="AV537" s="1694"/>
      <c r="AW537" s="1694"/>
      <c r="AX537" s="1694"/>
      <c r="AY537" s="1695"/>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8">
        <f>SUM(O609:S613)</f>
        <v>24</v>
      </c>
      <c r="AZ541" s="1700"/>
      <c r="CG541"/>
      <c r="CH541" s="1829"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8" t="str">
        <f>IF(AY541=BK568,"passed","failed")</f>
        <v>passed</v>
      </c>
      <c r="AT542" s="1699"/>
      <c r="AU542" s="1700"/>
      <c r="AV542" s="151"/>
      <c r="AW542" s="151"/>
      <c r="AX542" s="151"/>
      <c r="AY542" s="151"/>
      <c r="AZ542" s="152"/>
      <c r="CG542"/>
      <c r="CH542" s="1233"/>
      <c r="CI542" s="1234"/>
      <c r="CJ542" s="1234"/>
      <c r="CK542" s="1235"/>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366</v>
      </c>
      <c r="AF543" s="1723"/>
      <c r="AG543" s="1723"/>
      <c r="AH543" s="1723"/>
      <c r="AI543" s="1723"/>
      <c r="AJ543" s="1723"/>
      <c r="AK543" s="172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182</v>
      </c>
      <c r="AH544" s="1711"/>
      <c r="AI544" s="1711"/>
      <c r="AJ544" s="1711"/>
      <c r="AK544" s="18"/>
      <c r="AL544" s="18"/>
      <c r="AM544" s="21"/>
      <c r="AN544" s="281"/>
      <c r="BE544" s="1708" t="s">
        <v>223</v>
      </c>
      <c r="BF544" s="1709"/>
      <c r="BG544" s="1709"/>
      <c r="BH544" s="1710"/>
      <c r="BI544" s="1708" t="s">
        <v>716</v>
      </c>
      <c r="BJ544" s="1709"/>
      <c r="BK544" s="1709"/>
      <c r="BL544" s="1710"/>
      <c r="BM544" s="1708" t="s">
        <v>717</v>
      </c>
      <c r="BN544" s="1709"/>
      <c r="BO544" s="1709"/>
      <c r="BP544" s="1710"/>
      <c r="BQ544" s="1708" t="s">
        <v>718</v>
      </c>
      <c r="BR544" s="1709"/>
      <c r="BS544" s="1709"/>
      <c r="BT544" s="1710"/>
      <c r="BU544" s="1708" t="s">
        <v>719</v>
      </c>
      <c r="BV544" s="1709"/>
      <c r="BW544" s="1709"/>
      <c r="BX544" s="1710"/>
      <c r="BY544" s="1708" t="s">
        <v>224</v>
      </c>
      <c r="BZ544" s="1709"/>
      <c r="CA544" s="1709"/>
      <c r="CB544" s="1710"/>
      <c r="CC544"/>
      <c r="CG544"/>
      <c r="CH544" s="1233"/>
      <c r="CI544" s="1234"/>
      <c r="CJ544" s="1234"/>
      <c r="CK544" s="1235"/>
    </row>
    <row r="545" spans="1:89" s="4" customFormat="1" ht="12.75" customHeight="1">
      <c r="A545" s="3"/>
      <c r="B545" s="1672" t="s">
        <v>1720</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4" t="s">
        <v>613</v>
      </c>
      <c r="AQ545" s="435"/>
      <c r="AR545" s="435"/>
      <c r="AS545" s="435"/>
      <c r="AT545" s="435"/>
      <c r="AU545" s="435"/>
      <c r="AV545" s="436"/>
      <c r="AW545" s="435"/>
      <c r="AX545" s="435"/>
      <c r="AY545" s="436"/>
      <c r="BE545" s="1698">
        <f>IF(CH546=1,0,1)</f>
        <v>0</v>
      </c>
      <c r="BF545" s="1699"/>
      <c r="BG545" s="1699"/>
      <c r="BH545" s="1700"/>
      <c r="BI545" s="1698"/>
      <c r="BJ545" s="1699"/>
      <c r="BK545" s="1699"/>
      <c r="BL545" s="1700"/>
      <c r="BM545" s="1698"/>
      <c r="BN545" s="1699"/>
      <c r="BO545" s="1699"/>
      <c r="BP545" s="1700"/>
      <c r="BQ545" s="1698"/>
      <c r="BR545" s="1699"/>
      <c r="BS545" s="1699"/>
      <c r="BT545" s="1700"/>
      <c r="BU545" s="1708"/>
      <c r="BV545" s="1709"/>
      <c r="BW545" s="1709"/>
      <c r="BX545" s="1710"/>
      <c r="BY545" s="1708"/>
      <c r="BZ545" s="1709"/>
      <c r="CA545" s="1709"/>
      <c r="CB545" s="1710"/>
      <c r="CC545"/>
      <c r="CG545"/>
      <c r="CH545" s="1236"/>
      <c r="CI545" s="1237"/>
      <c r="CJ545" s="1237"/>
      <c r="CK545" s="123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7" t="s">
        <v>611</v>
      </c>
      <c r="AQ546" s="438"/>
      <c r="AR546" s="438"/>
      <c r="AS546" s="438"/>
      <c r="AT546" s="438"/>
      <c r="AU546" s="1696">
        <f>ROUNDUP(BK568*0.1,0)</f>
        <v>3</v>
      </c>
      <c r="AV546" s="1697"/>
      <c r="AW546" s="438"/>
      <c r="AX546" s="438">
        <f>AU546-AP548</f>
        <v>0</v>
      </c>
      <c r="AY546" s="439"/>
      <c r="BE546" s="1698"/>
      <c r="BF546" s="1699"/>
      <c r="BG546" s="1699"/>
      <c r="BH546" s="1700"/>
      <c r="BI546" s="1698">
        <f>IF(AND(CH547=1,BE545=0),0,1)</f>
        <v>0</v>
      </c>
      <c r="BJ546" s="1699"/>
      <c r="BK546" s="1699"/>
      <c r="BL546" s="1700"/>
      <c r="BM546" s="1698"/>
      <c r="BN546" s="1699"/>
      <c r="BO546" s="1699"/>
      <c r="BP546" s="1700"/>
      <c r="BQ546" s="1698"/>
      <c r="BR546" s="1699"/>
      <c r="BS546" s="1699"/>
      <c r="BT546" s="1700"/>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7"/>
      <c r="AQ547" s="438"/>
      <c r="AR547" s="438"/>
      <c r="AS547" s="438"/>
      <c r="AT547" s="438"/>
      <c r="AU547" s="438"/>
      <c r="AV547" s="439"/>
      <c r="AW547" s="438"/>
      <c r="AX547" s="438"/>
      <c r="AY547" s="439"/>
      <c r="BE547" s="1698"/>
      <c r="BF547" s="1699"/>
      <c r="BG547" s="1699"/>
      <c r="BH547" s="1700"/>
      <c r="BI547" s="1698"/>
      <c r="BJ547" s="1699"/>
      <c r="BK547" s="1699"/>
      <c r="BL547" s="1700"/>
      <c r="BM547" s="1698">
        <f>IF(AND(AND(CH548=1,BI546=0,BE545=0)),0,1)</f>
        <v>0</v>
      </c>
      <c r="BN547" s="1699"/>
      <c r="BO547" s="1699"/>
      <c r="BP547" s="1700"/>
      <c r="BQ547" s="1698"/>
      <c r="BR547" s="1699"/>
      <c r="BS547" s="1699"/>
      <c r="BT547" s="1700"/>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8">
        <f>SUM(T609:X613)</f>
        <v>3</v>
      </c>
      <c r="AQ548" s="1739"/>
      <c r="AR548" s="1739"/>
      <c r="AS548" s="1739"/>
      <c r="AT548" s="1740"/>
      <c r="AU548" s="438"/>
      <c r="AV548" s="439"/>
      <c r="AW548" s="438"/>
      <c r="AX548" s="438"/>
      <c r="AY548" s="439"/>
      <c r="BE548" s="1698"/>
      <c r="BF548" s="1699"/>
      <c r="BG548" s="1699"/>
      <c r="BH548" s="1700"/>
      <c r="BI548" s="1698"/>
      <c r="BJ548" s="1699"/>
      <c r="BK548" s="1699"/>
      <c r="BL548" s="1700"/>
      <c r="BM548" s="1698"/>
      <c r="BN548" s="1699"/>
      <c r="BO548" s="1699"/>
      <c r="BP548" s="1700"/>
      <c r="BQ548" s="1698">
        <f>IF(AND(AND(AND(CH549=1,BM547=0,BI546=0,BE545=0))),0,1)</f>
        <v>0</v>
      </c>
      <c r="BR548" s="1699"/>
      <c r="BS548" s="1699"/>
      <c r="BT548" s="1700"/>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40"/>
      <c r="AQ549" s="441"/>
      <c r="AR549" s="441"/>
      <c r="AS549" s="441"/>
      <c r="AT549" s="442" t="s">
        <v>606</v>
      </c>
      <c r="AU549" s="1696" t="str">
        <f>IF(AP548&gt;=AU546,"passed","failed")</f>
        <v>passed</v>
      </c>
      <c r="AV549" s="1840"/>
      <c r="AW549" s="1697"/>
      <c r="AX549" s="443"/>
      <c r="AY549" s="444"/>
      <c r="BE549" s="1698"/>
      <c r="BF549" s="1699"/>
      <c r="BG549" s="1699"/>
      <c r="BH549" s="1700"/>
      <c r="BI549" s="1698"/>
      <c r="BJ549" s="1699"/>
      <c r="BK549" s="1699"/>
      <c r="BL549" s="1700"/>
      <c r="BM549" s="1698"/>
      <c r="BN549" s="1699"/>
      <c r="BO549" s="1699"/>
      <c r="BP549" s="1700"/>
      <c r="BQ549" s="1698"/>
      <c r="BR549" s="1699"/>
      <c r="BS549" s="1699"/>
      <c r="BT549" s="1700"/>
      <c r="BU549" s="1698">
        <f>IF(AND(AND(AND(AND(CH550=1,BQ548=0,BM547=0,BI546=0,BE545=0)))),0,1)</f>
        <v>0</v>
      </c>
      <c r="BV549" s="1699"/>
      <c r="BW549" s="1699"/>
      <c r="BX549" s="1700"/>
      <c r="BY549" s="1708"/>
      <c r="BZ549" s="1709"/>
      <c r="CA549" s="1709"/>
      <c r="CB549" s="1710"/>
      <c r="CC549"/>
      <c r="CD549"/>
      <c r="CE549"/>
      <c r="CF549"/>
      <c r="CG549"/>
      <c r="CH549" s="1708">
        <f>IF(OR(Y612=0,Y612&gt;=0.1),1,0)</f>
        <v>1</v>
      </c>
      <c r="CI549" s="1709"/>
      <c r="CJ549" s="1709"/>
      <c r="CK549" s="1710"/>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8">
        <f>SUM(BE545:BH549)</f>
        <v>0</v>
      </c>
      <c r="BF550" s="1699"/>
      <c r="BG550" s="1699"/>
      <c r="BH550" s="1700"/>
      <c r="BI550" s="1698">
        <f>SUM(BI545:BL549)</f>
        <v>0</v>
      </c>
      <c r="BJ550" s="1699"/>
      <c r="BK550" s="1699"/>
      <c r="BL550" s="1700"/>
      <c r="BM550" s="1698">
        <f>SUM(BM545:BP549)</f>
        <v>0</v>
      </c>
      <c r="BN550" s="1699"/>
      <c r="BO550" s="1699"/>
      <c r="BP550" s="1700"/>
      <c r="BQ550" s="1698">
        <f>SUM(BQ545:BT549)</f>
        <v>0</v>
      </c>
      <c r="BR550" s="1699"/>
      <c r="BS550" s="1699"/>
      <c r="BT550" s="1700"/>
      <c r="BU550" s="1698">
        <f>SUM(BU545:BX549)</f>
        <v>0</v>
      </c>
      <c r="BV550" s="1699"/>
      <c r="BW550" s="1699"/>
      <c r="BX550" s="1700"/>
      <c r="BY550" s="1698">
        <f>SUM(BY545:CB549)</f>
        <v>0</v>
      </c>
      <c r="BZ550" s="1699"/>
      <c r="CA550" s="1699"/>
      <c r="CB550" s="1700"/>
      <c r="CC550" s="1708">
        <f>IF(AND(CH546=1,T609&gt;0),0,SUM(BE550:CB550))</f>
        <v>0</v>
      </c>
      <c r="CD550" s="1709"/>
      <c r="CE550" s="1709"/>
      <c r="CF550" s="1710"/>
      <c r="CG550"/>
      <c r="CH550" s="1708">
        <f>IF(OR(Y613=0,Y613&gt;=0.1),1,0)</f>
        <v>1</v>
      </c>
      <c r="CI550" s="1709"/>
      <c r="CJ550" s="1709"/>
      <c r="CK550" s="1710"/>
    </row>
    <row r="551" spans="1:89" s="4" customFormat="1" ht="12.6" customHeight="1">
      <c r="B551" s="1844" t="s">
        <v>1499</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4" t="s">
        <v>1762</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606</v>
      </c>
      <c r="AU554" s="151"/>
      <c r="AV554" s="1698" t="str">
        <f>IF(BJ590&gt;0,"failed","passed")</f>
        <v>failed</v>
      </c>
      <c r="AW554" s="1699"/>
      <c r="AX554" s="1699"/>
      <c r="AY554" s="1700"/>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1500</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1761</v>
      </c>
      <c r="R559" s="1684"/>
      <c r="S559" s="1756" t="s">
        <v>204</v>
      </c>
      <c r="T559" s="1756"/>
      <c r="U559" s="1683">
        <v>0.5</v>
      </c>
      <c r="V559" s="1684"/>
      <c r="W559" s="1683">
        <v>0.45</v>
      </c>
      <c r="X559" s="1684"/>
      <c r="Y559" s="1683">
        <v>0.4</v>
      </c>
      <c r="Z559" s="1684"/>
      <c r="AA559" s="1683">
        <v>0.35</v>
      </c>
      <c r="AB559" s="1684"/>
      <c r="AC559" s="1838">
        <v>0.3</v>
      </c>
      <c r="AD559" s="1839"/>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79"/>
      <c r="R560" s="1845"/>
      <c r="S560" s="1853"/>
      <c r="T560" s="1853"/>
      <c r="U560" s="1845"/>
      <c r="V560" s="1845"/>
      <c r="W560" s="1845"/>
      <c r="X560" s="1845"/>
      <c r="Y560" s="1845"/>
      <c r="Z560" s="1845"/>
      <c r="AA560" s="1848"/>
      <c r="AB560" s="1848"/>
      <c r="AC560" s="1845"/>
      <c r="AD560" s="1845"/>
      <c r="AE560" s="1836"/>
      <c r="AF560" s="1837"/>
      <c r="AN560" s="281"/>
      <c r="AP560" s="144" t="s">
        <v>713</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80"/>
      <c r="P561" s="1681"/>
      <c r="Q561" s="1852"/>
      <c r="R561" s="1688"/>
      <c r="S561" s="1688"/>
      <c r="T561" s="1688"/>
      <c r="U561" s="1688"/>
      <c r="V561" s="1688"/>
      <c r="W561" s="1688"/>
      <c r="X561" s="1688"/>
      <c r="Y561" s="1653"/>
      <c r="Z561" s="1653"/>
      <c r="AA561" s="1688"/>
      <c r="AB561" s="1688"/>
      <c r="AC561" s="1653"/>
      <c r="AD561" s="1653"/>
      <c r="AE561" s="1731"/>
      <c r="AF561" s="1732"/>
      <c r="AN561" s="281"/>
      <c r="AP561"/>
      <c r="AQ561"/>
      <c r="AR561"/>
      <c r="AS561"/>
      <c r="AT561"/>
      <c r="AU561"/>
      <c r="AV561"/>
      <c r="AW561"/>
      <c r="AX561"/>
      <c r="AY561"/>
    </row>
    <row r="562" spans="1:96" s="4" customFormat="1" ht="12.75" customHeight="1">
      <c r="B562" s="63"/>
      <c r="I562" s="220"/>
      <c r="J562" s="162"/>
      <c r="N562" s="5"/>
      <c r="O562" s="1680"/>
      <c r="P562" s="1681"/>
      <c r="Q562" s="1852"/>
      <c r="R562" s="1688"/>
      <c r="S562" s="1688"/>
      <c r="T562" s="1688"/>
      <c r="U562" s="1688"/>
      <c r="V562" s="1688"/>
      <c r="W562" s="1688"/>
      <c r="X562" s="1688"/>
      <c r="Y562" s="1688"/>
      <c r="Z562" s="1688"/>
      <c r="AA562" s="1653"/>
      <c r="AB562" s="1653"/>
      <c r="AC562" s="1688"/>
      <c r="AD562" s="1688"/>
      <c r="AE562" s="1733"/>
      <c r="AF562" s="1734"/>
      <c r="AN562" s="281"/>
      <c r="AP562" s="153" t="s">
        <v>607</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80"/>
      <c r="P563" s="1681"/>
      <c r="Q563" s="1852"/>
      <c r="R563" s="1688"/>
      <c r="S563" s="1688"/>
      <c r="T563" s="1688"/>
      <c r="U563" s="1688"/>
      <c r="V563" s="1688"/>
      <c r="W563" s="1688"/>
      <c r="X563" s="1688"/>
      <c r="Y563" s="1653"/>
      <c r="Z563" s="1653"/>
      <c r="AA563" s="1688"/>
      <c r="AB563" s="1688"/>
      <c r="AC563" s="1653"/>
      <c r="AD563" s="1653"/>
      <c r="AE563" s="1731"/>
      <c r="AF563" s="1732"/>
      <c r="AN563" s="281"/>
    </row>
    <row r="564" spans="1:96" s="4" customFormat="1" ht="12.75" customHeight="1">
      <c r="B564" s="63"/>
      <c r="I564" s="220"/>
      <c r="J564" s="162"/>
      <c r="N564" s="5"/>
      <c r="O564" s="1680"/>
      <c r="P564" s="1681"/>
      <c r="Q564" s="1852"/>
      <c r="R564" s="1688"/>
      <c r="S564" s="1688"/>
      <c r="T564" s="1688"/>
      <c r="U564" s="1688"/>
      <c r="V564" s="1688"/>
      <c r="W564" s="1653"/>
      <c r="X564" s="1653"/>
      <c r="Y564" s="1688"/>
      <c r="Z564" s="1688"/>
      <c r="AA564" s="1653"/>
      <c r="AB564" s="1653"/>
      <c r="AC564" s="1688"/>
      <c r="AD564" s="1688"/>
      <c r="AE564" s="1733"/>
      <c r="AF564" s="1734"/>
      <c r="AN564" s="281"/>
    </row>
    <row r="565" spans="1:96" s="4" customFormat="1" ht="12.75" customHeight="1">
      <c r="B565" s="63"/>
      <c r="I565" s="220"/>
      <c r="J565" s="162"/>
      <c r="N565" s="5"/>
      <c r="O565" s="1680"/>
      <c r="P565" s="1681"/>
      <c r="Q565" s="1852"/>
      <c r="R565" s="1688"/>
      <c r="S565" s="1688"/>
      <c r="T565" s="1688"/>
      <c r="U565" s="1688"/>
      <c r="V565" s="1688"/>
      <c r="W565" s="1688"/>
      <c r="X565" s="1688"/>
      <c r="Y565" s="1653"/>
      <c r="Z565" s="1653"/>
      <c r="AA565" s="1688"/>
      <c r="AB565" s="1688"/>
      <c r="AC565" s="1653"/>
      <c r="AD565" s="1653"/>
      <c r="AE565" s="1731"/>
      <c r="AF565" s="1732"/>
      <c r="AN565" s="281"/>
      <c r="AU565" s="21"/>
      <c r="AV565" s="21"/>
      <c r="AW565" s="8"/>
      <c r="AX565" s="9"/>
      <c r="AY565" s="9"/>
      <c r="AZ565" s="60" t="s">
        <v>1126</v>
      </c>
      <c r="BA565" s="1821" t="s">
        <v>714</v>
      </c>
      <c r="BB565" s="1822"/>
      <c r="BC565" s="1822"/>
      <c r="BD565" s="1822"/>
      <c r="BE565" s="1823"/>
      <c r="BF565" s="1849">
        <f>SUM(O609:S613)</f>
        <v>24</v>
      </c>
      <c r="BG565" s="1850"/>
      <c r="BH565" s="1850"/>
      <c r="BI565" s="1850"/>
      <c r="BJ565" s="1851"/>
      <c r="BK565" s="1657">
        <f>SUM(T609:X613)</f>
        <v>3</v>
      </c>
      <c r="BL565" s="1658"/>
      <c r="BM565" s="1658"/>
      <c r="BN565" s="1658"/>
      <c r="BO565" s="1659"/>
    </row>
    <row r="566" spans="1:96" s="4" customFormat="1" ht="12.75" customHeight="1">
      <c r="B566" s="35"/>
      <c r="I566" s="1513" t="s">
        <v>1498</v>
      </c>
      <c r="J566" s="1514"/>
      <c r="K566" s="1514"/>
      <c r="L566" s="1514"/>
      <c r="M566" s="1514"/>
      <c r="N566" s="1515"/>
      <c r="O566" s="1680">
        <v>0.5</v>
      </c>
      <c r="P566" s="1681"/>
      <c r="Q566" s="1892"/>
      <c r="R566" s="1730"/>
      <c r="S566" s="1688"/>
      <c r="T566" s="1688"/>
      <c r="U566" s="1873" t="s">
        <v>1502</v>
      </c>
      <c r="V566" s="1873"/>
      <c r="W566" s="1866">
        <v>37.5</v>
      </c>
      <c r="X566" s="1866"/>
      <c r="Y566" s="1730"/>
      <c r="Z566" s="1730"/>
      <c r="AA566" s="1866"/>
      <c r="AB566" s="1866"/>
      <c r="AC566" s="1730"/>
      <c r="AD566" s="1730"/>
      <c r="AE566" s="1846"/>
      <c r="AF566" s="1847"/>
      <c r="AN566" s="281"/>
      <c r="CL566"/>
      <c r="CM566"/>
    </row>
    <row r="567" spans="1:96" s="4" customFormat="1" ht="12.75" customHeight="1">
      <c r="B567" s="120"/>
      <c r="C567" s="61"/>
      <c r="I567" s="1513"/>
      <c r="J567" s="1514"/>
      <c r="K567" s="1514"/>
      <c r="L567" s="1514"/>
      <c r="M567" s="1514"/>
      <c r="N567" s="1515"/>
      <c r="O567" s="1680">
        <v>0.45</v>
      </c>
      <c r="P567" s="1681"/>
      <c r="Q567" s="1852"/>
      <c r="R567" s="1688"/>
      <c r="S567" s="1688"/>
      <c r="T567" s="1688"/>
      <c r="U567" s="1652" t="s">
        <v>130</v>
      </c>
      <c r="V567" s="1652"/>
      <c r="W567" s="1653">
        <v>33.799999999999997</v>
      </c>
      <c r="X567" s="1653"/>
      <c r="Y567" s="1653"/>
      <c r="Z567" s="1653"/>
      <c r="AA567" s="1688"/>
      <c r="AB567" s="1688"/>
      <c r="AC567" s="1653"/>
      <c r="AD567" s="1653"/>
      <c r="AE567" s="1731"/>
      <c r="AF567" s="1732"/>
      <c r="AN567" s="281"/>
      <c r="CL567"/>
      <c r="CM567"/>
    </row>
    <row r="568" spans="1:96" s="4" customFormat="1" ht="12.75" customHeight="1">
      <c r="B568" s="5"/>
      <c r="C568" s="5"/>
      <c r="D568" s="5"/>
      <c r="E568" s="5"/>
      <c r="I568" s="1513"/>
      <c r="J568" s="1514"/>
      <c r="K568" s="1514"/>
      <c r="L568" s="1514"/>
      <c r="M568" s="1514"/>
      <c r="N568" s="1515"/>
      <c r="O568" s="1680">
        <v>0.4</v>
      </c>
      <c r="P568" s="1681"/>
      <c r="Q568" s="1852"/>
      <c r="R568" s="1688"/>
      <c r="S568" s="1652" t="s">
        <v>1501</v>
      </c>
      <c r="T568" s="1652"/>
      <c r="U568" s="1653">
        <v>20</v>
      </c>
      <c r="V568" s="1653"/>
      <c r="W568" s="1653">
        <v>30</v>
      </c>
      <c r="X568" s="1653"/>
      <c r="Y568" s="1653"/>
      <c r="Z568" s="1653"/>
      <c r="AA568" s="1653"/>
      <c r="AB568" s="1653"/>
      <c r="AC568" s="1653"/>
      <c r="AD568" s="1653"/>
      <c r="AE568" s="1731"/>
      <c r="AF568" s="1732"/>
      <c r="AN568" s="281"/>
      <c r="AP568" s="1757" t="s">
        <v>205</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0">
        <f>BF565</f>
        <v>24</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80">
        <v>0.35</v>
      </c>
      <c r="P569" s="1681"/>
      <c r="Q569" s="1852"/>
      <c r="R569" s="1688"/>
      <c r="S569" s="1652" t="s">
        <v>1763</v>
      </c>
      <c r="T569" s="1652"/>
      <c r="U569" s="1653">
        <v>17.5</v>
      </c>
      <c r="V569" s="1653"/>
      <c r="W569" s="1653">
        <v>26.3</v>
      </c>
      <c r="X569" s="1653"/>
      <c r="Y569" s="1653">
        <v>35</v>
      </c>
      <c r="Z569" s="1653"/>
      <c r="AA569" s="1653"/>
      <c r="AB569" s="1653"/>
      <c r="AC569" s="1653">
        <v>50</v>
      </c>
      <c r="AD569" s="1653"/>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80">
        <v>0.3</v>
      </c>
      <c r="P570" s="1681"/>
      <c r="Q570" s="1852"/>
      <c r="R570" s="1688"/>
      <c r="S570" s="1652" t="s">
        <v>1764</v>
      </c>
      <c r="T570" s="1652"/>
      <c r="U570" s="1653">
        <v>15</v>
      </c>
      <c r="V570" s="1653"/>
      <c r="W570" s="1653">
        <v>22.5</v>
      </c>
      <c r="X570" s="1653"/>
      <c r="Y570" s="1653">
        <v>30</v>
      </c>
      <c r="Z570" s="1653"/>
      <c r="AA570" s="1653">
        <v>37.5</v>
      </c>
      <c r="AB570" s="1653"/>
      <c r="AC570" s="1653">
        <v>45</v>
      </c>
      <c r="AD570" s="1653"/>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3"/>
      <c r="J571" s="1514"/>
      <c r="K571" s="1514"/>
      <c r="L571" s="1514"/>
      <c r="M571" s="1514"/>
      <c r="N571" s="1515"/>
      <c r="O571" s="1680">
        <v>0.25</v>
      </c>
      <c r="P571" s="1681"/>
      <c r="Q571" s="1852"/>
      <c r="R571" s="1688"/>
      <c r="S571" s="1652" t="s">
        <v>1765</v>
      </c>
      <c r="T571" s="1652"/>
      <c r="U571" s="1653">
        <v>12.5</v>
      </c>
      <c r="V571" s="1653"/>
      <c r="W571" s="1653">
        <v>18.8</v>
      </c>
      <c r="X571" s="1653"/>
      <c r="Y571" s="1653">
        <v>25</v>
      </c>
      <c r="Z571" s="1653"/>
      <c r="AA571" s="1653">
        <v>31.3</v>
      </c>
      <c r="AB571" s="1653"/>
      <c r="AC571" s="1653">
        <v>37.5</v>
      </c>
      <c r="AD571" s="1653"/>
      <c r="AE571" s="1731">
        <v>50</v>
      </c>
      <c r="AF571" s="1732"/>
      <c r="AN571" s="281"/>
      <c r="AP571" s="1826" t="str">
        <f t="shared" ref="AP571:AP577" si="0">J608</f>
        <v>5 BR</v>
      </c>
      <c r="AQ571" s="1827"/>
      <c r="AR571" s="1827"/>
      <c r="AS571" s="1827"/>
      <c r="AT571" s="1828"/>
      <c r="AU571" s="1140">
        <f t="shared" ref="AU571:AU576" si="1">O608</f>
        <v>0</v>
      </c>
      <c r="AV571" s="1141"/>
      <c r="AW571" s="1141"/>
      <c r="AX571" s="1141"/>
      <c r="AY571" s="1142"/>
      <c r="AZ571" s="1140">
        <f t="shared" ref="AZ571:AZ576" si="2">T608</f>
        <v>0</v>
      </c>
      <c r="BA571" s="1141"/>
      <c r="BB571" s="1141"/>
      <c r="BC571" s="1141"/>
      <c r="BD571" s="1142"/>
      <c r="BE571" s="1818">
        <f t="shared" ref="BE571:BE576" si="3">Y608</f>
        <v>0</v>
      </c>
      <c r="BF571" s="1819"/>
      <c r="BG571" s="1819"/>
      <c r="BH571" s="1819"/>
      <c r="BI571" s="1820"/>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3"/>
      <c r="J572" s="1514"/>
      <c r="K572" s="1514"/>
      <c r="L572" s="1514"/>
      <c r="M572" s="1514"/>
      <c r="N572" s="1515"/>
      <c r="O572" s="1680">
        <v>0.2</v>
      </c>
      <c r="P572" s="1681"/>
      <c r="Q572" s="1852"/>
      <c r="R572" s="1688"/>
      <c r="S572" s="1878" t="s">
        <v>1768</v>
      </c>
      <c r="T572" s="1878"/>
      <c r="U572" s="1653">
        <v>10</v>
      </c>
      <c r="V572" s="1653"/>
      <c r="W572" s="1653">
        <v>15</v>
      </c>
      <c r="X572" s="1653"/>
      <c r="Y572" s="1653">
        <v>20</v>
      </c>
      <c r="Z572" s="1653"/>
      <c r="AA572" s="1653">
        <v>25</v>
      </c>
      <c r="AB572" s="1653"/>
      <c r="AC572" s="1653">
        <v>30</v>
      </c>
      <c r="AD572" s="1653"/>
      <c r="AE572" s="1731">
        <v>40</v>
      </c>
      <c r="AF572" s="1732"/>
      <c r="AN572" s="281"/>
      <c r="AP572" s="1826" t="str">
        <f t="shared" si="0"/>
        <v>4 BR</v>
      </c>
      <c r="AQ572" s="1827"/>
      <c r="AR572" s="1827"/>
      <c r="AS572" s="1827"/>
      <c r="AT572" s="1828"/>
      <c r="AU572" s="1140">
        <f t="shared" si="1"/>
        <v>0</v>
      </c>
      <c r="AV572" s="1141"/>
      <c r="AW572" s="1141"/>
      <c r="AX572" s="1141"/>
      <c r="AY572" s="1142"/>
      <c r="AZ572" s="1140">
        <f t="shared" si="2"/>
        <v>0</v>
      </c>
      <c r="BA572" s="1141"/>
      <c r="BB572" s="1141"/>
      <c r="BC572" s="1141"/>
      <c r="BD572" s="1142"/>
      <c r="BE572" s="1818">
        <f t="shared" si="3"/>
        <v>0</v>
      </c>
      <c r="BF572" s="1819"/>
      <c r="BG572" s="1819"/>
      <c r="BH572" s="1819"/>
      <c r="BI572" s="1820"/>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3"/>
      <c r="J573" s="1514"/>
      <c r="K573" s="1514"/>
      <c r="L573" s="1514"/>
      <c r="M573" s="1514"/>
      <c r="N573" s="1515"/>
      <c r="O573" s="1680">
        <v>0.15</v>
      </c>
      <c r="P573" s="1681"/>
      <c r="Q573" s="1852"/>
      <c r="R573" s="1688"/>
      <c r="S573" s="1652" t="s">
        <v>1766</v>
      </c>
      <c r="T573" s="1652"/>
      <c r="U573" s="1653">
        <v>7.5</v>
      </c>
      <c r="V573" s="1653"/>
      <c r="W573" s="1653">
        <v>11.3</v>
      </c>
      <c r="X573" s="1653"/>
      <c r="Y573" s="1653">
        <v>15</v>
      </c>
      <c r="Z573" s="1653"/>
      <c r="AA573" s="1653">
        <v>18.8</v>
      </c>
      <c r="AB573" s="1653"/>
      <c r="AC573" s="1653">
        <v>22.5</v>
      </c>
      <c r="AD573" s="1653"/>
      <c r="AE573" s="1731">
        <v>30</v>
      </c>
      <c r="AF573" s="1732"/>
      <c r="AN573" s="281"/>
      <c r="AP573" s="1826" t="str">
        <f t="shared" si="0"/>
        <v>3 BR</v>
      </c>
      <c r="AQ573" s="1827"/>
      <c r="AR573" s="1827"/>
      <c r="AS573" s="1827"/>
      <c r="AT573" s="1828"/>
      <c r="AU573" s="1140">
        <f t="shared" si="1"/>
        <v>10</v>
      </c>
      <c r="AV573" s="1141"/>
      <c r="AW573" s="1141"/>
      <c r="AX573" s="1141"/>
      <c r="AY573" s="1142"/>
      <c r="AZ573" s="1140">
        <f t="shared" si="2"/>
        <v>1</v>
      </c>
      <c r="BA573" s="1141"/>
      <c r="BB573" s="1141"/>
      <c r="BC573" s="1141"/>
      <c r="BD573" s="1142"/>
      <c r="BE573" s="1818">
        <f t="shared" si="3"/>
        <v>0.1</v>
      </c>
      <c r="BF573" s="1819"/>
      <c r="BG573" s="1819"/>
      <c r="BH573" s="1819"/>
      <c r="BI573" s="1820"/>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6"/>
      <c r="J574" s="1517"/>
      <c r="K574" s="1517"/>
      <c r="L574" s="1517"/>
      <c r="M574" s="1517"/>
      <c r="N574" s="1518"/>
      <c r="O574" s="1680">
        <v>0.1</v>
      </c>
      <c r="P574" s="1681"/>
      <c r="Q574" s="1876"/>
      <c r="R574" s="1877"/>
      <c r="S574" s="1652" t="s">
        <v>1767</v>
      </c>
      <c r="T574" s="1652"/>
      <c r="U574" s="1741">
        <v>5</v>
      </c>
      <c r="V574" s="1741"/>
      <c r="W574" s="1741">
        <v>7.5</v>
      </c>
      <c r="X574" s="1741"/>
      <c r="Y574" s="1741">
        <v>10</v>
      </c>
      <c r="Z574" s="1741"/>
      <c r="AA574" s="1741">
        <v>12.5</v>
      </c>
      <c r="AB574" s="1741"/>
      <c r="AC574" s="1741">
        <v>15</v>
      </c>
      <c r="AD574" s="1741"/>
      <c r="AE574" s="1670">
        <v>20</v>
      </c>
      <c r="AF574" s="1671"/>
      <c r="AK574" s="167"/>
      <c r="AL574" s="167"/>
      <c r="AM574" s="5"/>
      <c r="AN574" s="281"/>
      <c r="AP574" s="1826" t="str">
        <f t="shared" si="0"/>
        <v>2 BR</v>
      </c>
      <c r="AQ574" s="1827"/>
      <c r="AR574" s="1827"/>
      <c r="AS574" s="1827"/>
      <c r="AT574" s="1828"/>
      <c r="AU574" s="1140">
        <f t="shared" si="1"/>
        <v>14</v>
      </c>
      <c r="AV574" s="1141"/>
      <c r="AW574" s="1141"/>
      <c r="AX574" s="1141"/>
      <c r="AY574" s="1142"/>
      <c r="AZ574" s="1140">
        <f t="shared" si="2"/>
        <v>2</v>
      </c>
      <c r="BA574" s="1141"/>
      <c r="BB574" s="1141"/>
      <c r="BC574" s="1141"/>
      <c r="BD574" s="1142"/>
      <c r="BE574" s="1818">
        <f t="shared" si="3"/>
        <v>0.14285714285714285</v>
      </c>
      <c r="BF574" s="1819"/>
      <c r="BG574" s="1819"/>
      <c r="BH574" s="1819"/>
      <c r="BI574" s="1820"/>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3" t="s">
        <v>939</v>
      </c>
      <c r="F575" s="1549"/>
      <c r="G575" s="1549"/>
      <c r="H575" s="1549"/>
      <c r="I575" s="1549"/>
      <c r="J575" s="1549"/>
      <c r="K575" s="1549"/>
      <c r="L575" s="1549"/>
      <c r="M575" s="1549"/>
      <c r="N575" s="1549"/>
      <c r="O575" s="1549"/>
      <c r="P575" s="1549"/>
      <c r="Q575" s="1549"/>
      <c r="R575" s="1549"/>
      <c r="S575" s="1549"/>
      <c r="T575" s="1549"/>
      <c r="U575" s="1549"/>
      <c r="V575" s="1549"/>
      <c r="W575" s="1549"/>
      <c r="X575" s="1549"/>
      <c r="Y575" s="1549"/>
      <c r="Z575" s="1549"/>
      <c r="AA575" s="1549"/>
      <c r="AB575" s="1549"/>
      <c r="AC575" s="1549"/>
      <c r="AD575" s="1549"/>
      <c r="AE575" s="1549"/>
      <c r="AF575" s="1549"/>
      <c r="AG575" s="1549"/>
      <c r="AH575" s="1550"/>
      <c r="AK575" s="167"/>
      <c r="AL575" s="167"/>
      <c r="AM575" s="5"/>
      <c r="AN575" s="281"/>
      <c r="AP575" s="1826" t="str">
        <f t="shared" si="0"/>
        <v>1 BR</v>
      </c>
      <c r="AQ575" s="1827"/>
      <c r="AR575" s="1827"/>
      <c r="AS575" s="1827"/>
      <c r="AT575" s="1828"/>
      <c r="AU575" s="1140">
        <f t="shared" si="1"/>
        <v>0</v>
      </c>
      <c r="AV575" s="1141"/>
      <c r="AW575" s="1141"/>
      <c r="AX575" s="1141"/>
      <c r="AY575" s="1142"/>
      <c r="AZ575" s="1140">
        <f t="shared" si="2"/>
        <v>0</v>
      </c>
      <c r="BA575" s="1141"/>
      <c r="BB575" s="1141"/>
      <c r="BC575" s="1141"/>
      <c r="BD575" s="1142"/>
      <c r="BE575" s="1818">
        <f t="shared" si="3"/>
        <v>0</v>
      </c>
      <c r="BF575" s="1819"/>
      <c r="BG575" s="1819"/>
      <c r="BH575" s="1819"/>
      <c r="BI575" s="1820"/>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5"/>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6"/>
      <c r="AN576" s="281"/>
      <c r="AP576" s="1826" t="str">
        <f t="shared" si="0"/>
        <v>SRO</v>
      </c>
      <c r="AQ576" s="1827"/>
      <c r="AR576" s="1827"/>
      <c r="AS576" s="1827"/>
      <c r="AT576" s="1828"/>
      <c r="AU576" s="1140">
        <f t="shared" si="1"/>
        <v>0</v>
      </c>
      <c r="AV576" s="1141"/>
      <c r="AW576" s="1141"/>
      <c r="AX576" s="1141"/>
      <c r="AY576" s="1142"/>
      <c r="AZ576" s="1140">
        <f t="shared" si="2"/>
        <v>0</v>
      </c>
      <c r="BA576" s="1141"/>
      <c r="BB576" s="1141"/>
      <c r="BC576" s="1141"/>
      <c r="BD576" s="1142"/>
      <c r="BE576" s="1818">
        <f t="shared" si="3"/>
        <v>0</v>
      </c>
      <c r="BF576" s="1819"/>
      <c r="BG576" s="1819"/>
      <c r="BH576" s="1819"/>
      <c r="BI576" s="1820"/>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60" t="s">
        <v>1508</v>
      </c>
      <c r="F577" s="1661"/>
      <c r="G577" s="1661"/>
      <c r="H577" s="1661"/>
      <c r="I577" s="1661"/>
      <c r="J577" s="1662"/>
      <c r="K577" s="1660" t="s">
        <v>1759</v>
      </c>
      <c r="L577" s="1661"/>
      <c r="M577" s="1661"/>
      <c r="N577" s="1661"/>
      <c r="O577" s="1661"/>
      <c r="P577" s="1662"/>
      <c r="Q577" s="1510" t="s">
        <v>1504</v>
      </c>
      <c r="R577" s="1511"/>
      <c r="S577" s="1511"/>
      <c r="T577" s="1511"/>
      <c r="U577" s="1511"/>
      <c r="V577" s="1512"/>
      <c r="W577" s="1510" t="str">
        <f>I566</f>
        <v>Percent of Low-Income Units (exclusive of manager’s units)</v>
      </c>
      <c r="X577" s="1511"/>
      <c r="Y577" s="1511"/>
      <c r="Z577" s="1511"/>
      <c r="AA577" s="1511"/>
      <c r="AB577" s="1512"/>
      <c r="AC577" s="1510" t="s">
        <v>1507</v>
      </c>
      <c r="AD577" s="1511"/>
      <c r="AE577" s="1511"/>
      <c r="AF577" s="1511"/>
      <c r="AG577" s="1511"/>
      <c r="AH577" s="1512"/>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3"/>
      <c r="F578" s="1664"/>
      <c r="G578" s="1664"/>
      <c r="H578" s="1664"/>
      <c r="I578" s="1664"/>
      <c r="J578" s="1665"/>
      <c r="K578" s="1663"/>
      <c r="L578" s="1664"/>
      <c r="M578" s="1664"/>
      <c r="N578" s="1664"/>
      <c r="O578" s="1664"/>
      <c r="P578" s="1665"/>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3"/>
      <c r="F579" s="1664"/>
      <c r="G579" s="1664"/>
      <c r="H579" s="1664"/>
      <c r="I579" s="1664"/>
      <c r="J579" s="1665"/>
      <c r="K579" s="1663"/>
      <c r="L579" s="1664"/>
      <c r="M579" s="1664"/>
      <c r="N579" s="1664"/>
      <c r="O579" s="1664"/>
      <c r="P579" s="1665"/>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3"/>
      <c r="F580" s="1664"/>
      <c r="G580" s="1664"/>
      <c r="H580" s="1664"/>
      <c r="I580" s="1664"/>
      <c r="J580" s="1665"/>
      <c r="K580" s="1663"/>
      <c r="L580" s="1664"/>
      <c r="M580" s="1664"/>
      <c r="N580" s="1664"/>
      <c r="O580" s="1664"/>
      <c r="P580" s="1665"/>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1127</v>
      </c>
      <c r="BH580" s="3" t="s">
        <v>1128</v>
      </c>
    </row>
    <row r="581" spans="5:96" s="4" customFormat="1" ht="12.75" customHeight="1">
      <c r="E581" s="1654"/>
      <c r="F581" s="1655"/>
      <c r="G581" s="1655"/>
      <c r="H581" s="1655"/>
      <c r="I581" s="1655"/>
      <c r="J581" s="1656"/>
      <c r="K581" s="1657">
        <v>20</v>
      </c>
      <c r="L581" s="1658"/>
      <c r="M581" s="1658"/>
      <c r="N581" s="1658"/>
      <c r="O581" s="1658"/>
      <c r="P581" s="1659"/>
      <c r="Q581" s="1727">
        <f>IF(ISERROR(IF((((E581/$BJ$528)*100)&gt;100),"EXCESSIVE VALUE",(E581/$BJ$528)*100)),0,IF((((E581/$BJ$528)*100)&gt;100),"EXCESSIVE VALUE",(E581/$BJ$528)*100))</f>
        <v>0</v>
      </c>
      <c r="R581" s="1728"/>
      <c r="S581" s="1728"/>
      <c r="T581" s="1728"/>
      <c r="U581" s="1728"/>
      <c r="V581" s="1729"/>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57">
        <f t="shared" ref="AP581:AP586" si="5">IF(OR(BE571&gt;=0.1,BE571=0),0,1)</f>
        <v>0</v>
      </c>
      <c r="AQ581" s="1658"/>
      <c r="AR581" s="1658"/>
      <c r="AS581" s="1658"/>
      <c r="AT581" s="1659"/>
      <c r="AX581" s="1698" t="s">
        <v>794</v>
      </c>
      <c r="AY581" s="1699"/>
      <c r="AZ581" s="1699"/>
      <c r="BA581" s="1699"/>
      <c r="BB581" s="1699"/>
      <c r="BC581" s="1699"/>
      <c r="BD581" s="1699"/>
      <c r="BE581" s="1699"/>
      <c r="BF581" s="1699"/>
      <c r="BG581" s="1699"/>
      <c r="BH581" s="1699"/>
      <c r="BI581" s="1699"/>
      <c r="BJ581" s="1699"/>
      <c r="BK581" s="1699"/>
      <c r="BL581" s="1699"/>
      <c r="BM581" s="1699"/>
      <c r="BN581" s="1699"/>
      <c r="BO581" s="1699"/>
      <c r="BP581" s="1699"/>
      <c r="BQ581" s="1700"/>
    </row>
    <row r="582" spans="5:96" s="4" customFormat="1" ht="12.75" customHeight="1">
      <c r="E582" s="1654">
        <v>3</v>
      </c>
      <c r="F582" s="1655"/>
      <c r="G582" s="1655"/>
      <c r="H582" s="1655"/>
      <c r="I582" s="1655"/>
      <c r="J582" s="1656"/>
      <c r="K582" s="1657">
        <v>30</v>
      </c>
      <c r="L582" s="1658"/>
      <c r="M582" s="1658"/>
      <c r="N582" s="1658"/>
      <c r="O582" s="1658"/>
      <c r="P582" s="1659"/>
      <c r="Q582" s="1727">
        <f>IF(ISERROR(IF((((E582/$BJ$528)*100)&gt;100),"EXCESSIVE VALUE",(E582/$BJ$528)*100)),0,IF((((E582/$BJ$528)*100)&gt;100),"EXCESSIVE VALUE",(E582/$BJ$528)*100))</f>
        <v>12.5</v>
      </c>
      <c r="R582" s="1728"/>
      <c r="S582" s="1728"/>
      <c r="T582" s="1728"/>
      <c r="U582" s="1728"/>
      <c r="V582" s="1729"/>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57">
        <f t="shared" si="5"/>
        <v>0</v>
      </c>
      <c r="AQ582" s="1658"/>
      <c r="AR582" s="1658"/>
      <c r="AS582" s="1658"/>
      <c r="AT582" s="1659"/>
      <c r="AX582" s="1779" t="s">
        <v>616</v>
      </c>
      <c r="AY582" s="1780"/>
      <c r="AZ582" s="1271" t="s">
        <v>616</v>
      </c>
      <c r="BA582" s="1273"/>
      <c r="BB582" s="1779" t="s">
        <v>265</v>
      </c>
      <c r="BC582" s="1780"/>
      <c r="BD582" s="1708" t="s">
        <v>265</v>
      </c>
      <c r="BE582" s="1710"/>
      <c r="BF582" s="1779" t="s">
        <v>264</v>
      </c>
      <c r="BG582" s="1780"/>
      <c r="BH582" s="1708" t="s">
        <v>264</v>
      </c>
      <c r="BI582" s="1710"/>
      <c r="BJ582" s="1779" t="s">
        <v>263</v>
      </c>
      <c r="BK582" s="1780"/>
      <c r="BL582" s="1708" t="s">
        <v>263</v>
      </c>
      <c r="BM582" s="1710"/>
      <c r="BN582" s="1779" t="s">
        <v>615</v>
      </c>
      <c r="BO582" s="1780"/>
      <c r="BP582" s="1708" t="s">
        <v>615</v>
      </c>
      <c r="BQ582" s="1710"/>
    </row>
    <row r="583" spans="5:96" s="4" customFormat="1" ht="12.75" customHeight="1">
      <c r="E583" s="1654"/>
      <c r="F583" s="1655"/>
      <c r="G583" s="1655"/>
      <c r="H583" s="1655"/>
      <c r="I583" s="1655"/>
      <c r="J583" s="1656"/>
      <c r="K583" s="1657">
        <v>35</v>
      </c>
      <c r="L583" s="1658"/>
      <c r="M583" s="1658"/>
      <c r="N583" s="1658"/>
      <c r="O583" s="1658"/>
      <c r="P583" s="1659"/>
      <c r="Q583" s="1727">
        <f t="shared" ref="Q583:Q589" si="6">IF(ISERROR(IF((((E583/$BJ$528)*100)&gt;100),"EXCESSIVE VALUE",(E583/$BJ$528)*100)),0,IF((((E583/$BJ$528)*100)&gt;100),"EXCESSIVE VALUE",(E583/$BJ$528)*100))</f>
        <v>0</v>
      </c>
      <c r="R583" s="1728"/>
      <c r="S583" s="1728"/>
      <c r="T583" s="1728"/>
      <c r="U583" s="1728"/>
      <c r="V583" s="1729"/>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57">
        <f t="shared" si="5"/>
        <v>0</v>
      </c>
      <c r="AQ583" s="1658"/>
      <c r="AR583" s="1658"/>
      <c r="AS583" s="1658"/>
      <c r="AT583" s="1659"/>
      <c r="AX583" s="1779">
        <f>IF(AP533=1,1,0)</f>
        <v>0</v>
      </c>
      <c r="AY583" s="1780"/>
      <c r="AZ583" s="1698"/>
      <c r="BA583" s="1700"/>
      <c r="BB583" s="1824"/>
      <c r="BC583" s="1825"/>
      <c r="BD583" s="1708">
        <f>IF(AND(T609&gt;0,AP533&gt;0),1,0)</f>
        <v>0</v>
      </c>
      <c r="BE583" s="1710"/>
      <c r="BF583" s="1824"/>
      <c r="BG583" s="1825"/>
      <c r="BH583" s="1708">
        <f>IF(AND(T609&gt;0,AP533&gt;0),1,0)</f>
        <v>0</v>
      </c>
      <c r="BI583" s="1710"/>
      <c r="BJ583" s="1824"/>
      <c r="BK583" s="1825"/>
      <c r="BL583" s="1708">
        <f>IF(AND(T609&gt;0,AP533&gt;0),1,0)</f>
        <v>0</v>
      </c>
      <c r="BM583" s="1710"/>
      <c r="BN583" s="1824"/>
      <c r="BO583" s="1825"/>
      <c r="BP583" s="1708">
        <f>IF(AND(T609&gt;0,AP533&gt;0),1,0)</f>
        <v>0</v>
      </c>
      <c r="BQ583" s="1710"/>
    </row>
    <row r="584" spans="5:96" s="4" customFormat="1" ht="12.75" customHeight="1">
      <c r="E584" s="1654">
        <v>4</v>
      </c>
      <c r="F584" s="1655"/>
      <c r="G584" s="1655"/>
      <c r="H584" s="1655"/>
      <c r="I584" s="1655"/>
      <c r="J584" s="1656"/>
      <c r="K584" s="1657">
        <v>40</v>
      </c>
      <c r="L584" s="1658"/>
      <c r="M584" s="1658"/>
      <c r="N584" s="1658"/>
      <c r="O584" s="1658"/>
      <c r="P584" s="1659"/>
      <c r="Q584" s="1727">
        <f t="shared" si="6"/>
        <v>16.666666666666664</v>
      </c>
      <c r="R584" s="1728"/>
      <c r="S584" s="1728"/>
      <c r="T584" s="1728"/>
      <c r="U584" s="1728"/>
      <c r="V584" s="1729"/>
      <c r="W584" s="1666">
        <f t="shared" si="7"/>
        <v>15</v>
      </c>
      <c r="X584" s="1667"/>
      <c r="Y584" s="1667"/>
      <c r="Z584" s="1667"/>
      <c r="AA584" s="1667"/>
      <c r="AB584" s="1668"/>
      <c r="AC584" s="1666">
        <f t="shared" si="4"/>
        <v>15</v>
      </c>
      <c r="AD584" s="1667"/>
      <c r="AE584" s="1667"/>
      <c r="AF584" s="1667"/>
      <c r="AG584" s="1667"/>
      <c r="AH584" s="1668"/>
      <c r="AN584" s="281"/>
      <c r="AO584" s="4">
        <v>2</v>
      </c>
      <c r="AP584" s="1657">
        <f t="shared" si="5"/>
        <v>0</v>
      </c>
      <c r="AQ584" s="1658"/>
      <c r="AR584" s="1658"/>
      <c r="AS584" s="1658"/>
      <c r="AT584" s="1659"/>
      <c r="AX584" s="1824"/>
      <c r="AY584" s="1825"/>
      <c r="AZ584" s="1698"/>
      <c r="BA584" s="1700"/>
      <c r="BB584" s="1779">
        <f>IF(AP534=1,1,0)</f>
        <v>0</v>
      </c>
      <c r="BC584" s="1780"/>
      <c r="BD584" s="1698"/>
      <c r="BE584" s="1700"/>
      <c r="BF584" s="1824"/>
      <c r="BG584" s="1825"/>
      <c r="BH584" s="1708">
        <f>IF(AND(T610&gt;0,AP534&gt;0),1,0)</f>
        <v>1</v>
      </c>
      <c r="BI584" s="1710"/>
      <c r="BJ584" s="1824"/>
      <c r="BK584" s="1825"/>
      <c r="BL584" s="1708">
        <f>IF(AND(T610&gt;0,AP534&gt;0),1,0)</f>
        <v>1</v>
      </c>
      <c r="BM584" s="1710"/>
      <c r="BN584" s="1824"/>
      <c r="BO584" s="1825"/>
      <c r="BP584" s="1708">
        <f>IF(AND(T610&gt;0,AP534&gt;0),1,0)</f>
        <v>1</v>
      </c>
      <c r="BQ584" s="1710"/>
    </row>
    <row r="585" spans="5:96" s="4" customFormat="1" ht="12.75" customHeight="1">
      <c r="E585" s="1654"/>
      <c r="F585" s="1655"/>
      <c r="G585" s="1655"/>
      <c r="H585" s="1655"/>
      <c r="I585" s="1655"/>
      <c r="J585" s="1656"/>
      <c r="K585" s="1657">
        <v>45</v>
      </c>
      <c r="L585" s="1658"/>
      <c r="M585" s="1658"/>
      <c r="N585" s="1658"/>
      <c r="O585" s="1658"/>
      <c r="P585" s="1659"/>
      <c r="Q585" s="1727">
        <f t="shared" si="6"/>
        <v>0</v>
      </c>
      <c r="R585" s="1728"/>
      <c r="S585" s="1728"/>
      <c r="T585" s="1728"/>
      <c r="U585" s="1728"/>
      <c r="V585" s="1729"/>
      <c r="W585" s="1666">
        <f>IF(FLOOR(Q585,5)&gt;65,65,FLOOR(Q585,5))</f>
        <v>0</v>
      </c>
      <c r="X585" s="1667"/>
      <c r="Y585" s="1667"/>
      <c r="Z585" s="1667"/>
      <c r="AA585" s="1667"/>
      <c r="AB585" s="1668"/>
      <c r="AC585" s="1666">
        <f t="shared" si="4"/>
        <v>0</v>
      </c>
      <c r="AD585" s="1667"/>
      <c r="AE585" s="1667"/>
      <c r="AF585" s="1667"/>
      <c r="AG585" s="1667"/>
      <c r="AH585" s="1668"/>
      <c r="AN585" s="281"/>
      <c r="AO585" s="4">
        <v>1</v>
      </c>
      <c r="AP585" s="1657">
        <f t="shared" si="5"/>
        <v>0</v>
      </c>
      <c r="AQ585" s="1658"/>
      <c r="AR585" s="1658"/>
      <c r="AS585" s="1658"/>
      <c r="AT585" s="1659"/>
      <c r="AX585" s="1824"/>
      <c r="AY585" s="1825"/>
      <c r="AZ585" s="1698"/>
      <c r="BA585" s="1700"/>
      <c r="BB585" s="1824"/>
      <c r="BC585" s="1825"/>
      <c r="BD585" s="1698"/>
      <c r="BE585" s="1700"/>
      <c r="BF585" s="1779">
        <f>IF(AP535=1,1,0)</f>
        <v>1</v>
      </c>
      <c r="BG585" s="1780"/>
      <c r="BH585" s="1698"/>
      <c r="BI585" s="1700"/>
      <c r="BJ585" s="1824"/>
      <c r="BK585" s="1825"/>
      <c r="BL585" s="1708">
        <f>IF(AND(T611&gt;0,AP535&gt;0),1,0)</f>
        <v>1</v>
      </c>
      <c r="BM585" s="1710"/>
      <c r="BN585" s="1824"/>
      <c r="BO585" s="1825"/>
      <c r="BP585" s="1708">
        <f>IF(AND(T611&gt;0,AP535&gt;0),1,0)</f>
        <v>1</v>
      </c>
      <c r="BQ585" s="1710"/>
    </row>
    <row r="586" spans="5:96" s="4" customFormat="1" ht="12.75" customHeight="1">
      <c r="E586" s="1654">
        <v>11</v>
      </c>
      <c r="F586" s="1655"/>
      <c r="G586" s="1655"/>
      <c r="H586" s="1655"/>
      <c r="I586" s="1655"/>
      <c r="J586" s="1656"/>
      <c r="K586" s="1657">
        <f>IF(OR(Application!D211="Rural",Application!D211="Rural apportionment (Section 514)",Application!D211="Rural apportionment (Section 515)",Application!D211="Rural apportionment (HOME)",Application!D211="Rural (Native American apportionment)"),"",50)</f>
        <v>50</v>
      </c>
      <c r="L586" s="1658"/>
      <c r="M586" s="1658"/>
      <c r="N586" s="1658"/>
      <c r="O586" s="1658"/>
      <c r="P586" s="1659"/>
      <c r="Q586" s="1727">
        <f t="shared" si="6"/>
        <v>45.833333333333329</v>
      </c>
      <c r="R586" s="1728"/>
      <c r="S586" s="1728"/>
      <c r="T586" s="1728"/>
      <c r="U586" s="1728"/>
      <c r="V586" s="1729"/>
      <c r="W586" s="1666">
        <f>IF(FLOOR(Q586,5)&gt;40,40,FLOOR(Q586,5))</f>
        <v>40</v>
      </c>
      <c r="X586" s="1667"/>
      <c r="Y586" s="1667"/>
      <c r="Z586" s="1667"/>
      <c r="AA586" s="1667"/>
      <c r="AB586" s="1668"/>
      <c r="AC586" s="1666">
        <f t="shared" si="4"/>
        <v>20</v>
      </c>
      <c r="AD586" s="1667"/>
      <c r="AE586" s="1667"/>
      <c r="AF586" s="1667"/>
      <c r="AG586" s="1667"/>
      <c r="AH586" s="1668"/>
      <c r="AN586" s="281"/>
      <c r="AO586" s="4">
        <v>0</v>
      </c>
      <c r="AP586" s="1657">
        <f t="shared" si="5"/>
        <v>0</v>
      </c>
      <c r="AQ586" s="1658"/>
      <c r="AR586" s="1658"/>
      <c r="AS586" s="1658"/>
      <c r="AT586" s="1659"/>
      <c r="AX586" s="1824"/>
      <c r="AY586" s="1825"/>
      <c r="AZ586" s="1698"/>
      <c r="BA586" s="1700"/>
      <c r="BB586" s="1824"/>
      <c r="BC586" s="1825"/>
      <c r="BD586" s="1698"/>
      <c r="BE586" s="1700"/>
      <c r="BF586" s="1824"/>
      <c r="BG586" s="1825"/>
      <c r="BH586" s="1698"/>
      <c r="BI586" s="1700"/>
      <c r="BJ586" s="1779">
        <f>IF(AP536=1,1,0)</f>
        <v>0</v>
      </c>
      <c r="BK586" s="1780"/>
      <c r="BL586" s="1824"/>
      <c r="BM586" s="1825"/>
      <c r="BN586" s="1824"/>
      <c r="BO586" s="1825"/>
      <c r="BP586" s="1708">
        <f>IF(AND(T612&gt;0,AP536&gt;0),1,0)</f>
        <v>0</v>
      </c>
      <c r="BQ586" s="1710"/>
    </row>
    <row r="587" spans="5:96" s="4" customFormat="1" ht="12.75" customHeight="1">
      <c r="E587" s="1753"/>
      <c r="F587" s="1754"/>
      <c r="G587" s="1754"/>
      <c r="H587" s="1754"/>
      <c r="I587" s="1754"/>
      <c r="J587" s="1755"/>
      <c r="K587" s="1860" t="str">
        <f>IF(OR(Application!D211="Rural",Application!D211="Rural apportionment (Section 514)",Application!D211="Rural apportionment (Section 515)",Application!D211="Rural apportionment (HOME)",Application!D211="Rural (Native American apportionment)"),"50 -","")</f>
        <v/>
      </c>
      <c r="L587" s="1861"/>
      <c r="M587" s="1862" t="s">
        <v>2279</v>
      </c>
      <c r="N587" s="1862"/>
      <c r="O587" s="1862"/>
      <c r="P587" s="1863"/>
      <c r="Q587" s="1727">
        <f t="shared" si="6"/>
        <v>0</v>
      </c>
      <c r="R587" s="1728"/>
      <c r="S587" s="1728"/>
      <c r="T587" s="1728"/>
      <c r="U587" s="1728"/>
      <c r="V587" s="1729"/>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57"/>
      <c r="AQ587" s="1658"/>
      <c r="AR587" s="1658"/>
      <c r="AS587" s="1658"/>
      <c r="AT587" s="1659"/>
      <c r="AX587" s="1824"/>
      <c r="AY587" s="1825"/>
      <c r="AZ587" s="1698"/>
      <c r="BA587" s="1700"/>
      <c r="BB587" s="1824"/>
      <c r="BC587" s="1825"/>
      <c r="BD587" s="1698"/>
      <c r="BE587" s="1700"/>
      <c r="BF587" s="1824"/>
      <c r="BG587" s="1825"/>
      <c r="BH587" s="1698"/>
      <c r="BI587" s="1700"/>
      <c r="BJ587" s="1824"/>
      <c r="BK587" s="1825"/>
      <c r="BL587" s="1824"/>
      <c r="BM587" s="1825"/>
      <c r="BN587" s="1779">
        <f>IF(AP537=1,1,0)</f>
        <v>0</v>
      </c>
      <c r="BO587" s="1780"/>
      <c r="BP587" s="1698"/>
      <c r="BQ587" s="1700"/>
    </row>
    <row r="588" spans="5:96" s="4" customFormat="1" ht="12.75" customHeight="1">
      <c r="E588" s="1753"/>
      <c r="F588" s="1754"/>
      <c r="G588" s="1754"/>
      <c r="H588" s="1754"/>
      <c r="I588" s="1754"/>
      <c r="J588" s="1755"/>
      <c r="K588" s="1860" t="str">
        <f>IF(OR(Application!D211="Rural",Application!D211="Rural apportionment (Section 514)",Application!D211="Rural apportionment (Section 515)",Application!D211="Rural apportionment (HOME)",Application!D211="Rural (Native American apportionment)"),"55 -","")</f>
        <v/>
      </c>
      <c r="L588" s="1861"/>
      <c r="M588" s="1862" t="s">
        <v>2279</v>
      </c>
      <c r="N588" s="1862"/>
      <c r="O588" s="1862"/>
      <c r="P588" s="1863"/>
      <c r="Q588" s="1727">
        <f t="shared" si="6"/>
        <v>0</v>
      </c>
      <c r="R588" s="1728"/>
      <c r="S588" s="1728"/>
      <c r="T588" s="1728"/>
      <c r="U588" s="1728"/>
      <c r="V588" s="1729"/>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79">
        <f>SUM(AX583:AY587)</f>
        <v>0</v>
      </c>
      <c r="AY588" s="1780"/>
      <c r="AZ588" s="1708">
        <f>SUM(AZ584:BA587)</f>
        <v>0</v>
      </c>
      <c r="BA588" s="1710"/>
      <c r="BB588" s="1779">
        <f>SUM(BB584:BC587)</f>
        <v>0</v>
      </c>
      <c r="BC588" s="1780"/>
      <c r="BD588" s="1708">
        <f>SUM(BD583:BE587)</f>
        <v>0</v>
      </c>
      <c r="BE588" s="1710"/>
      <c r="BF588" s="1779">
        <f>SUM(BF585:BG587)</f>
        <v>1</v>
      </c>
      <c r="BG588" s="1780"/>
      <c r="BH588" s="1708">
        <f>SUM(BH583:BI587)</f>
        <v>1</v>
      </c>
      <c r="BI588" s="1710"/>
      <c r="BJ588" s="1779">
        <f>SUM(BJ583:BK587)</f>
        <v>0</v>
      </c>
      <c r="BK588" s="1780"/>
      <c r="BL588" s="1708">
        <f>SUM(BL583:BM587)</f>
        <v>2</v>
      </c>
      <c r="BM588" s="1710"/>
      <c r="BN588" s="1779">
        <f>SUM(BN583:BO587)</f>
        <v>0</v>
      </c>
      <c r="BO588" s="1780"/>
      <c r="BP588" s="1708">
        <f>SUM(BP583:BQ587)</f>
        <v>2</v>
      </c>
      <c r="BQ588" s="1710"/>
    </row>
    <row r="589" spans="5:96" s="4" customFormat="1" ht="12.75" customHeight="1">
      <c r="E589" s="1654">
        <v>6</v>
      </c>
      <c r="F589" s="1655"/>
      <c r="G589" s="1655"/>
      <c r="H589" s="1655"/>
      <c r="I589" s="1655"/>
      <c r="J589" s="1656"/>
      <c r="K589" s="1657" t="s">
        <v>2131</v>
      </c>
      <c r="L589" s="1658"/>
      <c r="M589" s="1658"/>
      <c r="N589" s="1658"/>
      <c r="O589" s="1658"/>
      <c r="P589" s="1659"/>
      <c r="Q589" s="1727">
        <f t="shared" si="6"/>
        <v>25</v>
      </c>
      <c r="R589" s="1728"/>
      <c r="S589" s="1728"/>
      <c r="T589" s="1728"/>
      <c r="U589" s="1728"/>
      <c r="V589" s="1729"/>
      <c r="W589" s="1666">
        <f t="shared" si="7"/>
        <v>25</v>
      </c>
      <c r="X589" s="1667"/>
      <c r="Y589" s="1667"/>
      <c r="Z589" s="1667"/>
      <c r="AA589" s="1667"/>
      <c r="AB589" s="1668"/>
      <c r="AC589" s="1666">
        <v>0</v>
      </c>
      <c r="AD589" s="1667"/>
      <c r="AE589" s="1667"/>
      <c r="AF589" s="1667"/>
      <c r="AG589" s="1667"/>
      <c r="AH589" s="1668"/>
      <c r="AN589" s="281"/>
      <c r="AX589" s="1793">
        <f>IF(AND(AX588=1,AZ588&gt;1),1,0)</f>
        <v>0</v>
      </c>
      <c r="AY589" s="1794"/>
      <c r="AZ589" s="1794"/>
      <c r="BA589" s="1795"/>
      <c r="BB589" s="1793">
        <f>IF(AND(BB588=1,BD588&gt;=1),1,0)</f>
        <v>0</v>
      </c>
      <c r="BC589" s="1794"/>
      <c r="BD589" s="1794"/>
      <c r="BE589" s="1795"/>
      <c r="BF589" s="1793">
        <f>IF(AND(BF588=1,BH588&gt;=1),1,0)</f>
        <v>1</v>
      </c>
      <c r="BG589" s="1794"/>
      <c r="BH589" s="1794"/>
      <c r="BI589" s="1795"/>
      <c r="BJ589" s="1793">
        <f>IF(AND(BJ588=1,BL588&gt;=1),1,0)</f>
        <v>0</v>
      </c>
      <c r="BK589" s="1794"/>
      <c r="BL589" s="1794"/>
      <c r="BM589" s="1795"/>
      <c r="BN589" s="1793">
        <f>IF(AND(BN588=1,BP588&gt;=1),1,0)</f>
        <v>0</v>
      </c>
      <c r="BO589" s="1794"/>
      <c r="BP589" s="1794"/>
      <c r="BQ589" s="1795"/>
    </row>
    <row r="590" spans="5:96" s="4" customFormat="1" ht="12.75" customHeight="1">
      <c r="E590" s="1654"/>
      <c r="F590" s="1655"/>
      <c r="G590" s="1655"/>
      <c r="H590" s="1655"/>
      <c r="I590" s="1655"/>
      <c r="J590" s="1656"/>
      <c r="K590" s="1657" t="s">
        <v>2132</v>
      </c>
      <c r="L590" s="1658"/>
      <c r="M590" s="1658"/>
      <c r="N590" s="1658"/>
      <c r="O590" s="1658"/>
      <c r="P590" s="1659"/>
      <c r="Q590" s="1727">
        <f>IF(ISERROR(IF((((E590/$BJ$528)*100)&gt;100),"EXCESSIVE VALUE",(E590/$BJ$528)*100)),0,IF((((E590/$BJ$528)*100)&gt;100),"EXCESSIVE VALUE",(E590/$BJ$528)*100))</f>
        <v>0</v>
      </c>
      <c r="R590" s="1728"/>
      <c r="S590" s="1728"/>
      <c r="T590" s="1728"/>
      <c r="U590" s="1728"/>
      <c r="V590" s="1729"/>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93">
        <f>AX589+BB589+BF589+BJ589+BN589</f>
        <v>1</v>
      </c>
      <c r="BK590" s="1794"/>
      <c r="BL590" s="1794"/>
      <c r="BM590" s="1795"/>
      <c r="BN590"/>
      <c r="BO590"/>
      <c r="BP590"/>
      <c r="BQ590"/>
    </row>
    <row r="591" spans="5:96" s="4" customFormat="1" ht="12.75" customHeight="1">
      <c r="E591" s="1654"/>
      <c r="F591" s="1655"/>
      <c r="G591" s="1655"/>
      <c r="H591" s="1655"/>
      <c r="I591" s="1655"/>
      <c r="J591" s="1656"/>
      <c r="K591" s="1657" t="s">
        <v>2133</v>
      </c>
      <c r="L591" s="1658"/>
      <c r="M591" s="1658"/>
      <c r="N591" s="1658"/>
      <c r="O591" s="1658"/>
      <c r="P591" s="1659"/>
      <c r="Q591" s="1727">
        <f>IF(ISERROR(IF((((E591/$BJ$528)*100)&gt;100),"EXCESSIVE VALUE",(E591/$BJ$528)*100)),0,IF((((E591/$BJ$528)*100)&gt;100),"EXCESSIVE VALUE",(E591/$BJ$528)*100))</f>
        <v>0</v>
      </c>
      <c r="R591" s="1728"/>
      <c r="S591" s="1728"/>
      <c r="T591" s="1728"/>
      <c r="U591" s="1728"/>
      <c r="V591" s="1729"/>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50">
        <f>SUM(E581:J591)</f>
        <v>24</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605</v>
      </c>
      <c r="AC592" s="1747">
        <f>IF(SUM(AC581:AH591)&gt;0,SUM(AC581:AH591),0)</f>
        <v>50</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11" t="s">
        <v>103</v>
      </c>
      <c r="AH596" s="1711"/>
      <c r="AI596" s="1711"/>
      <c r="AJ596" s="1711"/>
      <c r="AK596" s="5"/>
      <c r="AL596" s="5"/>
      <c r="AM596" s="5"/>
      <c r="AN596" s="281"/>
    </row>
    <row r="597" spans="1:64" s="4" customFormat="1" ht="12.75" customHeight="1">
      <c r="B597" s="1672" t="s">
        <v>2121</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9"/>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4" t="s">
        <v>795</v>
      </c>
      <c r="K604" s="1805"/>
      <c r="L604" s="1805"/>
      <c r="M604" s="1805"/>
      <c r="N604" s="1806"/>
      <c r="O604" s="1510" t="s">
        <v>1505</v>
      </c>
      <c r="P604" s="1511"/>
      <c r="Q604" s="1511"/>
      <c r="R604" s="1511"/>
      <c r="S604" s="1512"/>
      <c r="T604" s="1510" t="s">
        <v>1769</v>
      </c>
      <c r="U604" s="1511"/>
      <c r="V604" s="1511"/>
      <c r="W604" s="1511"/>
      <c r="X604" s="1512"/>
      <c r="Y604" s="1510" t="s">
        <v>1506</v>
      </c>
      <c r="Z604" s="1511"/>
      <c r="AA604" s="1511"/>
      <c r="AB604" s="1511"/>
      <c r="AC604" s="1512"/>
      <c r="AF604"/>
      <c r="AG604"/>
      <c r="AH604"/>
      <c r="AI604"/>
      <c r="AJ604"/>
    </row>
    <row r="605" spans="1:64">
      <c r="D605"/>
      <c r="E605"/>
      <c r="F605"/>
      <c r="G605"/>
      <c r="H605"/>
      <c r="I605"/>
      <c r="J605" s="1704"/>
      <c r="K605" s="1705"/>
      <c r="L605" s="1705"/>
      <c r="M605" s="1705"/>
      <c r="N605" s="1807"/>
      <c r="O605" s="1513"/>
      <c r="P605" s="1514"/>
      <c r="Q605" s="1514"/>
      <c r="R605" s="1514"/>
      <c r="S605" s="1515"/>
      <c r="T605" s="1513"/>
      <c r="U605" s="1514"/>
      <c r="V605" s="1514"/>
      <c r="W605" s="1514"/>
      <c r="X605" s="1515"/>
      <c r="Y605" s="1513"/>
      <c r="Z605" s="1514"/>
      <c r="AA605" s="1514"/>
      <c r="AB605" s="1514"/>
      <c r="AC605" s="1515"/>
      <c r="AF605"/>
      <c r="AG605"/>
      <c r="AH605"/>
      <c r="AI605"/>
      <c r="AJ605"/>
      <c r="AO605" s="38" t="s">
        <v>2231</v>
      </c>
      <c r="AR605" s="21" t="b">
        <f>$Y$614&gt;=10%</f>
        <v>1</v>
      </c>
    </row>
    <row r="606" spans="1:64">
      <c r="I606"/>
      <c r="J606" s="1704"/>
      <c r="K606" s="1705"/>
      <c r="L606" s="1705"/>
      <c r="M606" s="1705"/>
      <c r="N606" s="1807"/>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2232</v>
      </c>
      <c r="AR606" s="955">
        <f>ROUNDUP(($O$614*10%),0)</f>
        <v>3</v>
      </c>
    </row>
    <row r="607" spans="1:64">
      <c r="D607"/>
      <c r="E607"/>
      <c r="F607"/>
      <c r="G607"/>
      <c r="H607"/>
      <c r="I607"/>
      <c r="J607" s="1704"/>
      <c r="K607" s="1705"/>
      <c r="L607" s="1705"/>
      <c r="M607" s="1705"/>
      <c r="N607" s="1807"/>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2233</v>
      </c>
      <c r="AR607" s="21" t="s">
        <v>2234</v>
      </c>
    </row>
    <row r="608" spans="1:64">
      <c r="D608"/>
      <c r="E608"/>
      <c r="F608"/>
      <c r="G608"/>
      <c r="H608"/>
      <c r="I608"/>
      <c r="J608" s="1735" t="s">
        <v>225</v>
      </c>
      <c r="K608" s="1736"/>
      <c r="L608" s="1736"/>
      <c r="M608" s="1736"/>
      <c r="N608" s="1737"/>
      <c r="O608" s="1657">
        <f>Application!CM626</f>
        <v>0</v>
      </c>
      <c r="P608" s="1658"/>
      <c r="Q608" s="1658"/>
      <c r="R608" s="1658"/>
      <c r="S608" s="1659"/>
      <c r="T608" s="1657">
        <f>Application!DR627</f>
        <v>0</v>
      </c>
      <c r="U608" s="1658"/>
      <c r="V608" s="1658"/>
      <c r="W608" s="1658"/>
      <c r="X608" s="1659"/>
      <c r="Y608" s="1742">
        <f t="shared" ref="Y608:Y614" si="8">IF(T608&gt;0,T608/O608,0)</f>
        <v>0</v>
      </c>
      <c r="Z608" s="1743"/>
      <c r="AA608" s="1743"/>
      <c r="AB608" s="1743"/>
      <c r="AC608" s="1744"/>
      <c r="AD608"/>
      <c r="AF608"/>
      <c r="AG608"/>
      <c r="AH608"/>
      <c r="AI608"/>
      <c r="AJ608"/>
      <c r="AO608" s="955">
        <f t="shared" ref="AO608:AO613" si="9">ROUNDUP((O608*10%),0)</f>
        <v>0</v>
      </c>
      <c r="AP608" s="206"/>
      <c r="AR608" s="956" t="b">
        <f>OR(SUM($T$608:T608)&gt;=$AR$606,T608&gt;=AO608)</f>
        <v>1</v>
      </c>
    </row>
    <row r="609" spans="1:60">
      <c r="D609"/>
      <c r="E609"/>
      <c r="F609"/>
      <c r="G609"/>
      <c r="H609"/>
      <c r="I609"/>
      <c r="J609" s="1735" t="s">
        <v>31</v>
      </c>
      <c r="K609" s="1736"/>
      <c r="L609" s="1736"/>
      <c r="M609" s="1736"/>
      <c r="N609" s="1737"/>
      <c r="O609" s="1657">
        <f>Application!CH626</f>
        <v>0</v>
      </c>
      <c r="P609" s="1658"/>
      <c r="Q609" s="1658"/>
      <c r="R609" s="1658"/>
      <c r="S609" s="1659"/>
      <c r="T609" s="1657">
        <f>Application!DM627</f>
        <v>0</v>
      </c>
      <c r="U609" s="1658"/>
      <c r="V609" s="1658"/>
      <c r="W609" s="1658"/>
      <c r="X609" s="1659"/>
      <c r="Y609" s="1742">
        <f t="shared" si="8"/>
        <v>0</v>
      </c>
      <c r="Z609" s="1743"/>
      <c r="AA609" s="1743"/>
      <c r="AB609" s="1743"/>
      <c r="AC609" s="1744"/>
      <c r="AD609"/>
      <c r="AF609"/>
      <c r="AG609"/>
      <c r="AH609"/>
      <c r="AI609"/>
      <c r="AJ609"/>
      <c r="AO609" s="955">
        <f t="shared" si="9"/>
        <v>0</v>
      </c>
      <c r="AP609" s="206"/>
      <c r="AR609" s="956" t="b">
        <f>OR(SUM($T$608:T609)&gt;=$AR$606,T609&gt;=AO609)</f>
        <v>1</v>
      </c>
    </row>
    <row r="610" spans="1:60">
      <c r="D610"/>
      <c r="E610"/>
      <c r="F610"/>
      <c r="G610"/>
      <c r="H610"/>
      <c r="I610"/>
      <c r="J610" s="1735" t="s">
        <v>265</v>
      </c>
      <c r="K610" s="1736"/>
      <c r="L610" s="1736"/>
      <c r="M610" s="1736"/>
      <c r="N610" s="1737"/>
      <c r="O610" s="1657">
        <f>Application!CC626</f>
        <v>10</v>
      </c>
      <c r="P610" s="1658"/>
      <c r="Q610" s="1658"/>
      <c r="R610" s="1658"/>
      <c r="S610" s="1659"/>
      <c r="T610" s="1657">
        <f>Application!DH627</f>
        <v>1</v>
      </c>
      <c r="U610" s="1658"/>
      <c r="V610" s="1658"/>
      <c r="W610" s="1658"/>
      <c r="X610" s="1659"/>
      <c r="Y610" s="1742">
        <f t="shared" si="8"/>
        <v>0.1</v>
      </c>
      <c r="Z610" s="1743"/>
      <c r="AA610" s="1743"/>
      <c r="AB610" s="1743"/>
      <c r="AC610" s="1744"/>
      <c r="AD610"/>
      <c r="AF610"/>
      <c r="AG610"/>
      <c r="AH610"/>
      <c r="AI610"/>
      <c r="AJ610"/>
      <c r="AO610" s="955">
        <f t="shared" si="9"/>
        <v>1</v>
      </c>
      <c r="AP610" s="206"/>
      <c r="AR610" s="956" t="b">
        <f>OR(SUM($T$608:T610)&gt;=$AR$606,T610&gt;=AO610)</f>
        <v>1</v>
      </c>
    </row>
    <row r="611" spans="1:60">
      <c r="D611"/>
      <c r="E611"/>
      <c r="F611"/>
      <c r="G611"/>
      <c r="H611"/>
      <c r="I611"/>
      <c r="J611" s="1735" t="s">
        <v>264</v>
      </c>
      <c r="K611" s="1736"/>
      <c r="L611" s="1736"/>
      <c r="M611" s="1736"/>
      <c r="N611" s="1737"/>
      <c r="O611" s="1657">
        <f>Application!BX626</f>
        <v>14</v>
      </c>
      <c r="P611" s="1658"/>
      <c r="Q611" s="1658"/>
      <c r="R611" s="1658"/>
      <c r="S611" s="1659"/>
      <c r="T611" s="1657">
        <f>Application!DC627</f>
        <v>2</v>
      </c>
      <c r="U611" s="1658"/>
      <c r="V611" s="1658"/>
      <c r="W611" s="1658"/>
      <c r="X611" s="1659"/>
      <c r="Y611" s="1742">
        <f t="shared" si="8"/>
        <v>0.14285714285714285</v>
      </c>
      <c r="Z611" s="1743"/>
      <c r="AA611" s="1743"/>
      <c r="AB611" s="1743"/>
      <c r="AC611" s="1744"/>
      <c r="AD611"/>
      <c r="AF611"/>
      <c r="AG611"/>
      <c r="AH611"/>
      <c r="AI611"/>
      <c r="AJ611"/>
      <c r="AO611" s="955">
        <f t="shared" si="9"/>
        <v>2</v>
      </c>
      <c r="AP611" s="206"/>
      <c r="AR611" s="956" t="b">
        <f>OR(SUM($T$608:T611)&gt;=$AR$606,T611&gt;=AO611)</f>
        <v>1</v>
      </c>
    </row>
    <row r="612" spans="1:60">
      <c r="D612"/>
      <c r="E612"/>
      <c r="F612"/>
      <c r="G612"/>
      <c r="H612"/>
      <c r="I612"/>
      <c r="J612" s="1735" t="s">
        <v>263</v>
      </c>
      <c r="K612" s="1736"/>
      <c r="L612" s="1736"/>
      <c r="M612" s="1736"/>
      <c r="N612" s="1737"/>
      <c r="O612" s="1657">
        <f>Application!BS626</f>
        <v>0</v>
      </c>
      <c r="P612" s="1658"/>
      <c r="Q612" s="1658"/>
      <c r="R612" s="1658"/>
      <c r="S612" s="1659"/>
      <c r="T612" s="1657">
        <f>Application!CX627</f>
        <v>0</v>
      </c>
      <c r="U612" s="1658"/>
      <c r="V612" s="1658"/>
      <c r="W612" s="1658"/>
      <c r="X612" s="1659"/>
      <c r="Y612" s="1742">
        <f t="shared" si="8"/>
        <v>0</v>
      </c>
      <c r="Z612" s="1743"/>
      <c r="AA612" s="1743"/>
      <c r="AB612" s="1743"/>
      <c r="AC612" s="1744"/>
      <c r="AD612"/>
      <c r="AF612"/>
      <c r="AG612"/>
      <c r="AH612"/>
      <c r="AI612"/>
      <c r="AJ612"/>
      <c r="AO612" s="955">
        <f t="shared" si="9"/>
        <v>0</v>
      </c>
      <c r="AP612" s="206"/>
      <c r="AR612" s="956" t="b">
        <f>OR(SUM($T$608:T612)&gt;=$AR$606,T612&gt;=AO612)</f>
        <v>1</v>
      </c>
    </row>
    <row r="613" spans="1:60">
      <c r="D613"/>
      <c r="E613"/>
      <c r="F613"/>
      <c r="G613"/>
      <c r="H613"/>
      <c r="I613"/>
      <c r="J613" s="1735" t="s">
        <v>615</v>
      </c>
      <c r="K613" s="1736"/>
      <c r="L613" s="1736"/>
      <c r="M613" s="1736"/>
      <c r="N613" s="1737"/>
      <c r="O613" s="1657">
        <f>Application!BN626</f>
        <v>0</v>
      </c>
      <c r="P613" s="1658"/>
      <c r="Q613" s="1658"/>
      <c r="R613" s="1658"/>
      <c r="S613" s="1659"/>
      <c r="T613" s="1657">
        <f>Application!CS627</f>
        <v>0</v>
      </c>
      <c r="U613" s="1658"/>
      <c r="V613" s="1658"/>
      <c r="W613" s="1658"/>
      <c r="X613" s="1659"/>
      <c r="Y613" s="1742">
        <f t="shared" si="8"/>
        <v>0</v>
      </c>
      <c r="Z613" s="1743"/>
      <c r="AA613" s="1743"/>
      <c r="AB613" s="1743"/>
      <c r="AC613" s="1744"/>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24">
        <f>SUM(O608:S613)</f>
        <v>24</v>
      </c>
      <c r="P614" s="1725"/>
      <c r="Q614" s="1725"/>
      <c r="R614" s="1725"/>
      <c r="S614" s="1726"/>
      <c r="T614" s="1724">
        <f>SUM(T608:X613)</f>
        <v>3</v>
      </c>
      <c r="U614" s="1725"/>
      <c r="V614" s="1725"/>
      <c r="W614" s="1725"/>
      <c r="X614" s="1726"/>
      <c r="Y614" s="1801">
        <f t="shared" si="8"/>
        <v>0.125</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180</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65">
        <f>IF($E$592=Application!G730,$AC$592+$AJ$617,0)</f>
        <v>52</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1510</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3" t="s">
        <v>2224</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5" t="s">
        <v>938</v>
      </c>
      <c r="AH627" s="1035"/>
      <c r="AI627" s="1035"/>
      <c r="AJ627" s="1035"/>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7"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5" t="s">
        <v>2229</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6"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5" t="s">
        <v>2215</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722</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1944</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1945</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3" t="s">
        <v>234</v>
      </c>
      <c r="U696" s="1551"/>
      <c r="V696" s="1551"/>
      <c r="W696" s="1551"/>
      <c r="X696" s="1551"/>
      <c r="Y696" s="1552"/>
      <c r="Z696" s="1553" t="s">
        <v>233</v>
      </c>
      <c r="AA696" s="1551"/>
      <c r="AB696" s="1551"/>
      <c r="AC696" s="1551"/>
      <c r="AD696" s="1551"/>
      <c r="AE696" s="1552"/>
      <c r="AF696" s="1553" t="s">
        <v>235</v>
      </c>
      <c r="AG696" s="1551"/>
      <c r="AH696" s="1551"/>
      <c r="AI696" s="1551"/>
      <c r="AJ696" s="1551"/>
      <c r="AK696" s="155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4"/>
      <c r="U697" s="1545"/>
      <c r="V697" s="1545"/>
      <c r="W697" s="1545"/>
      <c r="X697" s="1545"/>
      <c r="Y697" s="1546"/>
      <c r="Z697" s="1544"/>
      <c r="AA697" s="1545"/>
      <c r="AB697" s="1545"/>
      <c r="AC697" s="1545"/>
      <c r="AD697" s="1545"/>
      <c r="AE697" s="1546"/>
      <c r="AF697" s="1544"/>
      <c r="AG697" s="1545"/>
      <c r="AH697" s="1545"/>
      <c r="AI697" s="1545"/>
      <c r="AJ697" s="1545"/>
      <c r="AK697" s="1546"/>
      <c r="AL697" s="778"/>
      <c r="AM697" s="20"/>
    </row>
    <row r="698" spans="1:43">
      <c r="A698" s="594" t="s">
        <v>653</v>
      </c>
      <c r="B698" s="1768" t="s">
        <v>270</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c r="A699" s="614"/>
      <c r="B699" s="615"/>
      <c r="C699" s="620"/>
      <c r="D699" s="306" t="s">
        <v>210</v>
      </c>
      <c r="E699" s="1771" t="s">
        <v>236</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69">
        <v>7</v>
      </c>
      <c r="AA699" s="1669"/>
      <c r="AB699" s="1669"/>
      <c r="AC699" s="1669"/>
      <c r="AD699" s="1669"/>
      <c r="AE699" s="1669"/>
      <c r="AF699" s="1783"/>
      <c r="AG699" s="1783"/>
      <c r="AH699" s="1783"/>
      <c r="AI699" s="1783"/>
      <c r="AJ699" s="1783"/>
      <c r="AK699" s="1783"/>
      <c r="AL699" s="778"/>
      <c r="AM699" s="20"/>
    </row>
    <row r="700" spans="1:43">
      <c r="A700" s="616"/>
      <c r="B700" s="615"/>
      <c r="C700" s="615"/>
      <c r="D700" s="306" t="s">
        <v>429</v>
      </c>
      <c r="E700" s="1771" t="s">
        <v>237</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69">
        <v>3</v>
      </c>
      <c r="AA700" s="1669"/>
      <c r="AB700" s="1669"/>
      <c r="AC700" s="1669"/>
      <c r="AD700" s="1669"/>
      <c r="AE700" s="1669"/>
      <c r="AF700" s="1783"/>
      <c r="AG700" s="1783"/>
      <c r="AH700" s="1783"/>
      <c r="AI700" s="1783"/>
      <c r="AJ700" s="1783"/>
      <c r="AK700" s="1783"/>
      <c r="AL700" s="778"/>
      <c r="AM700" s="20"/>
    </row>
    <row r="701" spans="1:43">
      <c r="A701" s="594" t="s">
        <v>8</v>
      </c>
      <c r="B701" s="1768" t="s">
        <v>271</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500">
        <v>10</v>
      </c>
      <c r="AA701" s="1500"/>
      <c r="AB701" s="1500"/>
      <c r="AC701" s="1500"/>
      <c r="AD701" s="1500"/>
      <c r="AE701" s="1500"/>
      <c r="AF701" s="1500">
        <f>IF(T701&gt;Z701,Z701,T701)</f>
        <v>10</v>
      </c>
      <c r="AG701" s="1500"/>
      <c r="AH701" s="1500"/>
      <c r="AI701" s="1500"/>
      <c r="AJ701" s="1500"/>
      <c r="AK701" s="1500"/>
      <c r="AL701" s="778"/>
      <c r="AM701" s="20"/>
    </row>
    <row r="702" spans="1:43">
      <c r="A702" s="594" t="s">
        <v>119</v>
      </c>
      <c r="B702" s="1768" t="s">
        <v>272</v>
      </c>
      <c r="C702" s="1768"/>
      <c r="D702" s="1768"/>
      <c r="E702" s="1768"/>
      <c r="F702" s="1768"/>
      <c r="G702" s="1768"/>
      <c r="H702" s="1768"/>
      <c r="I702" s="1768"/>
      <c r="J702" s="1768"/>
      <c r="K702" s="1768"/>
      <c r="L702" s="1768"/>
      <c r="M702" s="1768"/>
      <c r="N702" s="1768"/>
      <c r="O702" s="1768"/>
      <c r="P702" s="1768"/>
      <c r="Q702" s="1768"/>
      <c r="R702" s="1768"/>
      <c r="S702" s="1769"/>
      <c r="T702" s="1767">
        <f>AO693</f>
        <v>25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c r="A703" s="594"/>
      <c r="B703" s="615"/>
      <c r="C703" s="615"/>
      <c r="D703" s="306" t="s">
        <v>1468</v>
      </c>
      <c r="E703" s="1771" t="s">
        <v>294</v>
      </c>
      <c r="F703" s="1771"/>
      <c r="G703" s="1771"/>
      <c r="H703" s="1771"/>
      <c r="I703" s="1771"/>
      <c r="J703" s="1771"/>
      <c r="K703" s="1771"/>
      <c r="L703" s="1771"/>
      <c r="M703" s="1771"/>
      <c r="N703" s="1771"/>
      <c r="O703" s="1771"/>
      <c r="P703" s="1771"/>
      <c r="Q703" s="1771"/>
      <c r="R703" s="1771"/>
      <c r="S703" s="1772"/>
      <c r="T703" s="1770">
        <f>AK283</f>
        <v>15</v>
      </c>
      <c r="U703" s="1770"/>
      <c r="V703" s="1770"/>
      <c r="W703" s="1770"/>
      <c r="X703" s="1770"/>
      <c r="Y703" s="1770"/>
      <c r="Z703" s="1669">
        <v>15</v>
      </c>
      <c r="AA703" s="1669"/>
      <c r="AB703" s="1669"/>
      <c r="AC703" s="1669"/>
      <c r="AD703" s="1669"/>
      <c r="AE703" s="1669"/>
      <c r="AF703" s="1783"/>
      <c r="AG703" s="1783"/>
      <c r="AH703" s="1783"/>
      <c r="AI703" s="1783"/>
      <c r="AJ703" s="1783"/>
      <c r="AK703" s="1783"/>
      <c r="AL703" s="778"/>
      <c r="AM703" s="20"/>
    </row>
    <row r="704" spans="1:43">
      <c r="A704" s="617"/>
      <c r="B704" s="90"/>
      <c r="C704" s="90"/>
      <c r="D704" s="618" t="s">
        <v>1469</v>
      </c>
      <c r="E704" s="1771" t="s">
        <v>295</v>
      </c>
      <c r="F704" s="1771"/>
      <c r="G704" s="1771"/>
      <c r="H704" s="1771"/>
      <c r="I704" s="1771"/>
      <c r="J704" s="1771"/>
      <c r="K704" s="1771"/>
      <c r="L704" s="1771"/>
      <c r="M704" s="1771"/>
      <c r="N704" s="1771"/>
      <c r="O704" s="1771"/>
      <c r="P704" s="1771"/>
      <c r="Q704" s="1771"/>
      <c r="R704" s="1771"/>
      <c r="S704" s="1772"/>
      <c r="T704" s="1770">
        <f>AK474</f>
        <v>10</v>
      </c>
      <c r="U704" s="1770"/>
      <c r="V704" s="1770"/>
      <c r="W704" s="1770"/>
      <c r="X704" s="1770"/>
      <c r="Y704" s="1770"/>
      <c r="Z704" s="1669">
        <v>10</v>
      </c>
      <c r="AA704" s="1669"/>
      <c r="AB704" s="1669"/>
      <c r="AC704" s="1669"/>
      <c r="AD704" s="1669"/>
      <c r="AE704" s="1669"/>
      <c r="AF704" s="1783"/>
      <c r="AG704" s="1783"/>
      <c r="AH704" s="1783"/>
      <c r="AI704" s="1783"/>
      <c r="AJ704" s="1783"/>
      <c r="AK704" s="1783"/>
      <c r="AL704" s="778"/>
      <c r="AM704" s="20"/>
    </row>
    <row r="705" spans="1:39" hidden="1">
      <c r="A705" s="594" t="s">
        <v>122</v>
      </c>
      <c r="B705" s="1768" t="s">
        <v>541</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500"/>
      <c r="AA705" s="1500"/>
      <c r="AB705" s="1500"/>
      <c r="AC705" s="1500"/>
      <c r="AD705" s="1500"/>
      <c r="AE705" s="1500"/>
      <c r="AF705" s="1500"/>
      <c r="AG705" s="1500"/>
      <c r="AH705" s="1500"/>
      <c r="AI705" s="1500"/>
      <c r="AJ705" s="1500"/>
      <c r="AK705" s="1500"/>
      <c r="AL705" s="778"/>
      <c r="AM705" s="20"/>
    </row>
    <row r="706" spans="1:39">
      <c r="A706" s="594" t="s">
        <v>122</v>
      </c>
      <c r="B706" s="1768" t="s">
        <v>542</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52</v>
      </c>
      <c r="U706" s="1763"/>
      <c r="V706" s="1763"/>
      <c r="W706" s="1763"/>
      <c r="X706" s="1763"/>
      <c r="Y706" s="1763"/>
      <c r="Z706" s="1763">
        <v>52</v>
      </c>
      <c r="AA706" s="1763"/>
      <c r="AB706" s="1763"/>
      <c r="AC706" s="1763"/>
      <c r="AD706" s="1763"/>
      <c r="AE706" s="1763"/>
      <c r="AF706" s="1763">
        <f>$AO$698+$T$708</f>
        <v>52</v>
      </c>
      <c r="AG706" s="1763"/>
      <c r="AH706" s="1763"/>
      <c r="AI706" s="1763"/>
      <c r="AJ706" s="1763"/>
      <c r="AK706" s="1763"/>
      <c r="AL706" s="778"/>
      <c r="AM706" s="20"/>
    </row>
    <row r="707" spans="1:39">
      <c r="A707" s="619"/>
      <c r="B707" s="621"/>
      <c r="C707" s="621"/>
      <c r="D707" s="622" t="s">
        <v>2220</v>
      </c>
      <c r="E707" s="1771" t="s">
        <v>183</v>
      </c>
      <c r="F707" s="1771"/>
      <c r="G707" s="1771"/>
      <c r="H707" s="1771"/>
      <c r="I707" s="1771"/>
      <c r="J707" s="1771"/>
      <c r="K707" s="1771"/>
      <c r="L707" s="1771"/>
      <c r="M707" s="1771"/>
      <c r="N707" s="1771"/>
      <c r="O707" s="1771"/>
      <c r="P707" s="1771"/>
      <c r="Q707" s="1771"/>
      <c r="R707" s="1771"/>
      <c r="S707" s="1772"/>
      <c r="T707" s="1764">
        <f>AC592</f>
        <v>50</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2221</v>
      </c>
      <c r="E708" s="1771" t="s">
        <v>269</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65">
        <v>2</v>
      </c>
      <c r="AA708" s="1266"/>
      <c r="AB708" s="1266"/>
      <c r="AC708" s="1266"/>
      <c r="AD708" s="1266"/>
      <c r="AE708" s="1267"/>
      <c r="AF708" s="1786"/>
      <c r="AG708" s="1787"/>
      <c r="AH708" s="1787"/>
      <c r="AI708" s="1787"/>
      <c r="AJ708" s="1787"/>
      <c r="AK708" s="1788"/>
      <c r="AL708" s="778"/>
      <c r="AM708" s="4"/>
    </row>
    <row r="709" spans="1:39">
      <c r="A709" s="619" t="s">
        <v>123</v>
      </c>
      <c r="B709" s="1768" t="s">
        <v>543</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500">
        <v>10</v>
      </c>
      <c r="AA709" s="1500"/>
      <c r="AB709" s="1500"/>
      <c r="AC709" s="1500"/>
      <c r="AD709" s="1500"/>
      <c r="AE709" s="1500"/>
      <c r="AF709" s="1348">
        <f>IF(T709&gt;Z709,Z709,T709)</f>
        <v>10</v>
      </c>
      <c r="AG709" s="1349"/>
      <c r="AH709" s="1349"/>
      <c r="AI709" s="1349"/>
      <c r="AJ709" s="1349"/>
      <c r="AK709" s="1368"/>
      <c r="AL709" s="778"/>
      <c r="AM709" s="20"/>
    </row>
    <row r="710" spans="1:39">
      <c r="A710" s="619" t="s">
        <v>125</v>
      </c>
      <c r="B710" s="1768" t="s">
        <v>985</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48">
        <v>2</v>
      </c>
      <c r="AA710" s="1349"/>
      <c r="AB710" s="1349"/>
      <c r="AC710" s="1349"/>
      <c r="AD710" s="1349"/>
      <c r="AE710" s="1368"/>
      <c r="AF710" s="1348">
        <f>IF(T710&gt;Z710,Z710,T710)</f>
        <v>2</v>
      </c>
      <c r="AG710" s="1784"/>
      <c r="AH710" s="1784"/>
      <c r="AI710" s="1784"/>
      <c r="AJ710" s="1784"/>
      <c r="AK710" s="1785"/>
      <c r="AL710" s="3"/>
      <c r="AM710" s="20"/>
    </row>
    <row r="711" spans="1:39">
      <c r="A711" s="1864" t="s">
        <v>297</v>
      </c>
      <c r="B711" s="1768"/>
      <c r="C711" s="1768"/>
      <c r="D711" s="1768"/>
      <c r="E711" s="1768"/>
      <c r="F711" s="1768"/>
      <c r="G711" s="1768"/>
      <c r="H711" s="1768"/>
      <c r="I711" s="1768"/>
      <c r="J711" s="1768"/>
      <c r="K711" s="1768"/>
      <c r="L711" s="1768"/>
      <c r="M711" s="1768"/>
      <c r="N711" s="1768"/>
      <c r="O711" s="1768"/>
      <c r="P711" s="1768"/>
      <c r="Q711" s="1768"/>
      <c r="R711" s="1768"/>
      <c r="S711" s="1769"/>
      <c r="T711" s="1091"/>
      <c r="U711" s="1091"/>
      <c r="V711" s="1091"/>
      <c r="W711" s="1091"/>
      <c r="X711" s="1091"/>
      <c r="Y711" s="1091"/>
      <c r="Z711" s="1669" t="s">
        <v>296</v>
      </c>
      <c r="AA711" s="1669"/>
      <c r="AB711" s="1669"/>
      <c r="AC711" s="1669"/>
      <c r="AD711" s="1669"/>
      <c r="AE711" s="1669"/>
      <c r="AF711" s="1348">
        <f>IF(T711&gt;0,T711,0)</f>
        <v>0</v>
      </c>
      <c r="AG711" s="1349"/>
      <c r="AH711" s="1349"/>
      <c r="AI711" s="1349"/>
      <c r="AJ711" s="1349"/>
      <c r="AK711" s="1368"/>
      <c r="AL711" s="18"/>
      <c r="AM711" s="20"/>
    </row>
    <row r="712" spans="1:39" ht="15.75">
      <c r="A712" s="1854" t="s">
        <v>721</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3">
        <f>SUM(AF698:AK710)-AF711</f>
        <v>109</v>
      </c>
      <c r="AG712" s="1774"/>
      <c r="AH712" s="1774"/>
      <c r="AI712" s="1774"/>
      <c r="AJ712" s="1774"/>
      <c r="AK712" s="1775"/>
      <c r="AL712" s="779"/>
      <c r="AM712" s="4"/>
    </row>
    <row r="713" spans="1:39" ht="12.6"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6"/>
      <c r="AG713" s="1777"/>
      <c r="AH713" s="1777"/>
      <c r="AI713" s="1777"/>
      <c r="AJ713" s="1777"/>
      <c r="AK713" s="1778"/>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1"/>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1"/>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1"/>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1"/>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1"/>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1"/>
    </row>
    <row r="720" spans="1:39"/>
  </sheetData>
  <sheetProtection algorithmName="SHA-512" hashValue="G9umVxuQI8xPrQ9370O7uCPnupSr446VuYc3hL4CEvKzdokKPsl18wci/7iouVoW461NcdIgdInV5BoZNf9wIw==" saltValue="nrsteCBjuFkGWYS4JY3wn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9" t="s">
        <v>2037</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2038</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2041</v>
      </c>
      <c r="I6" s="899"/>
      <c r="K6" s="900"/>
      <c r="U6" s="1908"/>
      <c r="V6" s="1908"/>
      <c r="W6" s="1908"/>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899"/>
      <c r="Q9" s="1899"/>
      <c r="R9" s="1899"/>
      <c r="S9" s="1899"/>
      <c r="T9" s="1899"/>
    </row>
    <row r="10" spans="1:57">
      <c r="A10" s="898"/>
      <c r="B10" s="898"/>
      <c r="I10" s="899"/>
      <c r="K10" s="900"/>
    </row>
    <row r="11" spans="1:57">
      <c r="A11" s="1898" t="s">
        <v>2044</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483</v>
      </c>
    </row>
    <row r="13" spans="1:57">
      <c r="A13" s="898"/>
      <c r="B13" s="898"/>
      <c r="D13" s="896" t="s">
        <v>2045</v>
      </c>
      <c r="I13" s="899"/>
      <c r="K13" s="900"/>
      <c r="T13" s="1908"/>
      <c r="U13" s="1908"/>
      <c r="V13" s="1908"/>
    </row>
    <row r="14" spans="1:57">
      <c r="A14" s="898"/>
      <c r="B14" s="898"/>
      <c r="E14" s="896" t="s">
        <v>2052</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1045752</v>
      </c>
    </row>
    <row r="16" spans="1:57">
      <c r="A16" s="898"/>
      <c r="B16" s="898"/>
      <c r="BC16" s="896" t="s">
        <v>2056</v>
      </c>
      <c r="BE16" s="896">
        <f>'Basis &amp; Credits'!T11+'Basis &amp; Credits'!AD11</f>
        <v>17430835</v>
      </c>
    </row>
    <row r="17" spans="1:43">
      <c r="A17" s="898"/>
      <c r="B17" s="898"/>
      <c r="D17" s="896" t="s">
        <v>2047</v>
      </c>
      <c r="I17" s="899"/>
      <c r="K17" s="900"/>
      <c r="U17" s="1897" t="str">
        <f>IF(T13="yes",(BE15/BE16)," ")</f>
        <v xml:space="preserve"> </v>
      </c>
      <c r="V17" s="1897"/>
      <c r="W17" s="1897"/>
      <c r="X17" s="1897"/>
      <c r="Y17" s="1897"/>
    </row>
    <row r="18" spans="1:43">
      <c r="A18" s="898"/>
      <c r="B18" s="898"/>
      <c r="I18" s="899"/>
      <c r="K18" s="900"/>
    </row>
    <row r="19" spans="1:43">
      <c r="A19" s="1898" t="s">
        <v>2049</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2050</v>
      </c>
      <c r="H22" s="902"/>
      <c r="K22" s="896"/>
      <c r="Q22" s="1900">
        <f>ROUND('Basis &amp; Credits'!AB55,0)</f>
        <v>1045752</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2027</v>
      </c>
      <c r="M24" s="1907"/>
      <c r="N24" s="1907"/>
      <c r="P24" s="1903" t="s">
        <v>2028</v>
      </c>
      <c r="Q24" s="1903"/>
      <c r="R24" s="1903"/>
      <c r="S24" s="1903"/>
      <c r="T24" s="1903"/>
      <c r="V24" s="1903" t="s">
        <v>2029</v>
      </c>
      <c r="W24" s="1903"/>
      <c r="X24" s="1903"/>
    </row>
    <row r="25" spans="1:43">
      <c r="C25" s="901" t="s">
        <v>190</v>
      </c>
      <c r="D25" s="901"/>
      <c r="E25" s="896" t="s">
        <v>986</v>
      </c>
      <c r="J25" s="904"/>
      <c r="L25" s="1904" t="s">
        <v>2030</v>
      </c>
      <c r="M25" s="1904"/>
      <c r="N25" s="1904"/>
      <c r="P25" s="1904" t="s">
        <v>2031</v>
      </c>
      <c r="Q25" s="1904"/>
      <c r="R25" s="1904"/>
      <c r="S25" s="1904"/>
      <c r="T25" s="1904"/>
      <c r="V25" s="1904" t="s">
        <v>2030</v>
      </c>
      <c r="W25" s="1904"/>
      <c r="X25" s="1904"/>
    </row>
    <row r="26" spans="1:43">
      <c r="C26" s="898"/>
      <c r="D26" s="898"/>
      <c r="E26" s="907" t="s">
        <v>2032</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2033</v>
      </c>
      <c r="J27" s="908"/>
      <c r="L27" s="1910">
        <f>Application!BS626</f>
        <v>0</v>
      </c>
      <c r="M27" s="1910">
        <f>Application!BS634+Application!BS643+Application!CX657</f>
        <v>0</v>
      </c>
      <c r="N27" s="1910"/>
      <c r="P27" s="1906">
        <v>1</v>
      </c>
      <c r="Q27" s="1906"/>
      <c r="R27" s="1906"/>
      <c r="S27" s="1906"/>
      <c r="T27" s="1906"/>
      <c r="V27" s="1906">
        <f>L27*P27</f>
        <v>0</v>
      </c>
      <c r="W27" s="1906"/>
      <c r="X27" s="1906"/>
    </row>
    <row r="28" spans="1:43">
      <c r="C28" s="898"/>
      <c r="D28" s="898"/>
      <c r="E28" s="896" t="s">
        <v>2034</v>
      </c>
      <c r="J28" s="908"/>
      <c r="L28" s="1910">
        <f>Application!BX626</f>
        <v>14</v>
      </c>
      <c r="M28" s="1910">
        <f>Application!BX634+Application!BX643+Application!DC657</f>
        <v>0</v>
      </c>
      <c r="N28" s="1910"/>
      <c r="P28" s="1906">
        <v>1.25</v>
      </c>
      <c r="Q28" s="1906"/>
      <c r="R28" s="1906"/>
      <c r="S28" s="1906"/>
      <c r="T28" s="1906"/>
      <c r="V28" s="1906">
        <f>L28*P28</f>
        <v>17.5</v>
      </c>
      <c r="W28" s="1906"/>
      <c r="X28" s="1906"/>
    </row>
    <row r="29" spans="1:43">
      <c r="C29" s="898"/>
      <c r="D29" s="898"/>
      <c r="E29" s="896" t="s">
        <v>2035</v>
      </c>
      <c r="J29" s="908"/>
      <c r="L29" s="1910">
        <f>Application!CC626</f>
        <v>10</v>
      </c>
      <c r="M29" s="1910">
        <f>Application!CC634+Application!CC643+Application!DH657</f>
        <v>0</v>
      </c>
      <c r="N29" s="1910"/>
      <c r="P29" s="1906">
        <v>1.5</v>
      </c>
      <c r="Q29" s="1906"/>
      <c r="R29" s="1906"/>
      <c r="S29" s="1906"/>
      <c r="T29" s="1906"/>
      <c r="V29" s="1906">
        <f>L29*P29</f>
        <v>15</v>
      </c>
      <c r="W29" s="1906"/>
      <c r="X29" s="1906"/>
    </row>
    <row r="30" spans="1:43">
      <c r="C30" s="898"/>
      <c r="D30" s="898"/>
      <c r="E30" s="896" t="s">
        <v>2036</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24</v>
      </c>
      <c r="M31" s="1902"/>
      <c r="N31" s="1902"/>
      <c r="V31" s="1905">
        <f>SUM(V26:X30)</f>
        <v>32.5</v>
      </c>
      <c r="W31" s="1905"/>
      <c r="X31" s="1905"/>
    </row>
    <row r="32" spans="1:43">
      <c r="C32" s="898"/>
      <c r="D32" s="898"/>
      <c r="K32" s="909"/>
    </row>
    <row r="33" spans="1:27">
      <c r="C33" s="901" t="s">
        <v>191</v>
      </c>
      <c r="D33" s="901"/>
      <c r="E33" s="898" t="s">
        <v>2051</v>
      </c>
      <c r="H33" s="910"/>
      <c r="I33" s="911"/>
      <c r="J33" s="912"/>
      <c r="K33" s="909"/>
      <c r="M33" s="897"/>
      <c r="V33" s="1912">
        <f>IF(V31&gt;0,V31/Q22," ")</f>
        <v>3.1078114122660056E-5</v>
      </c>
      <c r="W33" s="1913"/>
      <c r="X33" s="1913"/>
      <c r="Y33" s="1913"/>
      <c r="Z33" s="1913"/>
      <c r="AA33" s="1914"/>
    </row>
    <row r="34" spans="1:27">
      <c r="K34" s="896"/>
      <c r="M34" s="897"/>
    </row>
    <row r="35" spans="1:27">
      <c r="E35" s="898" t="s">
        <v>2057</v>
      </c>
      <c r="F35" s="898"/>
      <c r="G35" s="898"/>
      <c r="H35" s="898"/>
      <c r="I35" s="898"/>
      <c r="J35" s="898"/>
      <c r="K35" s="898"/>
      <c r="L35" s="898"/>
      <c r="M35" s="918"/>
      <c r="N35" s="898"/>
      <c r="O35" s="898"/>
      <c r="P35" s="898"/>
      <c r="Q35" s="898"/>
      <c r="R35" s="898"/>
      <c r="V35" s="1893">
        <f>IF(V31&gt;0,1/V33," ")</f>
        <v>32176.984615384616</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Max Understein</cp:lastModifiedBy>
  <cp:lastPrinted>2024-02-08T18:08:44Z</cp:lastPrinted>
  <dcterms:created xsi:type="dcterms:W3CDTF">2007-12-27T18:26:28Z</dcterms:created>
  <dcterms:modified xsi:type="dcterms:W3CDTF">2024-02-13T21:26:35Z</dcterms:modified>
</cp:coreProperties>
</file>