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Box\- Project Files - Under Contract\CA Marina Annex\Tax Credit Agency (name)\Final Application\"/>
    </mc:Choice>
  </mc:AlternateContent>
  <xr:revisionPtr revIDLastSave="0" documentId="13_ncr:1_{5C48FF01-5F9C-4E1A-AF40-6797BFC5AF0A}" xr6:coauthVersionLast="47" xr6:coauthVersionMax="47" xr10:uidLastSave="{00000000-0000-0000-0000-000000000000}"/>
  <bookViews>
    <workbookView xWindow="-120" yWindow="-120" windowWidth="29040" windowHeight="15840" tabRatio="821"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36" i="3" l="1"/>
  <c r="E91" i="25"/>
  <c r="C91" i="25"/>
  <c r="E90" i="25"/>
  <c r="O62" i="9" l="1"/>
  <c r="Q62" i="9"/>
  <c r="S62" i="9"/>
  <c r="G56" i="9"/>
  <c r="E56" i="9"/>
  <c r="C60" i="4"/>
  <c r="AG435" i="3"/>
  <c r="AG441" i="3"/>
  <c r="D17" i="18"/>
  <c r="F17" i="18"/>
  <c r="U62" i="9" l="1"/>
  <c r="C18" i="4"/>
  <c r="G695" i="3" l="1"/>
  <c r="O697" i="3"/>
  <c r="O696" i="3"/>
  <c r="S43" i="4" l="1"/>
  <c r="C43" i="4"/>
  <c r="C59" i="4"/>
  <c r="C48" i="4"/>
  <c r="W825" i="3"/>
  <c r="W842" i="3"/>
  <c r="W828" i="3" l="1"/>
  <c r="C86" i="4" l="1"/>
  <c r="F88" i="18" l="1"/>
  <c r="F89" i="18"/>
  <c r="F90" i="18"/>
  <c r="F91" i="18"/>
  <c r="F92" i="18"/>
  <c r="F93" i="18"/>
  <c r="F87" i="18"/>
  <c r="F85" i="18"/>
  <c r="F83" i="18"/>
  <c r="F84" i="18"/>
  <c r="F82" i="18"/>
  <c r="D82" i="18"/>
  <c r="D83" i="18"/>
  <c r="D84" i="18"/>
  <c r="D86" i="18"/>
  <c r="D87" i="18"/>
  <c r="D88" i="18"/>
  <c r="D89" i="18"/>
  <c r="D90" i="18"/>
  <c r="D91" i="18"/>
  <c r="D92" i="18"/>
  <c r="D93" i="18"/>
  <c r="F78" i="18"/>
  <c r="D78" i="18"/>
  <c r="D71" i="18"/>
  <c r="D73" i="18"/>
  <c r="D74" i="18"/>
  <c r="D70" i="18"/>
  <c r="I67" i="18"/>
  <c r="F67" i="18"/>
  <c r="D64" i="18"/>
  <c r="D65" i="18"/>
  <c r="D66" i="18"/>
  <c r="D67" i="18"/>
  <c r="D63" i="18"/>
  <c r="D55" i="18"/>
  <c r="D56" i="18"/>
  <c r="D57" i="18"/>
  <c r="D46" i="18"/>
  <c r="D48" i="18"/>
  <c r="D49" i="18"/>
  <c r="D50" i="18"/>
  <c r="D51" i="18"/>
  <c r="I48" i="18"/>
  <c r="I42" i="18"/>
  <c r="F40" i="18"/>
  <c r="F39" i="18"/>
  <c r="D40" i="18"/>
  <c r="D39" i="18"/>
  <c r="F22" i="18"/>
  <c r="F24" i="18"/>
  <c r="D22" i="18"/>
  <c r="D24" i="18"/>
  <c r="AB49" i="5"/>
  <c r="S94" i="4"/>
  <c r="S93" i="4"/>
  <c r="S92" i="4"/>
  <c r="S90" i="4"/>
  <c r="S89" i="4"/>
  <c r="S85" i="4"/>
  <c r="S83" i="4"/>
  <c r="S79" i="4"/>
  <c r="T49" i="4"/>
  <c r="S41" i="4"/>
  <c r="S40" i="4"/>
  <c r="S25" i="4"/>
  <c r="S24" i="4"/>
  <c r="S22" i="4"/>
  <c r="E94" i="4"/>
  <c r="E93" i="4"/>
  <c r="E92" i="4"/>
  <c r="E91" i="4"/>
  <c r="E90" i="4"/>
  <c r="E89" i="4"/>
  <c r="E88" i="4"/>
  <c r="E87" i="4"/>
  <c r="E86" i="4"/>
  <c r="E85" i="4"/>
  <c r="E84" i="4"/>
  <c r="E83" i="4"/>
  <c r="E82" i="4"/>
  <c r="E79" i="4"/>
  <c r="E78" i="4"/>
  <c r="E75" i="4"/>
  <c r="E74" i="4"/>
  <c r="E73" i="4"/>
  <c r="E72" i="4"/>
  <c r="E71" i="4"/>
  <c r="E68" i="4"/>
  <c r="E67" i="4"/>
  <c r="E66" i="4"/>
  <c r="E65" i="4"/>
  <c r="C64" i="4"/>
  <c r="E64" i="4" s="1"/>
  <c r="E60" i="4"/>
  <c r="E59" i="4"/>
  <c r="E58" i="4"/>
  <c r="E57" i="4"/>
  <c r="E56" i="4"/>
  <c r="E55" i="4"/>
  <c r="E51" i="4"/>
  <c r="E50" i="4"/>
  <c r="E49" i="4"/>
  <c r="E48" i="4"/>
  <c r="E47" i="4"/>
  <c r="E46" i="4"/>
  <c r="E45" i="4"/>
  <c r="E43" i="4"/>
  <c r="E41" i="4"/>
  <c r="E40" i="4"/>
  <c r="E27" i="4"/>
  <c r="E25" i="4"/>
  <c r="E23" i="4"/>
  <c r="E21" i="4"/>
  <c r="E20" i="4"/>
  <c r="E19" i="4"/>
  <c r="E17" i="4"/>
  <c r="F9" i="4"/>
  <c r="F4" i="4"/>
  <c r="M951" i="3"/>
  <c r="W850" i="3"/>
  <c r="W836" i="3"/>
  <c r="W833" i="3"/>
  <c r="O695" i="3"/>
  <c r="Q621" i="3"/>
  <c r="AM550" i="3"/>
  <c r="AM549" i="3"/>
  <c r="AG436" i="3"/>
  <c r="Q387" i="3"/>
  <c r="H295" i="3"/>
  <c r="H293" i="3"/>
  <c r="L277" i="3"/>
  <c r="L937" i="3" l="1"/>
  <c r="AJ31" i="6" l="1"/>
  <c r="AJ47" i="6"/>
  <c r="AQ6" i="6"/>
  <c r="AJ995" i="3"/>
  <c r="BH726" i="3"/>
  <c r="BI726" i="3" s="1"/>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AM695" i="3" s="1"/>
  <c r="BA679" i="3"/>
  <c r="BG689" i="3"/>
  <c r="BA680" i="3"/>
  <c r="BG690" i="3"/>
  <c r="BA681" i="3"/>
  <c r="BG691" i="3"/>
  <c r="BA682" i="3"/>
  <c r="AM699" i="3" s="1"/>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2" i="3" s="1"/>
  <c r="AZ260" i="3"/>
  <c r="BO245" i="3" s="1"/>
  <c r="T269" i="3" s="1"/>
  <c r="BG714" i="3"/>
  <c r="Y22" i="5"/>
  <c r="AD22" i="5"/>
  <c r="AI22" i="5"/>
  <c r="BH725" i="3" l="1"/>
  <c r="BI725" i="3" s="1"/>
  <c r="BH724" i="3"/>
  <c r="BI724" i="3" s="1"/>
  <c r="BH721" i="3"/>
  <c r="BI721" i="3" s="1"/>
  <c r="BH723" i="3"/>
  <c r="BI723" i="3" s="1"/>
  <c r="BH695" i="3"/>
  <c r="BI695" i="3" s="1"/>
  <c r="BH703" i="3"/>
  <c r="BI703" i="3" s="1"/>
  <c r="BH711" i="3"/>
  <c r="BI711" i="3" s="1"/>
  <c r="BH696" i="3"/>
  <c r="BI696" i="3" s="1"/>
  <c r="BH712" i="3"/>
  <c r="BI712" i="3" s="1"/>
  <c r="BH708" i="3"/>
  <c r="BI708" i="3" s="1"/>
  <c r="BH702" i="3"/>
  <c r="BI702" i="3" s="1"/>
  <c r="BH704" i="3"/>
  <c r="BI704" i="3" s="1"/>
  <c r="BH701" i="3"/>
  <c r="BI701" i="3" s="1"/>
  <c r="BH697" i="3"/>
  <c r="BI697" i="3" s="1"/>
  <c r="BH705" i="3"/>
  <c r="BI705" i="3" s="1"/>
  <c r="BH713" i="3"/>
  <c r="BI713" i="3" s="1"/>
  <c r="BH698" i="3"/>
  <c r="BI698" i="3" s="1"/>
  <c r="BH689" i="3"/>
  <c r="BI689" i="3" s="1"/>
  <c r="BH691" i="3"/>
  <c r="BI691" i="3" s="1"/>
  <c r="BH699" i="3"/>
  <c r="BI699" i="3" s="1"/>
  <c r="BH707" i="3"/>
  <c r="BI707" i="3" s="1"/>
  <c r="BH700" i="3"/>
  <c r="BI700" i="3" s="1"/>
  <c r="BH690" i="3"/>
  <c r="BI690" i="3" s="1"/>
  <c r="BH706" i="3"/>
  <c r="BI706" i="3" s="1"/>
  <c r="BH710" i="3"/>
  <c r="BI710" i="3" s="1"/>
  <c r="BH692" i="3"/>
  <c r="BI692" i="3" s="1"/>
  <c r="BH693" i="3"/>
  <c r="BI693" i="3" s="1"/>
  <c r="BH709" i="3"/>
  <c r="BI709" i="3" s="1"/>
  <c r="BH694" i="3"/>
  <c r="BI694" i="3" s="1"/>
  <c r="BH720" i="3"/>
  <c r="BI720" i="3" s="1"/>
  <c r="AO654" i="6"/>
  <c r="AO648" i="6"/>
  <c r="AO653" i="6"/>
  <c r="BI714" i="3" l="1"/>
  <c r="AH730" i="3" s="1"/>
  <c r="BH714" i="3"/>
  <c r="BH745" i="3"/>
  <c r="E50" i="25"/>
  <c r="AJ969" i="3" l="1"/>
  <c r="AG811" i="3"/>
  <c r="AF242" i="3"/>
  <c r="AJ1000" i="3" l="1"/>
  <c r="AF1001" i="3"/>
  <c r="AF996" i="3"/>
  <c r="H4" i="10"/>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T9" i="4" s="1"/>
  <c r="R10" i="4"/>
  <c r="S10" i="4"/>
  <c r="R30" i="28"/>
  <c r="AC695" i="3"/>
  <c r="AC696" i="3"/>
  <c r="AC697" i="3"/>
  <c r="AM697" i="3" s="1"/>
  <c r="BI722" i="3" s="1"/>
  <c r="BI745" i="3" s="1"/>
  <c r="AM730" i="3" s="1"/>
  <c r="AC698" i="3"/>
  <c r="AM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F18" i="4" s="1"/>
  <c r="E18" i="4" s="1"/>
  <c r="R18" i="4" s="1"/>
  <c r="S18" i="4" s="1"/>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D85" i="15"/>
  <c r="B86" i="15"/>
  <c r="C86" i="15"/>
  <c r="D86" i="15"/>
  <c r="B87" i="15"/>
  <c r="C87" i="15"/>
  <c r="D87" i="15"/>
  <c r="B88" i="15"/>
  <c r="C88" i="15"/>
  <c r="D88" i="15"/>
  <c r="B89" i="15"/>
  <c r="C89" i="15"/>
  <c r="D89" i="15"/>
  <c r="B90" i="15"/>
  <c r="E90" i="15" s="1"/>
  <c r="C90" i="15"/>
  <c r="D90" i="15"/>
  <c r="B91" i="15"/>
  <c r="C91" i="15"/>
  <c r="E91" i="15" s="1"/>
  <c r="D91" i="15"/>
  <c r="B92" i="15"/>
  <c r="C92" i="15"/>
  <c r="E92" i="15" s="1"/>
  <c r="D92" i="15"/>
  <c r="B93" i="15"/>
  <c r="C93" i="15"/>
  <c r="D93" i="15"/>
  <c r="B94" i="15"/>
  <c r="E94" i="15" s="1"/>
  <c r="C94" i="15"/>
  <c r="D94" i="15"/>
  <c r="B95" i="15"/>
  <c r="E95" i="15" s="1"/>
  <c r="C95" i="15"/>
  <c r="D95" i="15"/>
  <c r="E86" i="15"/>
  <c r="E85" i="15"/>
  <c r="E93" i="15"/>
  <c r="D83" i="15"/>
  <c r="C83" i="15"/>
  <c r="E83" i="15" s="1"/>
  <c r="B83" i="15"/>
  <c r="B80" i="15"/>
  <c r="C80" i="15"/>
  <c r="D80" i="15"/>
  <c r="D79" i="15"/>
  <c r="C79" i="15"/>
  <c r="B79" i="15"/>
  <c r="E79" i="15" s="1"/>
  <c r="B73" i="15"/>
  <c r="E73" i="15" s="1"/>
  <c r="C73" i="15"/>
  <c r="D73" i="15"/>
  <c r="B74" i="15"/>
  <c r="C74" i="15"/>
  <c r="D74" i="15"/>
  <c r="B75" i="15"/>
  <c r="C75" i="15"/>
  <c r="E75" i="15" s="1"/>
  <c r="D75" i="15"/>
  <c r="B76" i="15"/>
  <c r="C76" i="15"/>
  <c r="D76" i="15"/>
  <c r="D72" i="15"/>
  <c r="C72" i="15"/>
  <c r="B72" i="15"/>
  <c r="E72" i="15" s="1"/>
  <c r="B66" i="15"/>
  <c r="C66" i="15"/>
  <c r="E66" i="15" s="1"/>
  <c r="D66" i="15"/>
  <c r="B67" i="15"/>
  <c r="C67" i="15"/>
  <c r="D67" i="15"/>
  <c r="B68" i="15"/>
  <c r="E68" i="15" s="1"/>
  <c r="C68" i="15"/>
  <c r="D68" i="15"/>
  <c r="B69" i="15"/>
  <c r="C69" i="15"/>
  <c r="D69" i="15"/>
  <c r="D65" i="15"/>
  <c r="C65" i="15"/>
  <c r="B65" i="15"/>
  <c r="B57" i="15"/>
  <c r="C57" i="15"/>
  <c r="D57" i="15"/>
  <c r="B58" i="15"/>
  <c r="C58" i="15"/>
  <c r="D58" i="15"/>
  <c r="B59" i="15"/>
  <c r="E59" i="15" s="1"/>
  <c r="C59" i="15"/>
  <c r="D59" i="15"/>
  <c r="B60" i="15"/>
  <c r="C60" i="15"/>
  <c r="E60" i="15"/>
  <c r="D60" i="15"/>
  <c r="B61" i="15"/>
  <c r="C61" i="15"/>
  <c r="D61" i="15"/>
  <c r="D56" i="15"/>
  <c r="C56" i="15"/>
  <c r="B56" i="15"/>
  <c r="B47" i="15"/>
  <c r="C47" i="15"/>
  <c r="E47" i="15" s="1"/>
  <c r="D47" i="15"/>
  <c r="B48" i="15"/>
  <c r="C48" i="15"/>
  <c r="D48" i="15"/>
  <c r="B49" i="15"/>
  <c r="C49" i="15"/>
  <c r="E49" i="15" s="1"/>
  <c r="D49" i="15"/>
  <c r="B50" i="15"/>
  <c r="E50" i="15" s="1"/>
  <c r="C50" i="15"/>
  <c r="D50" i="15"/>
  <c r="B51" i="15"/>
  <c r="C51" i="15"/>
  <c r="D51" i="15"/>
  <c r="B52" i="15"/>
  <c r="E52" i="15" s="1"/>
  <c r="C52" i="15"/>
  <c r="D52" i="15"/>
  <c r="B53" i="15"/>
  <c r="C53" i="15"/>
  <c r="D53" i="15"/>
  <c r="D46" i="15"/>
  <c r="C46" i="15"/>
  <c r="B46" i="15"/>
  <c r="E46" i="15" s="1"/>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E30" i="15" s="1"/>
  <c r="B30" i="15"/>
  <c r="B19" i="15"/>
  <c r="C19" i="15"/>
  <c r="D19" i="15"/>
  <c r="B20" i="15"/>
  <c r="C20" i="15"/>
  <c r="E20" i="15" s="1"/>
  <c r="D20" i="15"/>
  <c r="B21" i="15"/>
  <c r="C21" i="15"/>
  <c r="D21" i="15"/>
  <c r="B22" i="15"/>
  <c r="E22" i="15" s="1"/>
  <c r="C22" i="15"/>
  <c r="D22" i="15"/>
  <c r="B23" i="15"/>
  <c r="C23" i="15"/>
  <c r="D23" i="15"/>
  <c r="B24" i="15"/>
  <c r="C24" i="15"/>
  <c r="E24" i="15"/>
  <c r="D24" i="15"/>
  <c r="B25" i="15"/>
  <c r="C25" i="15"/>
  <c r="D25" i="15"/>
  <c r="B26" i="15"/>
  <c r="C26" i="15"/>
  <c r="E26" i="15"/>
  <c r="D26" i="15"/>
  <c r="B28" i="15"/>
  <c r="C28" i="15"/>
  <c r="E28" i="15" s="1"/>
  <c r="D28" i="15"/>
  <c r="B5" i="15"/>
  <c r="C5" i="15"/>
  <c r="E5" i="15" s="1"/>
  <c r="B6" i="15"/>
  <c r="C6" i="15"/>
  <c r="B7" i="15"/>
  <c r="C7" i="15"/>
  <c r="B8" i="15"/>
  <c r="C8" i="15"/>
  <c r="B10" i="15"/>
  <c r="C10" i="15"/>
  <c r="C12" i="15" s="1"/>
  <c r="B11" i="15"/>
  <c r="C11" i="15"/>
  <c r="E11" i="15" s="1"/>
  <c r="B14" i="15"/>
  <c r="C14" i="15"/>
  <c r="B15" i="15"/>
  <c r="C15" i="15"/>
  <c r="B16" i="15"/>
  <c r="C16" i="15"/>
  <c r="B18" i="15"/>
  <c r="C18" i="15"/>
  <c r="E18" i="15" s="1"/>
  <c r="C38" i="10"/>
  <c r="E80" i="15"/>
  <c r="C5" i="10"/>
  <c r="C6" i="10"/>
  <c r="H6" i="10" s="1"/>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67" i="15"/>
  <c r="E33" i="15"/>
  <c r="E58" i="15"/>
  <c r="E89" i="15"/>
  <c r="E16" i="15"/>
  <c r="E7" i="15"/>
  <c r="E31" i="15"/>
  <c r="E51" i="15"/>
  <c r="E57" i="15"/>
  <c r="E88" i="15"/>
  <c r="E84" i="15"/>
  <c r="E14" i="15"/>
  <c r="E21" i="15"/>
  <c r="B9" i="15"/>
  <c r="E8" i="15"/>
  <c r="E48" i="15"/>
  <c r="E19" i="15"/>
  <c r="E42" i="15"/>
  <c r="E6" i="15"/>
  <c r="E23" i="15"/>
  <c r="E41" i="15"/>
  <c r="C9" i="15"/>
  <c r="E9" i="15" s="1"/>
  <c r="E35" i="15"/>
  <c r="E65" i="15"/>
  <c r="E36"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K55" i="9"/>
  <c r="M55" i="9" s="1"/>
  <c r="O55" i="9" s="1"/>
  <c r="Q55" i="9" s="1"/>
  <c r="S55" i="9" s="1"/>
  <c r="U55" i="9" s="1"/>
  <c r="W55" i="9" s="1"/>
  <c r="Y55" i="9" s="1"/>
  <c r="AA55" i="9" s="1"/>
  <c r="AC55" i="9" s="1"/>
  <c r="AE55" i="9" s="1"/>
  <c r="AG55" i="9" s="1"/>
  <c r="K56" i="9"/>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B25" i="18" s="1"/>
  <c r="C38" i="4"/>
  <c r="C42" i="4"/>
  <c r="C53" i="4"/>
  <c r="B53" i="4" s="1"/>
  <c r="C61" i="4"/>
  <c r="B60" i="18" s="1"/>
  <c r="C69" i="4"/>
  <c r="C76" i="4"/>
  <c r="C80" i="4"/>
  <c r="C95" i="4"/>
  <c r="B96" i="15" s="1"/>
  <c r="C103" i="4"/>
  <c r="C104" i="15" s="1"/>
  <c r="C66" i="25"/>
  <c r="Y20" i="5"/>
  <c r="AI20" i="5"/>
  <c r="S38" i="4"/>
  <c r="S42" i="4"/>
  <c r="S69" i="4"/>
  <c r="S95" i="4"/>
  <c r="E94" i="18" s="1"/>
  <c r="S103" i="4"/>
  <c r="E102" i="18" s="1"/>
  <c r="F37" i="18"/>
  <c r="F41" i="18"/>
  <c r="F68" i="18"/>
  <c r="F94" i="18"/>
  <c r="T20" i="5"/>
  <c r="T22" i="5" s="1"/>
  <c r="T26" i="4"/>
  <c r="T38" i="4"/>
  <c r="T42" i="4"/>
  <c r="T53" i="4"/>
  <c r="T11" i="4"/>
  <c r="T69" i="4"/>
  <c r="H68" i="18" s="1"/>
  <c r="T80" i="4"/>
  <c r="H79" i="18" s="1"/>
  <c r="T95" i="4"/>
  <c r="T103" i="4"/>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C79" i="18"/>
  <c r="R71" i="4"/>
  <c r="R72" i="4"/>
  <c r="R73" i="4"/>
  <c r="R74" i="4"/>
  <c r="R75" i="4"/>
  <c r="E80" i="4"/>
  <c r="F80" i="4"/>
  <c r="G80" i="4"/>
  <c r="H80" i="4"/>
  <c r="B79" i="18"/>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D9" i="18" s="1"/>
  <c r="D11" i="18" s="1"/>
  <c r="B10" i="18"/>
  <c r="B13" i="18"/>
  <c r="B14" i="18"/>
  <c r="B15" i="18"/>
  <c r="H104" i="18"/>
  <c r="H101" i="18"/>
  <c r="H100" i="18"/>
  <c r="H99" i="18"/>
  <c r="H98" i="18"/>
  <c r="H97" i="18"/>
  <c r="I97" i="18" s="1"/>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I9" i="18" s="1"/>
  <c r="I11" i="18" s="1"/>
  <c r="I61" i="18" s="1"/>
  <c r="I95" i="18" s="1"/>
  <c r="E104" i="18"/>
  <c r="E101" i="18"/>
  <c r="E100" i="18"/>
  <c r="E99" i="18"/>
  <c r="E98" i="18"/>
  <c r="E97" i="18"/>
  <c r="F97" i="18" s="1"/>
  <c r="F102" i="18" s="1"/>
  <c r="E93" i="18"/>
  <c r="E92" i="18"/>
  <c r="E91" i="18"/>
  <c r="E90" i="18"/>
  <c r="E89" i="18"/>
  <c r="E88" i="18"/>
  <c r="E87" i="18"/>
  <c r="E85" i="18"/>
  <c r="E84" i="18"/>
  <c r="E83" i="18"/>
  <c r="E82" i="18"/>
  <c r="E67" i="18"/>
  <c r="E63" i="18"/>
  <c r="E51" i="18"/>
  <c r="E50" i="18"/>
  <c r="E49" i="18"/>
  <c r="E48" i="18"/>
  <c r="E46" i="18"/>
  <c r="E45" i="18"/>
  <c r="E44" i="18"/>
  <c r="F44" i="18" s="1"/>
  <c r="E42" i="18"/>
  <c r="F42" i="18" s="1"/>
  <c r="E40" i="18"/>
  <c r="E39" i="18"/>
  <c r="E36" i="18"/>
  <c r="E34" i="18"/>
  <c r="E33" i="18"/>
  <c r="E32" i="18"/>
  <c r="E31" i="18"/>
  <c r="E30" i="18"/>
  <c r="E29" i="18"/>
  <c r="E28" i="18"/>
  <c r="E24" i="18"/>
  <c r="E22" i="18"/>
  <c r="E14" i="18"/>
  <c r="E15" i="18"/>
  <c r="E13" i="18"/>
  <c r="E10" i="18"/>
  <c r="B101" i="18"/>
  <c r="B100" i="18"/>
  <c r="B99" i="18"/>
  <c r="B98" i="18"/>
  <c r="B97" i="18"/>
  <c r="D97" i="18" s="1"/>
  <c r="D102" i="18" s="1"/>
  <c r="B93" i="18"/>
  <c r="B92" i="18"/>
  <c r="B91" i="18"/>
  <c r="B90" i="18"/>
  <c r="B89" i="18"/>
  <c r="B88" i="18"/>
  <c r="B87" i="18"/>
  <c r="B86" i="18"/>
  <c r="B85" i="18"/>
  <c r="D85" i="18" s="1"/>
  <c r="B84" i="18"/>
  <c r="B83" i="18"/>
  <c r="B82" i="18"/>
  <c r="B81" i="18"/>
  <c r="D81" i="18" s="1"/>
  <c r="B77" i="18"/>
  <c r="D77" i="18" s="1"/>
  <c r="D79" i="18" s="1"/>
  <c r="B74" i="18"/>
  <c r="B73" i="18"/>
  <c r="B72" i="18"/>
  <c r="D72" i="18" s="1"/>
  <c r="D75" i="18" s="1"/>
  <c r="B71" i="18"/>
  <c r="B70" i="18"/>
  <c r="B67" i="18"/>
  <c r="B63" i="18"/>
  <c r="B59" i="18"/>
  <c r="D59" i="18" s="1"/>
  <c r="B58" i="18"/>
  <c r="D58" i="18" s="1"/>
  <c r="B57" i="18"/>
  <c r="B56" i="18"/>
  <c r="B55" i="18"/>
  <c r="B54" i="18"/>
  <c r="D54" i="18" s="1"/>
  <c r="B51" i="18"/>
  <c r="B50" i="18"/>
  <c r="B49" i="18"/>
  <c r="B48" i="18"/>
  <c r="B47" i="18"/>
  <c r="D47" i="18" s="1"/>
  <c r="B46" i="18"/>
  <c r="B45" i="18"/>
  <c r="D45" i="18" s="1"/>
  <c r="B44" i="18"/>
  <c r="D44" i="18" s="1"/>
  <c r="B42" i="18"/>
  <c r="D42" i="18" s="1"/>
  <c r="B40" i="18"/>
  <c r="B39" i="18"/>
  <c r="B36" i="18"/>
  <c r="B34" i="18"/>
  <c r="B33" i="18"/>
  <c r="B32" i="18"/>
  <c r="B31" i="18"/>
  <c r="B30" i="18"/>
  <c r="B29" i="18"/>
  <c r="B28" i="18"/>
  <c r="B26" i="18"/>
  <c r="D26" i="18" s="1"/>
  <c r="B24" i="18"/>
  <c r="B23" i="18"/>
  <c r="D23" i="18" s="1"/>
  <c r="B22" i="18"/>
  <c r="B21" i="18"/>
  <c r="D21" i="18" s="1"/>
  <c r="B20" i="18"/>
  <c r="D20" i="18" s="1"/>
  <c r="B19" i="18"/>
  <c r="D19" i="18" s="1"/>
  <c r="B18" i="18"/>
  <c r="D18" i="18" s="1"/>
  <c r="B17" i="18"/>
  <c r="B4" i="18"/>
  <c r="D4" i="18" s="1"/>
  <c r="D8" i="18" s="1"/>
  <c r="C102" i="18"/>
  <c r="C94" i="18"/>
  <c r="C75" i="18"/>
  <c r="D68" i="18"/>
  <c r="C68" i="18"/>
  <c r="C60" i="18"/>
  <c r="C52" i="18"/>
  <c r="D41" i="18"/>
  <c r="C41" i="18"/>
  <c r="D37" i="18"/>
  <c r="C37" i="18"/>
  <c r="C25" i="18"/>
  <c r="C11" i="18"/>
  <c r="C8" i="18"/>
  <c r="AG517" i="6"/>
  <c r="AO652" i="6"/>
  <c r="AO651" i="6"/>
  <c r="AO650" i="6"/>
  <c r="AO649" i="6"/>
  <c r="AJ271" i="6"/>
  <c r="AJ256" i="6"/>
  <c r="AJ230" i="6"/>
  <c r="AJ218" i="6"/>
  <c r="AJ139" i="6"/>
  <c r="T701" i="6"/>
  <c r="AG524" i="6"/>
  <c r="AG520" i="6"/>
  <c r="AG513" i="6"/>
  <c r="AG508" i="6"/>
  <c r="AG485" i="6"/>
  <c r="R94" i="4"/>
  <c r="R82" i="4"/>
  <c r="R84" i="4"/>
  <c r="R85" i="4"/>
  <c r="R86" i="4"/>
  <c r="R87" i="4"/>
  <c r="R88" i="4"/>
  <c r="R89" i="4"/>
  <c r="R90" i="4"/>
  <c r="R91" i="4"/>
  <c r="R92" i="4"/>
  <c r="R93" i="4"/>
  <c r="R60" i="4"/>
  <c r="R59" i="4"/>
  <c r="R58" i="4"/>
  <c r="R57" i="4"/>
  <c r="R56" i="4"/>
  <c r="R52" i="4"/>
  <c r="R51" i="4"/>
  <c r="R50" i="4"/>
  <c r="R49" i="4"/>
  <c r="R48" i="4"/>
  <c r="S48" i="4" s="1"/>
  <c r="E47" i="18" s="1"/>
  <c r="F47" i="18" s="1"/>
  <c r="R47" i="4"/>
  <c r="R46" i="4"/>
  <c r="R45" i="4"/>
  <c r="R43" i="4"/>
  <c r="R41" i="4"/>
  <c r="R40" i="4"/>
  <c r="R37" i="4"/>
  <c r="R35" i="4"/>
  <c r="R34" i="4"/>
  <c r="R33" i="4"/>
  <c r="R32" i="4"/>
  <c r="R30" i="4"/>
  <c r="R31" i="4"/>
  <c r="R29" i="4"/>
  <c r="R27" i="4"/>
  <c r="S27" i="4" s="1"/>
  <c r="E26" i="18" s="1"/>
  <c r="F26" i="18" s="1"/>
  <c r="R25" i="4"/>
  <c r="R23" i="4"/>
  <c r="S23" i="4" s="1"/>
  <c r="E23" i="18" s="1"/>
  <c r="F23" i="18" s="1"/>
  <c r="R22" i="4"/>
  <c r="R21" i="4"/>
  <c r="S21" i="4" s="1"/>
  <c r="E21" i="18" s="1"/>
  <c r="F21" i="18" s="1"/>
  <c r="R20" i="4"/>
  <c r="S20" i="4" s="1"/>
  <c r="E20" i="18" s="1"/>
  <c r="F20" i="18" s="1"/>
  <c r="R19" i="4"/>
  <c r="S19" i="4" s="1"/>
  <c r="E19" i="18" s="1"/>
  <c r="F19" i="18" s="1"/>
  <c r="R17" i="4"/>
  <c r="S17" i="4" s="1"/>
  <c r="E17" i="18" s="1"/>
  <c r="R15" i="4"/>
  <c r="R14" i="4"/>
  <c r="R13" i="4"/>
  <c r="R7" i="4"/>
  <c r="R6" i="4"/>
  <c r="D5" i="15"/>
  <c r="D6" i="15"/>
  <c r="D7" i="15"/>
  <c r="D8" i="15"/>
  <c r="D10" i="15"/>
  <c r="D11" i="15"/>
  <c r="D14" i="15"/>
  <c r="D15" i="15"/>
  <c r="D16" i="15"/>
  <c r="D18" i="15"/>
  <c r="E37" i="18"/>
  <c r="E41" i="18"/>
  <c r="E68"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B80" i="4"/>
  <c r="B95" i="4"/>
  <c r="D12" i="4"/>
  <c r="B43" i="15"/>
  <c r="E43" i="15" s="1"/>
  <c r="C43" i="15"/>
  <c r="D43" i="15"/>
  <c r="G12" i="4"/>
  <c r="C39" i="15"/>
  <c r="D39" i="15"/>
  <c r="B39" i="15"/>
  <c r="B27" i="15"/>
  <c r="D27" i="15"/>
  <c r="C27" i="15"/>
  <c r="C81" i="15"/>
  <c r="B81" i="15"/>
  <c r="D81" i="15"/>
  <c r="B76" i="4"/>
  <c r="B77" i="15"/>
  <c r="E77" i="15" s="1"/>
  <c r="C77" i="15"/>
  <c r="D77" i="15"/>
  <c r="B8" i="4"/>
  <c r="T62" i="4"/>
  <c r="T96" i="4" s="1"/>
  <c r="B68" i="18"/>
  <c r="B70" i="15"/>
  <c r="C70" i="15"/>
  <c r="D70" i="15"/>
  <c r="B54" i="15"/>
  <c r="D54" i="15"/>
  <c r="G52" i="25"/>
  <c r="AB47" i="26"/>
  <c r="J61" i="18"/>
  <c r="J95" i="18"/>
  <c r="J103" i="18"/>
  <c r="J105" i="18"/>
  <c r="K12" i="4"/>
  <c r="B42" i="4"/>
  <c r="J12" i="4"/>
  <c r="R11" i="4"/>
  <c r="R8" i="4"/>
  <c r="D12" i="15"/>
  <c r="D13" i="15" s="1"/>
  <c r="R69" i="4"/>
  <c r="G62" i="4"/>
  <c r="G96" i="4" s="1"/>
  <c r="D9" i="15"/>
  <c r="C61" i="18"/>
  <c r="C95" i="18"/>
  <c r="C103" i="18"/>
  <c r="C12" i="18"/>
  <c r="E12" i="4"/>
  <c r="M62" i="4"/>
  <c r="M96" i="4"/>
  <c r="M104" i="4"/>
  <c r="J62" i="4"/>
  <c r="J96" i="4"/>
  <c r="J104" i="4"/>
  <c r="C12" i="4"/>
  <c r="B12" i="18" s="1"/>
  <c r="O62" i="4"/>
  <c r="O96" i="4"/>
  <c r="O104" i="4"/>
  <c r="N62" i="4"/>
  <c r="N96" i="4"/>
  <c r="N104" i="4"/>
  <c r="D62" i="4"/>
  <c r="B75" i="18"/>
  <c r="B8" i="18"/>
  <c r="R26" i="4"/>
  <c r="L62" i="4"/>
  <c r="L96" i="4"/>
  <c r="L104" i="4"/>
  <c r="H12" i="4"/>
  <c r="H11" i="18"/>
  <c r="Q62" i="4"/>
  <c r="Q96" i="4"/>
  <c r="Q104" i="4"/>
  <c r="K62" i="4"/>
  <c r="K96" i="4"/>
  <c r="K104" i="4"/>
  <c r="I62" i="4"/>
  <c r="I96" i="4" s="1"/>
  <c r="I104" i="4" s="1"/>
  <c r="R38" i="4"/>
  <c r="R42" i="4"/>
  <c r="H62" i="4"/>
  <c r="H96" i="4" s="1"/>
  <c r="H104" i="4" s="1"/>
  <c r="M12" i="4"/>
  <c r="P62" i="4"/>
  <c r="P96" i="4"/>
  <c r="P104" i="4"/>
  <c r="B69" i="4"/>
  <c r="G61" i="18"/>
  <c r="G95" i="18"/>
  <c r="G103" i="18"/>
  <c r="G105" i="18"/>
  <c r="B38" i="4"/>
  <c r="S28" i="9"/>
  <c r="AC28" i="9"/>
  <c r="E70" i="15"/>
  <c r="T24" i="27"/>
  <c r="T24" i="26"/>
  <c r="G98" i="25" l="1"/>
  <c r="E81" i="15"/>
  <c r="I6" i="10"/>
  <c r="I4" i="10"/>
  <c r="F52" i="18"/>
  <c r="D94" i="18"/>
  <c r="R80" i="4"/>
  <c r="S78" i="4"/>
  <c r="E44" i="15"/>
  <c r="S53" i="4"/>
  <c r="E52" i="18" s="1"/>
  <c r="D52" i="18"/>
  <c r="D25" i="18"/>
  <c r="S26" i="4"/>
  <c r="B26" i="4"/>
  <c r="B12" i="15"/>
  <c r="E12" i="15"/>
  <c r="E10" i="15"/>
  <c r="B102" i="18"/>
  <c r="D12" i="18"/>
  <c r="R12" i="4"/>
  <c r="I103" i="18"/>
  <c r="I105" i="18" s="1"/>
  <c r="R53" i="4"/>
  <c r="E61" i="15"/>
  <c r="B62" i="15"/>
  <c r="B61" i="4"/>
  <c r="D62" i="15"/>
  <c r="E62" i="4"/>
  <c r="E96" i="4" s="1"/>
  <c r="C62" i="15"/>
  <c r="E18" i="18"/>
  <c r="F18" i="18" s="1"/>
  <c r="F25" i="18" s="1"/>
  <c r="F61" i="18" s="1"/>
  <c r="E87" i="15"/>
  <c r="R95" i="4"/>
  <c r="C54" i="15"/>
  <c r="E54" i="15" s="1"/>
  <c r="R61" i="4"/>
  <c r="R62" i="4" s="1"/>
  <c r="D60" i="18"/>
  <c r="G98" i="4"/>
  <c r="K54" i="9"/>
  <c r="I58" i="9"/>
  <c r="T104" i="4"/>
  <c r="H95" i="18"/>
  <c r="H61" i="18"/>
  <c r="B94" i="18"/>
  <c r="D96" i="4"/>
  <c r="D104" i="4" s="1"/>
  <c r="D96" i="15"/>
  <c r="C96" i="15"/>
  <c r="E96" i="15" s="1"/>
  <c r="E74" i="15"/>
  <c r="R76" i="4"/>
  <c r="F62" i="4"/>
  <c r="F96" i="4" s="1"/>
  <c r="F104" i="4" s="1"/>
  <c r="C62" i="4"/>
  <c r="C96" i="4" s="1"/>
  <c r="C104" i="4" s="1"/>
  <c r="E39" i="15"/>
  <c r="B11" i="18"/>
  <c r="B13" i="15"/>
  <c r="B11" i="4"/>
  <c r="B12" i="4" s="1"/>
  <c r="C13" i="15"/>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AC448" i="3" l="1"/>
  <c r="I40" i="10"/>
  <c r="Z788" i="3" s="1"/>
  <c r="E6" i="9" s="1"/>
  <c r="S62" i="4"/>
  <c r="E61" i="18" s="1"/>
  <c r="E77" i="18"/>
  <c r="F77" i="18" s="1"/>
  <c r="F79" i="18" s="1"/>
  <c r="F95" i="18" s="1"/>
  <c r="F103" i="18" s="1"/>
  <c r="F105" i="18" s="1"/>
  <c r="S80" i="4"/>
  <c r="E79" i="18" s="1"/>
  <c r="S96" i="4"/>
  <c r="E95" i="18" s="1"/>
  <c r="D61" i="18"/>
  <c r="D95" i="18" s="1"/>
  <c r="D103" i="18" s="1"/>
  <c r="E25" i="18"/>
  <c r="E62" i="15"/>
  <c r="E13" i="15"/>
  <c r="R96" i="4"/>
  <c r="C63" i="15"/>
  <c r="B61" i="18"/>
  <c r="B62" i="4"/>
  <c r="E98" i="4"/>
  <c r="G103" i="4"/>
  <c r="G104" i="4" s="1"/>
  <c r="M54" i="9"/>
  <c r="K58" i="9"/>
  <c r="T106" i="4"/>
  <c r="H105" i="18" s="1"/>
  <c r="H103" i="18"/>
  <c r="B95" i="18"/>
  <c r="C97" i="15"/>
  <c r="B96" i="4"/>
  <c r="B97" i="15"/>
  <c r="D97" i="15"/>
  <c r="B63" i="15"/>
  <c r="D63" i="15"/>
  <c r="Y112" i="6"/>
  <c r="BA203" i="6"/>
  <c r="AO197" i="6"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D105" i="15"/>
  <c r="C105" i="15"/>
  <c r="B105" i="15"/>
  <c r="B104" i="4"/>
  <c r="B103" i="18"/>
  <c r="K16" i="9"/>
  <c r="I22" i="9"/>
  <c r="I35" i="9" s="1"/>
  <c r="S15" i="9"/>
  <c r="M32" i="9"/>
  <c r="I8" i="9"/>
  <c r="G9" i="9"/>
  <c r="AC447" i="3" l="1"/>
  <c r="F450" i="3" s="1"/>
  <c r="S104" i="4"/>
  <c r="E103" i="18" s="1"/>
  <c r="E63" i="15"/>
  <c r="E103" i="4"/>
  <c r="E104" i="4" s="1"/>
  <c r="R98" i="4"/>
  <c r="R103" i="4" s="1"/>
  <c r="R104" i="4" s="1"/>
  <c r="O54" i="9"/>
  <c r="M58" i="9"/>
  <c r="AD11" i="5"/>
  <c r="AD23" i="5" s="1"/>
  <c r="AD26" i="5" s="1"/>
  <c r="AD28" i="5" s="1"/>
  <c r="AI11" i="27"/>
  <c r="AI23" i="27" s="1"/>
  <c r="AI26" i="27" s="1"/>
  <c r="AI28" i="27" s="1"/>
  <c r="AD63" i="27" s="1"/>
  <c r="AD11" i="26"/>
  <c r="AD23" i="26" s="1"/>
  <c r="AD26" i="26" s="1"/>
  <c r="AD28" i="26" s="1"/>
  <c r="AI11" i="26"/>
  <c r="AI23" i="26" s="1"/>
  <c r="AI26" i="26" s="1"/>
  <c r="AI28" i="26" s="1"/>
  <c r="AD63" i="26" s="1"/>
  <c r="AD11" i="27"/>
  <c r="AD23" i="27" s="1"/>
  <c r="AD26" i="27" s="1"/>
  <c r="AD28" i="27" s="1"/>
  <c r="AI11" i="5"/>
  <c r="AI23" i="5" s="1"/>
  <c r="AI26" i="5" s="1"/>
  <c r="AI28" i="5" s="1"/>
  <c r="E97" i="15"/>
  <c r="J58" i="2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S106" i="4" l="1"/>
  <c r="AC449" i="3" s="1"/>
  <c r="X1024" i="3"/>
  <c r="E105" i="18"/>
  <c r="Y11" i="5" s="1"/>
  <c r="Y23" i="5" s="1"/>
  <c r="Y26" i="5" s="1"/>
  <c r="Y28" i="5" s="1"/>
  <c r="Y63" i="5" s="1"/>
  <c r="Y67" i="5" s="1"/>
  <c r="Q54" i="9"/>
  <c r="O58" i="9"/>
  <c r="T11" i="5"/>
  <c r="T11" i="26"/>
  <c r="T23" i="26" s="1"/>
  <c r="T11" i="27"/>
  <c r="T23"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Y11" i="26" l="1"/>
  <c r="Y23" i="26" s="1"/>
  <c r="Y26" i="26" s="1"/>
  <c r="Y28" i="26" s="1"/>
  <c r="Y63" i="26" s="1"/>
  <c r="Y67" i="26" s="1"/>
  <c r="Y11" i="27"/>
  <c r="Y23" i="27" s="1"/>
  <c r="Y26" i="27" s="1"/>
  <c r="Y28" i="27" s="1"/>
  <c r="Y63" i="27" s="1"/>
  <c r="Y67" i="27" s="1"/>
  <c r="S54" i="9"/>
  <c r="Q58" i="9"/>
  <c r="T26" i="26"/>
  <c r="T28" i="26" s="1"/>
  <c r="T26" i="27"/>
  <c r="T28" i="27" s="1"/>
  <c r="BE16" i="28"/>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38" i="27" l="1"/>
  <c r="Y40" i="27" s="1"/>
  <c r="AD38" i="27"/>
  <c r="AD40" i="27" s="1"/>
  <c r="T29" i="27"/>
  <c r="T29" i="26"/>
  <c r="AD38" i="26"/>
  <c r="AD40" i="26" s="1"/>
  <c r="Y38" i="26"/>
  <c r="Y40" i="26" s="1"/>
  <c r="U54" i="9"/>
  <c r="S58" i="9"/>
  <c r="T26" i="5"/>
  <c r="T28" i="5" s="1"/>
  <c r="T29"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41" i="27" l="1"/>
  <c r="AB55" i="27" s="1"/>
  <c r="AB56" i="27" s="1"/>
  <c r="AB58" i="27" s="1"/>
  <c r="AB75" i="27" s="1"/>
  <c r="AB76" i="27" s="1"/>
  <c r="AB77" i="27" s="1"/>
  <c r="AB79" i="27" s="1"/>
  <c r="J80" i="27" s="1"/>
  <c r="Y41" i="26"/>
  <c r="AB55" i="26" s="1"/>
  <c r="AB56" i="26" s="1"/>
  <c r="AB58" i="26" s="1"/>
  <c r="AB75" i="26" s="1"/>
  <c r="AB76" i="26" s="1"/>
  <c r="AB77" i="26" s="1"/>
  <c r="AB79" i="26" s="1"/>
  <c r="J80" i="26" s="1"/>
  <c r="U58" i="9"/>
  <c r="W54" i="9"/>
  <c r="U4" i="9"/>
  <c r="U5" i="9" s="1"/>
  <c r="G48" i="9"/>
  <c r="G60" i="9"/>
  <c r="T24" i="5"/>
  <c r="X1025" i="3"/>
  <c r="AF706" i="6"/>
  <c r="AF712" i="6" s="1"/>
  <c r="BT577" i="6"/>
  <c r="BY574" i="6"/>
  <c r="CC550" i="6"/>
  <c r="K37" i="9"/>
  <c r="K49" i="9" s="1"/>
  <c r="U16" i="9"/>
  <c r="S22" i="9"/>
  <c r="S35" i="9" s="1"/>
  <c r="AC15" i="9"/>
  <c r="I47" i="9"/>
  <c r="I48" i="9"/>
  <c r="I60" i="9"/>
  <c r="I62" i="9" s="1"/>
  <c r="O6" i="9"/>
  <c r="M7" i="9"/>
  <c r="M11" i="9" s="1"/>
  <c r="M37" i="9" s="1"/>
  <c r="W32" i="9"/>
  <c r="S8" i="9"/>
  <c r="Q9" i="9"/>
  <c r="F59" i="27" l="1"/>
  <c r="F59" i="26"/>
  <c r="G66" i="9"/>
  <c r="G62" i="9"/>
  <c r="Y54" i="9"/>
  <c r="W58" i="9"/>
  <c r="W4" i="9"/>
  <c r="Y4" i="9" s="1"/>
  <c r="G67" i="9"/>
  <c r="G68" i="9"/>
  <c r="G69" i="9"/>
  <c r="D1026" i="3"/>
  <c r="AD38" i="5"/>
  <c r="AD40" i="5" s="1"/>
  <c r="Y38" i="5"/>
  <c r="Y40" i="5" s="1"/>
  <c r="CD575" i="6"/>
  <c r="BY577" i="6"/>
  <c r="K45" i="9"/>
  <c r="K60" i="9" s="1"/>
  <c r="K62" i="9" s="1"/>
  <c r="Q6" i="9"/>
  <c r="O7" i="9"/>
  <c r="O11" i="9" s="1"/>
  <c r="O37" i="9" s="1"/>
  <c r="I67" i="9"/>
  <c r="I69" i="9"/>
  <c r="I68" i="9"/>
  <c r="I66" i="9"/>
  <c r="AE15" i="9"/>
  <c r="M45" i="9"/>
  <c r="M49" i="9"/>
  <c r="W16" i="9"/>
  <c r="U22" i="9"/>
  <c r="U35" i="9" s="1"/>
  <c r="Y32" i="9"/>
  <c r="U8" i="9"/>
  <c r="S9" i="9"/>
  <c r="K69" i="9" l="1"/>
  <c r="AA54" i="9"/>
  <c r="Y58" i="9"/>
  <c r="W5" i="9"/>
  <c r="G70" i="9"/>
  <c r="G72" i="9" s="1"/>
  <c r="AR43" i="5"/>
  <c r="AR42" i="5"/>
  <c r="Y41" i="5" s="1"/>
  <c r="AB55" i="5" s="1"/>
  <c r="CD577" i="6"/>
  <c r="CI576" i="6"/>
  <c r="CI577" i="6" s="1"/>
  <c r="K48" i="9"/>
  <c r="K66" i="9"/>
  <c r="K68" i="9"/>
  <c r="K67" i="9"/>
  <c r="K47" i="9"/>
  <c r="M48" i="9"/>
  <c r="M47" i="9"/>
  <c r="M60" i="9"/>
  <c r="M62" i="9" s="1"/>
  <c r="O49" i="9"/>
  <c r="O45" i="9"/>
  <c r="AA4" i="9"/>
  <c r="Y5" i="9"/>
  <c r="I70" i="9"/>
  <c r="I72" i="9" s="1"/>
  <c r="AG15" i="9"/>
  <c r="Y16" i="9"/>
  <c r="W22" i="9"/>
  <c r="W35" i="9" s="1"/>
  <c r="S6" i="9"/>
  <c r="Q7" i="9"/>
  <c r="Q11" i="9" s="1"/>
  <c r="Q37" i="9" s="1"/>
  <c r="AA32" i="9"/>
  <c r="W8" i="9"/>
  <c r="U9" i="9"/>
  <c r="AC54"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E54" i="9" l="1"/>
  <c r="AC58" i="9"/>
  <c r="AB58" i="5"/>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AG54" i="9" l="1"/>
  <c r="AG58" i="9" s="1"/>
  <c r="AE58" i="9"/>
  <c r="F59" i="5"/>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<sst xmlns="http://schemas.openxmlformats.org/spreadsheetml/2006/main" count="4699" uniqueCount="2508">
  <si>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</si>
  <si>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</si>
  <si>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</si>
  <si>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</si>
  <si>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</si>
  <si>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</si>
  <si>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</si>
  <si>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</si>
  <si>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</si>
  <si>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</si>
  <si>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</si>
  <si>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</si>
  <si>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</si>
  <si>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</si>
  <si>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</si>
  <si>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</si>
  <si>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</si>
  <si>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</si>
  <si>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</si>
  <si>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</si>
  <si>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</si>
  <si>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</si>
  <si>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</si>
  <si>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</si>
  <si>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</si>
  <si>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</si>
  <si>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</si>
  <si>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</si>
  <si>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</si>
  <si>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</si>
  <si>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</si>
  <si>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</si>
  <si>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</si>
  <si>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</si>
  <si>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</si>
  <si>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</si>
  <si>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</si>
  <si>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</si>
  <si>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</si>
  <si>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</si>
  <si>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</si>
  <si>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</si>
  <si>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</si>
  <si>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</si>
  <si>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</si>
  <si>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</si>
  <si>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</si>
  <si>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</si>
  <si>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</si>
  <si>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</si>
  <si>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</si>
  <si>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</si>
  <si>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</si>
  <si>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</si>
  <si>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</si>
  <si>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</si>
  <si>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</si>
  <si>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</si>
  <si>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</si>
  <si>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</si>
  <si>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</si>
  <si>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</si>
  <si>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</si>
  <si>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</si>
  <si>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</si>
  <si>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</si>
  <si>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</si>
  <si>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</si>
  <si>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</si>
  <si>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</si>
  <si>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</si>
  <si>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</si>
  <si>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</si>
  <si>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</si>
  <si>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</si>
  <si>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</si>
  <si>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</si>
  <si>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</si>
  <si>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</si>
  <si>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</si>
  <si>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</si>
  <si>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</si>
  <si>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</si>
  <si>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</si>
  <si>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</si>
  <si>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</si>
  <si>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</si>
  <si>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</si>
  <si>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</si>
  <si>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</si>
  <si>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</si>
  <si>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</si>
  <si>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</si>
  <si>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</si>
  <si>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</si>
  <si>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</si>
  <si>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</si>
  <si>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</si>
  <si>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</si>
  <si>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</si>
  <si>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</si>
  <si>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</si>
  <si>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</si>
  <si>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</si>
  <si>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</si>
  <si>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</si>
  <si>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</si>
  <si>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</si>
  <si>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</si>
  <si>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</si>
  <si>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</si>
  <si>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</si>
  <si>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</si>
  <si>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</si>
  <si>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</si>
  <si>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</si>
  <si>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</si>
  <si>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</si>
  <si>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</si>
  <si>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</si>
  <si>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</si>
  <si>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</si>
  <si>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</si>
  <si>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</si>
  <si>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</si>
  <si>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</si>
  <si>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</si>
  <si>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</si>
  <si>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</si>
  <si>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</si>
  <si>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</si>
  <si>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</si>
  <si>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</si>
  <si>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</si>
  <si>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</si>
  <si>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</si>
  <si>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</si>
  <si>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</si>
  <si>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</si>
  <si>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</si>
  <si>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</si>
  <si>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</si>
  <si>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</si>
  <si>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</si>
  <si>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</si>
  <si>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</si>
  <si>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</si>
  <si>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</si>
  <si>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</si>
  <si>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</si>
  <si>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</si>
  <si>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</si>
  <si>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</si>
  <si>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</si>
  <si>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</si>
  <si>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</si>
  <si>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</si>
  <si>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</si>
  <si>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</si>
  <si>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</si>
  <si>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</si>
  <si>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</si>
  <si>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</si>
  <si>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</si>
  <si>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</si>
  <si>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</si>
  <si>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</si>
  <si>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</si>
  <si>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</si>
  <si>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</si>
  <si>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</si>
  <si>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</si>
  <si>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</si>
  <si>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</si>
  <si>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</si>
  <si>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</si>
  <si>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</si>
  <si>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</si>
  <si>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</si>
  <si>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</si>
  <si>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</si>
  <si>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</si>
  <si>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</si>
  <si>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</si>
  <si>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</si>
  <si>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</si>
  <si>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</si>
  <si>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</si>
  <si>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</si>
  <si>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</si>
  <si>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</si>
  <si>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</si>
  <si>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</si>
  <si>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</si>
  <si>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</si>
  <si>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</si>
  <si>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</si>
  <si>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</si>
  <si>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</si>
  <si>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</si>
  <si>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</si>
  <si>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</si>
  <si>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</si>
  <si>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</si>
  <si>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</si>
  <si>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</si>
  <si>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</si>
  <si>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</si>
  <si>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</si>
  <si>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</si>
  <si>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</si>
  <si>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</si>
  <si>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</si>
  <si>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</si>
  <si>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</si>
  <si>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</si>
  <si>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</si>
  <si>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</si>
  <si>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</si>
  <si>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</si>
  <si>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</si>
  <si>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</si>
  <si>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</si>
  <si>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</si>
  <si>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</si>
  <si>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</si>
  <si>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</si>
  <si>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</si>
  <si>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</si>
  <si>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</si>
  <si>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</si>
  <si>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</si>
  <si>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</si>
  <si>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</si>
  <si>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</si>
  <si>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</si>
  <si>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</si>
  <si>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</si>
  <si>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</si>
  <si>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</si>
  <si>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</si>
  <si>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</si>
  <si>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</si>
  <si>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</si>
  <si>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</si>
  <si>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</si>
  <si>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</si>
  <si>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</si>
  <si>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</si>
  <si>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</si>
  <si>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</si>
  <si>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</si>
  <si>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</si>
  <si>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</si>
  <si>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</si>
  <si>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</si>
  <si>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</si>
  <si>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</si>
  <si>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</si>
  <si>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</si>
  <si>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</si>
  <si>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</si>
  <si>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</si>
  <si>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</si>
  <si>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</si>
  <si>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</si>
  <si>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</si>
  <si>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</si>
  <si>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</si>
  <si>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</si>
  <si>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</si>
  <si>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</si>
  <si>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</si>
  <si>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</si>
  <si>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</si>
  <si>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</si>
  <si>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</si>
  <si>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</si>
  <si>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</si>
  <si>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</si>
  <si>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</si>
  <si>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</si>
  <si>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</si>
  <si>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</si>
  <si>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</si>
  <si>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</si>
  <si>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</si>
  <si>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</si>
  <si>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</si>
  <si>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</si>
  <si>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</si>
  <si>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</si>
  <si>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</si>
  <si>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</si>
  <si>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</si>
  <si>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</si>
  <si>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</si>
  <si>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</si>
  <si>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</si>
  <si>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</si>
  <si>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</si>
  <si>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</si>
  <si>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</si>
  <si>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</si>
  <si>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</si>
  <si>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</si>
  <si>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</si>
  <si>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</si>
  <si>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</si>
  <si>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</si>
  <si>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</si>
  <si>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</si>
  <si>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</si>
  <si>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</si>
  <si>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</si>
  <si>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</si>
  <si>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</si>
  <si>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</si>
  <si>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</si>
  <si>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</si>
  <si>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</si>
  <si>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</si>
  <si>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</si>
  <si>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</si>
  <si>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</si>
  <si>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</si>
  <si>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</si>
  <si>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</si>
  <si>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</si>
  <si>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</si>
  <si>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</si>
  <si>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</si>
  <si>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</si>
  <si>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</si>
  <si>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</si>
  <si>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</si>
  <si>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</si>
  <si>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</si>
  <si>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</si>
  <si>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</si>
  <si>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</si>
  <si>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</si>
  <si>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</si>
  <si>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</si>
  <si>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</si>
  <si>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</si>
  <si>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</si>
  <si>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</si>
  <si>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</si>
  <si>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</si>
  <si>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</si>
  <si>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</si>
  <si>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</si>
  <si>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</si>
  <si>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</si>
  <si>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</si>
  <si>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</si>
  <si>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</si>
  <si>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</si>
  <si>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</si>
  <si>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</si>
  <si>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</si>
  <si>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</si>
  <si>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</si>
  <si>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</si>
  <si>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</si>
  <si>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</si>
  <si>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</si>
  <si>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</si>
  <si>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</si>
  <si>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</si>
  <si>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</si>
  <si>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</si>
  <si>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</si>
  <si>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</si>
  <si>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</si>
  <si>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</si>
  <si>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</si>
  <si>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</si>
  <si>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</si>
  <si>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</si>
  <si>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</si>
  <si>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</si>
  <si>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</si>
  <si>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</si>
  <si>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</si>
  <si>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</si>
  <si>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</si>
  <si>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</si>
  <si>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</si>
  <si>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</si>
  <si>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</si>
  <si>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</si>
  <si>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</si>
  <si>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</si>
  <si>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</si>
  <si>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</si>
  <si>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</si>
  <si>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</si>
  <si>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</si>
  <si>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</si>
  <si>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</si>
  <si>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</si>
  <si>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</si>
  <si>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</si>
  <si>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</si>
  <si>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</si>
  <si>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</si>
  <si>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</si>
  <si>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</si>
  <si>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</si>
  <si>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</si>
  <si>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</si>
  <si>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</si>
  <si>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</si>
  <si>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</si>
  <si>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</si>
  <si>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</si>
  <si>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</si>
  <si>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</si>
  <si>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</si>
  <si>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</si>
  <si>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</si>
  <si>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</si>
  <si>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</si>
  <si>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</si>
  <si>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</si>
  <si>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</si>
  <si>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</si>
  <si>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</si>
  <si>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</si>
  <si>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</si>
  <si>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</si>
  <si>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</si>
  <si>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</si>
  <si>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</si>
  <si>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</si>
  <si>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</si>
  <si>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</si>
  <si>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</si>
  <si>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</si>
  <si>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</si>
  <si>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</si>
  <si>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</si>
  <si>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</si>
  <si>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</si>
  <si>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</si>
  <si>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</si>
  <si>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</si>
  <si>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</si>
  <si>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</si>
  <si>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</si>
  <si>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</si>
  <si>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</si>
  <si>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</si>
  <si>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</si>
  <si>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</si>
  <si>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</si>
  <si>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</si>
  <si>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</si>
  <si>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</si>
  <si>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</si>
  <si>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</si>
  <si>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</si>
  <si>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</si>
  <si>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</si>
  <si>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</si>
  <si>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</si>
  <si>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</si>
  <si>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</si>
  <si>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</si>
  <si>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</si>
  <si>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</si>
  <si>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</si>
  <si>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</si>
  <si>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</si>
  <si>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</si>
  <si>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</si>
  <si>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</si>
  <si>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</si>
  <si>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</si>
  <si>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</si>
  <si>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</si>
  <si>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</si>
  <si>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</si>
  <si>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</si>
  <si>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</si>
  <si>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</si>
  <si>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</si>
  <si>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</si>
  <si>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</si>
  <si>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</si>
  <si>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</si>
  <si>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</si>
  <si>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</si>
  <si>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</si>
  <si>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</si>
  <si>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</si>
  <si>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</si>
  <si>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</si>
  <si>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</si>
  <si>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</si>
  <si>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</si>
  <si>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</si>
  <si>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</si>
  <si>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</si>
  <si>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</si>
  <si>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</si>
  <si>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</si>
  <si>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</si>
  <si>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</si>
  <si>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</si>
  <si>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</si>
  <si>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</si>
  <si>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</si>
  <si>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</si>
  <si>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</si>
  <si>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</si>
  <si>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</si>
  <si>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</si>
  <si>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</si>
  <si>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</si>
  <si>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</si>
  <si>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</si>
  <si>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</si>
  <si>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</si>
  <si>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</si>
  <si>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</si>
  <si>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</si>
  <si>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</si>
  <si>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</si>
  <si>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</si>
  <si>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</si>
  <si>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</si>
  <si>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</si>
  <si>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</si>
  <si>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</si>
  <si>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</si>
  <si>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</si>
  <si>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</si>
  <si>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</si>
  <si>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</si>
  <si>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</si>
  <si>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</si>
  <si>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</si>
  <si>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</si>
  <si>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</si>
  <si>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</si>
  <si>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</si>
  <si>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</si>
  <si>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</si>
  <si>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</si>
  <si>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</si>
  <si>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</si>
  <si>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</si>
  <si>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</si>
  <si>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</si>
  <si>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</si>
  <si>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</si>
  <si>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</si>
  <si>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</si>
  <si>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</si>
  <si>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</si>
  <si>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</si>
  <si>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</si>
  <si>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</si>
  <si>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</si>
  <si>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</si>
  <si>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</si>
  <si>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</si>
  <si>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</si>
  <si>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</si>
  <si>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</si>
  <si>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</si>
  <si>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</si>
  <si>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</si>
  <si>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</si>
  <si>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</si>
  <si>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</si>
  <si>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</si>
  <si>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</si>
  <si>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</si>
  <si>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</si>
  <si>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</si>
  <si>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</si>
  <si>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</si>
  <si>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</si>
  <si>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</si>
  <si>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</si>
  <si>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</si>
  <si>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</si>
  <si>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</si>
  <si>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</si>
  <si>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</si>
  <si>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</si>
  <si>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</si>
  <si>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</si>
  <si>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</si>
  <si>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</si>
  <si>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</si>
  <si>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</si>
  <si>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</si>
  <si>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</si>
  <si>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</si>
  <si>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</si>
  <si>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</si>
  <si>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</si>
  <si>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</si>
  <si>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</si>
  <si>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</si>
  <si>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</si>
  <si>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</si>
  <si>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</si>
  <si>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</si>
  <si>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</si>
  <si>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</si>
  <si>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</si>
  <si>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</si>
  <si>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</si>
  <si>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</si>
  <si>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</si>
  <si>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</si>
  <si>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</si>
  <si>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</si>
  <si>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</si>
  <si>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</si>
  <si>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</si>
  <si>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</si>
  <si>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</si>
  <si>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</si>
  <si>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</si>
  <si>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</si>
  <si>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</si>
  <si>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</si>
  <si>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</si>
  <si>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</si>
  <si>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</si>
  <si>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</si>
  <si>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</si>
  <si>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</si>
  <si>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</si>
  <si>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</si>
  <si>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</si>
  <si>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</si>
  <si>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</si>
  <si>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</si>
  <si>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</si>
  <si>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</si>
  <si>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</si>
  <si>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</si>
  <si>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</si>
  <si>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</si>
  <si>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</si>
  <si>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</si>
  <si>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</si>
  <si>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</si>
  <si>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</si>
  <si>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</si>
  <si>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</si>
  <si>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</si>
  <si>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</si>
  <si>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</si>
  <si>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</si>
  <si>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</si>
  <si>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</si>
  <si>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</si>
  <si>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</si>
  <si>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</si>
  <si>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</si>
  <si>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</si>
  <si>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</si>
  <si>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</si>
  <si>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</si>
  <si>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</si>
  <si>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</si>
  <si>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</si>
  <si>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</si>
  <si>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</si>
  <si>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</si>
  <si>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</si>
  <si>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</si>
  <si>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</si>
  <si>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</si>
  <si>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</si>
  <si>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</si>
  <si>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</si>
  <si>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</si>
  <si>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</si>
  <si>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</si>
  <si>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</si>
  <si>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</si>
  <si>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</si>
  <si>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</si>
  <si>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</si>
  <si>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</si>
  <si>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</si>
  <si>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</si>
  <si>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</si>
  <si>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</si>
  <si>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</si>
  <si>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</si>
  <si>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</si>
  <si>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</si>
  <si>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</si>
  <si>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</si>
  <si>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</si>
  <si>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</si>
  <si>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</si>
  <si>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</si>
  <si>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</si>
  <si>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</si>
  <si>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</si>
  <si>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</si>
  <si>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</si>
  <si>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</si>
  <si>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</si>
  <si>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</si>
  <si>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</si>
  <si>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</si>
  <si>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</si>
  <si>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</si>
  <si>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</si>
  <si>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</si>
  <si>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</si>
  <si>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</si>
  <si>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</si>
  <si>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</si>
  <si>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</si>
  <si>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</si>
  <si>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</si>
  <si>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</si>
  <si>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</si>
  <si>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</si>
  <si>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</si>
  <si>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</si>
  <si>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</si>
  <si>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</si>
  <si>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</si>
  <si>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</si>
  <si>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</si>
  <si>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</si>
  <si>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</si>
  <si>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</si>
  <si>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</si>
  <si>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</si>
  <si>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</si>
  <si>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</si>
  <si>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</si>
  <si>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</si>
  <si>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</si>
  <si>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</si>
  <si>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</si>
  <si>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</si>
  <si>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</si>
  <si>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</si>
  <si>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</si>
  <si>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</si>
  <si>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</si>
  <si>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</si>
  <si>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</si>
  <si>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</si>
  <si>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</si>
  <si>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</si>
  <si>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</si>
  <si>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</si>
  <si>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</si>
  <si>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</si>
  <si>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</si>
  <si>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</si>
  <si>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</si>
  <si>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</si>
  <si>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</si>
  <si>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</si>
  <si>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</si>
  <si>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</si>
  <si>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</si>
  <si>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</si>
  <si>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</si>
  <si>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</si>
  <si>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</si>
  <si>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</si>
  <si>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</si>
  <si>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</si>
  <si>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</si>
  <si>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</si>
  <si>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</si>
  <si>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</si>
  <si>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</si>
  <si>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</si>
  <si>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</si>
  <si>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</si>
  <si>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</si>
  <si>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</si>
  <si>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</si>
  <si>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</si>
  <si>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</si>
  <si>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</si>
  <si>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</si>
  <si>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</si>
  <si>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</si>
  <si>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</si>
  <si>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</si>
  <si>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</si>
  <si>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</si>
  <si>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</si>
  <si>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</si>
  <si>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</si>
  <si>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</si>
  <si>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</si>
  <si>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</si>
  <si>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</si>
  <si>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</si>
  <si>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</si>
  <si>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</si>
  <si>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</si>
  <si>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</si>
  <si>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</si>
  <si>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</si>
  <si>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</si>
  <si>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</si>
  <si>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</si>
  <si>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</si>
  <si>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</si>
  <si>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</si>
  <si>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</si>
  <si>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</si>
  <si>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</si>
  <si>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</si>
  <si>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</si>
  <si>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</si>
  <si>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</si>
  <si>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</si>
  <si>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</si>
  <si>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</si>
  <si>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</si>
  <si>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</si>
  <si>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</si>
  <si>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</si>
  <si>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</si>
  <si>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</si>
  <si>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</si>
  <si>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</si>
  <si>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</si>
  <si>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</si>
  <si>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</si>
  <si>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</si>
  <si>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</si>
  <si>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</si>
  <si>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</si>
  <si>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</si>
  <si>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</si>
  <si>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</si>
  <si>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</si>
  <si>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</si>
  <si>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</si>
  <si>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</si>
  <si>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</si>
  <si>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</si>
  <si>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</si>
  <si>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</si>
  <si>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</si>
  <si>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</si>
  <si>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</si>
  <si>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</si>
  <si>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</si>
  <si>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</si>
  <si>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</si>
  <si>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</si>
  <si>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</si>
  <si>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</si>
  <si>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</si>
  <si>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</si>
  <si>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</si>
  <si>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</si>
  <si>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</si>
  <si>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</si>
  <si>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</si>
  <si>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</si>
  <si>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</si>
  <si>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</si>
  <si>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</si>
  <si>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</si>
  <si>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</si>
  <si>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</si>
  <si>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</si>
  <si>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</si>
  <si>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</si>
  <si>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</si>
  <si>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</si>
  <si>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</si>
  <si>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</si>
  <si>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</si>
  <si>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</si>
  <si>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</si>
  <si>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</si>
  <si>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</si>
  <si>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</si>
  <si>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</si>
  <si>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</si>
  <si>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</si>
  <si>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</si>
  <si>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</si>
  <si>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</si>
  <si>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</si>
  <si>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</si>
  <si>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</si>
  <si>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</si>
  <si>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</si>
  <si>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</si>
  <si>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</si>
  <si>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</si>
  <si>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</si>
  <si>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</si>
  <si>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</si>
  <si>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</si>
  <si>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</si>
  <si>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</si>
  <si>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</si>
  <si>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</si>
  <si>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</si>
  <si>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</si>
  <si>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</si>
  <si>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</si>
  <si>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</si>
  <si>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</si>
  <si>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</si>
  <si>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</si>
  <si>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</si>
  <si>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</si>
  <si>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</si>
  <si>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</si>
  <si>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</si>
  <si>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</si>
  <si>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</si>
  <si>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</si>
  <si>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</si>
  <si>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</si>
  <si>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</si>
  <si>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</si>
  <si>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</si>
  <si>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</si>
  <si>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</si>
  <si>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</si>
  <si>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</si>
  <si>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</si>
  <si>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</si>
  <si>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</si>
  <si>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</si>
  <si>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</si>
  <si>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</si>
  <si>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</si>
  <si>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</si>
  <si>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</si>
  <si>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</si>
  <si>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</si>
  <si>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</si>
  <si>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</si>
  <si>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</si>
  <si>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</si>
  <si>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</si>
  <si>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</si>
  <si>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</si>
  <si>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</si>
  <si>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</si>
  <si>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</si>
  <si>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</si>
  <si>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</si>
  <si>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</si>
  <si>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</si>
  <si>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</si>
  <si>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</si>
  <si>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</si>
  <si>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</si>
  <si>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</si>
  <si>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</si>
  <si>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</si>
  <si>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</si>
  <si>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</si>
  <si>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</si>
  <si>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</si>
  <si>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</si>
  <si>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</si>
  <si>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</si>
  <si>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</si>
  <si>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</si>
  <si>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</si>
  <si>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</si>
  <si>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</si>
  <si>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</si>
  <si>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</si>
  <si>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</si>
  <si>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</si>
  <si>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</si>
  <si>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</si>
  <si>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</si>
  <si>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</si>
  <si>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</si>
  <si>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</si>
  <si>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</si>
  <si>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</si>
  <si>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</si>
  <si>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</si>
  <si>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</si>
  <si>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</si>
  <si>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</si>
  <si>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</si>
  <si>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</si>
  <si>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</si>
  <si>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</si>
  <si>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</si>
  <si>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</si>
  <si>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</si>
  <si>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</si>
  <si>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</si>
  <si>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</si>
  <si>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</si>
  <si>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</si>
  <si>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</si>
  <si>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</si>
  <si>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</si>
  <si>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</si>
  <si>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</si>
  <si>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</si>
  <si>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</si>
  <si>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</si>
  <si>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</si>
  <si>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</si>
  <si>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</si>
  <si>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</si>
  <si>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</si>
  <si>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</si>
  <si>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</si>
  <si>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</si>
  <si>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</si>
  <si>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</si>
  <si>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</si>
  <si>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</si>
  <si>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</si>
  <si>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</si>
  <si>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</si>
  <si>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</si>
  <si>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</si>
  <si>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</si>
  <si>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</si>
  <si>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</si>
  <si>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</si>
  <si>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</si>
  <si>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</si>
  <si>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</si>
  <si>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</si>
  <si>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</si>
  <si>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</si>
  <si>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</si>
  <si>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</si>
  <si>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</si>
  <si>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</si>
  <si>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</si>
  <si>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</si>
  <si>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</si>
  <si>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</si>
  <si>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</si>
  <si>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</si>
  <si>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</si>
  <si>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</si>
  <si>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</si>
  <si>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</si>
  <si>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</si>
  <si>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</si>
  <si>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</si>
  <si>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</si>
  <si>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</si>
  <si>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</si>
  <si>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</si>
  <si>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</si>
  <si>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</si>
  <si>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</si>
  <si>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</si>
  <si>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</si>
  <si>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</si>
  <si>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</si>
  <si>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</si>
  <si>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</si>
  <si>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</si>
  <si>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</si>
  <si>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</si>
  <si>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</si>
  <si>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</si>
  <si>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</si>
  <si>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</si>
  <si>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</si>
  <si>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</si>
  <si>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</si>
  <si>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</si>
  <si>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</si>
  <si>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</si>
  <si>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</si>
  <si>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</si>
  <si>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</si>
  <si>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</si>
  <si>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</si>
  <si>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</si>
  <si>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</si>
  <si>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</si>
  <si>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</si>
  <si>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</si>
  <si>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</si>
  <si>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</si>
  <si>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</si>
  <si>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</si>
  <si>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</si>
  <si>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</si>
  <si>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</si>
  <si>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</si>
  <si>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</si>
  <si>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</si>
  <si>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</si>
  <si>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</si>
  <si>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</si>
  <si>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</si>
  <si>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</si>
  <si>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</si>
  <si>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</si>
  <si>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</si>
  <si>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</si>
  <si>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</si>
  <si>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</si>
  <si>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</si>
  <si>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</si>
  <si>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</si>
  <si>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</si>
  <si>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</si>
  <si>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</si>
  <si>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</si>
  <si>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</si>
  <si>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</si>
  <si>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</si>
  <si>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</si>
  <si>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</si>
  <si>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</si>
  <si>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</si>
  <si>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</si>
  <si>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</si>
  <si>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</si>
  <si>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</si>
  <si>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</si>
  <si>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</si>
  <si>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</si>
  <si>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</si>
  <si>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</si>
  <si>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</si>
  <si>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</si>
  <si>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</si>
  <si>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</si>
  <si>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</si>
  <si>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</si>
  <si>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</si>
  <si>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</si>
  <si>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</si>
  <si>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</si>
  <si>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</si>
  <si>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</si>
  <si>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</si>
  <si>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</si>
  <si>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</si>
  <si>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</si>
  <si>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</si>
  <si>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</si>
  <si>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</si>
  <si>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</si>
  <si>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</si>
  <si>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</si>
  <si>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</si>
  <si>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</si>
  <si>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</si>
  <si>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</si>
  <si>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</si>
  <si>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</si>
  <si>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</si>
  <si>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</si>
  <si>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</si>
  <si>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</si>
  <si>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</si>
  <si>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</si>
  <si>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</si>
  <si>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</si>
  <si>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</si>
  <si>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</si>
  <si>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</si>
  <si>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</si>
  <si>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</si>
  <si>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</si>
  <si>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</si>
  <si>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</si>
  <si>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</si>
  <si>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</si>
  <si>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</si>
  <si>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</si>
  <si>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</si>
  <si>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</si>
  <si>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</si>
  <si>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</si>
  <si>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</si>
  <si>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</si>
  <si>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</si>
  <si>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</si>
  <si>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</si>
  <si>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</si>
  <si>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</si>
  <si>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</si>
  <si>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</si>
  <si>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</si>
  <si>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</si>
  <si>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</si>
  <si>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</si>
  <si>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</si>
  <si>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</si>
  <si>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</si>
  <si>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</si>
  <si>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</si>
  <si>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</si>
  <si>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</si>
  <si>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</si>
  <si>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</si>
  <si>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</si>
  <si>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</si>
  <si>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</si>
  <si>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</si>
  <si>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</si>
  <si>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</si>
  <si>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</si>
  <si>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</si>
  <si>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</si>
  <si>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</si>
  <si>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</si>
  <si>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</si>
  <si>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</si>
  <si>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</si>
  <si>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</si>
  <si>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</si>
  <si>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</si>
  <si>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</si>
  <si>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</si>
  <si>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</si>
  <si>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</si>
  <si>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</si>
  <si>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</si>
  <si>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</si>
  <si>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</si>
  <si>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</si>
  <si>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</si>
  <si>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</si>
  <si>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</si>
  <si>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</si>
  <si>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</si>
  <si>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</si>
  <si>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</si>
  <si>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</si>
  <si>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</si>
  <si>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</si>
  <si>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</si>
  <si>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</si>
  <si>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</si>
  <si>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</si>
  <si>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</si>
  <si>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</si>
  <si>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</si>
  <si>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</si>
  <si>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</si>
  <si>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</si>
  <si>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</si>
  <si>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</si>
  <si>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</si>
  <si>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</si>
  <si>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</si>
  <si>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</si>
  <si>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</si>
  <si>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</si>
  <si>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</si>
  <si>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</si>
  <si>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</si>
  <si>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</si>
  <si>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</si>
  <si>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</si>
  <si>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</si>
  <si>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</si>
  <si>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</si>
  <si>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</si>
  <si>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</si>
  <si>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</si>
  <si>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</si>
  <si>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</si>
  <si>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</si>
  <si>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</si>
  <si>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</si>
  <si>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</si>
  <si>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</si>
  <si>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</si>
  <si>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</si>
  <si>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</si>
  <si>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</si>
  <si>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</si>
  <si>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</si>
  <si>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</si>
  <si>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</si>
  <si>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</si>
  <si>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</si>
  <si>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</si>
  <si>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</si>
  <si>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</si>
  <si>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</si>
  <si>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</si>
  <si>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</si>
  <si>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</si>
  <si>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</si>
  <si>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</si>
  <si>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</si>
  <si>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</si>
  <si>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</si>
  <si>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</si>
  <si>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</si>
  <si>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</si>
  <si>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</si>
  <si>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</si>
  <si>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</si>
  <si>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</si>
  <si>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</si>
  <si>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</si>
  <si>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</si>
  <si>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</si>
  <si>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</si>
  <si>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</si>
  <si>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</si>
  <si>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</si>
  <si>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</si>
  <si>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</si>
  <si>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</si>
  <si>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</si>
  <si>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</si>
  <si>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</si>
  <si>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</si>
  <si>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</si>
  <si>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</si>
  <si>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</si>
  <si>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</si>
  <si>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</si>
  <si>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</si>
  <si>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</si>
  <si>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</si>
  <si>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</si>
  <si>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</si>
  <si>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</si>
  <si>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</si>
  <si>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</si>
  <si>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</si>
  <si>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</si>
  <si>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</si>
  <si>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</si>
  <si>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</si>
  <si>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</si>
  <si>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</si>
  <si>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</si>
  <si>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</si>
  <si>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</si>
  <si>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</si>
  <si>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</si>
  <si>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</si>
  <si>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</si>
  <si>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</si>
  <si>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</si>
  <si>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</si>
  <si>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</si>
  <si>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</si>
  <si>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</si>
  <si>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</si>
  <si>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</si>
  <si>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</si>
  <si>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</si>
  <si>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</si>
  <si>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</si>
  <si>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</si>
  <si>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</si>
  <si>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</si>
  <si>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</si>
  <si>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</si>
  <si>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</si>
  <si>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</si>
  <si>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</si>
  <si>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</si>
  <si>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</si>
  <si>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</si>
  <si>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</si>
  <si>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</si>
  <si>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</si>
  <si>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</si>
  <si>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</si>
  <si>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</si>
  <si>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</si>
  <si>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</si>
  <si>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</si>
  <si>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</si>
  <si>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</si>
  <si>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</si>
  <si>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</si>
  <si>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</si>
  <si>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</si>
  <si>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</si>
  <si>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</si>
  <si>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</si>
  <si>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</si>
  <si>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</si>
  <si>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</si>
  <si>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</si>
  <si>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</si>
  <si>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</si>
  <si>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</si>
  <si>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</si>
  <si>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</si>
  <si>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</si>
  <si>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</si>
  <si>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</si>
  <si>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</si>
  <si>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</si>
  <si>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</si>
  <si>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</si>
  <si>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</si>
  <si>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</si>
  <si>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</si>
  <si>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</si>
  <si>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</si>
  <si>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</si>
  <si>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</si>
  <si>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</si>
  <si>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</si>
  <si>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</si>
  <si>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</si>
  <si>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</si>
  <si>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</si>
  <si>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</si>
  <si>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</si>
  <si>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</si>
  <si>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</si>
  <si>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</si>
  <si>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</si>
  <si>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</si>
  <si>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</si>
  <si>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</si>
  <si>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</si>
  <si>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</si>
  <si>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</si>
  <si>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</si>
  <si>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</si>
  <si>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</si>
  <si>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</si>
  <si>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</si>
  <si>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</si>
  <si>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</si>
  <si>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</si>
  <si>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</si>
  <si>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</si>
  <si>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</si>
  <si>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</si>
  <si>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</si>
  <si>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</si>
  <si>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</si>
  <si>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</si>
  <si>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</si>
  <si>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</si>
  <si>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</si>
  <si>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</si>
  <si>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</si>
  <si>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</si>
  <si>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</si>
  <si>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</si>
  <si>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</si>
  <si>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</si>
  <si>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</si>
  <si>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</si>
  <si>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</si>
  <si>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</si>
  <si>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</si>
  <si>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</si>
  <si>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</si>
  <si>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</si>
  <si>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</si>
  <si>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</si>
  <si>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</si>
  <si>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</si>
  <si>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</si>
  <si>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</si>
  <si>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</si>
  <si>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</si>
  <si>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</si>
  <si>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</si>
  <si>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</si>
  <si>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</si>
  <si>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</si>
  <si>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</si>
  <si>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</si>
  <si>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</si>
  <si>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</si>
  <si>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</si>
  <si>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</si>
  <si>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</si>
  <si>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</si>
  <si>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</si>
  <si>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</si>
  <si>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</si>
  <si>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</si>
  <si>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</si>
  <si>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</si>
  <si>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</si>
  <si>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</si>
  <si>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</si>
  <si>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</si>
  <si>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</si>
  <si>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</si>
  <si>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</si>
  <si>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</si>
  <si>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</si>
  <si>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</si>
  <si>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</si>
  <si>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</si>
  <si>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</si>
  <si>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</si>
  <si>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</si>
  <si>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</si>
  <si>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</si>
  <si>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</si>
  <si>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</si>
  <si>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</si>
  <si>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</si>
  <si>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</si>
  <si>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</si>
  <si>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</si>
  <si>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</si>
  <si>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</si>
  <si>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</si>
  <si>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</si>
  <si>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</si>
  <si>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</si>
  <si>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</si>
  <si>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</si>
  <si>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</si>
  <si>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</si>
  <si>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</si>
  <si>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</si>
  <si>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</si>
  <si>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</si>
  <si>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</si>
  <si>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</si>
  <si>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</si>
  <si>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</si>
  <si>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</si>
  <si>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</si>
  <si>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</si>
  <si>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</si>
  <si>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</si>
  <si>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</si>
  <si>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</si>
  <si>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</si>
  <si>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</si>
  <si>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</si>
  <si>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</si>
  <si>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</si>
  <si>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</si>
  <si>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</si>
  <si>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</si>
  <si>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</si>
  <si>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</si>
  <si>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</si>
  <si>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</si>
  <si>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</si>
  <si>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</si>
  <si>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</si>
  <si>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</si>
  <si>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</si>
  <si>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</si>
  <si>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</si>
  <si>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</si>
  <si>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</si>
  <si>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</si>
  <si>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</si>
  <si>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</si>
  <si>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</si>
  <si>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</si>
  <si>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</si>
  <si>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</si>
  <si>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</si>
  <si>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</si>
  <si>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</si>
  <si>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</si>
  <si>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</si>
  <si>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</si>
  <si>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</si>
  <si>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</si>
  <si>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</si>
  <si>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</si>
  <si>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</si>
  <si>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</si>
  <si>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</si>
  <si>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</si>
  <si>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</si>
  <si>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</si>
  <si>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</si>
  <si>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</si>
  <si>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</si>
  <si>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</si>
  <si>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</si>
  <si>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</si>
  <si>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</si>
  <si>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</si>
  <si>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</si>
  <si>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</si>
  <si>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</si>
  <si>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</si>
  <si>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</si>
  <si>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</si>
  <si>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</si>
  <si>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</si>
  <si>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</si>
  <si>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</si>
  <si>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</si>
  <si>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</si>
  <si>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</si>
  <si>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</si>
  <si>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</si>
  <si>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</si>
  <si>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</si>
  <si>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</si>
  <si>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</si>
  <si>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</si>
  <si>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</si>
  <si>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</si>
  <si>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</si>
  <si>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</si>
  <si>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</si>
  <si>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</si>
  <si>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</si>
  <si>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</si>
  <si>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</si>
  <si>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</si>
  <si>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</si>
  <si>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</si>
  <si>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</si>
  <si>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</si>
  <si>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</si>
  <si>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</si>
  <si>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</si>
  <si>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</si>
  <si>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</si>
  <si>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</si>
  <si>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</si>
  <si>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</si>
  <si>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</si>
  <si>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</si>
  <si>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</si>
  <si>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</si>
  <si>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</si>
  <si>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</si>
  <si>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</si>
  <si>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</si>
  <si>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</si>
  <si>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</si>
  <si>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</si>
  <si>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</si>
  <si>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</si>
  <si>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</si>
  <si>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</si>
  <si>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</si>
  <si>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</si>
  <si>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</si>
  <si>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</si>
  <si>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</si>
  <si>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</si>
  <si>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</si>
  <si>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</si>
  <si>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</si>
  <si>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</si>
  <si>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</si>
  <si>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</si>
  <si>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</si>
  <si>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</si>
  <si>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</si>
  <si>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</si>
  <si>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</si>
  <si>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</si>
  <si>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</si>
  <si>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</si>
  <si>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</si>
  <si>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</si>
  <si>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</si>
  <si>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</si>
  <si>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</si>
  <si>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</si>
  <si>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</si>
  <si>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</si>
  <si>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</si>
  <si>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</si>
  <si>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</si>
  <si>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</si>
  <si>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</si>
  <si>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</si>
  <si>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</si>
  <si>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</si>
  <si>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</si>
  <si>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</si>
  <si>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</si>
  <si>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</si>
  <si>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</si>
  <si>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</si>
  <si>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</si>
  <si>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</si>
  <si>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</si>
  <si>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</si>
  <si>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</si>
  <si>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</si>
  <si>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</si>
  <si>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</si>
  <si>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</si>
  <si>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</si>
  <si>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</si>
  <si>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</si>
  <si>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</si>
  <si>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</si>
  <si>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</si>
  <si>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</si>
  <si>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</si>
  <si>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</si>
  <si>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</si>
  <si>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</si>
  <si>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</si>
  <si>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</si>
  <si>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</si>
  <si>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</si>
  <si>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</si>
  <si>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</si>
  <si>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</si>
  <si>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</si>
  <si>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</si>
  <si>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</si>
  <si>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</si>
  <si>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</si>
  <si>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</si>
  <si>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</si>
  <si>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</si>
  <si>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</si>
  <si>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</si>
  <si>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</si>
  <si>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</si>
  <si>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</si>
  <si>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</si>
  <si>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</si>
  <si>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</si>
  <si>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</si>
  <si>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</si>
  <si>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</si>
  <si>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</si>
  <si>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</si>
  <si>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</si>
  <si>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</si>
  <si>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</si>
  <si>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</si>
  <si>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</si>
  <si>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</si>
  <si>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</si>
  <si>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</si>
  <si>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</si>
  <si>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</si>
  <si>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</si>
  <si>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</si>
  <si>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</si>
  <si>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</si>
  <si>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</si>
  <si>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</si>
  <si>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</si>
  <si>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</si>
  <si>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</si>
  <si>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</si>
  <si>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</si>
  <si>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</si>
  <si>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</si>
  <si>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</si>
  <si>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</si>
  <si>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</si>
  <si>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</si>
  <si>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</si>
  <si>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</si>
  <si>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</si>
  <si>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</si>
  <si>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</si>
  <si>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</si>
  <si>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</si>
  <si>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</si>
  <si>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</si>
  <si>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</si>
  <si>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</si>
  <si>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</si>
  <si>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</si>
  <si>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</si>
  <si>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</si>
  <si>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</si>
  <si>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</si>
  <si>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</si>
  <si>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</si>
  <si>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</si>
  <si>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</si>
  <si>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</si>
  <si>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</si>
  <si>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</si>
  <si>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</si>
  <si>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</si>
  <si>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</si>
  <si>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</si>
  <si>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</si>
  <si>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</si>
  <si>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</si>
  <si>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</si>
  <si>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</si>
  <si>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</si>
  <si>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</si>
  <si>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</si>
  <si>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</si>
  <si>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</si>
  <si>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</si>
  <si>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</si>
  <si>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</si>
  <si>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</si>
  <si>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</si>
  <si>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</si>
  <si>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</si>
  <si>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</si>
  <si>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</si>
  <si>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</si>
  <si>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</si>
  <si>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</si>
  <si>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</si>
  <si>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</si>
  <si>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</si>
  <si>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</si>
  <si>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</si>
  <si>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</si>
  <si>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</si>
  <si>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</si>
  <si>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</si>
  <si>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</si>
  <si>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</si>
  <si>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</si>
  <si>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</si>
  <si>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</si>
  <si>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</si>
  <si>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</si>
  <si>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</si>
  <si>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</si>
  <si>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</si>
  <si>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</si>
  <si>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</si>
  <si>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</si>
  <si>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</si>
  <si>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</si>
  <si>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</si>
  <si>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</si>
  <si>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</si>
  <si>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</si>
  <si>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</si>
  <si>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</si>
  <si>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</si>
  <si>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</si>
  <si>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</si>
  <si>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</si>
  <si>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</si>
  <si>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</si>
  <si>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</si>
  <si>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</si>
  <si>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</si>
  <si>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</si>
  <si>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</si>
  <si>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</si>
  <si>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</si>
  <si>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</si>
  <si>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</si>
  <si>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</si>
  <si>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</si>
  <si>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</si>
  <si>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</si>
  <si>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</si>
  <si>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</si>
  <si>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</si>
  <si>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</si>
  <si>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</si>
  <si>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</si>
  <si>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</si>
  <si>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</si>
  <si>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</si>
  <si>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</si>
  <si>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</si>
  <si>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</si>
  <si>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</si>
  <si>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</si>
  <si>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</si>
  <si>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</si>
  <si>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</si>
  <si>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</si>
  <si>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</si>
  <si>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</si>
  <si>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</si>
  <si>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</si>
  <si>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</si>
  <si>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</si>
  <si>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</si>
  <si>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</si>
  <si>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</si>
  <si>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</si>
  <si>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</si>
  <si>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</si>
  <si>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</si>
  <si>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</si>
  <si>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</si>
  <si>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</si>
  <si>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</si>
  <si>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</si>
  <si>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</si>
  <si>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</si>
  <si>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</si>
  <si>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</si>
  <si>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</si>
  <si>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</si>
  <si>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</si>
  <si>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</si>
  <si>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</si>
  <si>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</si>
  <si>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</si>
  <si>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</si>
  <si>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</si>
  <si>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</si>
  <si>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</si>
  <si>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</si>
  <si>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</si>
  <si>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</si>
  <si>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</si>
  <si>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</si>
  <si>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</si>
  <si>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</si>
  <si>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</si>
  <si>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</si>
  <si>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</si>
  <si>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</si>
  <si>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</si>
  <si>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</si>
  <si>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</si>
  <si>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</si>
  <si>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</si>
  <si>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</si>
  <si>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</si>
  <si>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</si>
  <si>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</si>
  <si>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</si>
  <si>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</si>
  <si>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</si>
  <si>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</si>
  <si>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</si>
  <si>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</si>
  <si>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</si>
  <si>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</si>
  <si>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</si>
  <si>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</si>
  <si>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</si>
  <si>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</si>
  <si>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</si>
  <si>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</si>
  <si>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</si>
  <si>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</si>
  <si>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</si>
  <si>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</si>
  <si>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</si>
  <si>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</si>
  <si>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</si>
  <si>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</si>
  <si>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</si>
  <si>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</si>
  <si>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</si>
  <si>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</si>
  <si>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</si>
  <si>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</si>
  <si>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</si>
  <si>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</si>
  <si>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</si>
  <si>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</si>
  <si>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</si>
  <si>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</si>
  <si>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</si>
  <si>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</si>
  <si>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</si>
  <si>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</si>
  <si>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</si>
  <si>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</si>
  <si>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</si>
  <si>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</si>
  <si>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</si>
  <si>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</si>
  <si>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</si>
  <si>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</si>
  <si>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</si>
  <si>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</si>
  <si>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</si>
  <si>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</si>
  <si>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</si>
  <si>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</si>
  <si>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</si>
  <si>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</si>
  <si>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</si>
  <si>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</si>
  <si>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</si>
  <si>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</si>
  <si>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</si>
  <si>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</si>
  <si>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</si>
  <si>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</si>
  <si>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</si>
  <si>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</si>
  <si>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</si>
  <si>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</si>
  <si>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</si>
  <si>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</si>
  <si>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</si>
  <si>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</si>
  <si>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</si>
  <si>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</si>
  <si>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</si>
  <si>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</si>
  <si>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</si>
  <si>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</si>
  <si>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</si>
  <si>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</si>
  <si>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</si>
  <si>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</si>
  <si>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</si>
  <si>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</si>
  <si>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</si>
  <si>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</si>
  <si>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</si>
  <si>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</si>
  <si>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</si>
  <si>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</si>
  <si>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</si>
  <si>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</si>
  <si>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</si>
  <si>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</si>
  <si>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</si>
  <si>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</si>
  <si>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</si>
  <si>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</si>
  <si>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</si>
  <si>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</si>
  <si>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</si>
  <si>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</si>
  <si>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</si>
  <si>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</si>
  <si>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</si>
  <si>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</si>
  <si>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</si>
  <si>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</si>
  <si>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</si>
  <si>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</si>
  <si>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</si>
  <si>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</si>
  <si>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</si>
  <si>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</si>
  <si>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</si>
  <si>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</si>
  <si>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</si>
  <si>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</si>
  <si>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</si>
  <si>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</si>
  <si>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</si>
  <si>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</si>
  <si>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</si>
  <si>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</si>
  <si>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</si>
  <si>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</si>
  <si>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</si>
  <si>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</si>
  <si>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</si>
  <si>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</si>
  <si>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</si>
  <si>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</si>
  <si>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</si>
  <si>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</si>
  <si>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</si>
  <si>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</si>
  <si>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</si>
  <si>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</si>
  <si>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</si>
  <si>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</si>
  <si>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</si>
  <si>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</si>
  <si>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</si>
  <si>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</si>
  <si>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</si>
  <si>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</si>
  <si>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</si>
  <si>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</si>
  <si>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</si>
  <si>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</si>
  <si>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</si>
  <si>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</si>
  <si>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</si>
  <si>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</si>
  <si>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</si>
  <si>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</si>
  <si>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</si>
  <si>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</si>
  <si>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</si>
  <si>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</si>
  <si>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</si>
  <si>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</si>
  <si>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</si>
  <si>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</si>
  <si>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</si>
  <si>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</si>
  <si>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</si>
  <si>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</si>
  <si>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</si>
  <si>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</si>
  <si>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</si>
  <si>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</si>
  <si>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</si>
  <si>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</si>
  <si>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</si>
  <si>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</si>
  <si>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</si>
  <si>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</si>
  <si>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</si>
  <si>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</si>
  <si>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</si>
  <si>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</si>
  <si>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</si>
  <si>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</si>
  <si>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</si>
  <si>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</si>
  <si>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</si>
  <si>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</si>
  <si>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</si>
  <si>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</si>
  <si>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</si>
  <si>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</si>
  <si>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</si>
  <si>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</si>
  <si>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</si>
  <si>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</si>
  <si>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</si>
  <si>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</si>
  <si>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</si>
  <si>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</si>
  <si>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</si>
  <si>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</si>
  <si>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</si>
  <si>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</si>
  <si>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</si>
  <si>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</si>
  <si>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</si>
  <si>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</si>
  <si>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</si>
  <si>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</si>
  <si>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</si>
  <si>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</si>
  <si>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</si>
  <si>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</si>
  <si>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</si>
  <si>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</si>
  <si>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</si>
  <si>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</si>
  <si>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</si>
  <si>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</si>
  <si>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</si>
  <si>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</si>
  <si>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</si>
  <si>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</si>
  <si>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</si>
  <si>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</si>
  <si>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</si>
  <si>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</si>
  <si>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</si>
  <si>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</si>
  <si>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</si>
  <si>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</si>
  <si>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</si>
  <si>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</si>
  <si>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</si>
  <si>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</si>
  <si>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</si>
  <si>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</si>
  <si>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</si>
  <si>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</si>
  <si>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</si>
  <si>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</si>
  <si>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</si>
  <si>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</si>
  <si>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</si>
  <si>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</si>
  <si>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</si>
  <si>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</si>
  <si>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</si>
  <si>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</si>
  <si>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</si>
  <si>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</si>
  <si>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</si>
  <si>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</si>
  <si>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</si>
  <si>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</si>
  <si>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</si>
  <si>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</si>
  <si>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</si>
  <si>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</si>
  <si>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</si>
  <si>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</si>
  <si>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</si>
  <si>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</si>
  <si>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</si>
  <si>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</si>
  <si>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</si>
  <si>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</si>
  <si>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</si>
  <si>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</si>
  <si>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</si>
  <si>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</si>
  <si>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</si>
  <si>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</si>
  <si>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</si>
  <si>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</si>
  <si>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</si>
  <si>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</si>
  <si>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</si>
  <si>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</si>
  <si>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</si>
  <si>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</si>
  <si>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</si>
  <si>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</si>
  <si>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</si>
  <si>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</si>
  <si>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</si>
  <si>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</si>
  <si>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</si>
  <si>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</si>
  <si>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</si>
  <si>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</si>
  <si>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</si>
  <si>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</si>
  <si>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</si>
  <si>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</si>
  <si>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</si>
  <si>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</si>
  <si>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</si>
  <si>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</si>
  <si>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</si>
  <si>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</si>
  <si>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</si>
  <si>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</si>
  <si>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</si>
  <si>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</si>
  <si>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</si>
  <si>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</si>
  <si>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</si>
  <si>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</si>
  <si>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</si>
  <si>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</si>
  <si>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</si>
  <si>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</si>
  <si>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</si>
  <si>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</si>
  <si>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</si>
  <si>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</si>
  <si>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</si>
  <si>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</si>
  <si>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</si>
  <si>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</si>
  <si>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</si>
  <si>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</si>
  <si>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</si>
  <si>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</si>
  <si>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</si>
  <si>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</si>
  <si>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</si>
  <si>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</si>
  <si>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</si>
  <si>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</si>
  <si>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</si>
  <si>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</si>
  <si>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</si>
  <si>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</si>
  <si>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</si>
  <si>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</si>
  <si>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</si>
  <si>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</si>
  <si>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</si>
  <si>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</si>
  <si>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</si>
  <si>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</si>
  <si>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</si>
  <si>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</si>
  <si>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</si>
  <si>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</si>
  <si>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</si>
  <si>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</si>
  <si>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</si>
  <si>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</si>
  <si>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</si>
  <si>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</si>
  <si>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</si>
  <si>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</si>
  <si>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</si>
  <si>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</si>
  <si>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</si>
  <si>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</si>
  <si>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</si>
  <si>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</si>
  <si>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</si>
  <si>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</si>
  <si>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</si>
  <si>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</si>
  <si>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</si>
  <si>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xml:space="preserve">Marina Annex Housing Partners, LP </t>
  </si>
  <si>
    <t>Marina Towers Annex</t>
  </si>
  <si>
    <t>City of Vallejo</t>
  </si>
  <si>
    <t>Guy L. Ricca</t>
  </si>
  <si>
    <t>200 Georgia Street, P.O. Box 1432</t>
  </si>
  <si>
    <t>Vallejo</t>
  </si>
  <si>
    <t>(707) 648-4395</t>
  </si>
  <si>
    <t>(707) 648-5249</t>
  </si>
  <si>
    <t>gricca@ci.vallejo.ca.us</t>
  </si>
  <si>
    <t>575 Sacramento St</t>
  </si>
  <si>
    <t>0055-160-390-01</t>
  </si>
  <si>
    <t>40%/60%</t>
  </si>
  <si>
    <t>2607 2nd Avenue, Suite 300</t>
  </si>
  <si>
    <t>Seattle</t>
  </si>
  <si>
    <t>WA</t>
  </si>
  <si>
    <t>Evan Laws</t>
  </si>
  <si>
    <t>evan.laws@vitus.com</t>
  </si>
  <si>
    <t>IH Marina Annex Vallejo, LLC</t>
  </si>
  <si>
    <t>Managing GP</t>
  </si>
  <si>
    <t xml:space="preserve">Marina Annex Housing Management, LLC </t>
  </si>
  <si>
    <t>Administrative GP</t>
  </si>
  <si>
    <t>Marina Annex Developer, LLC</t>
  </si>
  <si>
    <t>Developer</t>
  </si>
  <si>
    <t>Seattle, WA 98121</t>
  </si>
  <si>
    <t>True Craft Architecture, LLC</t>
  </si>
  <si>
    <t>14241 Coursey Blvd., STE A12-31</t>
  </si>
  <si>
    <t>Baton Rouge, LA 70817</t>
  </si>
  <si>
    <t>Akheil Shah</t>
  </si>
  <si>
    <t>akheil@truecraftarchitecture.com</t>
  </si>
  <si>
    <t xml:space="preserve">Winthrop &amp; Weinstine, P.A. </t>
  </si>
  <si>
    <t>225 South 6th St</t>
  </si>
  <si>
    <t>Minneapolis, MN 55402</t>
  </si>
  <si>
    <t>Wilshire Pacific Builders</t>
  </si>
  <si>
    <t>2250 E Germann Rd # 1</t>
  </si>
  <si>
    <t>Chandle, AZ 85286</t>
  </si>
  <si>
    <t>Jim Brundage</t>
  </si>
  <si>
    <t>(623) 777-4533</t>
  </si>
  <si>
    <t>jbrundage@wilshirepacific.com</t>
  </si>
  <si>
    <t>Paul Manda</t>
  </si>
  <si>
    <t>pmanda@winthrop.com</t>
  </si>
  <si>
    <t>(612) 604-6759</t>
  </si>
  <si>
    <t>(225) 938-9029</t>
  </si>
  <si>
    <t>(206) 832-1311</t>
  </si>
  <si>
    <t>Propp Christensen Caniglia LLP</t>
  </si>
  <si>
    <t>9261 Sierra College Boulevard</t>
  </si>
  <si>
    <t>Roseville, CA 95661</t>
  </si>
  <si>
    <t>Justin Gierth</t>
  </si>
  <si>
    <t>(916) 847-2738</t>
  </si>
  <si>
    <t>jgierth@pccllp.com</t>
  </si>
  <si>
    <t>Partner Energy</t>
  </si>
  <si>
    <t>680 Knox Street Suite 150</t>
  </si>
  <si>
    <t>Los Angeles, CA 90502</t>
  </si>
  <si>
    <t>Matthew Smith</t>
  </si>
  <si>
    <t>916-910-0770</t>
  </si>
  <si>
    <t>310-862-2399</t>
  </si>
  <si>
    <t>msmith@ptrenergy.com</t>
  </si>
  <si>
    <t>Novogradac Consulting LLP</t>
  </si>
  <si>
    <t>6700 Antioch Road, Suite 450</t>
  </si>
  <si>
    <t>Merriam, KS 66204</t>
  </si>
  <si>
    <t>Sara Nachbar</t>
  </si>
  <si>
    <t>913-312-4616</t>
  </si>
  <si>
    <t>sara.nachbar@novoco.com</t>
  </si>
  <si>
    <t>Miller Housing</t>
  </si>
  <si>
    <t>962 Ulster Way</t>
  </si>
  <si>
    <t>Denver, CO 80230</t>
  </si>
  <si>
    <t>Marnie Klein</t>
  </si>
  <si>
    <t>marnie@millerhousing.com</t>
  </si>
  <si>
    <t>Dominion</t>
  </si>
  <si>
    <t>201 Wylderose Drive</t>
  </si>
  <si>
    <t>Midlothian, VA 23113</t>
  </si>
  <si>
    <t>Chad Matthews</t>
  </si>
  <si>
    <t>804-358-2020</t>
  </si>
  <si>
    <t>804-358-3003</t>
  </si>
  <si>
    <t>c.matthews@d3g.com</t>
  </si>
  <si>
    <t>Residential Housing</t>
  </si>
  <si>
    <t>Marina Annex Associates</t>
  </si>
  <si>
    <t>Jim Mather</t>
  </si>
  <si>
    <t>Executive Vice President</t>
  </si>
  <si>
    <t xml:space="preserve">600 California Street, Suite 900, </t>
  </si>
  <si>
    <t>San Francisco, CA 94108</t>
  </si>
  <si>
    <t>Other (Specify below)</t>
  </si>
  <si>
    <t>Fixed</t>
  </si>
  <si>
    <t>Mortgage Loan</t>
  </si>
  <si>
    <t>LIHTC Equity</t>
  </si>
  <si>
    <t>Equity Bridge Loan</t>
  </si>
  <si>
    <t>Deferred Developer Fee</t>
  </si>
  <si>
    <t>Marina Annex Housing Management, LLC</t>
  </si>
  <si>
    <t>2607 Second Avenue, Suite 300</t>
  </si>
  <si>
    <t>GP Contribution</t>
  </si>
  <si>
    <t>Utility Total</t>
  </si>
  <si>
    <t xml:space="preserve">HUD </t>
  </si>
  <si>
    <t>HUD</t>
  </si>
  <si>
    <t>Project-based contract (PBC)</t>
  </si>
  <si>
    <t>Other: Inspections</t>
  </si>
  <si>
    <t>Other: Underwriting/Closing, Freddie Mac application fee</t>
  </si>
  <si>
    <t>Other: Borrower Legal</t>
  </si>
  <si>
    <t>Other: CNA</t>
  </si>
  <si>
    <t>Other: ADA Consultant</t>
  </si>
  <si>
    <t>Other: FF&amp;E</t>
  </si>
  <si>
    <t>IH Marina Annex</t>
  </si>
  <si>
    <t>Grocery Outlet</t>
  </si>
  <si>
    <t>401 Marin St</t>
  </si>
  <si>
    <t>Vallejo, CA 94590</t>
  </si>
  <si>
    <t>707-648-7041</t>
  </si>
  <si>
    <t>https://groceryoutlet.com/circulars/storeid/283</t>
  </si>
  <si>
    <t>Barbara Kondylis Waterfront Green</t>
  </si>
  <si>
    <t>301 Mare Island Way</t>
  </si>
  <si>
    <t>http://www.ci.vallejo.ca.us/</t>
  </si>
  <si>
    <t>707-642-3653</t>
  </si>
  <si>
    <t>Vallejo John F. Kennedy Library</t>
  </si>
  <si>
    <t>505 Santa Clara St</t>
  </si>
  <si>
    <t>https://solanolibrary.com/hours-and-locations/vallejo-john-f-kennedy-library/</t>
  </si>
  <si>
    <t>866-572-7587</t>
  </si>
  <si>
    <t>Capital City Pharmacy</t>
  </si>
  <si>
    <t>339 Georgia St</t>
  </si>
  <si>
    <t>https://www.capcitypharmacy.com/</t>
  </si>
  <si>
    <t>707-644-2272</t>
  </si>
  <si>
    <t>La Clinica Vallejo</t>
  </si>
  <si>
    <t>415 Georgia St</t>
  </si>
  <si>
    <t>https://laclinica.org/location/la-clinica-vallejo/</t>
  </si>
  <si>
    <t>707-556-8100</t>
  </si>
  <si>
    <t>Solano County Transit</t>
  </si>
  <si>
    <t>311 Sacramento St</t>
  </si>
  <si>
    <t>707-648-4666</t>
  </si>
  <si>
    <t>1 bedroom</t>
  </si>
  <si>
    <t>Natalia Williams</t>
  </si>
  <si>
    <t>Vice President</t>
  </si>
  <si>
    <t>Integra Realty Resources</t>
  </si>
  <si>
    <t>590 Menloe Drive, Suite 1</t>
  </si>
  <si>
    <t>Rocklin, CA 95765</t>
  </si>
  <si>
    <t>Michelle Killin</t>
  </si>
  <si>
    <t>(303) 733-3753</t>
  </si>
  <si>
    <t>(303) 570-7070</t>
  </si>
  <si>
    <t>(916) 435-3883</t>
  </si>
  <si>
    <t>mkillin@irr.com</t>
  </si>
  <si>
    <t>R4 Capital LLC</t>
  </si>
  <si>
    <t>155 Federal Street, 16th Floor</t>
  </si>
  <si>
    <t>Boston, MA 02210</t>
  </si>
  <si>
    <t>1388 Sutter Street, 11th Floor</t>
  </si>
  <si>
    <t>San Francisco, CA 94109</t>
  </si>
  <si>
    <t>(415) 345-4400</t>
  </si>
  <si>
    <t>nschwartz@jsco.net</t>
  </si>
  <si>
    <t>John Stewart Company</t>
  </si>
  <si>
    <t>Noah G. Schwartz</t>
  </si>
  <si>
    <t>R4/LIHTC Equity</t>
  </si>
  <si>
    <t>Colliers/Equity Bridge Loan</t>
  </si>
  <si>
    <t>155 Federal Street 16th Floor</t>
  </si>
  <si>
    <t>90 South Seventh Street, Suite 4300</t>
  </si>
  <si>
    <t>Frank J. Hogan</t>
  </si>
  <si>
    <t>(612) 376-4042</t>
  </si>
  <si>
    <t>Irvine</t>
  </si>
  <si>
    <t>530 Technology Drive, Suite 100</t>
  </si>
  <si>
    <t>CA</t>
  </si>
  <si>
    <t>Integrity Housing</t>
  </si>
  <si>
    <t>Vitus &amp; LIHC</t>
  </si>
  <si>
    <t>JP Morgan/Fannie</t>
  </si>
  <si>
    <t>Secured by Fee Interest</t>
  </si>
  <si>
    <t>Inner City Infill Site</t>
  </si>
  <si>
    <t>(415)-989-1111</t>
  </si>
  <si>
    <t>Anjela Ponce</t>
  </si>
  <si>
    <t>(949) 491-1667</t>
  </si>
  <si>
    <t>Anjela@Integrityhousing.org</t>
  </si>
  <si>
    <t>Subtract (Removal of basis for Short Term Work):</t>
  </si>
  <si>
    <t>Incentive Lease Up Fee</t>
  </si>
  <si>
    <t>Gregory Rice</t>
  </si>
  <si>
    <t>10 S Dearborn St, 19th Floor</t>
  </si>
  <si>
    <t>Chicago, IL 60603</t>
  </si>
  <si>
    <t>(312) 925-1360</t>
  </si>
  <si>
    <t>February</t>
  </si>
  <si>
    <t>Philip Wood</t>
  </si>
  <si>
    <t>President, Affordable Housing Alliance II, Inc. dba Integrity Housing, sole member, IH Marina Annex Vallejo LLC, Managing General Partner</t>
  </si>
  <si>
    <t>Austin Divino</t>
  </si>
  <si>
    <t>(512) 575-4753</t>
  </si>
  <si>
    <t>ADivino@r4cap.com</t>
  </si>
  <si>
    <t>Supplies</t>
  </si>
  <si>
    <t>Office Expenses &amp; Accounting</t>
  </si>
  <si>
    <t>Downtown Mixed-Use; 90 units per net acre maximum density</t>
  </si>
  <si>
    <t>Downtown Mixed-Use</t>
  </si>
  <si>
    <t>Legal non-conforming</t>
  </si>
  <si>
    <t>25 height</t>
  </si>
  <si>
    <t>1 space per unit</t>
  </si>
  <si>
    <t>John Martin</t>
  </si>
  <si>
    <t>Gabriel Lanusse</t>
  </si>
  <si>
    <t>Viola Lujan</t>
  </si>
  <si>
    <t>Dr. Arthur Metu</t>
  </si>
  <si>
    <t>Suzanne Olawski</t>
  </si>
  <si>
    <t>https://soltrans.org</t>
  </si>
  <si>
    <t>Patricia Carr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</si>
</sst>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3" fontId="3" fillId="7" borderId="0" xfId="778" applyNumberFormat="1" applyFill="1"/>
    <xf numFmtId="3" fontId="3" fillId="0" borderId="0" xfId="778" applyNumberFormat="1"/>
    <xf numFmtId="169" fontId="3" fillId="0" borderId="0" xfId="778" applyNumberFormat="1"/>
    <xf numFmtId="0" fontId="3" fillId="7" borderId="0" xfId="273"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139700</xdr:colOff>
      <xdr:row>7</xdr:row>
      <xdr:rowOff>97155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2" t="s">
        <v>1873</v>
      </c>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3"/>
    </row>
    <row r="2" spans="1:38" ht="13.5" thickBot="1">
      <c r="A2" s="984"/>
      <c r="B2" s="984"/>
      <c r="C2" s="984"/>
      <c r="D2" s="984"/>
      <c r="E2" s="984"/>
      <c r="F2" s="984"/>
      <c r="G2" s="984"/>
      <c r="H2" s="984"/>
      <c r="I2" s="984"/>
      <c r="J2" s="984"/>
      <c r="K2" s="984"/>
      <c r="L2" s="984"/>
      <c r="M2" s="984"/>
      <c r="N2" s="984"/>
      <c r="O2" s="984"/>
      <c r="P2" s="984"/>
      <c r="Q2" s="984"/>
      <c r="R2" s="984"/>
      <c r="S2" s="984"/>
      <c r="T2" s="984"/>
      <c r="U2" s="984"/>
      <c r="V2" s="984"/>
      <c r="W2" s="984"/>
      <c r="X2" s="984"/>
      <c r="Y2" s="984"/>
      <c r="Z2" s="984"/>
      <c r="AA2" s="984"/>
      <c r="AB2" s="984"/>
      <c r="AC2" s="984"/>
      <c r="AD2" s="984"/>
      <c r="AE2" s="984"/>
      <c r="AF2" s="984"/>
      <c r="AG2" s="984"/>
      <c r="AH2" s="984"/>
      <c r="AI2" s="984"/>
      <c r="AJ2" s="984"/>
      <c r="AK2" s="984"/>
      <c r="AL2" s="985"/>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2158</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74" t="s">
        <v>2310</v>
      </c>
      <c r="F26" s="974"/>
      <c r="G26" s="974"/>
      <c r="H26" s="974"/>
      <c r="I26" s="974"/>
      <c r="J26" s="974"/>
      <c r="K26" s="974"/>
      <c r="L26" s="974"/>
      <c r="M26" s="974"/>
      <c r="N26" s="974"/>
      <c r="O26" s="974"/>
      <c r="P26" s="974"/>
      <c r="Q26" s="974"/>
      <c r="R26" s="974"/>
      <c r="S26" s="974"/>
      <c r="T26" s="974"/>
      <c r="U26" s="974"/>
      <c r="V26" s="974"/>
      <c r="W26" s="974"/>
      <c r="X26" s="974"/>
      <c r="Y26" s="974"/>
      <c r="Z26" s="974"/>
      <c r="AA26" s="974"/>
      <c r="AB26" s="974"/>
      <c r="AC26" s="974"/>
      <c r="AD26" s="974"/>
      <c r="AE26" s="974"/>
      <c r="AF26" s="974"/>
      <c r="AG26" s="974"/>
      <c r="AH26" s="974"/>
      <c r="AI26" s="974"/>
      <c r="AJ26" s="974"/>
      <c r="AK26" s="974"/>
    </row>
    <row r="27" spans="1:38">
      <c r="A27" s="5"/>
      <c r="C27" s="3"/>
      <c r="E27" s="974" t="s">
        <v>2311</v>
      </c>
      <c r="F27" s="974"/>
      <c r="G27" s="974"/>
      <c r="H27" s="974"/>
      <c r="I27" s="974"/>
      <c r="J27" s="974"/>
      <c r="K27" s="974"/>
      <c r="L27" s="974"/>
      <c r="M27" s="974"/>
      <c r="N27" s="974"/>
      <c r="O27" s="974"/>
      <c r="P27" s="974"/>
      <c r="Q27" s="974"/>
      <c r="R27" s="974"/>
      <c r="S27" s="974"/>
      <c r="T27" s="974"/>
      <c r="U27" s="974"/>
      <c r="V27" s="974"/>
      <c r="W27" s="974"/>
      <c r="X27" s="974"/>
      <c r="Y27" s="974"/>
      <c r="Z27" s="974"/>
      <c r="AA27" s="974"/>
      <c r="AB27" s="974"/>
      <c r="AC27" s="974"/>
      <c r="AD27" s="974"/>
      <c r="AE27" s="974"/>
      <c r="AF27" s="974"/>
      <c r="AG27" s="974"/>
      <c r="AH27" s="974"/>
      <c r="AI27" s="974"/>
      <c r="AJ27" s="974"/>
      <c r="AK27" s="97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3" t="s">
        <v>2019</v>
      </c>
      <c r="E29" s="973"/>
      <c r="F29" s="973"/>
      <c r="G29" s="973"/>
      <c r="H29" s="973"/>
      <c r="I29" s="973"/>
      <c r="J29" s="973"/>
      <c r="K29" s="973"/>
      <c r="L29" s="973"/>
      <c r="M29" s="973"/>
      <c r="N29" s="973"/>
      <c r="O29" s="973"/>
      <c r="P29" s="973"/>
      <c r="Q29" s="973"/>
      <c r="R29" s="973"/>
      <c r="S29" s="973"/>
      <c r="T29" s="973"/>
      <c r="U29" s="973"/>
      <c r="V29" s="973"/>
      <c r="W29" s="973"/>
      <c r="X29" s="973"/>
      <c r="Y29" s="973"/>
      <c r="Z29" s="973"/>
      <c r="AA29" s="973"/>
      <c r="AB29" s="973"/>
      <c r="AC29" s="973"/>
      <c r="AD29" s="973"/>
      <c r="AE29" s="973"/>
      <c r="AF29" s="973"/>
      <c r="AG29" s="973"/>
      <c r="AH29" s="973"/>
      <c r="AI29" s="973"/>
      <c r="AJ29" s="973"/>
      <c r="AK29" s="973"/>
      <c r="AL29"/>
    </row>
    <row r="30" spans="1:38">
      <c r="A30" s="5"/>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row>
    <row r="31" spans="1:38">
      <c r="A31" s="5"/>
      <c r="D31" s="158"/>
      <c r="E31" s="975" t="s">
        <v>1287</v>
      </c>
      <c r="F31" s="975"/>
      <c r="G31" s="975"/>
      <c r="H31" s="975"/>
      <c r="I31" s="975"/>
      <c r="J31" s="975"/>
      <c r="K31" s="975"/>
      <c r="L31" s="975"/>
      <c r="M31" s="975"/>
      <c r="N31" s="975"/>
      <c r="O31" s="975"/>
      <c r="P31" s="975"/>
      <c r="Q31" s="975"/>
      <c r="R31" s="975"/>
      <c r="S31" s="975"/>
      <c r="T31" s="975"/>
      <c r="U31" s="975"/>
      <c r="V31" s="975"/>
      <c r="W31" s="975"/>
      <c r="X31" s="975"/>
      <c r="Y31" s="975"/>
      <c r="Z31" s="975"/>
      <c r="AA31" s="975"/>
      <c r="AB31" s="975"/>
      <c r="AC31" s="975"/>
      <c r="AD31" s="975"/>
      <c r="AE31" s="975"/>
      <c r="AF31" s="975"/>
      <c r="AG31" s="975"/>
      <c r="AH31" s="975"/>
      <c r="AI31" s="975"/>
      <c r="AJ31" s="975"/>
      <c r="AK31" s="975"/>
    </row>
    <row r="32" spans="1:38">
      <c r="A32" s="5"/>
      <c r="D32" s="158"/>
      <c r="E32" s="975" t="s">
        <v>1144</v>
      </c>
      <c r="F32" s="975"/>
      <c r="G32" s="975"/>
      <c r="H32" s="975"/>
      <c r="I32" s="975"/>
      <c r="J32" s="975"/>
      <c r="K32" s="975"/>
      <c r="L32" s="975"/>
      <c r="M32" s="975"/>
      <c r="N32" s="975"/>
      <c r="O32" s="975"/>
      <c r="P32" s="975"/>
      <c r="Q32" s="975"/>
      <c r="R32" s="975"/>
      <c r="S32" s="975"/>
      <c r="T32" s="975"/>
      <c r="U32" s="975"/>
      <c r="V32" s="975"/>
      <c r="W32" s="975"/>
      <c r="X32" s="975"/>
      <c r="Y32" s="975"/>
      <c r="Z32" s="975"/>
      <c r="AA32" s="975"/>
      <c r="AB32" s="975"/>
      <c r="AC32" s="975"/>
      <c r="AD32" s="975"/>
      <c r="AE32" s="975"/>
      <c r="AF32" s="975"/>
      <c r="AG32" s="975"/>
      <c r="AH32" s="975"/>
      <c r="AI32" s="975"/>
      <c r="AJ32" s="975"/>
      <c r="AK32" s="97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2" t="s">
        <v>1688</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2" t="s">
        <v>2160</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81" t="s">
        <v>2161</v>
      </c>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row>
    <row r="49" spans="1:38">
      <c r="A49" s="5"/>
      <c r="C49" s="3"/>
      <c r="D49" s="3"/>
      <c r="E49" s="5"/>
      <c r="F49" s="12"/>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row>
    <row r="50" spans="1:38">
      <c r="A50" s="5"/>
      <c r="C50" s="3"/>
      <c r="D50" s="3"/>
      <c r="E50" s="5"/>
      <c r="F50" s="12"/>
      <c r="G50" s="981"/>
      <c r="H50" s="981"/>
      <c r="I50" s="981"/>
      <c r="J50" s="981"/>
      <c r="K50" s="981"/>
      <c r="L50" s="981"/>
      <c r="M50" s="981"/>
      <c r="N50" s="981"/>
      <c r="O50" s="981"/>
      <c r="P50" s="981"/>
      <c r="Q50" s="981"/>
      <c r="R50" s="981"/>
      <c r="S50" s="981"/>
      <c r="T50" s="981"/>
      <c r="U50" s="981"/>
      <c r="V50" s="981"/>
      <c r="W50" s="981"/>
      <c r="X50" s="981"/>
      <c r="Y50" s="981"/>
      <c r="Z50" s="981"/>
      <c r="AA50" s="981"/>
      <c r="AB50" s="981"/>
      <c r="AC50" s="981"/>
      <c r="AD50" s="981"/>
      <c r="AE50" s="981"/>
      <c r="AF50" s="981"/>
      <c r="AG50" s="981"/>
      <c r="AH50" s="981"/>
      <c r="AI50" s="981"/>
      <c r="AJ50" s="981"/>
      <c r="AK50" s="981"/>
    </row>
    <row r="51" spans="1:38">
      <c r="A51" s="5"/>
      <c r="B51" s="3"/>
      <c r="C51" s="3"/>
      <c r="D51" s="3"/>
      <c r="E51" s="5"/>
      <c r="F51" s="12" t="s">
        <v>197</v>
      </c>
      <c r="G51" s="981" t="s">
        <v>2162</v>
      </c>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row>
    <row r="52" spans="1:38" s="5" customFormat="1">
      <c r="B52"/>
      <c r="C52" s="3"/>
      <c r="D52" s="3"/>
      <c r="F52" s="12"/>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row>
    <row r="53" spans="1:38">
      <c r="A53" s="5"/>
      <c r="C53" s="3"/>
      <c r="D53" s="3"/>
      <c r="E53" s="5"/>
      <c r="F53" s="12"/>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2" t="s">
        <v>1691</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1690</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2" t="s">
        <v>1692</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1693</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1706</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1707</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2" t="s">
        <v>1694</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1695</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2" t="s">
        <v>1699</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6" t="s">
        <v>1700</v>
      </c>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361"/>
    </row>
    <row r="95" spans="1:38">
      <c r="A95" s="361"/>
      <c r="B95" s="361"/>
      <c r="C95" s="373"/>
      <c r="D95" s="361"/>
      <c r="E95" s="361"/>
      <c r="F95" s="361"/>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361"/>
    </row>
    <row r="96" spans="1:38">
      <c r="A96" s="361"/>
      <c r="B96" s="361"/>
      <c r="C96" s="373"/>
      <c r="D96" s="361"/>
      <c r="E96" s="361"/>
      <c r="F96" s="361"/>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361"/>
    </row>
    <row r="97" spans="1:38">
      <c r="A97" s="361"/>
      <c r="B97" s="361"/>
      <c r="C97" s="373"/>
      <c r="D97" s="361"/>
      <c r="E97" s="361"/>
      <c r="F97" s="361"/>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1701</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1702</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2" t="s">
        <v>1703</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2" t="s">
        <v>1704</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80" t="s">
        <v>1705</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2" t="s">
        <v>1708</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2" t="s">
        <v>1709</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2" t="s">
        <v>1710</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2" t="s">
        <v>1711</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902</v>
      </c>
      <c r="F235" s="5" t="s">
        <v>245</v>
      </c>
      <c r="G235" s="5"/>
      <c r="H235" s="5"/>
      <c r="I235" s="5"/>
      <c r="M235" s="5"/>
      <c r="N235" s="5"/>
      <c r="O235" s="5"/>
      <c r="P235" s="5"/>
      <c r="Q235" s="5"/>
      <c r="R235" s="5"/>
      <c r="S235" s="5"/>
    </row>
    <row r="236" spans="1:38">
      <c r="B236" s="5"/>
      <c r="C236" s="5"/>
      <c r="F236" s="5" t="s">
        <v>822</v>
      </c>
      <c r="G236" s="972" t="s">
        <v>1712</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81" t="s">
        <v>1823</v>
      </c>
      <c r="F343" s="981"/>
      <c r="G343" s="981"/>
      <c r="H343" s="981"/>
      <c r="I343" s="981"/>
      <c r="J343" s="981"/>
      <c r="K343" s="981"/>
      <c r="L343" s="981"/>
      <c r="M343" s="981"/>
      <c r="N343" s="981"/>
      <c r="O343" s="981"/>
      <c r="P343" s="981"/>
      <c r="Q343" s="981"/>
      <c r="R343" s="981"/>
      <c r="S343" s="981"/>
      <c r="T343" s="981"/>
      <c r="U343" s="981"/>
      <c r="V343" s="981"/>
      <c r="W343" s="981"/>
      <c r="X343" s="981"/>
      <c r="Y343" s="981"/>
      <c r="Z343" s="981"/>
      <c r="AA343" s="981"/>
      <c r="AB343" s="981"/>
      <c r="AC343" s="981"/>
      <c r="AD343" s="981"/>
      <c r="AE343" s="981"/>
      <c r="AF343" s="981"/>
      <c r="AG343" s="981"/>
      <c r="AH343" s="981"/>
      <c r="AI343" s="981"/>
      <c r="AJ343" s="981"/>
      <c r="AK343" s="981"/>
    </row>
    <row r="344" spans="2:37">
      <c r="B344" s="3"/>
      <c r="E344" s="981"/>
      <c r="F344" s="981"/>
      <c r="G344" s="981"/>
      <c r="H344" s="981"/>
      <c r="I344" s="981"/>
      <c r="J344" s="981"/>
      <c r="K344" s="981"/>
      <c r="L344" s="981"/>
      <c r="M344" s="981"/>
      <c r="N344" s="981"/>
      <c r="O344" s="981"/>
      <c r="P344" s="981"/>
      <c r="Q344" s="981"/>
      <c r="R344" s="981"/>
      <c r="S344" s="981"/>
      <c r="T344" s="981"/>
      <c r="U344" s="981"/>
      <c r="V344" s="981"/>
      <c r="W344" s="981"/>
      <c r="X344" s="981"/>
      <c r="Y344" s="981"/>
      <c r="Z344" s="981"/>
      <c r="AA344" s="981"/>
      <c r="AB344" s="981"/>
      <c r="AC344" s="981"/>
      <c r="AD344" s="981"/>
      <c r="AE344" s="981"/>
      <c r="AF344" s="981"/>
      <c r="AG344" s="981"/>
      <c r="AH344" s="981"/>
      <c r="AI344" s="981"/>
      <c r="AJ344" s="981"/>
      <c r="AK344" s="981"/>
    </row>
    <row r="345" spans="2:37">
      <c r="B345" s="3"/>
      <c r="E345" s="981"/>
      <c r="F345" s="981"/>
      <c r="G345" s="981"/>
      <c r="H345" s="981"/>
      <c r="I345" s="981"/>
      <c r="J345" s="981"/>
      <c r="K345" s="981"/>
      <c r="L345" s="981"/>
      <c r="M345" s="981"/>
      <c r="N345" s="981"/>
      <c r="O345" s="981"/>
      <c r="P345" s="981"/>
      <c r="Q345" s="981"/>
      <c r="R345" s="981"/>
      <c r="S345" s="981"/>
      <c r="T345" s="981"/>
      <c r="U345" s="981"/>
      <c r="V345" s="981"/>
      <c r="W345" s="981"/>
      <c r="X345" s="981"/>
      <c r="Y345" s="981"/>
      <c r="Z345" s="981"/>
      <c r="AA345" s="981"/>
      <c r="AB345" s="981"/>
      <c r="AC345" s="981"/>
      <c r="AD345" s="981"/>
      <c r="AE345" s="981"/>
      <c r="AF345" s="981"/>
      <c r="AG345" s="981"/>
      <c r="AH345" s="981"/>
      <c r="AI345" s="981"/>
      <c r="AJ345" s="981"/>
      <c r="AK345" s="981"/>
    </row>
    <row r="346" spans="2:37">
      <c r="B346" s="3"/>
      <c r="E346" s="981"/>
      <c r="F346" s="981"/>
      <c r="G346" s="981"/>
      <c r="H346" s="981"/>
      <c r="I346" s="981"/>
      <c r="J346" s="981"/>
      <c r="K346" s="981"/>
      <c r="L346" s="981"/>
      <c r="M346" s="981"/>
      <c r="N346" s="981"/>
      <c r="O346" s="981"/>
      <c r="P346" s="981"/>
      <c r="Q346" s="981"/>
      <c r="R346" s="981"/>
      <c r="S346" s="981"/>
      <c r="T346" s="981"/>
      <c r="U346" s="981"/>
      <c r="V346" s="981"/>
      <c r="W346" s="981"/>
      <c r="X346" s="981"/>
      <c r="Y346" s="981"/>
      <c r="Z346" s="981"/>
      <c r="AA346" s="981"/>
      <c r="AB346" s="981"/>
      <c r="AC346" s="981"/>
      <c r="AD346" s="981"/>
      <c r="AE346" s="981"/>
      <c r="AF346" s="981"/>
      <c r="AG346" s="981"/>
      <c r="AH346" s="981"/>
      <c r="AI346" s="981"/>
      <c r="AJ346" s="981"/>
      <c r="AK346" s="981"/>
    </row>
    <row r="347" spans="2:37">
      <c r="B347" s="3"/>
      <c r="E347" s="981"/>
      <c r="F347" s="981"/>
      <c r="G347" s="981"/>
      <c r="H347" s="981"/>
      <c r="I347" s="981"/>
      <c r="J347" s="981"/>
      <c r="K347" s="981"/>
      <c r="L347" s="981"/>
      <c r="M347" s="981"/>
      <c r="N347" s="981"/>
      <c r="O347" s="981"/>
      <c r="P347" s="981"/>
      <c r="Q347" s="981"/>
      <c r="R347" s="981"/>
      <c r="S347" s="981"/>
      <c r="T347" s="981"/>
      <c r="U347" s="981"/>
      <c r="V347" s="981"/>
      <c r="W347" s="981"/>
      <c r="X347" s="981"/>
      <c r="Y347" s="981"/>
      <c r="Z347" s="981"/>
      <c r="AA347" s="981"/>
      <c r="AB347" s="981"/>
      <c r="AC347" s="981"/>
      <c r="AD347" s="981"/>
      <c r="AE347" s="981"/>
      <c r="AF347" s="981"/>
      <c r="AG347" s="981"/>
      <c r="AH347" s="981"/>
      <c r="AI347" s="981"/>
      <c r="AJ347" s="981"/>
      <c r="AK347" s="981"/>
    </row>
    <row r="348" spans="2:37">
      <c r="B348" s="3"/>
      <c r="E348" s="5" t="s">
        <v>901</v>
      </c>
      <c r="F348" s="972" t="s">
        <v>1824</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2"/>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902</v>
      </c>
      <c r="F352" s="972" t="s">
        <v>1825</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8" customFormat="1">
      <c r="A365"/>
      <c r="B365" s="3"/>
      <c r="C365"/>
      <c r="D365"/>
      <c r="E365" s="978" t="s">
        <v>1820</v>
      </c>
    </row>
    <row r="366" spans="1:38" s="978" customFormat="1">
      <c r="A366"/>
      <c r="B366" s="3"/>
      <c r="C366"/>
      <c r="D366"/>
    </row>
    <row r="367" spans="1:38">
      <c r="B367" s="3"/>
      <c r="F367" s="976" t="s">
        <v>1821</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3" workbookViewId="0">
      <selection activeCell="E90" sqref="E9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2" t="s">
        <v>1865</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2123</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2231</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2209</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2124</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1804</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1805</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1696</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4" t="s">
        <v>1609</v>
      </c>
      <c r="C29" s="1924"/>
      <c r="D29" s="1924"/>
      <c r="E29" s="1924"/>
      <c r="F29" s="1924"/>
      <c r="G29" s="1924"/>
      <c r="H29" s="376"/>
      <c r="I29" s="376"/>
      <c r="J29" s="376"/>
      <c r="K29" s="376"/>
      <c r="L29" s="376"/>
      <c r="M29" s="376"/>
      <c r="N29" s="376"/>
      <c r="O29" s="1922" t="s">
        <v>1618</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139</v>
      </c>
      <c r="J32" s="1927" t="s">
        <v>993</v>
      </c>
      <c r="K32" s="1928">
        <v>1</v>
      </c>
      <c r="M32" s="509"/>
      <c r="O32" s="1923"/>
      <c r="P32" s="1927" t="s">
        <v>1944</v>
      </c>
    </row>
    <row r="33" spans="1:21" ht="15" customHeight="1">
      <c r="B33" s="1929" t="s">
        <v>1613</v>
      </c>
      <c r="C33" s="1929"/>
      <c r="D33" s="1929"/>
      <c r="E33" s="1929"/>
      <c r="F33" s="1929"/>
      <c r="G33" s="1929"/>
      <c r="I33" s="1926"/>
      <c r="J33" s="1927"/>
      <c r="K33" s="1928"/>
      <c r="M33" s="510"/>
      <c r="O33" s="1929" t="s">
        <v>1613</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1603</v>
      </c>
      <c r="C37" s="1933"/>
      <c r="D37" s="1933"/>
      <c r="E37" s="1933"/>
      <c r="F37" s="516"/>
      <c r="G37" s="516"/>
      <c r="H37" s="517"/>
      <c r="I37" s="376"/>
      <c r="J37" s="376"/>
      <c r="L37" s="529"/>
      <c r="M37" s="529"/>
      <c r="N37" s="529"/>
      <c r="O37" s="529"/>
      <c r="P37" s="529"/>
      <c r="Q37" s="529"/>
      <c r="R37" s="529"/>
      <c r="S37" s="529"/>
    </row>
    <row r="38" spans="1:21" ht="15" customHeight="1">
      <c r="B38" s="1938" t="s">
        <v>1619</v>
      </c>
      <c r="C38" s="1938"/>
      <c r="D38" s="1938"/>
      <c r="E38" s="1938"/>
      <c r="F38" s="650"/>
      <c r="G38" s="518">
        <f>D110</f>
        <v>6243161.6692190086</v>
      </c>
      <c r="H38" s="384"/>
      <c r="I38" s="519"/>
      <c r="J38" s="384"/>
      <c r="K38" s="1945" t="s">
        <v>2228</v>
      </c>
      <c r="L38" s="1945"/>
      <c r="M38" s="1945"/>
      <c r="N38" s="1945"/>
      <c r="O38" s="1945"/>
      <c r="P38" s="1945"/>
      <c r="Q38" s="1945"/>
      <c r="R38" s="1945"/>
      <c r="S38" s="1945"/>
    </row>
    <row r="39" spans="1:21" ht="15" customHeight="1">
      <c r="B39" s="1939" t="s">
        <v>1284</v>
      </c>
      <c r="C39" s="1939"/>
      <c r="D39" s="1939"/>
      <c r="E39" s="1939"/>
      <c r="F39" s="650"/>
      <c r="G39" s="632"/>
      <c r="H39" s="384"/>
      <c r="I39" s="519"/>
      <c r="J39" s="384"/>
      <c r="K39" s="1945"/>
      <c r="L39" s="1945"/>
      <c r="M39" s="1945"/>
      <c r="N39" s="1945"/>
      <c r="O39" s="1945"/>
      <c r="P39" s="1945"/>
      <c r="Q39" s="1945"/>
      <c r="R39" s="1945"/>
      <c r="S39" s="1945"/>
    </row>
    <row r="40" spans="1:21" ht="15" customHeight="1">
      <c r="B40" s="1939" t="s">
        <v>1285</v>
      </c>
      <c r="C40" s="1939"/>
      <c r="D40" s="1939"/>
      <c r="E40" s="1939"/>
      <c r="F40" s="650"/>
      <c r="G40" s="632"/>
      <c r="H40" s="384"/>
      <c r="I40" s="519"/>
      <c r="J40" s="384"/>
      <c r="K40" s="1945"/>
      <c r="L40" s="1945"/>
      <c r="M40" s="1945"/>
      <c r="N40" s="1945"/>
      <c r="O40" s="1945"/>
      <c r="P40" s="1945"/>
      <c r="Q40" s="1945"/>
      <c r="R40" s="1945"/>
      <c r="S40" s="1945"/>
    </row>
    <row r="41" spans="1:21" ht="15" customHeight="1">
      <c r="B41" s="1940" t="s">
        <v>1614</v>
      </c>
      <c r="C41" s="1940"/>
      <c r="D41" s="1940"/>
      <c r="E41" s="1940"/>
      <c r="F41" s="650"/>
      <c r="G41" s="384"/>
      <c r="H41" s="384"/>
      <c r="I41" s="519"/>
      <c r="J41" s="384"/>
      <c r="K41" s="1944" t="s">
        <v>124</v>
      </c>
      <c r="L41" s="1944"/>
      <c r="M41" s="1944"/>
      <c r="N41" s="1944"/>
      <c r="O41" s="1944"/>
      <c r="P41" s="1944"/>
      <c r="Q41" s="1944"/>
      <c r="R41" s="1944"/>
      <c r="S41" s="1944"/>
    </row>
    <row r="42" spans="1:21" ht="15" customHeight="1">
      <c r="B42" s="634"/>
      <c r="C42" s="634"/>
      <c r="D42" s="628"/>
      <c r="E42" s="652"/>
      <c r="F42" s="650"/>
      <c r="G42" s="384"/>
      <c r="H42" s="384"/>
      <c r="I42" s="519"/>
      <c r="J42" s="384"/>
      <c r="K42" s="1943"/>
      <c r="L42" s="1943"/>
      <c r="M42" s="1943"/>
      <c r="N42" s="1943"/>
      <c r="O42" s="1943"/>
      <c r="Q42" s="1946"/>
      <c r="R42" s="1946"/>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46"/>
      <c r="R44" s="1946"/>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20" t="s">
        <v>1852</v>
      </c>
      <c r="L46" s="1920"/>
      <c r="M46" s="1920"/>
      <c r="N46" s="1920"/>
      <c r="O46" s="1920"/>
      <c r="Q46" s="1917"/>
      <c r="R46" s="1917"/>
    </row>
    <row r="47" spans="1:21" ht="15" customHeight="1">
      <c r="B47" s="634"/>
      <c r="C47" s="634"/>
      <c r="D47" s="504"/>
      <c r="E47" s="652"/>
      <c r="F47" s="650"/>
      <c r="G47" s="384"/>
      <c r="H47" s="384"/>
      <c r="I47" s="519"/>
      <c r="J47" s="384"/>
      <c r="K47" s="1921" t="s">
        <v>1853</v>
      </c>
      <c r="L47" s="1921"/>
      <c r="M47" s="1921"/>
      <c r="N47" s="1921"/>
      <c r="O47" s="1921"/>
      <c r="Q47" s="1919"/>
      <c r="R47" s="1919"/>
    </row>
    <row r="48" spans="1:21" ht="15" customHeight="1">
      <c r="B48" s="634"/>
      <c r="C48" s="634"/>
      <c r="D48" s="504"/>
      <c r="E48" s="652"/>
      <c r="F48" s="650"/>
      <c r="G48" s="384"/>
      <c r="H48" s="384"/>
      <c r="I48" s="519"/>
      <c r="J48" s="384"/>
      <c r="K48" s="1918" t="s">
        <v>1854</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8" t="s">
        <v>1610</v>
      </c>
      <c r="C52" s="1938"/>
      <c r="D52" s="1938"/>
      <c r="E52" s="1938"/>
      <c r="F52" s="650"/>
      <c r="G52" s="518">
        <f>SUM(E42:E49)-ABS(E50)-ABS(E51)</f>
        <v>0</v>
      </c>
      <c r="H52" s="384"/>
      <c r="I52" s="519"/>
      <c r="J52" s="384"/>
    </row>
    <row r="53" spans="1:29" ht="15" customHeight="1">
      <c r="C53" s="523"/>
      <c r="D53" s="523" t="s">
        <v>876</v>
      </c>
      <c r="E53" s="523"/>
      <c r="F53" s="523"/>
      <c r="G53" s="524">
        <f>SUM(G38:G40)+G52</f>
        <v>6243161.6692190086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41" t="s">
        <v>1265</v>
      </c>
      <c r="C56" s="1941"/>
      <c r="D56" s="650"/>
      <c r="E56" s="650"/>
      <c r="F56" s="650"/>
      <c r="G56" s="650"/>
      <c r="H56" s="650"/>
      <c r="I56" s="650"/>
      <c r="J56" s="650"/>
      <c r="K56" s="650"/>
      <c r="L56" s="650"/>
      <c r="M56" s="650"/>
      <c r="N56" s="650"/>
      <c r="O56" s="650"/>
      <c r="P56" s="650"/>
      <c r="U56" s="952" t="s">
        <v>1799</v>
      </c>
      <c r="AC56" s="953">
        <v>0.2</v>
      </c>
    </row>
    <row r="57" spans="1:29" ht="15" customHeight="1">
      <c r="A57" s="521"/>
      <c r="B57" s="1942" t="s">
        <v>1605</v>
      </c>
      <c r="C57" s="1942"/>
      <c r="D57" s="1942"/>
      <c r="E57" s="1942"/>
      <c r="F57" s="1942"/>
      <c r="G57" s="1942"/>
      <c r="H57" s="1942"/>
      <c r="I57" s="1942"/>
      <c r="J57" s="1942"/>
      <c r="K57" s="1942"/>
      <c r="L57" s="1942"/>
      <c r="M57" s="1942"/>
      <c r="N57" s="1942"/>
      <c r="O57" s="1942"/>
      <c r="P57" s="650"/>
      <c r="U57" s="952" t="s">
        <v>1800</v>
      </c>
      <c r="AC57" s="953">
        <v>0.1</v>
      </c>
    </row>
    <row r="58" spans="1:29" ht="15" customHeight="1">
      <c r="B58" s="1933" t="s">
        <v>2226</v>
      </c>
      <c r="C58" s="1934"/>
      <c r="D58" s="1934"/>
      <c r="E58" s="1934"/>
      <c r="F58" s="526"/>
      <c r="G58" s="526"/>
      <c r="H58" s="516"/>
      <c r="I58" s="516"/>
      <c r="J58" s="1935">
        <f>('Sources and Uses Budget'!D104+Q47)/('Sources and Uses Budget'!B104+Q48)</f>
        <v>0</v>
      </c>
      <c r="K58" s="1936"/>
      <c r="L58" s="1936"/>
      <c r="M58" s="1936"/>
      <c r="N58" s="1937"/>
      <c r="O58" s="516"/>
      <c r="P58" s="516"/>
      <c r="U58" s="952" t="s">
        <v>1801</v>
      </c>
      <c r="AC58" s="953">
        <v>0.1</v>
      </c>
    </row>
    <row r="59" spans="1:29" ht="15" customHeight="1">
      <c r="B59" s="1916" t="s">
        <v>2125</v>
      </c>
      <c r="C59" s="1916"/>
      <c r="D59" s="1916"/>
      <c r="E59" s="1916"/>
      <c r="F59" s="1916"/>
      <c r="G59" s="1916"/>
      <c r="H59" s="1916"/>
      <c r="I59" s="1916"/>
      <c r="J59" s="1916"/>
      <c r="K59" s="1916"/>
      <c r="L59" s="1916"/>
      <c r="M59" s="1916"/>
      <c r="N59" s="1916"/>
      <c r="O59" s="1916"/>
      <c r="P59" s="516"/>
      <c r="U59" s="952" t="s">
        <v>1802</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2229</v>
      </c>
      <c r="K63" s="1949"/>
      <c r="L63" s="1949"/>
      <c r="M63" s="1949"/>
      <c r="N63" s="1949"/>
      <c r="O63" s="1949"/>
      <c r="P63" s="1949"/>
      <c r="Q63" s="1949"/>
      <c r="R63" s="1949"/>
    </row>
    <row r="64" spans="1:29" ht="15" customHeight="1" thickBot="1">
      <c r="B64" s="1941" t="s">
        <v>1615</v>
      </c>
      <c r="C64" s="1941"/>
      <c r="D64" s="376"/>
      <c r="F64" s="376"/>
      <c r="G64" s="523" t="s">
        <v>1855</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1608</v>
      </c>
      <c r="C65" s="512" t="str">
        <f>IF(OR(Application!M349="Yes",Application!M350="Yes"),"Yes","No")</f>
        <v>No</v>
      </c>
      <c r="E65" s="788"/>
      <c r="F65" s="788"/>
      <c r="G65" s="523" t="s">
        <v>1857</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1684</v>
      </c>
      <c r="C66" s="638">
        <f>Application!AG430-Application!AG431</f>
        <v>57</v>
      </c>
      <c r="D66" s="788"/>
      <c r="E66" s="528" t="s">
        <v>1858</v>
      </c>
      <c r="F66" s="788"/>
      <c r="G66" s="655"/>
      <c r="H66" s="529"/>
      <c r="I66" s="759"/>
      <c r="J66" s="1950"/>
      <c r="K66" s="1951"/>
      <c r="L66" s="1951"/>
      <c r="M66" s="1951"/>
      <c r="N66" s="1951"/>
      <c r="O66" s="1951"/>
      <c r="P66" s="1951"/>
      <c r="Q66" s="1951"/>
      <c r="R66" s="1951"/>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57</v>
      </c>
      <c r="H67" s="529"/>
      <c r="I67" s="759"/>
      <c r="J67" s="1947" t="s">
        <v>124</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v>
      </c>
    </row>
    <row r="70" spans="1:22" ht="15" customHeight="1" thickBot="1">
      <c r="B70" s="508" t="s">
        <v>1612</v>
      </c>
      <c r="C70" s="508"/>
      <c r="D70" s="508"/>
      <c r="E70" s="508"/>
      <c r="F70" s="508"/>
      <c r="G70" s="508"/>
      <c r="U70" s="1931"/>
      <c r="V70" s="373" t="s">
        <v>1803</v>
      </c>
    </row>
    <row r="71" spans="1:22" ht="15" customHeight="1">
      <c r="B71" s="1938" t="s">
        <v>1616</v>
      </c>
      <c r="C71" s="1938"/>
      <c r="D71" s="1938"/>
      <c r="E71" s="508"/>
      <c r="F71" s="508"/>
      <c r="G71" s="518">
        <f>G53*(1-J58)</f>
        <v>6243161.6692190086</v>
      </c>
      <c r="J71" s="530"/>
      <c r="K71" s="687" t="s">
        <v>1618</v>
      </c>
      <c r="L71" s="687"/>
      <c r="M71" s="687"/>
      <c r="N71" s="687"/>
      <c r="O71" s="687"/>
      <c r="Q71" s="1920">
        <f>'Basis &amp; Credits'!T23+'Basis &amp; Credits'!Y23+'Basis &amp; Credits'!AD23+'Basis &amp; Credits'!AI23</f>
        <v>15682996</v>
      </c>
      <c r="R71" s="1920"/>
    </row>
    <row r="72" spans="1:22" ht="15" customHeight="1">
      <c r="B72" s="1952" t="s">
        <v>1617</v>
      </c>
      <c r="C72" s="1952"/>
      <c r="D72" s="1952"/>
      <c r="E72" s="508"/>
      <c r="F72" s="508"/>
      <c r="G72" s="518">
        <f>G71*C67</f>
        <v>6243161.6692190086</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6243161.6692190086</v>
      </c>
      <c r="C75" s="1954"/>
      <c r="D75" s="1954"/>
      <c r="E75" s="1954"/>
      <c r="F75" s="1954"/>
      <c r="G75" s="1954"/>
      <c r="H75" s="531"/>
      <c r="I75" s="1926" t="s">
        <v>139</v>
      </c>
      <c r="J75" s="1927" t="s">
        <v>993</v>
      </c>
      <c r="K75" s="1926">
        <v>1</v>
      </c>
      <c r="M75" s="395"/>
      <c r="N75" s="510"/>
      <c r="O75" s="657">
        <f>$Q$71</f>
        <v>15682996</v>
      </c>
      <c r="P75" s="1927" t="s">
        <v>1944</v>
      </c>
      <c r="Q75" s="1955" t="s">
        <v>138</v>
      </c>
      <c r="R75" s="1958">
        <f>((B75/B76)+((1-(O75/O76))/2))+U69</f>
        <v>0.41098805409311756</v>
      </c>
    </row>
    <row r="76" spans="1:22" ht="15" customHeight="1" thickBot="1">
      <c r="B76" s="1956">
        <f>'Sources and Uses Budget'!$C$104+$Q$46-($E$50+$E$51)*(1-$J$58)</f>
        <v>17956425</v>
      </c>
      <c r="C76" s="1957"/>
      <c r="D76" s="1957"/>
      <c r="E76" s="1957"/>
      <c r="F76" s="1957"/>
      <c r="G76" s="1956"/>
      <c r="I76" s="1926"/>
      <c r="J76" s="1927"/>
      <c r="K76" s="1926"/>
      <c r="M76" s="648"/>
      <c r="O76" s="656">
        <f>B76</f>
        <v>17956425</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7"/>
      <c r="R84" s="1917"/>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7"/>
      <c r="R89" s="1917"/>
    </row>
    <row r="90" spans="2:18" ht="15" customHeight="1">
      <c r="B90" s="497" t="s">
        <v>2444</v>
      </c>
      <c r="C90" s="498">
        <v>42</v>
      </c>
      <c r="D90" s="499">
        <v>858</v>
      </c>
      <c r="E90" s="499">
        <f>'Subsidy Contract Calculation'!E8</f>
        <v>1850</v>
      </c>
      <c r="F90" s="540"/>
      <c r="G90" s="384">
        <f>MAX(($E90-$D90)*$C90*12,0)</f>
        <v>499968</v>
      </c>
      <c r="I90" s="519"/>
      <c r="K90" s="756" t="s">
        <v>1627</v>
      </c>
      <c r="L90" s="684"/>
      <c r="M90" s="684"/>
      <c r="N90" s="684"/>
      <c r="O90" s="684"/>
      <c r="P90" s="684"/>
      <c r="Q90" s="1960"/>
      <c r="R90" s="1960"/>
    </row>
    <row r="91" spans="2:18" ht="15" customHeight="1">
      <c r="B91" s="497" t="s">
        <v>2444</v>
      </c>
      <c r="C91" s="498">
        <f>56-C90</f>
        <v>14</v>
      </c>
      <c r="D91" s="499">
        <v>858</v>
      </c>
      <c r="E91" s="499">
        <f>'Subsidy Contract Calculation'!E4</f>
        <v>1875</v>
      </c>
      <c r="F91" s="540"/>
      <c r="G91" s="384">
        <f t="shared" ref="G91:G97" si="0">MAX(($E91-$D91)*$C91*12,0)</f>
        <v>170856</v>
      </c>
      <c r="I91" s="519"/>
      <c r="K91" s="756" t="s">
        <v>1630</v>
      </c>
      <c r="L91" s="684"/>
      <c r="M91" s="684"/>
      <c r="N91" s="684"/>
      <c r="O91" s="684"/>
      <c r="P91" s="684"/>
      <c r="Q91" s="1921">
        <f>IFERROR(Q89/Q90,0)</f>
        <v>0</v>
      </c>
      <c r="R91" s="1921"/>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20">
        <f>MAX(Q84,Q91)</f>
        <v>0</v>
      </c>
      <c r="R93" s="1920"/>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670824</v>
      </c>
      <c r="I98" s="519"/>
    </row>
    <row r="99" spans="2:9" ht="15" customHeight="1">
      <c r="I99" s="519"/>
    </row>
    <row r="100" spans="2:9" ht="15" customHeight="1">
      <c r="B100" s="376" t="s">
        <v>1628</v>
      </c>
      <c r="D100" s="520">
        <f>G98+Q93</f>
        <v>670824</v>
      </c>
      <c r="I100" s="519"/>
    </row>
    <row r="101" spans="2:9" ht="15" customHeight="1">
      <c r="B101" s="376" t="s">
        <v>989</v>
      </c>
      <c r="D101" s="536">
        <v>0.05</v>
      </c>
      <c r="I101" s="519"/>
    </row>
    <row r="102" spans="2:9" ht="15" customHeight="1">
      <c r="B102" s="376" t="s">
        <v>1018</v>
      </c>
      <c r="D102" s="520">
        <f>D100-(D100*D101)</f>
        <v>637282.80000000005</v>
      </c>
    </row>
    <row r="103" spans="2:9" ht="15" customHeight="1">
      <c r="B103" s="376" t="s">
        <v>1620</v>
      </c>
      <c r="D103" s="537"/>
    </row>
    <row r="104" spans="2:9" ht="15" customHeight="1">
      <c r="B104" s="376" t="s">
        <v>1629</v>
      </c>
      <c r="D104" s="520">
        <f>D102/D108</f>
        <v>554158.95652173925</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6243161.6692190086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G62" sqref="G62:O6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647712</v>
      </c>
      <c r="F4" s="384"/>
      <c r="G4" s="384">
        <f>E4*$C$4</f>
        <v>663904.79999999993</v>
      </c>
      <c r="H4" s="384"/>
      <c r="I4" s="384">
        <f>G4*$C$4</f>
        <v>680502.41999999993</v>
      </c>
      <c r="J4" s="384"/>
      <c r="K4" s="384">
        <f>I4*$C$4</f>
        <v>697514.98049999983</v>
      </c>
      <c r="L4" s="384"/>
      <c r="M4" s="384">
        <f>K4*$C$4</f>
        <v>714952.85501249973</v>
      </c>
      <c r="N4" s="384"/>
      <c r="O4" s="384">
        <f>M4*$C$4</f>
        <v>732826.67638781213</v>
      </c>
      <c r="P4" s="384"/>
      <c r="Q4" s="384">
        <f>O4*$C$4</f>
        <v>751147.34329750738</v>
      </c>
      <c r="R4" s="384"/>
      <c r="S4" s="384">
        <f>Q4*$C$4</f>
        <v>769926.02687994495</v>
      </c>
      <c r="T4" s="384"/>
      <c r="U4" s="384">
        <f>S4*$C$4</f>
        <v>789174.17755194346</v>
      </c>
      <c r="V4" s="384"/>
      <c r="W4" s="384">
        <f>U4*$C$4</f>
        <v>808903.53199074196</v>
      </c>
      <c r="X4" s="384"/>
      <c r="Y4" s="384">
        <f>W4*$C$4</f>
        <v>829126.12029051047</v>
      </c>
      <c r="Z4" s="384"/>
      <c r="AA4" s="384">
        <f>Y4*$C$4</f>
        <v>849854.27329777321</v>
      </c>
      <c r="AB4" s="384"/>
      <c r="AC4" s="384">
        <f>AA4*$C$4</f>
        <v>871100.63013021741</v>
      </c>
      <c r="AD4" s="384"/>
      <c r="AE4" s="384">
        <f>AC4*$C$4</f>
        <v>892878.14588347275</v>
      </c>
      <c r="AF4" s="384"/>
      <c r="AG4" s="384">
        <f>AE4*$C$4</f>
        <v>915200.0995305595</v>
      </c>
      <c r="AH4" s="384"/>
    </row>
    <row r="5" spans="1:34" ht="14.25">
      <c r="A5" s="376"/>
      <c r="B5" s="376" t="s">
        <v>989</v>
      </c>
      <c r="C5" s="408">
        <f>IF(Application!$D$214="Special Needs",0.1,0.05)</f>
        <v>0.05</v>
      </c>
      <c r="D5" s="376"/>
      <c r="E5" s="386">
        <f>-E4*$C$5</f>
        <v>-32385.600000000002</v>
      </c>
      <c r="F5" s="386"/>
      <c r="G5" s="386">
        <f>-G4*$C$5</f>
        <v>-33195.24</v>
      </c>
      <c r="H5" s="386"/>
      <c r="I5" s="386">
        <f>-I4*$C$5</f>
        <v>-34025.120999999999</v>
      </c>
      <c r="J5" s="386"/>
      <c r="K5" s="386">
        <f>-K4*$C$5</f>
        <v>-34875.74902499999</v>
      </c>
      <c r="L5" s="386"/>
      <c r="M5" s="386">
        <f>-M4*$C$5</f>
        <v>-35747.642750624989</v>
      </c>
      <c r="N5" s="386"/>
      <c r="O5" s="386">
        <f>-O4*$C$5</f>
        <v>-36641.333819390609</v>
      </c>
      <c r="P5" s="386"/>
      <c r="Q5" s="386">
        <f>-Q4*$C$5</f>
        <v>-37557.367164875373</v>
      </c>
      <c r="R5" s="386"/>
      <c r="S5" s="386">
        <f>-S4*$C$5</f>
        <v>-38496.301343997249</v>
      </c>
      <c r="T5" s="386"/>
      <c r="U5" s="386">
        <f>-U4*$C$5</f>
        <v>-39458.708877597179</v>
      </c>
      <c r="V5" s="386"/>
      <c r="W5" s="386">
        <f>-W4*$C$5</f>
        <v>-40445.176599537102</v>
      </c>
      <c r="X5" s="386"/>
      <c r="Y5" s="386">
        <f>-Y4*$C$5</f>
        <v>-41456.306014525529</v>
      </c>
      <c r="Z5" s="386"/>
      <c r="AA5" s="386">
        <f>-AA4*$C$5</f>
        <v>-42492.713664888666</v>
      </c>
      <c r="AB5" s="386"/>
      <c r="AC5" s="386">
        <f>-AC4*$C$5</f>
        <v>-43555.031506510873</v>
      </c>
      <c r="AD5" s="386"/>
      <c r="AE5" s="386">
        <f>-AE4*$C$5</f>
        <v>-44643.907294173638</v>
      </c>
      <c r="AF5" s="386"/>
      <c r="AG5" s="386">
        <f>-AG4*$C$5</f>
        <v>-45760.004976527976</v>
      </c>
      <c r="AH5" s="376"/>
    </row>
    <row r="6" spans="1:34" ht="14.25">
      <c r="A6" s="376" t="s">
        <v>1075</v>
      </c>
      <c r="B6" s="376"/>
      <c r="C6" s="407">
        <v>1.0249999999999999</v>
      </c>
      <c r="D6" s="376"/>
      <c r="E6" s="387">
        <f>Application!Z788</f>
        <v>599688</v>
      </c>
      <c r="F6" s="387"/>
      <c r="G6" s="387">
        <f>E6*$C$6</f>
        <v>614680.19999999995</v>
      </c>
      <c r="H6" s="387"/>
      <c r="I6" s="387">
        <f>G6*$C$6</f>
        <v>630047.20499999984</v>
      </c>
      <c r="J6" s="387"/>
      <c r="K6" s="387">
        <f>I6*$C$6</f>
        <v>645798.3851249998</v>
      </c>
      <c r="L6" s="387"/>
      <c r="M6" s="387">
        <f>K6*$C$6</f>
        <v>661943.34475312475</v>
      </c>
      <c r="N6" s="387"/>
      <c r="O6" s="387">
        <f>M6*$C$6</f>
        <v>678491.92837195285</v>
      </c>
      <c r="P6" s="387"/>
      <c r="Q6" s="387">
        <f>O6*$C$6</f>
        <v>695454.2265812516</v>
      </c>
      <c r="R6" s="387"/>
      <c r="S6" s="387">
        <f>Q6*$C$6</f>
        <v>712840.58224578283</v>
      </c>
      <c r="T6" s="387"/>
      <c r="U6" s="387">
        <f>S6*$C$6</f>
        <v>730661.59680192731</v>
      </c>
      <c r="V6" s="387"/>
      <c r="W6" s="387">
        <f>U6*$C$6</f>
        <v>748928.1367219754</v>
      </c>
      <c r="X6" s="387"/>
      <c r="Y6" s="387">
        <f>W6*$C$6</f>
        <v>767651.34014002467</v>
      </c>
      <c r="Z6" s="387"/>
      <c r="AA6" s="387">
        <f>Y6*$C$6</f>
        <v>786842.62364352518</v>
      </c>
      <c r="AB6" s="387"/>
      <c r="AC6" s="387">
        <f>AA6*$C$6</f>
        <v>806513.68923461321</v>
      </c>
      <c r="AD6" s="387"/>
      <c r="AE6" s="387">
        <f>AC6*$C$6</f>
        <v>826676.53146547847</v>
      </c>
      <c r="AF6" s="387"/>
      <c r="AG6" s="387">
        <f>AE6*$C$6</f>
        <v>847343.44475211541</v>
      </c>
      <c r="AH6" s="376"/>
    </row>
    <row r="7" spans="1:34" ht="14.25">
      <c r="A7" s="376"/>
      <c r="B7" s="376" t="s">
        <v>989</v>
      </c>
      <c r="C7" s="408">
        <f>IF(Application!$D$214="Special Needs",0.1,0.05)</f>
        <v>0.05</v>
      </c>
      <c r="D7" s="376"/>
      <c r="E7" s="386">
        <f>-E6*$C$7</f>
        <v>-29984.400000000001</v>
      </c>
      <c r="F7" s="386"/>
      <c r="G7" s="386">
        <f>-G6*$C$7</f>
        <v>-30734.01</v>
      </c>
      <c r="H7" s="386"/>
      <c r="I7" s="386">
        <f>-I6*$C$7</f>
        <v>-31502.360249999994</v>
      </c>
      <c r="J7" s="386"/>
      <c r="K7" s="386">
        <f>-K6*$C$7</f>
        <v>-32289.919256249992</v>
      </c>
      <c r="L7" s="386"/>
      <c r="M7" s="386">
        <f>-M6*$C$7</f>
        <v>-33097.167237656242</v>
      </c>
      <c r="N7" s="386"/>
      <c r="O7" s="386">
        <f>-O6*$C$7</f>
        <v>-33924.596418597641</v>
      </c>
      <c r="P7" s="386"/>
      <c r="Q7" s="386">
        <f>-Q6*$C$7</f>
        <v>-34772.711329062578</v>
      </c>
      <c r="R7" s="386"/>
      <c r="S7" s="386">
        <f>-S6*$C$7</f>
        <v>-35642.029112289143</v>
      </c>
      <c r="T7" s="386"/>
      <c r="U7" s="386">
        <f>-U6*$C$7</f>
        <v>-36533.079840096369</v>
      </c>
      <c r="V7" s="386"/>
      <c r="W7" s="386">
        <f>-W6*$C$7</f>
        <v>-37446.406836098773</v>
      </c>
      <c r="X7" s="386"/>
      <c r="Y7" s="386">
        <f>-Y6*$C$7</f>
        <v>-38382.567007001235</v>
      </c>
      <c r="Z7" s="386"/>
      <c r="AA7" s="386">
        <f>-AA6*$C$7</f>
        <v>-39342.131182176265</v>
      </c>
      <c r="AB7" s="386"/>
      <c r="AC7" s="386">
        <f>-AC6*$C$7</f>
        <v>-40325.684461730663</v>
      </c>
      <c r="AD7" s="386"/>
      <c r="AE7" s="386">
        <f>-AE6*$C$7</f>
        <v>-41333.826573273924</v>
      </c>
      <c r="AF7" s="386"/>
      <c r="AG7" s="386">
        <f>-AG6*$C$7</f>
        <v>-42367.172237605773</v>
      </c>
      <c r="AH7" s="376"/>
    </row>
    <row r="8" spans="1:34" ht="14.25">
      <c r="A8" s="376" t="s">
        <v>261</v>
      </c>
      <c r="B8" s="376"/>
      <c r="C8" s="407">
        <v>1.0249999999999999</v>
      </c>
      <c r="D8" s="376"/>
      <c r="E8" s="387">
        <f>Application!Z796</f>
        <v>3420</v>
      </c>
      <c r="F8" s="387"/>
      <c r="G8" s="387">
        <f>E8*$C$8</f>
        <v>3505.4999999999995</v>
      </c>
      <c r="H8" s="387"/>
      <c r="I8" s="387">
        <f>G8*$C$8</f>
        <v>3593.1374999999994</v>
      </c>
      <c r="J8" s="387"/>
      <c r="K8" s="387">
        <f>I8*$C$8</f>
        <v>3682.9659374999992</v>
      </c>
      <c r="L8" s="387"/>
      <c r="M8" s="387">
        <f>K8*$C$8</f>
        <v>3775.040085937499</v>
      </c>
      <c r="N8" s="387"/>
      <c r="O8" s="387">
        <f>M8*$C$8</f>
        <v>3869.4160880859363</v>
      </c>
      <c r="P8" s="387"/>
      <c r="Q8" s="387">
        <f>O8*$C$8</f>
        <v>3966.1514902880845</v>
      </c>
      <c r="R8" s="387"/>
      <c r="S8" s="387">
        <f>Q8*$C$8</f>
        <v>4065.3052775452861</v>
      </c>
      <c r="T8" s="387"/>
      <c r="U8" s="387">
        <f>S8*$C$8</f>
        <v>4166.9379094839178</v>
      </c>
      <c r="V8" s="387"/>
      <c r="W8" s="387">
        <f>U8*$C$8</f>
        <v>4271.1113572210152</v>
      </c>
      <c r="X8" s="387"/>
      <c r="Y8" s="387">
        <f>W8*$C$8</f>
        <v>4377.8891411515406</v>
      </c>
      <c r="Z8" s="387"/>
      <c r="AA8" s="387">
        <f>Y8*$C$8</f>
        <v>4487.336369680329</v>
      </c>
      <c r="AB8" s="387"/>
      <c r="AC8" s="387">
        <f>AA8*$C$8</f>
        <v>4599.5197789223366</v>
      </c>
      <c r="AD8" s="387"/>
      <c r="AE8" s="387">
        <f>AC8*$C$8</f>
        <v>4714.5077733953949</v>
      </c>
      <c r="AF8" s="387"/>
      <c r="AG8" s="387">
        <f>AE8*$C$8</f>
        <v>4832.3704677302794</v>
      </c>
      <c r="AH8" s="376"/>
    </row>
    <row r="9" spans="1:34" ht="14.25">
      <c r="A9" s="376"/>
      <c r="B9" s="376" t="s">
        <v>989</v>
      </c>
      <c r="C9" s="408">
        <f>IF(Application!$D$214="Special Needs",0.1,0.05)</f>
        <v>0.05</v>
      </c>
      <c r="D9" s="376"/>
      <c r="E9" s="386">
        <f>-E8*$C$9</f>
        <v>-171</v>
      </c>
      <c r="F9" s="386"/>
      <c r="G9" s="386">
        <f>-G8*$C$9</f>
        <v>-175.27499999999998</v>
      </c>
      <c r="H9" s="386"/>
      <c r="I9" s="386">
        <f>-I8*$C$9</f>
        <v>-179.65687499999999</v>
      </c>
      <c r="J9" s="386"/>
      <c r="K9" s="386">
        <f>-K8*$C$9</f>
        <v>-184.14829687499997</v>
      </c>
      <c r="L9" s="386"/>
      <c r="M9" s="386">
        <f>-M8*$C$9</f>
        <v>-188.75200429687496</v>
      </c>
      <c r="N9" s="386"/>
      <c r="O9" s="386">
        <f>-O8*$C$9</f>
        <v>-193.47080440429681</v>
      </c>
      <c r="P9" s="386"/>
      <c r="Q9" s="386">
        <f>-Q8*$C$9</f>
        <v>-198.30757451440422</v>
      </c>
      <c r="R9" s="386"/>
      <c r="S9" s="386">
        <f>-S8*$C$9</f>
        <v>-203.26526387726432</v>
      </c>
      <c r="T9" s="386"/>
      <c r="U9" s="386">
        <f>-U8*$C$9</f>
        <v>-208.34689547419589</v>
      </c>
      <c r="V9" s="386"/>
      <c r="W9" s="386">
        <f>-W8*$C$9</f>
        <v>-213.55556786105078</v>
      </c>
      <c r="X9" s="386"/>
      <c r="Y9" s="386">
        <f>-Y8*$C$9</f>
        <v>-218.89445705757703</v>
      </c>
      <c r="Z9" s="386"/>
      <c r="AA9" s="386">
        <f>-AA8*$C$9</f>
        <v>-224.36681848401645</v>
      </c>
      <c r="AB9" s="386"/>
      <c r="AC9" s="386">
        <f>-AC8*$C$9</f>
        <v>-229.97598894611684</v>
      </c>
      <c r="AD9" s="386"/>
      <c r="AE9" s="386">
        <f>-AE8*$C$9</f>
        <v>-235.72538866976976</v>
      </c>
      <c r="AF9" s="386"/>
      <c r="AG9" s="386">
        <f>-AG8*$C$9</f>
        <v>-241.61852338651397</v>
      </c>
      <c r="AH9" s="376"/>
    </row>
    <row r="10" spans="1:34" ht="14.25">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1188279</v>
      </c>
      <c r="F11" s="388"/>
      <c r="G11" s="388">
        <f>SUM(G4:G10)</f>
        <v>1217985.9749999999</v>
      </c>
      <c r="H11" s="388"/>
      <c r="I11" s="388">
        <f>SUM(I4:I10)</f>
        <v>1248435.6243749997</v>
      </c>
      <c r="J11" s="388"/>
      <c r="K11" s="388">
        <f>SUM(K4:K10)</f>
        <v>1279646.5149843746</v>
      </c>
      <c r="L11" s="388"/>
      <c r="M11" s="388">
        <f>SUM(M4:M10)</f>
        <v>1311637.6778589839</v>
      </c>
      <c r="N11" s="388"/>
      <c r="O11" s="388">
        <f>SUM(O4:O10)</f>
        <v>1344428.6198054582</v>
      </c>
      <c r="P11" s="388"/>
      <c r="Q11" s="388">
        <f>SUM(Q4:Q10)</f>
        <v>1378039.3353005948</v>
      </c>
      <c r="R11" s="388"/>
      <c r="S11" s="388">
        <f>SUM(S4:S10)</f>
        <v>1412490.3186831092</v>
      </c>
      <c r="T11" s="388"/>
      <c r="U11" s="388">
        <f>SUM(U4:U10)</f>
        <v>1447802.5766501869</v>
      </c>
      <c r="V11" s="388"/>
      <c r="W11" s="388">
        <f>SUM(W4:W10)</f>
        <v>1483997.6410664413</v>
      </c>
      <c r="X11" s="388"/>
      <c r="Y11" s="388">
        <f>SUM(Y4:Y10)</f>
        <v>1521097.5820931022</v>
      </c>
      <c r="Z11" s="388"/>
      <c r="AA11" s="388">
        <f>SUM(AA4:AA10)</f>
        <v>1559125.0216454298</v>
      </c>
      <c r="AB11" s="388"/>
      <c r="AC11" s="388">
        <f>SUM(AC4:AC10)</f>
        <v>1598103.1471865652</v>
      </c>
      <c r="AD11" s="388"/>
      <c r="AE11" s="388">
        <f>SUM(AE4:AE10)</f>
        <v>1638055.7258662293</v>
      </c>
      <c r="AF11" s="388"/>
      <c r="AG11" s="388">
        <f>SUM(AG4:AG10)</f>
        <v>1679007.119012885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123522</v>
      </c>
      <c r="F15" s="384"/>
      <c r="G15" s="384">
        <f t="shared" ref="G15:G21" si="0">E15*$C$14</f>
        <v>127845.26999999999</v>
      </c>
      <c r="H15" s="384"/>
      <c r="I15" s="384">
        <f t="shared" ref="I15:I21" si="1">G15*$C$14</f>
        <v>132319.85444999998</v>
      </c>
      <c r="J15" s="384"/>
      <c r="K15" s="384">
        <f t="shared" ref="K15:K21" si="2">I15*$C$14</f>
        <v>136951.04935574997</v>
      </c>
      <c r="L15" s="384"/>
      <c r="M15" s="384">
        <f t="shared" ref="M15:M21" si="3">K15*$C$14</f>
        <v>141744.3360832012</v>
      </c>
      <c r="N15" s="384"/>
      <c r="O15" s="384">
        <f t="shared" ref="O15:O21" si="4">M15*$C$14</f>
        <v>146705.38784611324</v>
      </c>
      <c r="P15" s="384"/>
      <c r="Q15" s="384">
        <f t="shared" ref="Q15:Q21" si="5">O15*$C$14</f>
        <v>151840.07642072719</v>
      </c>
      <c r="R15" s="384"/>
      <c r="S15" s="384">
        <f t="shared" ref="S15:S21" si="6">Q15*$C$14</f>
        <v>157154.47909545264</v>
      </c>
      <c r="T15" s="384"/>
      <c r="U15" s="384">
        <f t="shared" ref="U15:U21" si="7">S15*$C$14</f>
        <v>162654.88586379346</v>
      </c>
      <c r="V15" s="384"/>
      <c r="W15" s="384">
        <f t="shared" ref="W15:W21" si="8">U15*$C$14</f>
        <v>168347.80686902622</v>
      </c>
      <c r="X15" s="384"/>
      <c r="Y15" s="384">
        <f t="shared" ref="Y15:Y21" si="9">W15*$C$14</f>
        <v>174239.98010944211</v>
      </c>
      <c r="Z15" s="384"/>
      <c r="AA15" s="384">
        <f t="shared" ref="AA15:AA21" si="10">Y15*$C$14</f>
        <v>180338.37941327257</v>
      </c>
      <c r="AB15" s="384"/>
      <c r="AC15" s="384">
        <f t="shared" ref="AC15:AC21" si="11">AA15*$C$14</f>
        <v>186650.22269273709</v>
      </c>
      <c r="AD15" s="384"/>
      <c r="AE15" s="384">
        <f t="shared" ref="AE15:AE21" si="12">AC15*$C$14</f>
        <v>193182.98048698288</v>
      </c>
      <c r="AF15" s="384"/>
      <c r="AG15" s="384">
        <f t="shared" ref="AG15:AG21" si="13">AE15*$C$14</f>
        <v>199944.38480402727</v>
      </c>
      <c r="AH15" s="384"/>
    </row>
    <row r="16" spans="1:34" ht="14.25">
      <c r="A16" s="376" t="s">
        <v>469</v>
      </c>
      <c r="B16" s="376"/>
      <c r="C16" s="398"/>
      <c r="D16" s="376"/>
      <c r="E16" s="387">
        <f>Application!W828</f>
        <v>44460</v>
      </c>
      <c r="F16" s="387"/>
      <c r="G16" s="387">
        <f t="shared" si="0"/>
        <v>46016.1</v>
      </c>
      <c r="H16" s="387"/>
      <c r="I16" s="387">
        <f t="shared" si="1"/>
        <v>47626.663499999995</v>
      </c>
      <c r="J16" s="387"/>
      <c r="K16" s="387">
        <f t="shared" si="2"/>
        <v>49293.596722499991</v>
      </c>
      <c r="L16" s="387"/>
      <c r="M16" s="387">
        <f t="shared" si="3"/>
        <v>51018.872607787489</v>
      </c>
      <c r="N16" s="387"/>
      <c r="O16" s="387">
        <f t="shared" si="4"/>
        <v>52804.533149060044</v>
      </c>
      <c r="P16" s="387"/>
      <c r="Q16" s="387">
        <f t="shared" si="5"/>
        <v>54652.691809277138</v>
      </c>
      <c r="R16" s="387"/>
      <c r="S16" s="387">
        <f t="shared" si="6"/>
        <v>56565.536022601831</v>
      </c>
      <c r="T16" s="387"/>
      <c r="U16" s="387">
        <f t="shared" si="7"/>
        <v>58545.329783392888</v>
      </c>
      <c r="V16" s="387"/>
      <c r="W16" s="387">
        <f t="shared" si="8"/>
        <v>60594.416325811631</v>
      </c>
      <c r="X16" s="387"/>
      <c r="Y16" s="387">
        <f t="shared" si="9"/>
        <v>62715.220897215033</v>
      </c>
      <c r="Z16" s="387"/>
      <c r="AA16" s="387">
        <f t="shared" si="10"/>
        <v>64910.253628617553</v>
      </c>
      <c r="AB16" s="387"/>
      <c r="AC16" s="387">
        <f t="shared" si="11"/>
        <v>67182.112505619167</v>
      </c>
      <c r="AD16" s="387"/>
      <c r="AE16" s="387">
        <f t="shared" si="12"/>
        <v>69533.486443315836</v>
      </c>
      <c r="AF16" s="387"/>
      <c r="AG16" s="387">
        <f t="shared" si="13"/>
        <v>71967.158468831884</v>
      </c>
      <c r="AH16" s="376"/>
    </row>
    <row r="17" spans="1:34" ht="14.25">
      <c r="A17" s="376" t="s">
        <v>735</v>
      </c>
      <c r="B17" s="376"/>
      <c r="C17" s="398"/>
      <c r="D17" s="376"/>
      <c r="E17" s="387">
        <f>Application!W834</f>
        <v>88134</v>
      </c>
      <c r="F17" s="387"/>
      <c r="G17" s="387">
        <f t="shared" si="0"/>
        <v>91218.689999999988</v>
      </c>
      <c r="H17" s="387"/>
      <c r="I17" s="387">
        <f t="shared" si="1"/>
        <v>94411.344149999975</v>
      </c>
      <c r="J17" s="387"/>
      <c r="K17" s="387">
        <f t="shared" si="2"/>
        <v>97715.741195249968</v>
      </c>
      <c r="L17" s="387"/>
      <c r="M17" s="387">
        <f t="shared" si="3"/>
        <v>101135.79213708371</v>
      </c>
      <c r="N17" s="387"/>
      <c r="O17" s="387">
        <f t="shared" si="4"/>
        <v>104675.54486188163</v>
      </c>
      <c r="P17" s="387"/>
      <c r="Q17" s="387">
        <f t="shared" si="5"/>
        <v>108339.18893204747</v>
      </c>
      <c r="R17" s="387"/>
      <c r="S17" s="387">
        <f t="shared" si="6"/>
        <v>112131.06054466912</v>
      </c>
      <c r="T17" s="387"/>
      <c r="U17" s="387">
        <f t="shared" si="7"/>
        <v>116055.64766373252</v>
      </c>
      <c r="V17" s="387"/>
      <c r="W17" s="387">
        <f t="shared" si="8"/>
        <v>120117.59533196315</v>
      </c>
      <c r="X17" s="387"/>
      <c r="Y17" s="387">
        <f t="shared" si="9"/>
        <v>124321.71116858185</v>
      </c>
      <c r="Z17" s="387"/>
      <c r="AA17" s="387">
        <f t="shared" si="10"/>
        <v>128672.97105948221</v>
      </c>
      <c r="AB17" s="387"/>
      <c r="AC17" s="387">
        <f t="shared" si="11"/>
        <v>133176.52504656409</v>
      </c>
      <c r="AD17" s="387"/>
      <c r="AE17" s="387">
        <f t="shared" si="12"/>
        <v>137837.70342319383</v>
      </c>
      <c r="AF17" s="387"/>
      <c r="AG17" s="387">
        <f t="shared" si="13"/>
        <v>142662.02304300561</v>
      </c>
      <c r="AH17" s="376"/>
    </row>
    <row r="18" spans="1:34" ht="14.25">
      <c r="A18" s="376" t="s">
        <v>1080</v>
      </c>
      <c r="B18" s="376"/>
      <c r="C18" s="398"/>
      <c r="D18" s="376"/>
      <c r="E18" s="387">
        <f>Application!W841</f>
        <v>136926</v>
      </c>
      <c r="F18" s="387"/>
      <c r="G18" s="387">
        <f t="shared" si="0"/>
        <v>141718.41</v>
      </c>
      <c r="H18" s="387"/>
      <c r="I18" s="387">
        <f t="shared" si="1"/>
        <v>146678.55434999999</v>
      </c>
      <c r="J18" s="387"/>
      <c r="K18" s="387">
        <f t="shared" si="2"/>
        <v>151812.30375224998</v>
      </c>
      <c r="L18" s="387"/>
      <c r="M18" s="387">
        <f t="shared" si="3"/>
        <v>157125.7343835787</v>
      </c>
      <c r="N18" s="387"/>
      <c r="O18" s="387">
        <f t="shared" si="4"/>
        <v>162625.13508700393</v>
      </c>
      <c r="P18" s="387"/>
      <c r="Q18" s="387">
        <f t="shared" si="5"/>
        <v>168317.01481504904</v>
      </c>
      <c r="R18" s="387"/>
      <c r="S18" s="387">
        <f t="shared" si="6"/>
        <v>174208.11033357575</v>
      </c>
      <c r="T18" s="387"/>
      <c r="U18" s="387">
        <f t="shared" si="7"/>
        <v>180305.39419525088</v>
      </c>
      <c r="V18" s="387"/>
      <c r="W18" s="387">
        <f t="shared" si="8"/>
        <v>186616.08299208464</v>
      </c>
      <c r="X18" s="387"/>
      <c r="Y18" s="387">
        <f t="shared" si="9"/>
        <v>193147.6458968076</v>
      </c>
      <c r="Z18" s="387"/>
      <c r="AA18" s="387">
        <f t="shared" si="10"/>
        <v>199907.81350319585</v>
      </c>
      <c r="AB18" s="387"/>
      <c r="AC18" s="387">
        <f t="shared" si="11"/>
        <v>206904.5869758077</v>
      </c>
      <c r="AD18" s="387"/>
      <c r="AE18" s="387">
        <f t="shared" si="12"/>
        <v>214146.24751996095</v>
      </c>
      <c r="AF18" s="387"/>
      <c r="AG18" s="387">
        <f t="shared" si="13"/>
        <v>221641.36618315955</v>
      </c>
    </row>
    <row r="19" spans="1:34" ht="14.25">
      <c r="A19" s="376" t="s">
        <v>932</v>
      </c>
      <c r="B19" s="376"/>
      <c r="C19" s="398"/>
      <c r="D19" s="376"/>
      <c r="E19" s="387">
        <f>Application!W842</f>
        <v>95192.39</v>
      </c>
      <c r="F19" s="387"/>
      <c r="G19" s="387">
        <f t="shared" si="0"/>
        <v>98524.123649999994</v>
      </c>
      <c r="H19" s="387"/>
      <c r="I19" s="387">
        <f t="shared" si="1"/>
        <v>101972.46797774998</v>
      </c>
      <c r="J19" s="387"/>
      <c r="K19" s="387">
        <f t="shared" si="2"/>
        <v>105541.50435697123</v>
      </c>
      <c r="L19" s="387"/>
      <c r="M19" s="387">
        <f t="shared" si="3"/>
        <v>109235.45700946522</v>
      </c>
      <c r="N19" s="387"/>
      <c r="O19" s="387">
        <f t="shared" si="4"/>
        <v>113058.69800479649</v>
      </c>
      <c r="P19" s="387"/>
      <c r="Q19" s="387">
        <f t="shared" si="5"/>
        <v>117015.75243496436</v>
      </c>
      <c r="R19" s="387"/>
      <c r="S19" s="387">
        <f t="shared" si="6"/>
        <v>121111.30377018811</v>
      </c>
      <c r="T19" s="387"/>
      <c r="U19" s="387">
        <f t="shared" si="7"/>
        <v>125350.19940214469</v>
      </c>
      <c r="V19" s="387"/>
      <c r="W19" s="387">
        <f t="shared" si="8"/>
        <v>129737.45638121974</v>
      </c>
      <c r="X19" s="387"/>
      <c r="Y19" s="387">
        <f t="shared" si="9"/>
        <v>134278.26735456241</v>
      </c>
      <c r="Z19" s="387"/>
      <c r="AA19" s="387">
        <f t="shared" si="10"/>
        <v>138978.00671197209</v>
      </c>
      <c r="AB19" s="387"/>
      <c r="AC19" s="387">
        <f t="shared" si="11"/>
        <v>143842.23694689109</v>
      </c>
      <c r="AD19" s="387"/>
      <c r="AE19" s="387">
        <f t="shared" si="12"/>
        <v>148876.71524003227</v>
      </c>
      <c r="AF19" s="387"/>
      <c r="AG19" s="387">
        <f t="shared" si="13"/>
        <v>154087.40027343339</v>
      </c>
    </row>
    <row r="20" spans="1:34" ht="14.25">
      <c r="A20" s="376" t="s">
        <v>55</v>
      </c>
      <c r="B20" s="376"/>
      <c r="C20" s="398"/>
      <c r="D20" s="376"/>
      <c r="E20" s="387">
        <f>Application!W851</f>
        <v>94300</v>
      </c>
      <c r="F20" s="387"/>
      <c r="G20" s="387">
        <f t="shared" si="0"/>
        <v>97600.499999999985</v>
      </c>
      <c r="H20" s="387"/>
      <c r="I20" s="387">
        <f t="shared" si="1"/>
        <v>101016.51749999997</v>
      </c>
      <c r="J20" s="387"/>
      <c r="K20" s="387">
        <f t="shared" si="2"/>
        <v>104552.09561249996</v>
      </c>
      <c r="L20" s="387"/>
      <c r="M20" s="387">
        <f t="shared" si="3"/>
        <v>108211.41895893746</v>
      </c>
      <c r="N20" s="387"/>
      <c r="O20" s="387">
        <f t="shared" si="4"/>
        <v>111998.81862250026</v>
      </c>
      <c r="P20" s="387"/>
      <c r="Q20" s="387">
        <f t="shared" si="5"/>
        <v>115918.77727428776</v>
      </c>
      <c r="R20" s="387"/>
      <c r="S20" s="387">
        <f t="shared" si="6"/>
        <v>119975.93447888782</v>
      </c>
      <c r="T20" s="387"/>
      <c r="U20" s="387">
        <f t="shared" si="7"/>
        <v>124175.09218564889</v>
      </c>
      <c r="V20" s="387"/>
      <c r="W20" s="387">
        <f t="shared" si="8"/>
        <v>128521.22041214659</v>
      </c>
      <c r="X20" s="387"/>
      <c r="Y20" s="387">
        <f t="shared" si="9"/>
        <v>133019.4631265717</v>
      </c>
      <c r="Z20" s="387"/>
      <c r="AA20" s="387">
        <f t="shared" si="10"/>
        <v>137675.14433600171</v>
      </c>
      <c r="AB20" s="387"/>
      <c r="AC20" s="387">
        <f t="shared" si="11"/>
        <v>142493.77438776178</v>
      </c>
      <c r="AD20" s="387"/>
      <c r="AE20" s="387">
        <f t="shared" si="12"/>
        <v>147481.05649133344</v>
      </c>
      <c r="AF20" s="387"/>
      <c r="AG20" s="387">
        <f t="shared" si="13"/>
        <v>152642.89346853009</v>
      </c>
    </row>
    <row r="21" spans="1:34" ht="14.25">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1081</v>
      </c>
      <c r="B22" s="388"/>
      <c r="C22" s="398"/>
      <c r="D22" s="388"/>
      <c r="E22" s="388">
        <f>SUM(E15:E21)</f>
        <v>582534.39</v>
      </c>
      <c r="F22" s="388"/>
      <c r="G22" s="388">
        <f>SUM(G15:G21)</f>
        <v>602923.09364999994</v>
      </c>
      <c r="H22" s="388"/>
      <c r="I22" s="388">
        <f>SUM(I15:I21)</f>
        <v>624025.40192774998</v>
      </c>
      <c r="J22" s="388"/>
      <c r="K22" s="388">
        <f>SUM(K15:K21)</f>
        <v>645866.29099522112</v>
      </c>
      <c r="L22" s="388"/>
      <c r="M22" s="388">
        <f>SUM(M15:M21)</f>
        <v>668471.61118005379</v>
      </c>
      <c r="N22" s="388"/>
      <c r="O22" s="388">
        <f>SUM(O15:O21)</f>
        <v>691868.11757135566</v>
      </c>
      <c r="P22" s="388"/>
      <c r="Q22" s="388">
        <f>SUM(Q15:Q21)</f>
        <v>716083.501686353</v>
      </c>
      <c r="R22" s="388"/>
      <c r="S22" s="388">
        <f>SUM(S15:S21)</f>
        <v>741146.42424537521</v>
      </c>
      <c r="T22" s="388"/>
      <c r="U22" s="388">
        <f>SUM(U15:U21)</f>
        <v>767086.54909396335</v>
      </c>
      <c r="V22" s="388"/>
      <c r="W22" s="388">
        <f>SUM(W15:W21)</f>
        <v>793934.57831225195</v>
      </c>
      <c r="X22" s="388"/>
      <c r="Y22" s="388">
        <f>SUM(Y15:Y21)</f>
        <v>821722.28855318076</v>
      </c>
      <c r="Z22" s="388"/>
      <c r="AA22" s="388">
        <f>SUM(AA15:AA21)</f>
        <v>850482.56865254196</v>
      </c>
      <c r="AB22" s="388"/>
      <c r="AC22" s="388">
        <f>SUM(AC15:AC21)</f>
        <v>880249.45855538081</v>
      </c>
      <c r="AD22" s="388"/>
      <c r="AE22" s="388">
        <f>SUM(AE15:AE21)</f>
        <v>911058.18960481917</v>
      </c>
      <c r="AF22" s="388"/>
      <c r="AG22" s="388">
        <f>SUM(AG15:AG21)</f>
        <v>942945.22624098789</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26960</v>
      </c>
      <c r="F27" s="387"/>
      <c r="G27" s="387">
        <f>E27*$C$27</f>
        <v>27903.599999999999</v>
      </c>
      <c r="H27" s="387"/>
      <c r="I27" s="387">
        <f>G27*$C$27</f>
        <v>28880.225999999995</v>
      </c>
      <c r="J27" s="387"/>
      <c r="K27" s="387">
        <f>I27*$C$27</f>
        <v>29891.033909999991</v>
      </c>
      <c r="L27" s="387"/>
      <c r="M27" s="387">
        <f>K27*$C$27</f>
        <v>30937.220096849989</v>
      </c>
      <c r="N27" s="387"/>
      <c r="O27" s="387">
        <f>M27*$C$27</f>
        <v>32020.022800239738</v>
      </c>
      <c r="P27" s="387"/>
      <c r="Q27" s="387">
        <f>O27*$C$27</f>
        <v>33140.723598248129</v>
      </c>
      <c r="R27" s="387"/>
      <c r="S27" s="387">
        <f>Q27*$C$27</f>
        <v>34300.648924186811</v>
      </c>
      <c r="T27" s="387"/>
      <c r="U27" s="387">
        <f>S27*$C$27</f>
        <v>35501.171636533349</v>
      </c>
      <c r="V27" s="387"/>
      <c r="W27" s="387">
        <f>U27*$C$27</f>
        <v>36743.71264381201</v>
      </c>
      <c r="X27" s="387"/>
      <c r="Y27" s="387">
        <f>W27*$C$27</f>
        <v>38029.742586345426</v>
      </c>
      <c r="Z27" s="387"/>
      <c r="AA27" s="387">
        <f>Y27*$C$27</f>
        <v>39360.783576867514</v>
      </c>
      <c r="AB27" s="387"/>
      <c r="AC27" s="387">
        <f>AA27*$C$27</f>
        <v>40738.411002057874</v>
      </c>
      <c r="AD27" s="387"/>
      <c r="AE27" s="387">
        <f>AC27*$C$27</f>
        <v>42164.255387129895</v>
      </c>
      <c r="AF27" s="387"/>
      <c r="AG27" s="387">
        <f>AE27*$C$27</f>
        <v>43640.004325679438</v>
      </c>
    </row>
    <row r="28" spans="1:34" ht="14.25">
      <c r="A28" s="599" t="s">
        <v>1083</v>
      </c>
      <c r="B28" s="376"/>
      <c r="C28" s="407"/>
      <c r="D28" s="376"/>
      <c r="E28" s="387">
        <f>Application!AC868</f>
        <v>19950</v>
      </c>
      <c r="F28" s="387"/>
      <c r="G28" s="387">
        <f>$E$28</f>
        <v>19950</v>
      </c>
      <c r="H28" s="387"/>
      <c r="I28" s="387">
        <f>$E$28</f>
        <v>19950</v>
      </c>
      <c r="J28" s="387"/>
      <c r="K28" s="387">
        <f>$E$28</f>
        <v>19950</v>
      </c>
      <c r="L28" s="387"/>
      <c r="M28" s="387">
        <f>$E$28</f>
        <v>19950</v>
      </c>
      <c r="N28" s="387"/>
      <c r="O28" s="387">
        <f>$E$28</f>
        <v>19950</v>
      </c>
      <c r="P28" s="387"/>
      <c r="Q28" s="387">
        <f>$E$28</f>
        <v>19950</v>
      </c>
      <c r="R28" s="387"/>
      <c r="S28" s="387">
        <f>$E$28</f>
        <v>19950</v>
      </c>
      <c r="T28" s="387"/>
      <c r="U28" s="387">
        <f>$E$28</f>
        <v>19950</v>
      </c>
      <c r="V28" s="387"/>
      <c r="W28" s="387">
        <f>$E$28</f>
        <v>19950</v>
      </c>
      <c r="X28" s="387"/>
      <c r="Y28" s="387">
        <f>$E$28</f>
        <v>19950</v>
      </c>
      <c r="Z28" s="387"/>
      <c r="AA28" s="387">
        <f>$E$28</f>
        <v>19950</v>
      </c>
      <c r="AB28" s="387"/>
      <c r="AC28" s="387">
        <f>$E$28</f>
        <v>19950</v>
      </c>
      <c r="AD28" s="387"/>
      <c r="AE28" s="387">
        <f>$E$28</f>
        <v>19950</v>
      </c>
      <c r="AF28" s="387"/>
      <c r="AG28" s="387">
        <f>$E$28</f>
        <v>19950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10000</v>
      </c>
      <c r="F30" s="387"/>
      <c r="G30" s="387">
        <f>E30*$C$30</f>
        <v>10200</v>
      </c>
      <c r="H30" s="387"/>
      <c r="I30" s="387">
        <f>G30*$C$30</f>
        <v>10404</v>
      </c>
      <c r="J30" s="387"/>
      <c r="K30" s="387">
        <f>I30*$C$30</f>
        <v>10612.08</v>
      </c>
      <c r="L30" s="387"/>
      <c r="M30" s="387">
        <f>K30*$C$30</f>
        <v>10824.321599999999</v>
      </c>
      <c r="N30" s="387"/>
      <c r="O30" s="387">
        <f>M30*$C$30</f>
        <v>11040.808031999999</v>
      </c>
      <c r="P30" s="387"/>
      <c r="Q30" s="387">
        <f>O30*$C$30</f>
        <v>11261.62419264</v>
      </c>
      <c r="R30" s="387"/>
      <c r="S30" s="387">
        <f>Q30*$C$30</f>
        <v>11486.8566764928</v>
      </c>
      <c r="T30" s="387"/>
      <c r="U30" s="387">
        <f>S30*$C$30</f>
        <v>11716.593810022656</v>
      </c>
      <c r="V30" s="387"/>
      <c r="W30" s="387">
        <f>U30*$C$30</f>
        <v>11950.925686223109</v>
      </c>
      <c r="X30" s="387"/>
      <c r="Y30" s="387">
        <f>W30*$C$30</f>
        <v>12189.944199947571</v>
      </c>
      <c r="Z30" s="387"/>
      <c r="AA30" s="387">
        <f>Y30*$C$30</f>
        <v>12433.743083946523</v>
      </c>
      <c r="AB30" s="387"/>
      <c r="AC30" s="387">
        <f>AA30*$C$30</f>
        <v>12682.417945625453</v>
      </c>
      <c r="AD30" s="387"/>
      <c r="AE30" s="387">
        <f>AC30*$C$30</f>
        <v>12936.066304537962</v>
      </c>
      <c r="AF30" s="387"/>
      <c r="AG30" s="387">
        <f>AE30*$C$30</f>
        <v>13194.787630628722</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639444.39</v>
      </c>
      <c r="F35" s="388"/>
      <c r="G35" s="388">
        <f>SUM(G22:G33)</f>
        <v>660976.69364999991</v>
      </c>
      <c r="H35" s="388"/>
      <c r="I35" s="388">
        <f>SUM(I22:I33)</f>
        <v>683259.62792775</v>
      </c>
      <c r="J35" s="388"/>
      <c r="K35" s="388">
        <f>SUM(K22:K33)</f>
        <v>706319.40490522108</v>
      </c>
      <c r="L35" s="388"/>
      <c r="M35" s="388">
        <f>SUM(M22:M33)</f>
        <v>730183.15287690377</v>
      </c>
      <c r="N35" s="388"/>
      <c r="O35" s="388">
        <f>SUM(O22:O33)</f>
        <v>754878.94840359536</v>
      </c>
      <c r="P35" s="388"/>
      <c r="Q35" s="388">
        <f>SUM(Q22:Q33)</f>
        <v>780435.84947724105</v>
      </c>
      <c r="R35" s="388"/>
      <c r="S35" s="388">
        <f>SUM(S22:S33)</f>
        <v>806883.92984605487</v>
      </c>
      <c r="T35" s="388"/>
      <c r="U35" s="388">
        <f>SUM(U22:U33)</f>
        <v>834254.31454051938</v>
      </c>
      <c r="V35" s="388"/>
      <c r="W35" s="388">
        <f>SUM(W22:W33)</f>
        <v>862579.21664228709</v>
      </c>
      <c r="X35" s="388"/>
      <c r="Y35" s="388">
        <f>SUM(Y22:Y33)</f>
        <v>891891.97533947369</v>
      </c>
      <c r="Z35" s="388"/>
      <c r="AA35" s="388">
        <f>SUM(AA22:AA33)</f>
        <v>922227.09531335603</v>
      </c>
      <c r="AB35" s="388"/>
      <c r="AC35" s="388">
        <f>SUM(AC22:AC33)</f>
        <v>953620.28750306414</v>
      </c>
      <c r="AD35" s="388"/>
      <c r="AE35" s="388">
        <f>SUM(AE22:AE33)</f>
        <v>986108.51129648695</v>
      </c>
      <c r="AF35" s="388"/>
      <c r="AG35" s="388">
        <f>SUM(AG22:AG33)</f>
        <v>1019730.018197296</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548834.61</v>
      </c>
      <c r="F37" s="388"/>
      <c r="G37" s="388">
        <f>G11-G35</f>
        <v>557009.28134999995</v>
      </c>
      <c r="H37" s="388"/>
      <c r="I37" s="388">
        <f>I11-I35</f>
        <v>565175.99644724966</v>
      </c>
      <c r="J37" s="388"/>
      <c r="K37" s="388">
        <f>K11-K35</f>
        <v>573327.11007915356</v>
      </c>
      <c r="L37" s="388"/>
      <c r="M37" s="388">
        <f>M11-M35</f>
        <v>581454.5249820801</v>
      </c>
      <c r="N37" s="388"/>
      <c r="O37" s="388">
        <f>O11-O35</f>
        <v>589549.67140186287</v>
      </c>
      <c r="P37" s="388"/>
      <c r="Q37" s="388">
        <f>Q11-Q35</f>
        <v>597603.48582335375</v>
      </c>
      <c r="R37" s="388"/>
      <c r="S37" s="388">
        <f>S11-S35</f>
        <v>605606.38883705437</v>
      </c>
      <c r="T37" s="388"/>
      <c r="U37" s="388">
        <f>U11-U35</f>
        <v>613548.26210966753</v>
      </c>
      <c r="V37" s="388"/>
      <c r="W37" s="388">
        <f>W11-W35</f>
        <v>621418.42442415422</v>
      </c>
      <c r="X37" s="388"/>
      <c r="Y37" s="388">
        <f>Y11-Y35</f>
        <v>629205.60675362847</v>
      </c>
      <c r="Z37" s="388"/>
      <c r="AA37" s="388">
        <f>AA11-AA35</f>
        <v>636897.92633207375</v>
      </c>
      <c r="AB37" s="388"/>
      <c r="AC37" s="388">
        <f>AC11-AC35</f>
        <v>644482.85968350107</v>
      </c>
      <c r="AD37" s="388"/>
      <c r="AE37" s="388">
        <f>AE11-AE35</f>
        <v>651947.21456974233</v>
      </c>
      <c r="AF37" s="388"/>
      <c r="AG37" s="388">
        <f>AG11-AG35</f>
        <v>659277.10081558907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JP Morgan/Fannie</v>
      </c>
      <c r="B40" s="391"/>
      <c r="C40" s="385"/>
      <c r="D40" s="376"/>
      <c r="E40" s="384">
        <f>Application!AF621</f>
        <v>477443</v>
      </c>
      <c r="F40" s="384"/>
      <c r="G40" s="384">
        <f>$E$40</f>
        <v>477443</v>
      </c>
      <c r="H40" s="384"/>
      <c r="I40" s="384">
        <f>$E$40</f>
        <v>477443</v>
      </c>
      <c r="J40" s="384"/>
      <c r="K40" s="384">
        <f>$E$40</f>
        <v>477443</v>
      </c>
      <c r="L40" s="384"/>
      <c r="M40" s="384">
        <f>$E$40</f>
        <v>477443</v>
      </c>
      <c r="N40" s="384"/>
      <c r="O40" s="384">
        <f>$E$40</f>
        <v>477443</v>
      </c>
      <c r="P40" s="384"/>
      <c r="Q40" s="384">
        <f>$E$40</f>
        <v>477443</v>
      </c>
      <c r="R40" s="384"/>
      <c r="S40" s="384">
        <f>$E$40</f>
        <v>477443</v>
      </c>
      <c r="T40" s="384"/>
      <c r="U40" s="384">
        <f>$E$40</f>
        <v>477443</v>
      </c>
      <c r="V40" s="384"/>
      <c r="W40" s="384">
        <f>$E$40</f>
        <v>477443</v>
      </c>
      <c r="X40" s="384"/>
      <c r="Y40" s="384">
        <f>$E$40</f>
        <v>477443</v>
      </c>
      <c r="Z40" s="384"/>
      <c r="AA40" s="384">
        <f>$E$40</f>
        <v>477443</v>
      </c>
      <c r="AB40" s="384"/>
      <c r="AC40" s="384">
        <f>$E$40</f>
        <v>477443</v>
      </c>
      <c r="AD40" s="384"/>
      <c r="AE40" s="384">
        <f>$E$40</f>
        <v>477443</v>
      </c>
      <c r="AF40" s="384"/>
      <c r="AG40" s="384">
        <f>$E$40</f>
        <v>477443</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477443</v>
      </c>
      <c r="F43" s="388"/>
      <c r="G43" s="388">
        <f>SUM(G40:G42)</f>
        <v>477443</v>
      </c>
      <c r="H43" s="388"/>
      <c r="I43" s="388">
        <f>SUM(I40:I42)</f>
        <v>477443</v>
      </c>
      <c r="J43" s="388"/>
      <c r="K43" s="388">
        <f>SUM(K40:K42)</f>
        <v>477443</v>
      </c>
      <c r="L43" s="388"/>
      <c r="M43" s="388">
        <f>SUM(M40:M42)</f>
        <v>477443</v>
      </c>
      <c r="N43" s="388"/>
      <c r="O43" s="388">
        <f>SUM(O40:O42)</f>
        <v>477443</v>
      </c>
      <c r="P43" s="388"/>
      <c r="Q43" s="388">
        <f>SUM(Q40:Q42)</f>
        <v>477443</v>
      </c>
      <c r="R43" s="388"/>
      <c r="S43" s="388">
        <f>SUM(S40:S42)</f>
        <v>477443</v>
      </c>
      <c r="T43" s="388"/>
      <c r="U43" s="388">
        <f>SUM(U40:U42)</f>
        <v>477443</v>
      </c>
      <c r="V43" s="388"/>
      <c r="W43" s="388">
        <f>SUM(W40:W42)</f>
        <v>477443</v>
      </c>
      <c r="X43" s="388"/>
      <c r="Y43" s="388">
        <f>SUM(Y40:Y42)</f>
        <v>477443</v>
      </c>
      <c r="Z43" s="388"/>
      <c r="AA43" s="388">
        <f>SUM(AA40:AA42)</f>
        <v>477443</v>
      </c>
      <c r="AB43" s="388"/>
      <c r="AC43" s="388">
        <f>SUM(AC40:AC42)</f>
        <v>477443</v>
      </c>
      <c r="AD43" s="388"/>
      <c r="AE43" s="388">
        <f>SUM(AE40:AE42)</f>
        <v>477443</v>
      </c>
      <c r="AF43" s="388"/>
      <c r="AG43" s="388">
        <f>SUM(AG40:AG42)</f>
        <v>477443</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71391.609999999986</v>
      </c>
      <c r="F45" s="388"/>
      <c r="G45" s="388">
        <f>G37-G43</f>
        <v>79566.281349999947</v>
      </c>
      <c r="H45" s="388"/>
      <c r="I45" s="388">
        <f>I37-I43</f>
        <v>87732.996447249665</v>
      </c>
      <c r="J45" s="388"/>
      <c r="K45" s="388">
        <f>K37-K43</f>
        <v>95884.110079153557</v>
      </c>
      <c r="L45" s="388"/>
      <c r="M45" s="388">
        <f>M37-M43</f>
        <v>104011.5249820801</v>
      </c>
      <c r="N45" s="388"/>
      <c r="O45" s="388">
        <f>O37-O43</f>
        <v>112106.67140186287</v>
      </c>
      <c r="P45" s="388"/>
      <c r="Q45" s="388">
        <f>Q37-Q43</f>
        <v>120160.48582335375</v>
      </c>
      <c r="R45" s="388"/>
      <c r="S45" s="388">
        <f>S37-S43</f>
        <v>128163.38883705437</v>
      </c>
      <c r="T45" s="388"/>
      <c r="U45" s="388">
        <f>U37-U43</f>
        <v>136105.26210966753</v>
      </c>
      <c r="V45" s="388"/>
      <c r="W45" s="388">
        <f>W37-W43</f>
        <v>143975.42442415422</v>
      </c>
      <c r="X45" s="388"/>
      <c r="Y45" s="388">
        <f>Y37-Y43</f>
        <v>151762.60675362847</v>
      </c>
      <c r="Z45" s="388"/>
      <c r="AA45" s="388">
        <f>AA37-AA43</f>
        <v>159454.92633207375</v>
      </c>
      <c r="AB45" s="388"/>
      <c r="AC45" s="388">
        <f>AC37-AC43</f>
        <v>167039.85968350107</v>
      </c>
      <c r="AD45" s="388"/>
      <c r="AE45" s="388">
        <f>AE37-AE43</f>
        <v>174504.21456974233</v>
      </c>
      <c r="AF45" s="388"/>
      <c r="AG45" s="388">
        <f>AG37-AG43</f>
        <v>181834.10081558907</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5.7075846244863358E-2</v>
      </c>
      <c r="F47" s="392"/>
      <c r="G47" s="392">
        <f>G45/(G4+G6+G8)</f>
        <v>6.2059801043686032E-2</v>
      </c>
      <c r="H47" s="392"/>
      <c r="I47" s="392">
        <f>I45/(I4+I6+I8)</f>
        <v>6.6760628259556906E-2</v>
      </c>
      <c r="J47" s="392"/>
      <c r="K47" s="392">
        <f>K45/(K4+K6+K8)</f>
        <v>7.1183646037052781E-2</v>
      </c>
      <c r="L47" s="392"/>
      <c r="M47" s="392">
        <f>M45/(M4+M6+M8)</f>
        <v>7.5334027377337506E-2</v>
      </c>
      <c r="N47" s="392"/>
      <c r="O47" s="392">
        <f>O45/(O4+O6+O8)</f>
        <v>7.9216803527420221E-2</v>
      </c>
      <c r="P47" s="392"/>
      <c r="Q47" s="392">
        <f>Q45/(Q4+Q6+Q8)</f>
        <v>8.2836867285276547E-2</v>
      </c>
      <c r="R47" s="392"/>
      <c r="S47" s="392">
        <f>S45/(S4+S6+S8)</f>
        <v>8.6198976222871579E-2</v>
      </c>
      <c r="T47" s="392"/>
      <c r="U47" s="392">
        <f>U45/(U4+U6+U8)</f>
        <v>8.9307755829077504E-2</v>
      </c>
      <c r="V47" s="392"/>
      <c r="W47" s="392">
        <f>W45/(W4+W6+W8)</f>
        <v>9.2167702574415852E-2</v>
      </c>
      <c r="X47" s="392"/>
      <c r="Y47" s="392">
        <f>Y45/(Y4+Y6+Y8)</f>
        <v>9.478318689952564E-2</v>
      </c>
      <c r="Z47" s="392"/>
      <c r="AA47" s="392">
        <f>AA45/(AA4+AA6+AA8)</f>
        <v>9.7158456129196519E-2</v>
      </c>
      <c r="AB47" s="392"/>
      <c r="AC47" s="392">
        <f>AC45/(AC4+AC6+AC8)</f>
        <v>9.9297637313770032E-2</v>
      </c>
      <c r="AD47" s="392"/>
      <c r="AE47" s="392">
        <f>AE45/(AE4+AE6+AE8)</f>
        <v>0.10120473999966557</v>
      </c>
      <c r="AF47" s="392"/>
      <c r="AG47" s="392">
        <f>AG45/(AG4+AG6+AG8)</f>
        <v>0.10288365893074214</v>
      </c>
      <c r="AH47" s="392"/>
      <c r="AI47" s="392"/>
    </row>
    <row r="48" spans="1:35" ht="14.25">
      <c r="A48" s="392" t="s">
        <v>1090</v>
      </c>
      <c r="B48" s="392"/>
      <c r="C48" s="385"/>
      <c r="D48" s="392"/>
      <c r="E48" s="392">
        <f>E45/E43</f>
        <v>0.14952907467488263</v>
      </c>
      <c r="F48" s="392"/>
      <c r="G48" s="392">
        <f>G45/G43</f>
        <v>0.16665084910659481</v>
      </c>
      <c r="H48" s="392"/>
      <c r="I48" s="392">
        <f>I45/I43</f>
        <v>0.18375595923963628</v>
      </c>
      <c r="J48" s="392"/>
      <c r="K48" s="392">
        <f>K45/K43</f>
        <v>0.20082839224609755</v>
      </c>
      <c r="L48" s="392"/>
      <c r="M48" s="392">
        <f>M45/M43</f>
        <v>0.21785118848130583</v>
      </c>
      <c r="N48" s="392"/>
      <c r="O48" s="392">
        <f>O45/O43</f>
        <v>0.23480639867348116</v>
      </c>
      <c r="P48" s="392"/>
      <c r="Q48" s="392">
        <f>Q45/Q43</f>
        <v>0.25167503937298014</v>
      </c>
      <c r="R48" s="392"/>
      <c r="S48" s="392">
        <f>S45/S43</f>
        <v>0.26843704659415757</v>
      </c>
      <c r="T48" s="392"/>
      <c r="U48" s="392">
        <f>U45/U43</f>
        <v>0.2850712275803971</v>
      </c>
      <c r="V48" s="392"/>
      <c r="W48" s="392">
        <f>W45/W43</f>
        <v>0.30155521062022944</v>
      </c>
      <c r="X48" s="392"/>
      <c r="Y48" s="392">
        <f>Y45/Y43</f>
        <v>0.31786539283983317</v>
      </c>
      <c r="Z48" s="392"/>
      <c r="AA48" s="392">
        <f>AA45/AA43</f>
        <v>0.3339768858943869</v>
      </c>
      <c r="AB48" s="392"/>
      <c r="AC48" s="392">
        <f>AC45/AC43</f>
        <v>0.34986345947788755</v>
      </c>
      <c r="AD48" s="392"/>
      <c r="AE48" s="392">
        <f>AE45/AE43</f>
        <v>0.36549748256806014</v>
      </c>
      <c r="AF48" s="392"/>
      <c r="AG48" s="392">
        <f>AG45/AG43</f>
        <v>0.38084986231987711</v>
      </c>
      <c r="AH48" s="392"/>
      <c r="AI48" s="392"/>
    </row>
    <row r="49" spans="1:35" ht="14.25">
      <c r="A49" s="393" t="s">
        <v>1091</v>
      </c>
      <c r="B49" s="393"/>
      <c r="C49" s="394"/>
      <c r="D49" s="393"/>
      <c r="E49" s="393">
        <f>E37/E43</f>
        <v>1.1495290746748825</v>
      </c>
      <c r="F49" s="393"/>
      <c r="G49" s="393">
        <f>G37/G43</f>
        <v>1.1666508491065948</v>
      </c>
      <c r="H49" s="393"/>
      <c r="I49" s="393">
        <f>I37/I43</f>
        <v>1.1837559592396363</v>
      </c>
      <c r="J49" s="393"/>
      <c r="K49" s="393">
        <f>K37/K43</f>
        <v>1.2008283922460976</v>
      </c>
      <c r="L49" s="393"/>
      <c r="M49" s="393">
        <f>M37/M43</f>
        <v>1.2178511884813059</v>
      </c>
      <c r="N49" s="393"/>
      <c r="O49" s="393">
        <f>O37/O43</f>
        <v>1.2348063986734812</v>
      </c>
      <c r="P49" s="393"/>
      <c r="Q49" s="393">
        <f>Q37/Q43</f>
        <v>1.2516750393729801</v>
      </c>
      <c r="R49" s="393"/>
      <c r="S49" s="393">
        <f>S37/S43</f>
        <v>1.2684370465941575</v>
      </c>
      <c r="T49" s="393"/>
      <c r="U49" s="393">
        <f>U37/U43</f>
        <v>1.285071227580397</v>
      </c>
      <c r="V49" s="393"/>
      <c r="W49" s="393">
        <f>W37/W43</f>
        <v>1.3015552106202295</v>
      </c>
      <c r="X49" s="393"/>
      <c r="Y49" s="393">
        <f>Y37/Y43</f>
        <v>1.3178653928398332</v>
      </c>
      <c r="Z49" s="393"/>
      <c r="AA49" s="393">
        <f>AA37/AA43</f>
        <v>1.3339768858943868</v>
      </c>
      <c r="AB49" s="393"/>
      <c r="AC49" s="393">
        <f>AC37/AC43</f>
        <v>1.3498634594778876</v>
      </c>
      <c r="AD49" s="393"/>
      <c r="AE49" s="393">
        <f>AE37/AE43</f>
        <v>1.3654974825680601</v>
      </c>
      <c r="AF49" s="393"/>
      <c r="AG49" s="393">
        <f>AG37/AG43</f>
        <v>1.3808498623198771</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v>1.03</v>
      </c>
      <c r="D53" s="374"/>
      <c r="E53" s="401">
        <v>7500</v>
      </c>
      <c r="F53" s="374"/>
      <c r="G53" s="819">
        <f>E53*$C$53</f>
        <v>7725</v>
      </c>
      <c r="H53" s="819"/>
      <c r="I53" s="819">
        <f>G53*$C$53</f>
        <v>7956.75</v>
      </c>
      <c r="J53" s="819"/>
      <c r="K53" s="819">
        <f>I53*$C$53</f>
        <v>8195.4524999999994</v>
      </c>
      <c r="L53" s="819"/>
      <c r="M53" s="819">
        <f>K53*$C$53</f>
        <v>8441.3160749999988</v>
      </c>
      <c r="N53" s="819"/>
      <c r="O53" s="819">
        <f>M53*$C$53</f>
        <v>8694.5555572499998</v>
      </c>
      <c r="P53" s="819"/>
      <c r="Q53" s="819">
        <f>O53*$C$53</f>
        <v>8955.3922239674994</v>
      </c>
      <c r="R53" s="819"/>
      <c r="S53" s="819">
        <f>Q53*$C$53</f>
        <v>9224.0539906865251</v>
      </c>
      <c r="T53" s="819"/>
      <c r="U53" s="819">
        <f>S53*$C$53</f>
        <v>9500.7756104071213</v>
      </c>
      <c r="V53" s="819"/>
      <c r="W53" s="819">
        <f>U53*$C$53</f>
        <v>9785.7988787193353</v>
      </c>
      <c r="X53" s="819"/>
      <c r="Y53" s="819">
        <f>W53*$C$53</f>
        <v>10079.372845080916</v>
      </c>
      <c r="Z53" s="819"/>
      <c r="AA53" s="819">
        <f>Y53*$C$53</f>
        <v>10381.754030433343</v>
      </c>
      <c r="AB53" s="819"/>
      <c r="AC53" s="819">
        <f>AA53*$C$53</f>
        <v>10693.206651346343</v>
      </c>
      <c r="AD53" s="819"/>
      <c r="AE53" s="819">
        <f>AC53*$C$53</f>
        <v>11014.002850886734</v>
      </c>
      <c r="AF53" s="819"/>
      <c r="AG53" s="819">
        <f>AE53*$C$53</f>
        <v>11344.422936413337</v>
      </c>
      <c r="AH53" s="374"/>
      <c r="AI53" s="374"/>
    </row>
    <row r="54" spans="1:35">
      <c r="A54" s="361" t="s">
        <v>1094</v>
      </c>
      <c r="B54" s="361"/>
      <c r="C54" s="409"/>
      <c r="D54" s="361"/>
      <c r="E54" s="968">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1095</v>
      </c>
      <c r="B55" s="361"/>
      <c r="C55" s="409"/>
      <c r="D55" s="361"/>
      <c r="E55" s="968">
        <v>0</v>
      </c>
      <c r="F55" s="380"/>
      <c r="G55" s="969">
        <v>0</v>
      </c>
      <c r="H55" s="818"/>
      <c r="I55" s="818">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971" t="s">
        <v>2483</v>
      </c>
      <c r="B56" s="400"/>
      <c r="C56" s="409"/>
      <c r="D56" s="361"/>
      <c r="E56" s="402">
        <f>56392</f>
        <v>56392</v>
      </c>
      <c r="F56" s="380"/>
      <c r="G56" s="818">
        <f>98851-E56</f>
        <v>42459</v>
      </c>
      <c r="H56" s="818"/>
      <c r="I56" s="818">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71392</v>
      </c>
      <c r="F58" s="380"/>
      <c r="G58" s="380">
        <f>SUM(G53:G57)</f>
        <v>57909</v>
      </c>
      <c r="H58" s="380"/>
      <c r="I58" s="380">
        <f>SUM(I53:I57)</f>
        <v>15913.5</v>
      </c>
      <c r="J58" s="380"/>
      <c r="K58" s="380">
        <f>SUM(K53:K57)</f>
        <v>16390.904999999999</v>
      </c>
      <c r="L58" s="380"/>
      <c r="M58" s="380">
        <f>SUM(M53:M57)</f>
        <v>16882.632149999998</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20158.745690161832</v>
      </c>
      <c r="Z58" s="380"/>
      <c r="AA58" s="380">
        <f>SUM(AA53:AA57)</f>
        <v>20763.508060866687</v>
      </c>
      <c r="AB58" s="380"/>
      <c r="AC58" s="380">
        <f>SUM(AC53:AC57)</f>
        <v>21386.413302692687</v>
      </c>
      <c r="AD58" s="380"/>
      <c r="AE58" s="380">
        <f>SUM(AE53:AE57)</f>
        <v>22028.005701773469</v>
      </c>
      <c r="AF58" s="380"/>
      <c r="AG58" s="380">
        <f>SUM(AG53:AG57)</f>
        <v>22688.845872826674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-0.39000000001396984</v>
      </c>
      <c r="F60" s="374"/>
      <c r="G60" s="374">
        <f>G45-G58</f>
        <v>21657.281349999947</v>
      </c>
      <c r="H60" s="374"/>
      <c r="I60" s="374">
        <f>I45-I58</f>
        <v>71819.496447249665</v>
      </c>
      <c r="J60" s="374"/>
      <c r="K60" s="374">
        <f>K45-K58</f>
        <v>79493.205079153558</v>
      </c>
      <c r="L60" s="374"/>
      <c r="M60" s="374">
        <f>M45-M58</f>
        <v>87128.892832080106</v>
      </c>
      <c r="N60" s="374"/>
      <c r="O60" s="374">
        <f>O45-O58</f>
        <v>94717.560287362867</v>
      </c>
      <c r="P60" s="374"/>
      <c r="Q60" s="374">
        <f>Q45-Q58</f>
        <v>102249.70137541875</v>
      </c>
      <c r="R60" s="374"/>
      <c r="S60" s="374">
        <f>S45-S58</f>
        <v>109715.28085568133</v>
      </c>
      <c r="T60" s="374"/>
      <c r="U60" s="374">
        <f>U45-U58</f>
        <v>117103.71088885328</v>
      </c>
      <c r="V60" s="374"/>
      <c r="W60" s="374">
        <f>W45-W58</f>
        <v>124403.82666671555</v>
      </c>
      <c r="X60" s="374"/>
      <c r="Y60" s="374">
        <f>Y45-Y58</f>
        <v>131603.86106346664</v>
      </c>
      <c r="Z60" s="374"/>
      <c r="AA60" s="374">
        <f>AA45-AA58</f>
        <v>138691.41827120708</v>
      </c>
      <c r="AB60" s="374"/>
      <c r="AC60" s="374">
        <f>AC45-AC58</f>
        <v>145653.44638080837</v>
      </c>
      <c r="AD60" s="374"/>
      <c r="AE60" s="374">
        <f>AE45-AE58</f>
        <v>152476.20886796885</v>
      </c>
      <c r="AF60" s="374"/>
      <c r="AG60" s="374">
        <f>AG45-AG58</f>
        <v>159145.2549427624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v>1</v>
      </c>
      <c r="D62" s="374"/>
      <c r="E62" s="401">
        <v>0</v>
      </c>
      <c r="F62" s="374"/>
      <c r="G62" s="821">
        <f>G60*$C$62</f>
        <v>21657.281349999947</v>
      </c>
      <c r="H62" s="970"/>
      <c r="I62" s="821">
        <f>I60*$C$62</f>
        <v>71819.496447249665</v>
      </c>
      <c r="J62" s="970"/>
      <c r="K62" s="821">
        <f>K60</f>
        <v>79493.205079153558</v>
      </c>
      <c r="L62" s="970"/>
      <c r="M62" s="821">
        <f>M60</f>
        <v>87128.892832080106</v>
      </c>
      <c r="N62" s="970"/>
      <c r="O62" s="821">
        <f>Application!$AO$622-SUM('15 Year Pro Forma'!G62:M62)</f>
        <v>67261.124291516724</v>
      </c>
      <c r="P62" s="970"/>
      <c r="Q62" s="821">
        <f>Application!$AO$622-SUM('15 Year Pro Forma'!G62:O62)</f>
        <v>0</v>
      </c>
      <c r="R62" s="821"/>
      <c r="S62" s="821">
        <f>Application!$AO$622-SUM('15 Year Pro Forma'!G62:O62)</f>
        <v>0</v>
      </c>
      <c r="T62" s="374"/>
      <c r="U62" s="821">
        <f>Application!$AO$622-SUM('15 Year Pro Forma'!G62:S62)</f>
        <v>0</v>
      </c>
      <c r="V62" s="374"/>
      <c r="W62" s="821">
        <v>0</v>
      </c>
      <c r="X62" s="374"/>
      <c r="Y62" s="821">
        <v>0</v>
      </c>
      <c r="Z62" s="374"/>
      <c r="AA62" s="821">
        <v>0</v>
      </c>
      <c r="AB62" s="374"/>
      <c r="AC62" s="821">
        <v>0</v>
      </c>
      <c r="AD62" s="374"/>
      <c r="AE62" s="821">
        <v>0</v>
      </c>
      <c r="AF62" s="374"/>
      <c r="AG62" s="821">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-0.39000000001396984</v>
      </c>
      <c r="F72" s="380"/>
      <c r="G72" s="374">
        <f>G60-G62-G70</f>
        <v>0</v>
      </c>
      <c r="H72" s="380"/>
      <c r="I72" s="374">
        <f>I60-I62-I70</f>
        <v>0</v>
      </c>
      <c r="J72" s="380"/>
      <c r="K72" s="374">
        <f>K60-K62-K70</f>
        <v>0</v>
      </c>
      <c r="L72" s="380"/>
      <c r="M72" s="374">
        <f>M60-M62-M70</f>
        <v>0</v>
      </c>
      <c r="N72" s="380"/>
      <c r="O72" s="374">
        <f>O60-O62-O70</f>
        <v>27456.435995846143</v>
      </c>
      <c r="P72" s="380"/>
      <c r="Q72" s="374">
        <f>Q60-Q62-Q70</f>
        <v>102249.70137541875</v>
      </c>
      <c r="R72" s="380"/>
      <c r="S72" s="374">
        <f>S60-S62-S70</f>
        <v>109715.28085568133</v>
      </c>
      <c r="T72" s="380"/>
      <c r="U72" s="374">
        <f>U60-U62-U70</f>
        <v>117103.71088885328</v>
      </c>
      <c r="V72" s="380"/>
      <c r="W72" s="374">
        <f>W60-W62-W70</f>
        <v>124403.82666671555</v>
      </c>
      <c r="X72" s="380"/>
      <c r="Y72" s="374">
        <f>Y60-Y62-Y70</f>
        <v>131603.86106346664</v>
      </c>
      <c r="Z72" s="380"/>
      <c r="AA72" s="374">
        <f>AA60-AA62-AA70</f>
        <v>138691.41827120708</v>
      </c>
      <c r="AB72" s="380"/>
      <c r="AC72" s="374">
        <f>AC60-AC62-AC70</f>
        <v>145653.44638080837</v>
      </c>
      <c r="AD72" s="380"/>
      <c r="AE72" s="374">
        <f>AE60-AE62-AE70</f>
        <v>152476.20886796885</v>
      </c>
      <c r="AF72" s="380"/>
      <c r="AG72" s="374">
        <f>AG60-AG62-AG70</f>
        <v>159145.2549427624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1100</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10" sqref="E10"/>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2" t="s">
        <v>1171</v>
      </c>
      <c r="B1" s="1962"/>
      <c r="C1" s="1962"/>
      <c r="D1" s="1962"/>
      <c r="E1" s="1962"/>
      <c r="F1" s="1962"/>
      <c r="G1" s="1962"/>
      <c r="H1" s="1962"/>
      <c r="I1" s="1962"/>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6</v>
      </c>
      <c r="C4" s="602">
        <f>Application!$O695</f>
        <v>626</v>
      </c>
      <c r="D4" s="603"/>
      <c r="E4" s="942">
        <v>1875</v>
      </c>
      <c r="F4" s="602">
        <f>$E4*$B4</f>
        <v>11250</v>
      </c>
      <c r="G4" s="603"/>
      <c r="H4" s="602">
        <f>IF($E4=0,0,MAX($E4-$C4,0))</f>
        <v>1249</v>
      </c>
      <c r="I4" s="602">
        <f>IF($H4=0,0,($H4*$B4))</f>
        <v>7494</v>
      </c>
    </row>
    <row r="5" spans="1:9">
      <c r="A5" s="602" t="str">
        <f>Application!$B696</f>
        <v>1 Bedroom</v>
      </c>
      <c r="B5" s="943">
        <f>Application!$G696</f>
        <v>3</v>
      </c>
      <c r="C5" s="602">
        <f>Application!$O696</f>
        <v>626</v>
      </c>
      <c r="D5" s="603"/>
      <c r="E5" s="942">
        <v>1875</v>
      </c>
      <c r="F5" s="602">
        <f t="shared" ref="F5:F38" si="0">$E5*$B5</f>
        <v>5625</v>
      </c>
      <c r="G5" s="603"/>
      <c r="H5" s="602">
        <f t="shared" ref="H5:H38" si="1">IF($E5=0,0,MAX($E5-$C5,0))</f>
        <v>1249</v>
      </c>
      <c r="I5" s="602">
        <f t="shared" ref="I5:I38" si="2">IF($H5=0,0,($H5*$B5))</f>
        <v>3747</v>
      </c>
    </row>
    <row r="6" spans="1:9">
      <c r="A6" s="602" t="str">
        <f>Application!$B697</f>
        <v>1 Bedroom</v>
      </c>
      <c r="B6" s="943">
        <f>Application!$G697</f>
        <v>3</v>
      </c>
      <c r="C6" s="602">
        <f>Application!$O697</f>
        <v>626</v>
      </c>
      <c r="D6" s="603"/>
      <c r="E6" s="942">
        <v>1875</v>
      </c>
      <c r="F6" s="602">
        <f t="shared" si="0"/>
        <v>5625</v>
      </c>
      <c r="G6" s="603"/>
      <c r="H6" s="602">
        <f t="shared" si="1"/>
        <v>1249</v>
      </c>
      <c r="I6" s="602">
        <f t="shared" si="2"/>
        <v>3747</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t="str">
        <f>Application!$B699</f>
        <v>1 Bedroom</v>
      </c>
      <c r="B8" s="943">
        <f>Application!$G699</f>
        <v>42</v>
      </c>
      <c r="C8" s="602">
        <f>Application!$O699</f>
        <v>1056</v>
      </c>
      <c r="D8" s="603"/>
      <c r="E8" s="942">
        <v>1850</v>
      </c>
      <c r="F8" s="602">
        <f t="shared" si="0"/>
        <v>77700</v>
      </c>
      <c r="G8" s="603"/>
      <c r="H8" s="602">
        <f t="shared" si="1"/>
        <v>794</v>
      </c>
      <c r="I8" s="602">
        <f t="shared" si="2"/>
        <v>33348</v>
      </c>
    </row>
    <row r="9" spans="1:9">
      <c r="A9" s="602" t="str">
        <f>Application!$B700</f>
        <v>1 Bedroom</v>
      </c>
      <c r="B9" s="943">
        <f>Application!$G700</f>
        <v>2</v>
      </c>
      <c r="C9" s="602">
        <f>Application!$O700</f>
        <v>1056</v>
      </c>
      <c r="D9" s="603"/>
      <c r="E9" s="942">
        <v>1875</v>
      </c>
      <c r="F9" s="602">
        <f t="shared" si="0"/>
        <v>3750</v>
      </c>
      <c r="G9" s="603"/>
      <c r="H9" s="602">
        <f t="shared" si="1"/>
        <v>819</v>
      </c>
      <c r="I9" s="602">
        <f t="shared" si="2"/>
        <v>1638</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647712</v>
      </c>
      <c r="D40" s="603"/>
      <c r="E40" s="603"/>
      <c r="F40" s="606">
        <f>SUM(F4:F38)*12</f>
        <v>1247400</v>
      </c>
      <c r="G40" s="607"/>
      <c r="H40" s="605"/>
      <c r="I40" s="606">
        <f>SUM(I4:I38)*12</f>
        <v>599688</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W43" sqref="W43"/>
    </sheetView>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1101</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3" t="s">
        <v>1607</v>
      </c>
      <c r="U7" s="1613"/>
      <c r="V7" s="1613"/>
      <c r="W7" s="1613"/>
      <c r="X7" s="1613"/>
      <c r="Y7" s="1613" t="s">
        <v>1750</v>
      </c>
      <c r="Z7" s="1613"/>
      <c r="AA7" s="1613"/>
      <c r="AB7" s="1613"/>
      <c r="AC7" s="1613"/>
      <c r="AD7" s="1613" t="s">
        <v>1361</v>
      </c>
      <c r="AE7" s="1613"/>
      <c r="AF7" s="1613"/>
      <c r="AG7" s="1613"/>
      <c r="AH7" s="1613"/>
      <c r="AI7" s="1613" t="s">
        <v>1751</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6" t="s">
        <v>509</v>
      </c>
      <c r="C11" s="1187"/>
      <c r="D11" s="1187"/>
      <c r="E11" s="1187"/>
      <c r="F11" s="1187"/>
      <c r="G11" s="1187"/>
      <c r="H11" s="1187"/>
      <c r="I11" s="1187"/>
      <c r="J11" s="1187"/>
      <c r="K11" s="1187"/>
      <c r="L11" s="1187"/>
      <c r="M11" s="1187"/>
      <c r="N11" s="1187"/>
      <c r="O11" s="1187"/>
      <c r="P11" s="1187"/>
      <c r="Q11" s="1187"/>
      <c r="R11" s="1187"/>
      <c r="S11" s="1188"/>
      <c r="T11" s="1621">
        <f>IF('Sources and Basis Breakdown'!F105=0,'Sources and Basis Breakdown'!E105,'Sources and Basis Breakdown'!F105)</f>
        <v>9460818</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6515056</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15" t="s">
        <v>448</v>
      </c>
      <c r="C12" s="1033"/>
      <c r="D12" s="1033"/>
      <c r="E12" s="1033"/>
      <c r="F12" s="1033"/>
      <c r="G12" s="1033"/>
      <c r="H12" s="1033"/>
      <c r="I12" s="1033"/>
      <c r="J12" s="1033"/>
      <c r="K12" s="1033"/>
      <c r="L12" s="1033"/>
      <c r="M12" s="1033"/>
      <c r="N12" s="1033"/>
      <c r="O12" s="1033"/>
      <c r="P12" s="1033"/>
      <c r="Q12" s="1033"/>
      <c r="R12" s="1033"/>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1714</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18" t="s">
        <v>769</v>
      </c>
      <c r="D14" s="1618"/>
      <c r="E14" s="1618"/>
      <c r="F14" s="1618"/>
      <c r="G14" s="1618"/>
      <c r="H14" s="1618"/>
      <c r="I14" s="1618"/>
      <c r="J14" s="1618"/>
      <c r="K14" s="1618"/>
      <c r="L14" s="1618"/>
      <c r="M14" s="1618"/>
      <c r="N14" s="1618"/>
      <c r="O14" s="1618"/>
      <c r="P14" s="1618"/>
      <c r="Q14" s="1618"/>
      <c r="R14" s="1618"/>
      <c r="S14" s="1619"/>
      <c r="T14" s="1214">
        <f>'Basis &amp; Credits'!T14</f>
        <v>0</v>
      </c>
      <c r="U14" s="1068"/>
      <c r="V14" s="1068"/>
      <c r="W14" s="1068"/>
      <c r="X14" s="1068"/>
      <c r="Y14" s="1214">
        <f>'Basis &amp; Credits'!Y14</f>
        <v>0</v>
      </c>
      <c r="Z14" s="1068"/>
      <c r="AA14" s="1068"/>
      <c r="AB14" s="1068"/>
      <c r="AC14" s="1068"/>
      <c r="AD14" s="1068">
        <f>'Basis &amp; Credits'!AD14</f>
        <v>0</v>
      </c>
      <c r="AE14" s="1068"/>
      <c r="AF14" s="1068"/>
      <c r="AG14" s="1068"/>
      <c r="AH14" s="1068"/>
      <c r="AI14" s="1068">
        <f>'Basis &amp; Credits'!AI14</f>
        <v>0</v>
      </c>
      <c r="AJ14" s="1068"/>
      <c r="AK14" s="1068"/>
      <c r="AL14" s="1068"/>
      <c r="AM14" s="1068"/>
    </row>
    <row r="15" spans="1:40" ht="12.95" customHeight="1">
      <c r="B15" s="8"/>
      <c r="C15" s="1618" t="s">
        <v>770</v>
      </c>
      <c r="D15" s="1618"/>
      <c r="E15" s="1618"/>
      <c r="F15" s="1618"/>
      <c r="G15" s="1618"/>
      <c r="H15" s="1618"/>
      <c r="I15" s="1618"/>
      <c r="J15" s="1618"/>
      <c r="K15" s="1618"/>
      <c r="L15" s="1618"/>
      <c r="M15" s="1618"/>
      <c r="N15" s="1618"/>
      <c r="O15" s="1618"/>
      <c r="P15" s="1618"/>
      <c r="Q15" s="1618"/>
      <c r="R15" s="1618"/>
      <c r="S15" s="1619"/>
      <c r="T15" s="1214">
        <f>'Basis &amp; Credits'!T15</f>
        <v>0</v>
      </c>
      <c r="U15" s="1068"/>
      <c r="V15" s="1068"/>
      <c r="W15" s="1068"/>
      <c r="X15" s="1068"/>
      <c r="Y15" s="1214">
        <f>'Basis &amp; Credits'!Y15</f>
        <v>0</v>
      </c>
      <c r="Z15" s="1068"/>
      <c r="AA15" s="1068"/>
      <c r="AB15" s="1068"/>
      <c r="AC15" s="1068"/>
      <c r="AD15" s="1068">
        <f>'Basis &amp; Credits'!AD15</f>
        <v>0</v>
      </c>
      <c r="AE15" s="1068"/>
      <c r="AF15" s="1068"/>
      <c r="AG15" s="1068"/>
      <c r="AH15" s="1068"/>
      <c r="AI15" s="1068">
        <f>'Basis &amp; Credits'!AI15</f>
        <v>0</v>
      </c>
      <c r="AJ15" s="1068"/>
      <c r="AK15" s="1068"/>
      <c r="AL15" s="1068"/>
      <c r="AM15" s="1068"/>
    </row>
    <row r="16" spans="1:40" ht="12.95" customHeight="1">
      <c r="B16" s="8"/>
      <c r="C16" s="1617" t="s">
        <v>1013</v>
      </c>
      <c r="D16" s="1617"/>
      <c r="E16" s="1617"/>
      <c r="F16" s="1617"/>
      <c r="G16" s="1617"/>
      <c r="H16" s="1617"/>
      <c r="I16" s="1617"/>
      <c r="J16" s="1617"/>
      <c r="K16" s="1617"/>
      <c r="L16" s="1617"/>
      <c r="M16" s="1617"/>
      <c r="N16" s="1617"/>
      <c r="O16" s="1617"/>
      <c r="P16" s="1617"/>
      <c r="Q16" s="1617"/>
      <c r="R16" s="1617"/>
      <c r="S16" s="1620"/>
      <c r="T16" s="1214">
        <f>'Basis &amp; Credits'!T16</f>
        <v>0</v>
      </c>
      <c r="U16" s="1068"/>
      <c r="V16" s="1068"/>
      <c r="W16" s="1068"/>
      <c r="X16" s="1068"/>
      <c r="Y16" s="1214">
        <f>'Basis &amp; Credits'!Y16</f>
        <v>0</v>
      </c>
      <c r="Z16" s="1068"/>
      <c r="AA16" s="1068"/>
      <c r="AB16" s="1068"/>
      <c r="AC16" s="1068"/>
      <c r="AD16" s="1068">
        <f>'Basis &amp; Credits'!AD16</f>
        <v>0</v>
      </c>
      <c r="AE16" s="1068"/>
      <c r="AF16" s="1068"/>
      <c r="AG16" s="1068"/>
      <c r="AH16" s="1068"/>
      <c r="AI16" s="1068">
        <f>'Basis &amp; Credits'!AI16</f>
        <v>0</v>
      </c>
      <c r="AJ16" s="1068"/>
      <c r="AK16" s="1068"/>
      <c r="AL16" s="1068"/>
      <c r="AM16" s="1068"/>
    </row>
    <row r="17" spans="1:39" ht="12.95" customHeight="1">
      <c r="B17" s="8"/>
      <c r="C17" s="1618" t="s">
        <v>771</v>
      </c>
      <c r="D17" s="1618"/>
      <c r="E17" s="1618"/>
      <c r="F17" s="1618"/>
      <c r="G17" s="1618"/>
      <c r="H17" s="1618"/>
      <c r="I17" s="1618"/>
      <c r="J17" s="1618"/>
      <c r="K17" s="1618"/>
      <c r="L17" s="1618"/>
      <c r="M17" s="1618"/>
      <c r="N17" s="1618"/>
      <c r="O17" s="1618"/>
      <c r="P17" s="1618"/>
      <c r="Q17" s="1618"/>
      <c r="R17" s="1618"/>
      <c r="S17" s="1619"/>
      <c r="T17" s="1214">
        <f>'Basis &amp; Credits'!T17</f>
        <v>0</v>
      </c>
      <c r="U17" s="1068"/>
      <c r="V17" s="1068"/>
      <c r="W17" s="1068"/>
      <c r="X17" s="1068"/>
      <c r="Y17" s="1214">
        <f>'Basis &amp; Credits'!Y17</f>
        <v>0</v>
      </c>
      <c r="Z17" s="1068"/>
      <c r="AA17" s="1068"/>
      <c r="AB17" s="1068"/>
      <c r="AC17" s="1068"/>
      <c r="AD17" s="1068">
        <f>'Basis &amp; Credits'!AD17</f>
        <v>0</v>
      </c>
      <c r="AE17" s="1068"/>
      <c r="AF17" s="1068"/>
      <c r="AG17" s="1068"/>
      <c r="AH17" s="1068"/>
      <c r="AI17" s="1068">
        <f>'Basis &amp; Credits'!AI17</f>
        <v>0</v>
      </c>
      <c r="AJ17" s="1068"/>
      <c r="AK17" s="1068"/>
      <c r="AL17" s="1068"/>
      <c r="AM17" s="1068"/>
    </row>
    <row r="18" spans="1:39" ht="12.95" customHeight="1">
      <c r="B18" s="593"/>
      <c r="C18" s="1617" t="s">
        <v>1365</v>
      </c>
      <c r="D18" s="1618"/>
      <c r="E18" s="1618"/>
      <c r="F18" s="1618"/>
      <c r="G18" s="1618"/>
      <c r="H18" s="1618"/>
      <c r="I18" s="1618"/>
      <c r="J18" s="1618"/>
      <c r="K18" s="1618"/>
      <c r="L18" s="1618"/>
      <c r="M18" s="1618"/>
      <c r="N18" s="1618"/>
      <c r="O18" s="1618"/>
      <c r="P18" s="1618"/>
      <c r="Q18" s="1618"/>
      <c r="R18" s="1618"/>
      <c r="S18" s="1619"/>
      <c r="T18" s="1212">
        <f>'Basis &amp; Credits'!T18</f>
        <v>292878</v>
      </c>
      <c r="U18" s="1213"/>
      <c r="V18" s="1213"/>
      <c r="W18" s="1213"/>
      <c r="X18" s="1214"/>
      <c r="Y18" s="1214">
        <f>'Basis &amp; Credits'!Y18</f>
        <v>0</v>
      </c>
      <c r="Z18" s="1068"/>
      <c r="AA18" s="1068"/>
      <c r="AB18" s="1068"/>
      <c r="AC18" s="1068"/>
      <c r="AD18" s="1068">
        <f>'Basis &amp; Credits'!AD18</f>
        <v>0</v>
      </c>
      <c r="AE18" s="1068"/>
      <c r="AF18" s="1068"/>
      <c r="AG18" s="1068"/>
      <c r="AH18" s="1068"/>
      <c r="AI18" s="1068">
        <f>'Basis &amp; Credits'!AI18</f>
        <v>0</v>
      </c>
      <c r="AJ18" s="1068"/>
      <c r="AK18" s="1068"/>
      <c r="AL18" s="1068"/>
      <c r="AM18" s="1068"/>
    </row>
    <row r="19" spans="1:39" ht="12.95"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14">
        <f>'Basis &amp; Credits'!T19</f>
        <v>0</v>
      </c>
      <c r="U19" s="1068"/>
      <c r="V19" s="1068"/>
      <c r="W19" s="1068"/>
      <c r="X19" s="1068"/>
      <c r="Y19" s="1214">
        <f>'Basis &amp; Credits'!Y19</f>
        <v>0</v>
      </c>
      <c r="Z19" s="1068"/>
      <c r="AA19" s="1068"/>
      <c r="AB19" s="1068"/>
      <c r="AC19" s="1068"/>
      <c r="AD19" s="1068">
        <f>'Basis &amp; Credits'!AD19</f>
        <v>0</v>
      </c>
      <c r="AE19" s="1068"/>
      <c r="AF19" s="1068"/>
      <c r="AG19" s="1068"/>
      <c r="AH19" s="1068"/>
      <c r="AI19" s="1068">
        <f>'Basis &amp; Credits'!AI19</f>
        <v>0</v>
      </c>
      <c r="AJ19" s="1068"/>
      <c r="AK19" s="1068"/>
      <c r="AL19" s="1068"/>
      <c r="AM19" s="1068"/>
    </row>
    <row r="20" spans="1:39" ht="12.95" customHeight="1">
      <c r="B20" s="1186" t="s">
        <v>772</v>
      </c>
      <c r="C20" s="1187"/>
      <c r="D20" s="1187"/>
      <c r="E20" s="1187"/>
      <c r="F20" s="1187"/>
      <c r="G20" s="1187"/>
      <c r="H20" s="1187"/>
      <c r="I20" s="1187"/>
      <c r="J20" s="1187"/>
      <c r="K20" s="1187"/>
      <c r="L20" s="1187"/>
      <c r="M20" s="1187"/>
      <c r="N20" s="1187"/>
      <c r="O20" s="1187"/>
      <c r="P20" s="1187"/>
      <c r="Q20" s="1187"/>
      <c r="R20" s="1187"/>
      <c r="S20" s="1188"/>
      <c r="T20" s="1606">
        <f>SUM(T13:X19)</f>
        <v>292878</v>
      </c>
      <c r="U20" s="1206"/>
      <c r="V20" s="1206"/>
      <c r="W20" s="1206"/>
      <c r="X20" s="1206"/>
      <c r="Y20" s="1606">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1713</v>
      </c>
      <c r="C21" s="1187"/>
      <c r="D21" s="1187"/>
      <c r="E21" s="1187"/>
      <c r="F21" s="1187"/>
      <c r="G21" s="1187"/>
      <c r="H21" s="1187"/>
      <c r="I21" s="1187"/>
      <c r="J21" s="1187"/>
      <c r="K21" s="1187"/>
      <c r="L21" s="1187"/>
      <c r="M21" s="1187"/>
      <c r="N21" s="1187"/>
      <c r="O21" s="1187"/>
      <c r="P21" s="1187"/>
      <c r="Q21" s="1187"/>
      <c r="R21" s="1187"/>
      <c r="S21" s="1188"/>
      <c r="T21" s="1214">
        <f>'Basis &amp; Credits'!E21</f>
        <v>0</v>
      </c>
      <c r="U21" s="1068"/>
      <c r="V21" s="1068"/>
      <c r="W21" s="1068"/>
      <c r="X21" s="1068"/>
      <c r="Y21" s="1214">
        <f>'Basis &amp; Credits'!J21</f>
        <v>0</v>
      </c>
      <c r="Z21" s="1068"/>
      <c r="AA21" s="1068"/>
      <c r="AB21" s="1068"/>
      <c r="AC21" s="1068"/>
      <c r="AD21" s="1068">
        <f>'Basis &amp; Credits'!O21</f>
        <v>0</v>
      </c>
      <c r="AE21" s="1068"/>
      <c r="AF21" s="1068"/>
      <c r="AG21" s="1068"/>
      <c r="AH21" s="1068"/>
      <c r="AI21" s="1068">
        <f>'Basis &amp; Credits'!T21</f>
        <v>0</v>
      </c>
      <c r="AJ21" s="1068"/>
      <c r="AK21" s="1068"/>
      <c r="AL21" s="1068"/>
      <c r="AM21" s="1068"/>
    </row>
    <row r="22" spans="1:39" ht="12.95" customHeight="1">
      <c r="B22" s="1186" t="s">
        <v>773</v>
      </c>
      <c r="C22" s="1187"/>
      <c r="D22" s="1187"/>
      <c r="E22" s="1187"/>
      <c r="F22" s="1187"/>
      <c r="G22" s="1187"/>
      <c r="H22" s="1187"/>
      <c r="I22" s="1187"/>
      <c r="J22" s="1187"/>
      <c r="K22" s="1187"/>
      <c r="L22" s="1187"/>
      <c r="M22" s="1187"/>
      <c r="N22" s="1187"/>
      <c r="O22" s="1187"/>
      <c r="P22" s="1187"/>
      <c r="Q22" s="1187"/>
      <c r="R22" s="1187"/>
      <c r="S22" s="1188"/>
      <c r="T22" s="1607">
        <f>(T20+T21)*-1</f>
        <v>-292878</v>
      </c>
      <c r="U22" s="1608"/>
      <c r="V22" s="1608"/>
      <c r="W22" s="1608"/>
      <c r="X22" s="1608"/>
      <c r="Y22" s="1607">
        <f>(Y20+Y21)*-1</f>
        <v>0</v>
      </c>
      <c r="Z22" s="1608"/>
      <c r="AA22" s="1608"/>
      <c r="AB22" s="1608"/>
      <c r="AC22" s="1608"/>
      <c r="AD22" s="1607">
        <f>(AD20+AD21)*-1</f>
        <v>0</v>
      </c>
      <c r="AE22" s="1608"/>
      <c r="AF22" s="1608"/>
      <c r="AG22" s="1608"/>
      <c r="AH22" s="1608"/>
      <c r="AI22" s="1607">
        <f>(AI20+AI21)*-1</f>
        <v>0</v>
      </c>
      <c r="AJ22" s="1608"/>
      <c r="AK22" s="1608"/>
      <c r="AL22" s="1608"/>
      <c r="AM22" s="1608"/>
    </row>
    <row r="23" spans="1:39" ht="12.95" customHeight="1">
      <c r="B23" s="1186" t="s">
        <v>774</v>
      </c>
      <c r="C23" s="1187"/>
      <c r="D23" s="1187"/>
      <c r="E23" s="1187"/>
      <c r="F23" s="1187"/>
      <c r="G23" s="1187"/>
      <c r="H23" s="1187"/>
      <c r="I23" s="1187"/>
      <c r="J23" s="1187"/>
      <c r="K23" s="1187"/>
      <c r="L23" s="1187"/>
      <c r="M23" s="1187"/>
      <c r="N23" s="1187"/>
      <c r="O23" s="1187"/>
      <c r="P23" s="1187"/>
      <c r="Q23" s="1187"/>
      <c r="R23" s="1187"/>
      <c r="S23" s="1188"/>
      <c r="T23" s="1606">
        <f>T11+T22</f>
        <v>9167940</v>
      </c>
      <c r="U23" s="1206"/>
      <c r="V23" s="1206"/>
      <c r="W23" s="1206"/>
      <c r="X23" s="1206"/>
      <c r="Y23" s="1606">
        <f>Y11+Y22</f>
        <v>0</v>
      </c>
      <c r="Z23" s="1206"/>
      <c r="AA23" s="1206"/>
      <c r="AB23" s="1206"/>
      <c r="AC23" s="1206"/>
      <c r="AD23" s="1606">
        <f>AD11+AD22</f>
        <v>6515056</v>
      </c>
      <c r="AE23" s="1206"/>
      <c r="AF23" s="1206"/>
      <c r="AG23" s="1206"/>
      <c r="AH23" s="1206"/>
      <c r="AI23" s="1606">
        <f>AI11+AI22</f>
        <v>0</v>
      </c>
      <c r="AJ23" s="1206"/>
      <c r="AK23" s="1206"/>
      <c r="AL23" s="1206"/>
      <c r="AM23" s="1206"/>
    </row>
    <row r="24" spans="1:39" ht="12.95" customHeight="1">
      <c r="B24" s="1186" t="s">
        <v>1219</v>
      </c>
      <c r="C24" s="1187"/>
      <c r="D24" s="1187"/>
      <c r="E24" s="1187"/>
      <c r="F24" s="1187"/>
      <c r="G24" s="1187"/>
      <c r="H24" s="1187"/>
      <c r="I24" s="1187"/>
      <c r="J24" s="1187"/>
      <c r="K24" s="1187"/>
      <c r="L24" s="1187"/>
      <c r="M24" s="1187"/>
      <c r="N24" s="1187"/>
      <c r="O24" s="1187"/>
      <c r="P24" s="1187"/>
      <c r="Q24" s="1187"/>
      <c r="R24" s="1187"/>
      <c r="S24" s="1188"/>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1749</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2"/>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6" t="s">
        <v>775</v>
      </c>
      <c r="C26" s="1187"/>
      <c r="D26" s="1187"/>
      <c r="E26" s="1187"/>
      <c r="F26" s="1187"/>
      <c r="G26" s="1187"/>
      <c r="H26" s="1187"/>
      <c r="I26" s="1187"/>
      <c r="J26" s="1187"/>
      <c r="K26" s="1187"/>
      <c r="L26" s="1187"/>
      <c r="M26" s="1187"/>
      <c r="N26" s="1187"/>
      <c r="O26" s="1187"/>
      <c r="P26" s="1187"/>
      <c r="Q26" s="1187"/>
      <c r="R26" s="1187"/>
      <c r="S26" s="1188"/>
      <c r="T26" s="1230">
        <f>T23*T25</f>
        <v>9167940</v>
      </c>
      <c r="U26" s="1609"/>
      <c r="V26" s="1609"/>
      <c r="W26" s="1609"/>
      <c r="X26" s="1609"/>
      <c r="Y26" s="1230">
        <f>Y23*Y25</f>
        <v>0</v>
      </c>
      <c r="Z26" s="1609"/>
      <c r="AA26" s="1609"/>
      <c r="AB26" s="1609"/>
      <c r="AC26" s="1609"/>
      <c r="AD26" s="1230">
        <f>AD23*AD25</f>
        <v>6515056</v>
      </c>
      <c r="AE26" s="1609"/>
      <c r="AF26" s="1609"/>
      <c r="AG26" s="1609"/>
      <c r="AH26" s="1609"/>
      <c r="AI26" s="1230">
        <f>AI23*AI25</f>
        <v>0</v>
      </c>
      <c r="AJ26" s="1609"/>
      <c r="AK26" s="1609"/>
      <c r="AL26" s="1609"/>
      <c r="AM26" s="1609"/>
    </row>
    <row r="27" spans="1:39" ht="12.95" customHeight="1">
      <c r="A27" s="4"/>
      <c r="B27" s="1599" t="s">
        <v>880</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6" t="s">
        <v>844</v>
      </c>
      <c r="C28" s="1187"/>
      <c r="D28" s="1187"/>
      <c r="E28" s="1187"/>
      <c r="F28" s="1187"/>
      <c r="G28" s="1187"/>
      <c r="H28" s="1187"/>
      <c r="I28" s="1187"/>
      <c r="J28" s="1187"/>
      <c r="K28" s="1187"/>
      <c r="L28" s="1187"/>
      <c r="M28" s="1187"/>
      <c r="N28" s="1187"/>
      <c r="O28" s="1187"/>
      <c r="P28" s="1187"/>
      <c r="Q28" s="1187"/>
      <c r="R28" s="1187"/>
      <c r="S28" s="1188"/>
      <c r="T28" s="1230">
        <f>IF(ISERROR((T26*T27)),0,(T26*T27))</f>
        <v>9167940</v>
      </c>
      <c r="U28" s="1609"/>
      <c r="V28" s="1609"/>
      <c r="W28" s="1609"/>
      <c r="X28" s="1609"/>
      <c r="Y28" s="1230">
        <f>IF(ISERROR((Y26*Y27)),0,(Y26*Y27))</f>
        <v>0</v>
      </c>
      <c r="Z28" s="1609"/>
      <c r="AA28" s="1609"/>
      <c r="AB28" s="1609"/>
      <c r="AC28" s="1609"/>
      <c r="AD28" s="1230">
        <f>IF(ISERROR((AD26*AD27)),0,(AD26*AD27))</f>
        <v>6515056</v>
      </c>
      <c r="AE28" s="1609"/>
      <c r="AF28" s="1609"/>
      <c r="AG28" s="1609"/>
      <c r="AH28" s="1609"/>
      <c r="AI28" s="1230">
        <f>IF(ISERROR((AI26*AI27)),0,(AI26*AI27))</f>
        <v>0</v>
      </c>
      <c r="AJ28" s="1609"/>
      <c r="AK28" s="1609"/>
      <c r="AL28" s="1609"/>
      <c r="AM28" s="1609"/>
    </row>
    <row r="29" spans="1:39" ht="12.95" customHeight="1">
      <c r="B29" s="1186" t="s">
        <v>624</v>
      </c>
      <c r="C29" s="1187"/>
      <c r="D29" s="1187"/>
      <c r="E29" s="1187"/>
      <c r="F29" s="1187"/>
      <c r="G29" s="1187"/>
      <c r="H29" s="1187"/>
      <c r="I29" s="1187"/>
      <c r="J29" s="1187"/>
      <c r="K29" s="1187"/>
      <c r="L29" s="1187"/>
      <c r="M29" s="1187"/>
      <c r="N29" s="1187"/>
      <c r="O29" s="1187"/>
      <c r="P29" s="1187"/>
      <c r="Q29" s="1187"/>
      <c r="R29" s="1187"/>
      <c r="S29" s="1188"/>
      <c r="T29" s="1604">
        <f>T28+Y28+AD28+AI28</f>
        <v>15682996</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3" t="s">
        <v>1606</v>
      </c>
      <c r="Z35" s="1613"/>
      <c r="AA35" s="1613"/>
      <c r="AB35" s="1613"/>
      <c r="AC35" s="1613"/>
      <c r="AD35" s="1501" t="s">
        <v>41</v>
      </c>
      <c r="AE35" s="1501"/>
      <c r="AF35" s="1501"/>
      <c r="AG35" s="1501"/>
      <c r="AH35" s="1501"/>
    </row>
    <row r="36" spans="1:40" ht="12.95" customHeight="1">
      <c r="B36" s="204"/>
      <c r="X36" s="71"/>
      <c r="Y36" s="1613"/>
      <c r="Z36" s="1613"/>
      <c r="AA36" s="1613"/>
      <c r="AB36" s="1613"/>
      <c r="AC36" s="1613"/>
      <c r="AD36" s="1501"/>
      <c r="AE36" s="1501"/>
      <c r="AF36" s="1501"/>
      <c r="AG36" s="1501"/>
      <c r="AH36" s="150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1"/>
      <c r="AE37" s="1501"/>
      <c r="AF37" s="1501"/>
      <c r="AG37" s="1501"/>
      <c r="AH37" s="1501"/>
    </row>
    <row r="38" spans="1:40" ht="12.95" customHeight="1">
      <c r="A38" s="3"/>
      <c r="B38" s="1186" t="s">
        <v>844</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5" customHeight="1">
      <c r="B39" s="1186" t="s">
        <v>766</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3">
        <v>0.09</v>
      </c>
      <c r="Z39" s="1963"/>
      <c r="AA39" s="1963"/>
      <c r="AB39" s="1963"/>
      <c r="AC39" s="1963"/>
      <c r="AD39" s="1644">
        <v>0.04</v>
      </c>
      <c r="AE39" s="1644"/>
      <c r="AF39" s="1644"/>
      <c r="AG39" s="1644"/>
      <c r="AH39" s="1644"/>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6">
        <f>ROUND(AD38*AD39,0)</f>
        <v>0</v>
      </c>
      <c r="AE40" s="1206"/>
      <c r="AF40" s="1206"/>
      <c r="AG40" s="1206"/>
      <c r="AH40" s="1206"/>
    </row>
    <row r="41" spans="1:40" ht="12.95" customHeight="1">
      <c r="B41" s="1186" t="s">
        <v>618</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4">
        <f>IF((Y40+AD40)&gt;2500000,2500000,Y40+AD40)</f>
        <v>0</v>
      </c>
      <c r="Z41" s="1605"/>
      <c r="AA41" s="1605"/>
      <c r="AB41" s="1605"/>
      <c r="AC41" s="1605"/>
      <c r="AD41" s="1605"/>
      <c r="AE41" s="1605"/>
      <c r="AF41" s="1605"/>
      <c r="AG41" s="1605"/>
      <c r="AH41" s="1606"/>
    </row>
    <row r="42" spans="1:40" ht="12.95" customHeight="1">
      <c r="A42" s="3"/>
      <c r="B42" s="1638" t="s">
        <v>1163</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7">
        <f>'Sources and Uses Budget'!B104-'Sources and Uses Budget'!$B$15</f>
        <v>17956425</v>
      </c>
      <c r="AC46" s="1198"/>
      <c r="AD46" s="1198"/>
      <c r="AE46" s="1198"/>
      <c r="AF46" s="1199"/>
    </row>
    <row r="47" spans="1:40" ht="12.95" customHeight="1">
      <c r="D47" s="3" t="s">
        <v>838</v>
      </c>
      <c r="AB47" s="1197">
        <f>Application!AG633-MIN('Sources and Uses Budget'!B15,Application!AG385)</f>
        <v>0</v>
      </c>
      <c r="AC47" s="1198"/>
      <c r="AD47" s="1198"/>
      <c r="AE47" s="1198"/>
      <c r="AF47" s="1199"/>
    </row>
    <row r="48" spans="1:40" ht="12.95" customHeight="1">
      <c r="D48" s="3" t="s">
        <v>379</v>
      </c>
      <c r="AB48" s="1197">
        <f>AB46-AB47</f>
        <v>17956425</v>
      </c>
      <c r="AC48" s="1198"/>
      <c r="AD48" s="1198"/>
      <c r="AE48" s="1198"/>
      <c r="AF48" s="1199"/>
    </row>
    <row r="49" spans="1:40" ht="12.95" customHeight="1">
      <c r="D49" s="3" t="s">
        <v>873</v>
      </c>
      <c r="AA49" s="34"/>
      <c r="AB49" s="1633"/>
      <c r="AC49" s="1634"/>
      <c r="AD49" s="1634"/>
      <c r="AE49" s="1634"/>
      <c r="AF49" s="1635"/>
    </row>
    <row r="50" spans="1:40" s="323" customFormat="1" ht="12.95" customHeight="1">
      <c r="A50"/>
      <c r="B50"/>
      <c r="C50"/>
      <c r="D50"/>
      <c r="E50" s="1639" t="s">
        <v>1354</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0</v>
      </c>
      <c r="AC53" s="1198"/>
      <c r="AD53" s="1198"/>
      <c r="AE53" s="1198"/>
      <c r="AF53" s="1199"/>
    </row>
    <row r="54" spans="1:40" ht="12.95" customHeight="1">
      <c r="D54" s="3" t="s">
        <v>562</v>
      </c>
      <c r="AB54" s="1197">
        <f>(AB53/10)</f>
        <v>0</v>
      </c>
      <c r="AC54" s="1198"/>
      <c r="AD54" s="1198"/>
      <c r="AE54" s="1198"/>
      <c r="AF54" s="1199"/>
    </row>
    <row r="55" spans="1:40" ht="12.95" customHeight="1">
      <c r="D55" s="3" t="s">
        <v>342</v>
      </c>
      <c r="AB55" s="1197">
        <f>(IF((Y41&lt;AB54),Y41,AB54))</f>
        <v>0</v>
      </c>
      <c r="AC55" s="1198"/>
      <c r="AD55" s="1198"/>
      <c r="AE55" s="1198"/>
      <c r="AF55" s="1199"/>
    </row>
    <row r="56" spans="1:40" ht="12.95" customHeight="1">
      <c r="D56" s="3" t="s">
        <v>107</v>
      </c>
      <c r="AB56" s="1197">
        <f>ROUND((10*AB55*AB49),0)</f>
        <v>0</v>
      </c>
      <c r="AC56" s="1198"/>
      <c r="AD56" s="1198"/>
      <c r="AE56" s="1198"/>
      <c r="AF56" s="1199"/>
    </row>
    <row r="57" spans="1:40" ht="12.95" customHeight="1">
      <c r="D57" s="3"/>
      <c r="AB57" s="276"/>
      <c r="AC57" s="276"/>
      <c r="AD57" s="276"/>
      <c r="AE57" s="276"/>
      <c r="AF57" s="276"/>
    </row>
    <row r="58" spans="1:40" ht="12.95" customHeight="1">
      <c r="D58" s="3" t="s">
        <v>106</v>
      </c>
      <c r="AB58" s="1218">
        <f>AB48-AB56</f>
        <v>17956425</v>
      </c>
      <c r="AC58" s="1218"/>
      <c r="AD58" s="1218"/>
      <c r="AE58" s="1218"/>
      <c r="AF58" s="121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1752</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122</v>
      </c>
      <c r="C62" s="3" t="s">
        <v>510</v>
      </c>
      <c r="Y62" s="1173" t="s">
        <v>298</v>
      </c>
      <c r="Z62" s="1173"/>
      <c r="AA62" s="1173"/>
      <c r="AB62" s="1173"/>
      <c r="AC62" s="1173"/>
      <c r="AD62" s="1173" t="s">
        <v>41</v>
      </c>
      <c r="AE62" s="1173"/>
      <c r="AF62" s="1173"/>
      <c r="AG62" s="1173"/>
      <c r="AH62" s="1173"/>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6">
        <f>Y28</f>
        <v>0</v>
      </c>
      <c r="Z63" s="1636"/>
      <c r="AA63" s="1636"/>
      <c r="AB63" s="1636"/>
      <c r="AC63" s="1636"/>
      <c r="AD63" s="1206">
        <f>AI28</f>
        <v>0</v>
      </c>
      <c r="AE63" s="1636"/>
      <c r="AF63" s="1636"/>
      <c r="AG63" s="1636"/>
      <c r="AH63" s="1636"/>
    </row>
    <row r="64" spans="1:40" ht="12.95" customHeight="1">
      <c r="C64" s="3"/>
      <c r="E64" s="1643" t="s">
        <v>1290</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2.2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2.95" customHeight="1">
      <c r="C67" s="3"/>
      <c r="D67" s="3" t="s">
        <v>942</v>
      </c>
      <c r="Y67" s="1206">
        <f>ROUND(Y63*Y66,0)</f>
        <v>0</v>
      </c>
      <c r="Z67" s="1636"/>
      <c r="AA67" s="1636"/>
      <c r="AB67" s="1636"/>
      <c r="AC67" s="1636"/>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3"/>
      <c r="AC70" s="1634"/>
      <c r="AD70" s="1634"/>
      <c r="AE70" s="1634"/>
      <c r="AF70" s="1635"/>
    </row>
    <row r="71" spans="1:34" ht="12.95" customHeight="1">
      <c r="A71" s="3"/>
      <c r="C71" s="3"/>
      <c r="D71" s="3"/>
      <c r="E71" s="1637" t="s">
        <v>1747</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5">
        <f>IF((Y67+AD67&lt;AB75),Y67+AD67,AB75)</f>
        <v>0</v>
      </c>
      <c r="AC76" s="1556"/>
      <c r="AD76" s="1556"/>
      <c r="AE76" s="1556"/>
      <c r="AF76" s="1557"/>
    </row>
    <row r="77" spans="1:34" ht="12.95" customHeight="1">
      <c r="C77" s="3"/>
      <c r="D77" s="3" t="s">
        <v>943</v>
      </c>
      <c r="AB77" s="1631">
        <f>AB76*AB70</f>
        <v>0</v>
      </c>
      <c r="AC77" s="1631"/>
      <c r="AD77" s="1631"/>
      <c r="AE77" s="1631"/>
      <c r="AF77" s="1631"/>
    </row>
    <row r="78" spans="1:34" ht="12.95" customHeight="1">
      <c r="C78" s="3"/>
      <c r="D78" s="3"/>
      <c r="AB78" s="598"/>
      <c r="AC78" s="598"/>
      <c r="AD78" s="598"/>
      <c r="AE78" s="598"/>
      <c r="AF78" s="598"/>
    </row>
    <row r="79" spans="1:34" ht="12.95" customHeight="1">
      <c r="D79" s="3" t="s">
        <v>106</v>
      </c>
      <c r="AB79" s="1218">
        <f>AB48-(AB56+AB77)</f>
        <v>17956425</v>
      </c>
      <c r="AC79" s="1218"/>
      <c r="AD79" s="1218"/>
      <c r="AE79" s="1218"/>
      <c r="AF79" s="121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1355</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3" t="s">
        <v>1607</v>
      </c>
      <c r="U7" s="1613"/>
      <c r="V7" s="1613"/>
      <c r="W7" s="1613"/>
      <c r="X7" s="1613"/>
      <c r="Y7" s="1613" t="s">
        <v>1750</v>
      </c>
      <c r="Z7" s="1613"/>
      <c r="AA7" s="1613"/>
      <c r="AB7" s="1613"/>
      <c r="AC7" s="1613"/>
      <c r="AD7" s="1613" t="s">
        <v>1361</v>
      </c>
      <c r="AE7" s="1613"/>
      <c r="AF7" s="1613"/>
      <c r="AG7" s="1613"/>
      <c r="AH7" s="1613"/>
      <c r="AI7" s="1613" t="s">
        <v>1751</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6" t="s">
        <v>509</v>
      </c>
      <c r="C11" s="1187"/>
      <c r="D11" s="1187"/>
      <c r="E11" s="1187"/>
      <c r="F11" s="1187"/>
      <c r="G11" s="1187"/>
      <c r="H11" s="1187"/>
      <c r="I11" s="1187"/>
      <c r="J11" s="1187"/>
      <c r="K11" s="1187"/>
      <c r="L11" s="1187"/>
      <c r="M11" s="1187"/>
      <c r="N11" s="1187"/>
      <c r="O11" s="1187"/>
      <c r="P11" s="1187"/>
      <c r="Q11" s="1187"/>
      <c r="R11" s="1187"/>
      <c r="S11" s="1188"/>
      <c r="T11" s="1621">
        <f>IF('Sources and Basis Breakdown'!F105=0,'Sources and Basis Breakdown'!E105,'Sources and Basis Breakdown'!F105)</f>
        <v>9460818</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6515056</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15" t="s">
        <v>448</v>
      </c>
      <c r="C12" s="1033"/>
      <c r="D12" s="1033"/>
      <c r="E12" s="1033"/>
      <c r="F12" s="1033"/>
      <c r="G12" s="1033"/>
      <c r="H12" s="1033"/>
      <c r="I12" s="1033"/>
      <c r="J12" s="1033"/>
      <c r="K12" s="1033"/>
      <c r="L12" s="1033"/>
      <c r="M12" s="1033"/>
      <c r="N12" s="1033"/>
      <c r="O12" s="1033"/>
      <c r="P12" s="1033"/>
      <c r="Q12" s="1033"/>
      <c r="R12" s="1033"/>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1714</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18" t="s">
        <v>769</v>
      </c>
      <c r="D14" s="1618"/>
      <c r="E14" s="1618"/>
      <c r="F14" s="1618"/>
      <c r="G14" s="1618"/>
      <c r="H14" s="1618"/>
      <c r="I14" s="1618"/>
      <c r="J14" s="1618"/>
      <c r="K14" s="1618"/>
      <c r="L14" s="1618"/>
      <c r="M14" s="1618"/>
      <c r="N14" s="1618"/>
      <c r="O14" s="1618"/>
      <c r="P14" s="1618"/>
      <c r="Q14" s="1618"/>
      <c r="R14" s="1618"/>
      <c r="S14" s="1619"/>
      <c r="T14" s="1214">
        <f>'Basis &amp; Credits'!T14</f>
        <v>0</v>
      </c>
      <c r="U14" s="1068"/>
      <c r="V14" s="1068"/>
      <c r="W14" s="1068"/>
      <c r="X14" s="1068"/>
      <c r="Y14" s="1214">
        <f>'Basis &amp; Credits'!Y14</f>
        <v>0</v>
      </c>
      <c r="Z14" s="1068"/>
      <c r="AA14" s="1068"/>
      <c r="AB14" s="1068"/>
      <c r="AC14" s="1068"/>
      <c r="AD14" s="1068">
        <f>'Basis &amp; Credits'!AD14</f>
        <v>0</v>
      </c>
      <c r="AE14" s="1068"/>
      <c r="AF14" s="1068"/>
      <c r="AG14" s="1068"/>
      <c r="AH14" s="1068"/>
      <c r="AI14" s="1068">
        <f>'Basis &amp; Credits'!AI14</f>
        <v>0</v>
      </c>
      <c r="AJ14" s="1068"/>
      <c r="AK14" s="1068"/>
      <c r="AL14" s="1068"/>
      <c r="AM14" s="1068"/>
    </row>
    <row r="15" spans="1:40" ht="12.95" customHeight="1">
      <c r="B15" s="8"/>
      <c r="C15" s="1618" t="s">
        <v>770</v>
      </c>
      <c r="D15" s="1618"/>
      <c r="E15" s="1618"/>
      <c r="F15" s="1618"/>
      <c r="G15" s="1618"/>
      <c r="H15" s="1618"/>
      <c r="I15" s="1618"/>
      <c r="J15" s="1618"/>
      <c r="K15" s="1618"/>
      <c r="L15" s="1618"/>
      <c r="M15" s="1618"/>
      <c r="N15" s="1618"/>
      <c r="O15" s="1618"/>
      <c r="P15" s="1618"/>
      <c r="Q15" s="1618"/>
      <c r="R15" s="1618"/>
      <c r="S15" s="1619"/>
      <c r="T15" s="1214">
        <f>'Basis &amp; Credits'!T15</f>
        <v>0</v>
      </c>
      <c r="U15" s="1068"/>
      <c r="V15" s="1068"/>
      <c r="W15" s="1068"/>
      <c r="X15" s="1068"/>
      <c r="Y15" s="1214">
        <f>'Basis &amp; Credits'!Y15</f>
        <v>0</v>
      </c>
      <c r="Z15" s="1068"/>
      <c r="AA15" s="1068"/>
      <c r="AB15" s="1068"/>
      <c r="AC15" s="1068"/>
      <c r="AD15" s="1068">
        <f>'Basis &amp; Credits'!AD15</f>
        <v>0</v>
      </c>
      <c r="AE15" s="1068"/>
      <c r="AF15" s="1068"/>
      <c r="AG15" s="1068"/>
      <c r="AH15" s="1068"/>
      <c r="AI15" s="1068">
        <f>'Basis &amp; Credits'!AI15</f>
        <v>0</v>
      </c>
      <c r="AJ15" s="1068"/>
      <c r="AK15" s="1068"/>
      <c r="AL15" s="1068"/>
      <c r="AM15" s="1068"/>
    </row>
    <row r="16" spans="1:40" ht="12.95" customHeight="1">
      <c r="B16" s="8"/>
      <c r="C16" s="1617" t="s">
        <v>1013</v>
      </c>
      <c r="D16" s="1617"/>
      <c r="E16" s="1617"/>
      <c r="F16" s="1617"/>
      <c r="G16" s="1617"/>
      <c r="H16" s="1617"/>
      <c r="I16" s="1617"/>
      <c r="J16" s="1617"/>
      <c r="K16" s="1617"/>
      <c r="L16" s="1617"/>
      <c r="M16" s="1617"/>
      <c r="N16" s="1617"/>
      <c r="O16" s="1617"/>
      <c r="P16" s="1617"/>
      <c r="Q16" s="1617"/>
      <c r="R16" s="1617"/>
      <c r="S16" s="1620"/>
      <c r="T16" s="1214">
        <f>'Basis &amp; Credits'!T16</f>
        <v>0</v>
      </c>
      <c r="U16" s="1068"/>
      <c r="V16" s="1068"/>
      <c r="W16" s="1068"/>
      <c r="X16" s="1068"/>
      <c r="Y16" s="1214">
        <f>'Basis &amp; Credits'!Y16</f>
        <v>0</v>
      </c>
      <c r="Z16" s="1068"/>
      <c r="AA16" s="1068"/>
      <c r="AB16" s="1068"/>
      <c r="AC16" s="1068"/>
      <c r="AD16" s="1068">
        <f>'Basis &amp; Credits'!AD16</f>
        <v>0</v>
      </c>
      <c r="AE16" s="1068"/>
      <c r="AF16" s="1068"/>
      <c r="AG16" s="1068"/>
      <c r="AH16" s="1068"/>
      <c r="AI16" s="1068">
        <f>'Basis &amp; Credits'!AI16</f>
        <v>0</v>
      </c>
      <c r="AJ16" s="1068"/>
      <c r="AK16" s="1068"/>
      <c r="AL16" s="1068"/>
      <c r="AM16" s="1068"/>
    </row>
    <row r="17" spans="1:39" ht="12.95" customHeight="1">
      <c r="B17" s="8"/>
      <c r="C17" s="1618" t="s">
        <v>771</v>
      </c>
      <c r="D17" s="1618"/>
      <c r="E17" s="1618"/>
      <c r="F17" s="1618"/>
      <c r="G17" s="1618"/>
      <c r="H17" s="1618"/>
      <c r="I17" s="1618"/>
      <c r="J17" s="1618"/>
      <c r="K17" s="1618"/>
      <c r="L17" s="1618"/>
      <c r="M17" s="1618"/>
      <c r="N17" s="1618"/>
      <c r="O17" s="1618"/>
      <c r="P17" s="1618"/>
      <c r="Q17" s="1618"/>
      <c r="R17" s="1618"/>
      <c r="S17" s="1619"/>
      <c r="T17" s="1214">
        <f>'Basis &amp; Credits'!T17</f>
        <v>0</v>
      </c>
      <c r="U17" s="1068"/>
      <c r="V17" s="1068"/>
      <c r="W17" s="1068"/>
      <c r="X17" s="1068"/>
      <c r="Y17" s="1214">
        <f>'Basis &amp; Credits'!Y17</f>
        <v>0</v>
      </c>
      <c r="Z17" s="1068"/>
      <c r="AA17" s="1068"/>
      <c r="AB17" s="1068"/>
      <c r="AC17" s="1068"/>
      <c r="AD17" s="1068">
        <f>'Basis &amp; Credits'!AD17</f>
        <v>0</v>
      </c>
      <c r="AE17" s="1068"/>
      <c r="AF17" s="1068"/>
      <c r="AG17" s="1068"/>
      <c r="AH17" s="1068"/>
      <c r="AI17" s="1068">
        <f>'Basis &amp; Credits'!AI17</f>
        <v>0</v>
      </c>
      <c r="AJ17" s="1068"/>
      <c r="AK17" s="1068"/>
      <c r="AL17" s="1068"/>
      <c r="AM17" s="1068"/>
    </row>
    <row r="18" spans="1:39" ht="12.95" customHeight="1">
      <c r="B18" s="593"/>
      <c r="C18" s="1617" t="s">
        <v>1365</v>
      </c>
      <c r="D18" s="1618"/>
      <c r="E18" s="1618"/>
      <c r="F18" s="1618"/>
      <c r="G18" s="1618"/>
      <c r="H18" s="1618"/>
      <c r="I18" s="1618"/>
      <c r="J18" s="1618"/>
      <c r="K18" s="1618"/>
      <c r="L18" s="1618"/>
      <c r="M18" s="1618"/>
      <c r="N18" s="1618"/>
      <c r="O18" s="1618"/>
      <c r="P18" s="1618"/>
      <c r="Q18" s="1618"/>
      <c r="R18" s="1618"/>
      <c r="S18" s="1619"/>
      <c r="T18" s="1212">
        <f>'Basis &amp; Credits'!T18</f>
        <v>292878</v>
      </c>
      <c r="U18" s="1213"/>
      <c r="V18" s="1213"/>
      <c r="W18" s="1213"/>
      <c r="X18" s="1214"/>
      <c r="Y18" s="1214">
        <f>'Basis &amp; Credits'!Y18</f>
        <v>0</v>
      </c>
      <c r="Z18" s="1068"/>
      <c r="AA18" s="1068"/>
      <c r="AB18" s="1068"/>
      <c r="AC18" s="1068"/>
      <c r="AD18" s="1068">
        <f>'Basis &amp; Credits'!AD18</f>
        <v>0</v>
      </c>
      <c r="AE18" s="1068"/>
      <c r="AF18" s="1068"/>
      <c r="AG18" s="1068"/>
      <c r="AH18" s="1068"/>
      <c r="AI18" s="1068">
        <f>'Basis &amp; Credits'!AI18</f>
        <v>0</v>
      </c>
      <c r="AJ18" s="1068"/>
      <c r="AK18" s="1068"/>
      <c r="AL18" s="1068"/>
      <c r="AM18" s="1068"/>
    </row>
    <row r="19" spans="1:39" ht="12.95"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14">
        <f>'Basis &amp; Credits'!T19</f>
        <v>0</v>
      </c>
      <c r="U19" s="1068"/>
      <c r="V19" s="1068"/>
      <c r="W19" s="1068"/>
      <c r="X19" s="1068"/>
      <c r="Y19" s="1214">
        <f>'Basis &amp; Credits'!Y19</f>
        <v>0</v>
      </c>
      <c r="Z19" s="1068"/>
      <c r="AA19" s="1068"/>
      <c r="AB19" s="1068"/>
      <c r="AC19" s="1068"/>
      <c r="AD19" s="1068">
        <f>'Basis &amp; Credits'!AD19</f>
        <v>0</v>
      </c>
      <c r="AE19" s="1068"/>
      <c r="AF19" s="1068"/>
      <c r="AG19" s="1068"/>
      <c r="AH19" s="1068"/>
      <c r="AI19" s="1068">
        <f>'Basis &amp; Credits'!AI19</f>
        <v>0</v>
      </c>
      <c r="AJ19" s="1068"/>
      <c r="AK19" s="1068"/>
      <c r="AL19" s="1068"/>
      <c r="AM19" s="1068"/>
    </row>
    <row r="20" spans="1:39" ht="12.95" customHeight="1">
      <c r="B20" s="1186" t="s">
        <v>772</v>
      </c>
      <c r="C20" s="1187"/>
      <c r="D20" s="1187"/>
      <c r="E20" s="1187"/>
      <c r="F20" s="1187"/>
      <c r="G20" s="1187"/>
      <c r="H20" s="1187"/>
      <c r="I20" s="1187"/>
      <c r="J20" s="1187"/>
      <c r="K20" s="1187"/>
      <c r="L20" s="1187"/>
      <c r="M20" s="1187"/>
      <c r="N20" s="1187"/>
      <c r="O20" s="1187"/>
      <c r="P20" s="1187"/>
      <c r="Q20" s="1187"/>
      <c r="R20" s="1187"/>
      <c r="S20" s="1188"/>
      <c r="T20" s="1606">
        <f>SUM(T13:X19)</f>
        <v>292878</v>
      </c>
      <c r="U20" s="1206"/>
      <c r="V20" s="1206"/>
      <c r="W20" s="1206"/>
      <c r="X20" s="1206"/>
      <c r="Y20" s="1606">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1713</v>
      </c>
      <c r="C21" s="1187"/>
      <c r="D21" s="1187"/>
      <c r="E21" s="1187"/>
      <c r="F21" s="1187"/>
      <c r="G21" s="1187"/>
      <c r="H21" s="1187"/>
      <c r="I21" s="1187"/>
      <c r="J21" s="1187"/>
      <c r="K21" s="1187"/>
      <c r="L21" s="1187"/>
      <c r="M21" s="1187"/>
      <c r="N21" s="1187"/>
      <c r="O21" s="1187"/>
      <c r="P21" s="1187"/>
      <c r="Q21" s="1187"/>
      <c r="R21" s="1187"/>
      <c r="S21" s="1188"/>
      <c r="T21" s="1214">
        <f>'Basis &amp; Credits'!T21</f>
        <v>0</v>
      </c>
      <c r="U21" s="1068"/>
      <c r="V21" s="1068"/>
      <c r="W21" s="1068"/>
      <c r="X21" s="1068"/>
      <c r="Y21" s="1214">
        <f>'Basis &amp; Credits'!Y21</f>
        <v>0</v>
      </c>
      <c r="Z21" s="1068"/>
      <c r="AA21" s="1068"/>
      <c r="AB21" s="1068"/>
      <c r="AC21" s="1068"/>
      <c r="AD21" s="1068">
        <f>'Basis &amp; Credits'!AD21</f>
        <v>0</v>
      </c>
      <c r="AE21" s="1068"/>
      <c r="AF21" s="1068"/>
      <c r="AG21" s="1068"/>
      <c r="AH21" s="1068"/>
      <c r="AI21" s="1068">
        <f>'Basis &amp; Credits'!AI21</f>
        <v>0</v>
      </c>
      <c r="AJ21" s="1068"/>
      <c r="AK21" s="1068"/>
      <c r="AL21" s="1068"/>
      <c r="AM21" s="1068"/>
    </row>
    <row r="22" spans="1:39" ht="12.95" customHeight="1">
      <c r="B22" s="1186" t="s">
        <v>773</v>
      </c>
      <c r="C22" s="1187"/>
      <c r="D22" s="1187"/>
      <c r="E22" s="1187"/>
      <c r="F22" s="1187"/>
      <c r="G22" s="1187"/>
      <c r="H22" s="1187"/>
      <c r="I22" s="1187"/>
      <c r="J22" s="1187"/>
      <c r="K22" s="1187"/>
      <c r="L22" s="1187"/>
      <c r="M22" s="1187"/>
      <c r="N22" s="1187"/>
      <c r="O22" s="1187"/>
      <c r="P22" s="1187"/>
      <c r="Q22" s="1187"/>
      <c r="R22" s="1187"/>
      <c r="S22" s="1188"/>
      <c r="T22" s="1607">
        <f>(T20+T21)*-1</f>
        <v>-292878</v>
      </c>
      <c r="U22" s="1608"/>
      <c r="V22" s="1608"/>
      <c r="W22" s="1608"/>
      <c r="X22" s="1608"/>
      <c r="Y22" s="1607">
        <f>(Y20+Y21)*-1</f>
        <v>0</v>
      </c>
      <c r="Z22" s="1608"/>
      <c r="AA22" s="1608"/>
      <c r="AB22" s="1608"/>
      <c r="AC22" s="1608"/>
      <c r="AD22" s="1607">
        <f>(AD20+AD21)*-1</f>
        <v>0</v>
      </c>
      <c r="AE22" s="1608"/>
      <c r="AF22" s="1608"/>
      <c r="AG22" s="1608"/>
      <c r="AH22" s="1608"/>
      <c r="AI22" s="1607">
        <f>(AI20+AI21)*-1</f>
        <v>0</v>
      </c>
      <c r="AJ22" s="1608"/>
      <c r="AK22" s="1608"/>
      <c r="AL22" s="1608"/>
      <c r="AM22" s="1608"/>
    </row>
    <row r="23" spans="1:39" ht="12.95" customHeight="1">
      <c r="B23" s="1186" t="s">
        <v>774</v>
      </c>
      <c r="C23" s="1187"/>
      <c r="D23" s="1187"/>
      <c r="E23" s="1187"/>
      <c r="F23" s="1187"/>
      <c r="G23" s="1187"/>
      <c r="H23" s="1187"/>
      <c r="I23" s="1187"/>
      <c r="J23" s="1187"/>
      <c r="K23" s="1187"/>
      <c r="L23" s="1187"/>
      <c r="M23" s="1187"/>
      <c r="N23" s="1187"/>
      <c r="O23" s="1187"/>
      <c r="P23" s="1187"/>
      <c r="Q23" s="1187"/>
      <c r="R23" s="1187"/>
      <c r="S23" s="1188"/>
      <c r="T23" s="1606">
        <f>T11+T22</f>
        <v>9167940</v>
      </c>
      <c r="U23" s="1206"/>
      <c r="V23" s="1206"/>
      <c r="W23" s="1206"/>
      <c r="X23" s="1206"/>
      <c r="Y23" s="1606">
        <f>Y11+Y22</f>
        <v>0</v>
      </c>
      <c r="Z23" s="1206"/>
      <c r="AA23" s="1206"/>
      <c r="AB23" s="1206"/>
      <c r="AC23" s="1206"/>
      <c r="AD23" s="1606">
        <f>AD11+AD22</f>
        <v>6515056</v>
      </c>
      <c r="AE23" s="1206"/>
      <c r="AF23" s="1206"/>
      <c r="AG23" s="1206"/>
      <c r="AH23" s="1206"/>
      <c r="AI23" s="1606">
        <f>AI11+AI22</f>
        <v>0</v>
      </c>
      <c r="AJ23" s="1206"/>
      <c r="AK23" s="1206"/>
      <c r="AL23" s="1206"/>
      <c r="AM23" s="1206"/>
    </row>
    <row r="24" spans="1:39" ht="12.95" customHeight="1">
      <c r="B24" s="1186" t="s">
        <v>1219</v>
      </c>
      <c r="C24" s="1187"/>
      <c r="D24" s="1187"/>
      <c r="E24" s="1187"/>
      <c r="F24" s="1187"/>
      <c r="G24" s="1187"/>
      <c r="H24" s="1187"/>
      <c r="I24" s="1187"/>
      <c r="J24" s="1187"/>
      <c r="K24" s="1187"/>
      <c r="L24" s="1187"/>
      <c r="M24" s="1187"/>
      <c r="N24" s="1187"/>
      <c r="O24" s="1187"/>
      <c r="P24" s="1187"/>
      <c r="Q24" s="1187"/>
      <c r="R24" s="1187"/>
      <c r="S24" s="1188"/>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1749</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6" t="s">
        <v>775</v>
      </c>
      <c r="C26" s="1187"/>
      <c r="D26" s="1187"/>
      <c r="E26" s="1187"/>
      <c r="F26" s="1187"/>
      <c r="G26" s="1187"/>
      <c r="H26" s="1187"/>
      <c r="I26" s="1187"/>
      <c r="J26" s="1187"/>
      <c r="K26" s="1187"/>
      <c r="L26" s="1187"/>
      <c r="M26" s="1187"/>
      <c r="N26" s="1187"/>
      <c r="O26" s="1187"/>
      <c r="P26" s="1187"/>
      <c r="Q26" s="1187"/>
      <c r="R26" s="1187"/>
      <c r="S26" s="1188"/>
      <c r="T26" s="1230">
        <f>T23*T25</f>
        <v>9167940</v>
      </c>
      <c r="U26" s="1609"/>
      <c r="V26" s="1609"/>
      <c r="W26" s="1609"/>
      <c r="X26" s="1609"/>
      <c r="Y26" s="1230">
        <f>Y23*Y25</f>
        <v>0</v>
      </c>
      <c r="Z26" s="1609"/>
      <c r="AA26" s="1609"/>
      <c r="AB26" s="1609"/>
      <c r="AC26" s="1609"/>
      <c r="AD26" s="1230">
        <f>AD23*AD25</f>
        <v>6515056</v>
      </c>
      <c r="AE26" s="1609"/>
      <c r="AF26" s="1609"/>
      <c r="AG26" s="1609"/>
      <c r="AH26" s="1609"/>
      <c r="AI26" s="1230">
        <f>AI23*AI25</f>
        <v>0</v>
      </c>
      <c r="AJ26" s="1609"/>
      <c r="AK26" s="1609"/>
      <c r="AL26" s="1609"/>
      <c r="AM26" s="1609"/>
    </row>
    <row r="27" spans="1:39" ht="12.95" customHeight="1">
      <c r="A27" s="4"/>
      <c r="B27" s="1599" t="s">
        <v>880</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6" t="s">
        <v>844</v>
      </c>
      <c r="C28" s="1187"/>
      <c r="D28" s="1187"/>
      <c r="E28" s="1187"/>
      <c r="F28" s="1187"/>
      <c r="G28" s="1187"/>
      <c r="H28" s="1187"/>
      <c r="I28" s="1187"/>
      <c r="J28" s="1187"/>
      <c r="K28" s="1187"/>
      <c r="L28" s="1187"/>
      <c r="M28" s="1187"/>
      <c r="N28" s="1187"/>
      <c r="O28" s="1187"/>
      <c r="P28" s="1187"/>
      <c r="Q28" s="1187"/>
      <c r="R28" s="1187"/>
      <c r="S28" s="1188"/>
      <c r="T28" s="1230">
        <f>IF(ISERROR((T26*T27)),0,(T26*T27))</f>
        <v>9167940</v>
      </c>
      <c r="U28" s="1609"/>
      <c r="V28" s="1609"/>
      <c r="W28" s="1609"/>
      <c r="X28" s="1609"/>
      <c r="Y28" s="1230">
        <f>IF(ISERROR((Y26*Y27)),0,(Y26*Y27))</f>
        <v>0</v>
      </c>
      <c r="Z28" s="1609"/>
      <c r="AA28" s="1609"/>
      <c r="AB28" s="1609"/>
      <c r="AC28" s="1609"/>
      <c r="AD28" s="1230">
        <f>IF(ISERROR((AD26*AD27)),0,(AD26*AD27))</f>
        <v>6515056</v>
      </c>
      <c r="AE28" s="1609"/>
      <c r="AF28" s="1609"/>
      <c r="AG28" s="1609"/>
      <c r="AH28" s="1609"/>
      <c r="AI28" s="1230">
        <f>IF(ISERROR((AI26*AI27)),0,(AI26*AI27))</f>
        <v>0</v>
      </c>
      <c r="AJ28" s="1609"/>
      <c r="AK28" s="1609"/>
      <c r="AL28" s="1609"/>
      <c r="AM28" s="1609"/>
    </row>
    <row r="29" spans="1:39" ht="12.95" customHeight="1">
      <c r="B29" s="1186" t="s">
        <v>624</v>
      </c>
      <c r="C29" s="1187"/>
      <c r="D29" s="1187"/>
      <c r="E29" s="1187"/>
      <c r="F29" s="1187"/>
      <c r="G29" s="1187"/>
      <c r="H29" s="1187"/>
      <c r="I29" s="1187"/>
      <c r="J29" s="1187"/>
      <c r="K29" s="1187"/>
      <c r="L29" s="1187"/>
      <c r="M29" s="1187"/>
      <c r="N29" s="1187"/>
      <c r="O29" s="1187"/>
      <c r="P29" s="1187"/>
      <c r="Q29" s="1187"/>
      <c r="R29" s="1187"/>
      <c r="S29" s="1188"/>
      <c r="T29" s="1604">
        <f>T28+Y28+AD28+AI28</f>
        <v>15682996</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3" t="s">
        <v>1606</v>
      </c>
      <c r="Z35" s="1613"/>
      <c r="AA35" s="1613"/>
      <c r="AB35" s="1613"/>
      <c r="AC35" s="1613"/>
      <c r="AD35" s="1501" t="s">
        <v>41</v>
      </c>
      <c r="AE35" s="1501"/>
      <c r="AF35" s="1501"/>
      <c r="AG35" s="1501"/>
      <c r="AH35" s="1501"/>
    </row>
    <row r="36" spans="1:40" ht="12.95" customHeight="1">
      <c r="B36" s="204"/>
      <c r="X36" s="71"/>
      <c r="Y36" s="1613"/>
      <c r="Z36" s="1613"/>
      <c r="AA36" s="1613"/>
      <c r="AB36" s="1613"/>
      <c r="AC36" s="1613"/>
      <c r="AD36" s="1501"/>
      <c r="AE36" s="1501"/>
      <c r="AF36" s="1501"/>
      <c r="AG36" s="1501"/>
      <c r="AH36" s="1501"/>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1"/>
      <c r="AE37" s="1501"/>
      <c r="AF37" s="1501"/>
      <c r="AG37" s="1501"/>
      <c r="AH37" s="1501"/>
    </row>
    <row r="38" spans="1:40" ht="12.95" customHeight="1">
      <c r="A38" s="3"/>
      <c r="B38" s="1186" t="s">
        <v>844</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5" customHeight="1">
      <c r="B39" s="1186" t="s">
        <v>766</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3">
        <v>0.09</v>
      </c>
      <c r="Z39" s="1963"/>
      <c r="AA39" s="1963"/>
      <c r="AB39" s="1963"/>
      <c r="AC39" s="1963"/>
      <c r="AD39" s="1963">
        <f>'Basis &amp; Credits'!AD39:AH39</f>
        <v>0.04</v>
      </c>
      <c r="AE39" s="1963"/>
      <c r="AF39" s="1963"/>
      <c r="AG39" s="1963"/>
      <c r="AH39" s="1963"/>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6">
        <f>ROUND(AD38*AD39,0)</f>
        <v>0</v>
      </c>
      <c r="AE40" s="1206"/>
      <c r="AF40" s="1206"/>
      <c r="AG40" s="1206"/>
      <c r="AH40" s="1206"/>
    </row>
    <row r="41" spans="1:40" ht="12.95" customHeight="1">
      <c r="B41" s="1186" t="s">
        <v>618</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4">
        <f>IF((Y40+AD40)&gt;2500000,2500000,Y40+AD40)</f>
        <v>0</v>
      </c>
      <c r="Z41" s="1605"/>
      <c r="AA41" s="1605"/>
      <c r="AB41" s="1605"/>
      <c r="AC41" s="1605"/>
      <c r="AD41" s="1605"/>
      <c r="AE41" s="1605"/>
      <c r="AF41" s="1605"/>
      <c r="AG41" s="1605"/>
      <c r="AH41" s="1606"/>
    </row>
    <row r="42" spans="1:40" ht="12.95" customHeight="1">
      <c r="A42" s="3"/>
      <c r="B42" s="1638" t="s">
        <v>1163</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7">
        <f>'Sources and Uses Budget'!B104-'Sources and Uses Budget'!$B$15</f>
        <v>17956425</v>
      </c>
      <c r="AC46" s="1198"/>
      <c r="AD46" s="1198"/>
      <c r="AE46" s="1198"/>
      <c r="AF46" s="1199"/>
    </row>
    <row r="47" spans="1:40" ht="12.95" customHeight="1">
      <c r="D47" s="3" t="s">
        <v>838</v>
      </c>
      <c r="AB47" s="1197">
        <f>Application!AG633-MIN('Sources and Uses Budget'!B15,Application!AG385)</f>
        <v>0</v>
      </c>
      <c r="AC47" s="1198"/>
      <c r="AD47" s="1198"/>
      <c r="AE47" s="1198"/>
      <c r="AF47" s="1199"/>
    </row>
    <row r="48" spans="1:40" ht="12.95" customHeight="1">
      <c r="D48" s="3" t="s">
        <v>379</v>
      </c>
      <c r="AB48" s="1197">
        <f>AB46-AB47</f>
        <v>17956425</v>
      </c>
      <c r="AC48" s="1198"/>
      <c r="AD48" s="1198"/>
      <c r="AE48" s="1198"/>
      <c r="AF48" s="1199"/>
    </row>
    <row r="49" spans="1:40" ht="12.95" customHeight="1">
      <c r="D49" s="3" t="s">
        <v>873</v>
      </c>
      <c r="AA49" s="34"/>
      <c r="AB49" s="1633"/>
      <c r="AC49" s="1634"/>
      <c r="AD49" s="1634"/>
      <c r="AE49" s="1634"/>
      <c r="AF49" s="1635"/>
    </row>
    <row r="50" spans="1:40" s="323" customFormat="1" ht="12.95" customHeight="1">
      <c r="A50"/>
      <c r="B50"/>
      <c r="C50"/>
      <c r="D50"/>
      <c r="E50" s="1639" t="s">
        <v>1354</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0</v>
      </c>
      <c r="AC53" s="1198"/>
      <c r="AD53" s="1198"/>
      <c r="AE53" s="1198"/>
      <c r="AF53" s="1199"/>
    </row>
    <row r="54" spans="1:40" ht="12.95" customHeight="1">
      <c r="D54" s="3" t="s">
        <v>562</v>
      </c>
      <c r="AB54" s="1197">
        <f>(AB53/10)</f>
        <v>0</v>
      </c>
      <c r="AC54" s="1198"/>
      <c r="AD54" s="1198"/>
      <c r="AE54" s="1198"/>
      <c r="AF54" s="1199"/>
    </row>
    <row r="55" spans="1:40" ht="12.95" customHeight="1">
      <c r="D55" s="3" t="s">
        <v>342</v>
      </c>
      <c r="AB55" s="1965">
        <f>(IF((Y41&lt;AB54),Y41,AB54))</f>
        <v>0</v>
      </c>
      <c r="AC55" s="1966"/>
      <c r="AD55" s="1966"/>
      <c r="AE55" s="1966"/>
      <c r="AF55" s="1967"/>
    </row>
    <row r="56" spans="1:40" ht="12.95" customHeight="1">
      <c r="D56" s="3" t="s">
        <v>107</v>
      </c>
      <c r="AB56" s="1197">
        <f>ROUND((10*AB55*AB49),0)</f>
        <v>0</v>
      </c>
      <c r="AC56" s="1198"/>
      <c r="AD56" s="1198"/>
      <c r="AE56" s="1198"/>
      <c r="AF56" s="1199"/>
    </row>
    <row r="57" spans="1:40" ht="12.95" customHeight="1">
      <c r="D57" s="3"/>
      <c r="AB57" s="276"/>
      <c r="AC57" s="276"/>
      <c r="AD57" s="276"/>
      <c r="AE57" s="276"/>
      <c r="AF57" s="276"/>
    </row>
    <row r="58" spans="1:40" ht="12.95" customHeight="1">
      <c r="D58" s="3" t="s">
        <v>106</v>
      </c>
      <c r="AB58" s="1218">
        <f>AB48-AB56</f>
        <v>17956425</v>
      </c>
      <c r="AC58" s="1218"/>
      <c r="AD58" s="1218"/>
      <c r="AE58" s="1218"/>
      <c r="AF58" s="121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1752</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122</v>
      </c>
      <c r="C62" s="3" t="s">
        <v>510</v>
      </c>
      <c r="Y62" s="1173" t="s">
        <v>298</v>
      </c>
      <c r="Z62" s="1173"/>
      <c r="AA62" s="1173"/>
      <c r="AB62" s="1173"/>
      <c r="AC62" s="1173"/>
      <c r="AD62" s="1173" t="s">
        <v>41</v>
      </c>
      <c r="AE62" s="1173"/>
      <c r="AF62" s="1173"/>
      <c r="AG62" s="1173"/>
      <c r="AH62" s="1173"/>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6">
        <f>Y28</f>
        <v>0</v>
      </c>
      <c r="Z63" s="1636"/>
      <c r="AA63" s="1636"/>
      <c r="AB63" s="1636"/>
      <c r="AC63" s="1636"/>
      <c r="AD63" s="1206">
        <f>AI28</f>
        <v>0</v>
      </c>
      <c r="AE63" s="1636"/>
      <c r="AF63" s="1636"/>
      <c r="AG63" s="1636"/>
      <c r="AH63" s="1636"/>
    </row>
    <row r="64" spans="1:40" ht="12.95" customHeight="1">
      <c r="C64" s="3"/>
      <c r="E64" s="1643" t="s">
        <v>1290</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0.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2.95" customHeight="1">
      <c r="C67" s="3"/>
      <c r="D67" s="3" t="s">
        <v>942</v>
      </c>
      <c r="Y67" s="1206">
        <f>ROUND(Y63*Y66,0)</f>
        <v>0</v>
      </c>
      <c r="Z67" s="1636"/>
      <c r="AA67" s="1636"/>
      <c r="AB67" s="1636"/>
      <c r="AC67" s="1636"/>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33"/>
      <c r="AC70" s="1634"/>
      <c r="AD70" s="1634"/>
      <c r="AE70" s="1634"/>
      <c r="AF70" s="1635"/>
    </row>
    <row r="71" spans="1:34" ht="12.95" customHeight="1">
      <c r="A71" s="3"/>
      <c r="C71" s="3"/>
      <c r="D71" s="3"/>
      <c r="E71" s="1637" t="s">
        <v>1747</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5">
        <f>IF((Y67+AD67&lt;AB75),Y67+AD67,AB75)</f>
        <v>0</v>
      </c>
      <c r="AC76" s="1556"/>
      <c r="AD76" s="1556"/>
      <c r="AE76" s="1556"/>
      <c r="AF76" s="1557"/>
    </row>
    <row r="77" spans="1:34" ht="12.95" customHeight="1">
      <c r="C77" s="3"/>
      <c r="D77" s="3" t="s">
        <v>943</v>
      </c>
      <c r="AB77" s="1631">
        <f>AB76*AB70</f>
        <v>0</v>
      </c>
      <c r="AC77" s="1631"/>
      <c r="AD77" s="1631"/>
      <c r="AE77" s="1631"/>
      <c r="AF77" s="1631"/>
    </row>
    <row r="78" spans="1:34" ht="12.95" customHeight="1">
      <c r="C78" s="3"/>
      <c r="D78" s="3"/>
      <c r="AB78" s="598"/>
      <c r="AC78" s="598"/>
      <c r="AD78" s="598"/>
      <c r="AE78" s="598"/>
      <c r="AF78" s="598"/>
    </row>
    <row r="79" spans="1:34" ht="12.95" customHeight="1">
      <c r="D79" s="3" t="s">
        <v>106</v>
      </c>
      <c r="AB79" s="1218">
        <f>AB48-(AB56+AB77)</f>
        <v>17956425</v>
      </c>
      <c r="AC79" s="1218"/>
      <c r="AD79" s="1218"/>
      <c r="AE79" s="1218"/>
      <c r="AF79" s="121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550000</v>
      </c>
      <c r="C5" s="329">
        <f>'Sources and Uses Budget'!C4</f>
        <v>550000</v>
      </c>
      <c r="D5" s="329">
        <f>'Sources and Uses Budget'!C4</f>
        <v>550000</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550000</v>
      </c>
      <c r="C9" s="331">
        <f>SUM(C5:C8)</f>
        <v>550000</v>
      </c>
      <c r="D9" s="331">
        <f>SUM(D5:D8)</f>
        <v>550000</v>
      </c>
      <c r="E9" s="331">
        <f t="shared" si="0"/>
        <v>0</v>
      </c>
      <c r="F9" s="330"/>
      <c r="G9" s="330"/>
    </row>
    <row r="10" spans="1:7" s="568" customFormat="1" ht="12.75">
      <c r="A10" s="884" t="s">
        <v>586</v>
      </c>
      <c r="B10" s="329">
        <f>'Sources and Uses Budget'!C9</f>
        <v>6037315</v>
      </c>
      <c r="C10" s="329">
        <f>'Sources and Uses Budget'!C9</f>
        <v>6037315</v>
      </c>
      <c r="D10" s="329">
        <f>'Sources and Uses Budget'!C9</f>
        <v>6037315</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6037315</v>
      </c>
      <c r="C12" s="331">
        <f>SUM(C10:C11)</f>
        <v>6037315</v>
      </c>
      <c r="D12" s="331">
        <f>SUM(D10:D11)</f>
        <v>6037315</v>
      </c>
      <c r="E12" s="331">
        <f t="shared" si="0"/>
        <v>0</v>
      </c>
      <c r="F12" s="330"/>
      <c r="G12" s="330"/>
    </row>
    <row r="13" spans="1:7" s="568" customFormat="1" ht="12.75">
      <c r="A13" s="885" t="s">
        <v>712</v>
      </c>
      <c r="B13" s="331">
        <f>SUM(B9+B12)</f>
        <v>6587315</v>
      </c>
      <c r="C13" s="331">
        <f>SUM(C9+C12)</f>
        <v>6587315</v>
      </c>
      <c r="D13" s="331">
        <f>SUM(D9+D12)</f>
        <v>6587315</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182380</v>
      </c>
      <c r="C18" s="329">
        <f>'Sources and Uses Budget'!C17</f>
        <v>182380</v>
      </c>
      <c r="D18" s="329">
        <f>'Sources and Uses Budget'!C17</f>
        <v>182380</v>
      </c>
      <c r="E18" s="331">
        <f t="shared" si="0"/>
        <v>0</v>
      </c>
      <c r="F18" s="330"/>
      <c r="G18" s="330"/>
    </row>
    <row r="19" spans="1:7" s="568" customFormat="1" ht="12.75">
      <c r="A19" s="239" t="s">
        <v>912</v>
      </c>
      <c r="B19" s="329">
        <f>'Sources and Uses Budget'!C18</f>
        <v>4981971</v>
      </c>
      <c r="C19" s="329">
        <f>'Sources and Uses Budget'!C18</f>
        <v>4981971</v>
      </c>
      <c r="D19" s="329">
        <f>'Sources and Uses Budget'!C18</f>
        <v>4981971</v>
      </c>
      <c r="E19" s="331">
        <f t="shared" ref="E19:E26" si="1">C19-B19</f>
        <v>0</v>
      </c>
      <c r="F19" s="330"/>
      <c r="G19" s="330"/>
    </row>
    <row r="20" spans="1:7" s="568" customFormat="1" ht="12.75">
      <c r="A20" s="239" t="s">
        <v>913</v>
      </c>
      <c r="B20" s="329">
        <f>'Sources and Uses Budget'!C19</f>
        <v>309861</v>
      </c>
      <c r="C20" s="329">
        <f>'Sources and Uses Budget'!C19</f>
        <v>309861</v>
      </c>
      <c r="D20" s="329">
        <f>'Sources and Uses Budget'!C19</f>
        <v>309861</v>
      </c>
      <c r="E20" s="331">
        <f t="shared" si="1"/>
        <v>0</v>
      </c>
      <c r="F20" s="330"/>
      <c r="G20" s="330"/>
    </row>
    <row r="21" spans="1:7" s="568" customFormat="1" ht="12.75">
      <c r="A21" s="239" t="s">
        <v>914</v>
      </c>
      <c r="B21" s="329">
        <f>'Sources and Uses Budget'!C20</f>
        <v>103287</v>
      </c>
      <c r="C21" s="329">
        <f>'Sources and Uses Budget'!C20</f>
        <v>103287</v>
      </c>
      <c r="D21" s="329">
        <f>'Sources and Uses Budget'!C20</f>
        <v>103287</v>
      </c>
      <c r="E21" s="331">
        <f t="shared" si="1"/>
        <v>0</v>
      </c>
      <c r="F21" s="330"/>
      <c r="G21" s="330"/>
    </row>
    <row r="22" spans="1:7" s="568" customFormat="1" ht="12.75">
      <c r="A22" s="239" t="s">
        <v>915</v>
      </c>
      <c r="B22" s="329">
        <f>'Sources and Uses Budget'!C21</f>
        <v>309861</v>
      </c>
      <c r="C22" s="329">
        <f>'Sources and Uses Budget'!C21</f>
        <v>309861</v>
      </c>
      <c r="D22" s="329">
        <f>'Sources and Uses Budget'!C21</f>
        <v>309861</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70648</v>
      </c>
      <c r="C24" s="329">
        <f>'Sources and Uses Budget'!C23</f>
        <v>70648</v>
      </c>
      <c r="D24" s="329">
        <f>'Sources and Uses Budget'!C23</f>
        <v>70648</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15000</v>
      </c>
      <c r="C26" s="329">
        <f>'Sources and Uses Budget'!C25</f>
        <v>15000</v>
      </c>
      <c r="D26" s="329">
        <f>'Sources and Uses Budget'!C25</f>
        <v>15000</v>
      </c>
      <c r="E26" s="331">
        <f t="shared" si="1"/>
        <v>0</v>
      </c>
      <c r="F26" s="330"/>
      <c r="G26" s="330"/>
    </row>
    <row r="27" spans="1:7" s="568" customFormat="1" ht="12.75">
      <c r="A27" s="332" t="s">
        <v>222</v>
      </c>
      <c r="B27" s="894">
        <f>'Sources and Uses Budget'!C26</f>
        <v>5973008</v>
      </c>
      <c r="C27" s="894">
        <f>'Sources and Uses Budget'!C26</f>
        <v>5973008</v>
      </c>
      <c r="D27" s="894">
        <f>'Sources and Uses Budget'!C26</f>
        <v>5973008</v>
      </c>
      <c r="E27" s="331">
        <f>C27-B27</f>
        <v>0</v>
      </c>
      <c r="F27" s="330"/>
      <c r="G27" s="330"/>
    </row>
    <row r="28" spans="1:7" s="568" customFormat="1" ht="12.75">
      <c r="A28" s="887" t="s">
        <v>918</v>
      </c>
      <c r="B28" s="329">
        <f>'Sources and Uses Budget'!C27</f>
        <v>450000</v>
      </c>
      <c r="C28" s="329">
        <f>'Sources and Uses Budget'!C27</f>
        <v>450000</v>
      </c>
      <c r="D28" s="329">
        <f>'Sources and Uses Budget'!C27</f>
        <v>450000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0</v>
      </c>
      <c r="C30" s="329">
        <f>'Sources and Uses Budget'!C29</f>
        <v>0</v>
      </c>
      <c r="D30" s="329">
        <f>'Sources and Uses Budget'!C29</f>
        <v>0</v>
      </c>
      <c r="E30" s="331">
        <f t="shared" si="0"/>
        <v>0</v>
      </c>
      <c r="F30" s="330"/>
      <c r="G30" s="330"/>
    </row>
    <row r="31" spans="1:7" s="568" customFormat="1" ht="12.75">
      <c r="A31" s="239" t="s">
        <v>912</v>
      </c>
      <c r="B31" s="329">
        <f>'Sources and Uses Budget'!C30</f>
        <v>0</v>
      </c>
      <c r="C31" s="329">
        <f>'Sources and Uses Budget'!C30</f>
        <v>0</v>
      </c>
      <c r="D31" s="329">
        <f>'Sources and Uses Budget'!C30</f>
        <v>0</v>
      </c>
      <c r="E31" s="331">
        <f t="shared" si="0"/>
        <v>0</v>
      </c>
      <c r="F31" s="330"/>
      <c r="G31" s="330"/>
    </row>
    <row r="32" spans="1:7" s="568" customFormat="1" ht="12.75">
      <c r="A32" s="239" t="s">
        <v>913</v>
      </c>
      <c r="B32" s="329">
        <f>'Sources and Uses Budget'!C31</f>
        <v>0</v>
      </c>
      <c r="C32" s="329">
        <f>'Sources and Uses Budget'!C31</f>
        <v>0</v>
      </c>
      <c r="D32" s="329">
        <f>'Sources and Uses Budget'!C31</f>
        <v>0</v>
      </c>
      <c r="E32" s="331">
        <f t="shared" si="0"/>
        <v>0</v>
      </c>
      <c r="F32" s="330"/>
      <c r="G32" s="330"/>
    </row>
    <row r="33" spans="1:7" s="568" customFormat="1" ht="12.75">
      <c r="A33" s="239" t="s">
        <v>914</v>
      </c>
      <c r="B33" s="329">
        <f>'Sources and Uses Budget'!C32</f>
        <v>0</v>
      </c>
      <c r="C33" s="329">
        <f>'Sources and Uses Budget'!C32</f>
        <v>0</v>
      </c>
      <c r="D33" s="329">
        <f>'Sources and Uses Budget'!C32</f>
        <v>0</v>
      </c>
      <c r="E33" s="331">
        <f t="shared" si="0"/>
        <v>0</v>
      </c>
      <c r="F33" s="330"/>
      <c r="G33" s="330"/>
    </row>
    <row r="34" spans="1:7" s="568" customFormat="1" ht="12.75">
      <c r="A34" s="239" t="s">
        <v>915</v>
      </c>
      <c r="B34" s="329">
        <f>'Sources and Uses Budget'!C33</f>
        <v>0</v>
      </c>
      <c r="C34" s="329">
        <f>'Sources and Uses Budget'!C33</f>
        <v>0</v>
      </c>
      <c r="D34" s="329">
        <f>'Sources and Uses Budget'!C33</f>
        <v>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0</v>
      </c>
      <c r="C36" s="329">
        <f>'Sources and Uses Budget'!C35</f>
        <v>0</v>
      </c>
      <c r="D36" s="329">
        <f>'Sources and Uses Budget'!C35</f>
        <v>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0</v>
      </c>
      <c r="C39" s="894">
        <f>'Sources and Uses Budget'!C38</f>
        <v>0</v>
      </c>
      <c r="D39" s="894">
        <f>'Sources and Uses Budget'!C38</f>
        <v>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70300</v>
      </c>
      <c r="C41" s="329">
        <f>'Sources and Uses Budget'!C40</f>
        <v>70300</v>
      </c>
      <c r="D41" s="329">
        <f>'Sources and Uses Budget'!C40</f>
        <v>70300</v>
      </c>
      <c r="E41" s="331">
        <f>C41-B41</f>
        <v>0</v>
      </c>
      <c r="F41" s="330"/>
      <c r="G41" s="330"/>
    </row>
    <row r="42" spans="1:7" s="568" customFormat="1" ht="12.75">
      <c r="A42" s="888" t="s">
        <v>923</v>
      </c>
      <c r="B42" s="329">
        <f>'Sources and Uses Budget'!C41</f>
        <v>35150</v>
      </c>
      <c r="C42" s="329">
        <f>'Sources and Uses Budget'!C41</f>
        <v>35150</v>
      </c>
      <c r="D42" s="329">
        <f>'Sources and Uses Budget'!C41</f>
        <v>35150</v>
      </c>
      <c r="E42" s="331">
        <f>C42-B42</f>
        <v>0</v>
      </c>
      <c r="F42" s="330"/>
      <c r="G42" s="330"/>
    </row>
    <row r="43" spans="1:7" s="568" customFormat="1" ht="12" customHeight="1">
      <c r="A43" s="887" t="s">
        <v>924</v>
      </c>
      <c r="B43" s="894">
        <f>'Sources and Uses Budget'!C42</f>
        <v>105450</v>
      </c>
      <c r="C43" s="894">
        <f>'Sources and Uses Budget'!C42</f>
        <v>105450</v>
      </c>
      <c r="D43" s="894">
        <f>'Sources and Uses Budget'!C42</f>
        <v>105450</v>
      </c>
      <c r="E43" s="331">
        <f>C43-B43</f>
        <v>0</v>
      </c>
      <c r="F43" s="330"/>
      <c r="G43" s="330"/>
    </row>
    <row r="44" spans="1:7" s="568" customFormat="1" ht="12.75">
      <c r="A44" s="887" t="s">
        <v>925</v>
      </c>
      <c r="B44" s="329">
        <f>'Sources and Uses Budget'!C43</f>
        <v>85000</v>
      </c>
      <c r="C44" s="329">
        <f>'Sources and Uses Budget'!C43</f>
        <v>85000</v>
      </c>
      <c r="D44" s="329">
        <f>'Sources and Uses Budget'!C43</f>
        <v>85000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698062</v>
      </c>
      <c r="C46" s="329">
        <f>'Sources and Uses Budget'!C45</f>
        <v>698062</v>
      </c>
      <c r="D46" s="329">
        <f>'Sources and Uses Budget'!C45</f>
        <v>698062</v>
      </c>
      <c r="E46" s="331">
        <f t="shared" si="0"/>
        <v>0</v>
      </c>
      <c r="F46" s="330"/>
      <c r="G46" s="330"/>
    </row>
    <row r="47" spans="1:7" s="568" customFormat="1" ht="12.75">
      <c r="A47" s="239" t="s">
        <v>928</v>
      </c>
      <c r="B47" s="329">
        <f>'Sources and Uses Budget'!C46</f>
        <v>82125</v>
      </c>
      <c r="C47" s="329">
        <f>'Sources and Uses Budget'!C46</f>
        <v>82125</v>
      </c>
      <c r="D47" s="329">
        <f>'Sources and Uses Budget'!C46</f>
        <v>82125</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70648</v>
      </c>
      <c r="C49" s="329">
        <f>'Sources and Uses Budget'!C48</f>
        <v>70648</v>
      </c>
      <c r="D49" s="329">
        <f>'Sources and Uses Budget'!C48</f>
        <v>70648</v>
      </c>
      <c r="E49" s="331">
        <f t="shared" si="0"/>
        <v>0</v>
      </c>
      <c r="F49" s="330"/>
      <c r="G49" s="330"/>
    </row>
    <row r="50" spans="1:7" s="568" customFormat="1" ht="12.75">
      <c r="A50" s="239" t="s">
        <v>933</v>
      </c>
      <c r="B50" s="329">
        <f>'Sources and Uses Budget'!C49</f>
        <v>125000</v>
      </c>
      <c r="C50" s="329">
        <f>'Sources and Uses Budget'!C49</f>
        <v>125000</v>
      </c>
      <c r="D50" s="329">
        <f>'Sources and Uses Budget'!C49</f>
        <v>125000</v>
      </c>
      <c r="E50" s="331">
        <f t="shared" si="0"/>
        <v>0</v>
      </c>
      <c r="F50" s="330"/>
      <c r="G50" s="330"/>
    </row>
    <row r="51" spans="1:7" s="568" customFormat="1" ht="12.75">
      <c r="A51" s="239" t="s">
        <v>931</v>
      </c>
      <c r="B51" s="329">
        <f>'Sources and Uses Budget'!C50</f>
        <v>0</v>
      </c>
      <c r="C51" s="329">
        <f>'Sources and Uses Budget'!C50</f>
        <v>0</v>
      </c>
      <c r="D51" s="329">
        <f>'Sources and Uses Budget'!C50</f>
        <v>0</v>
      </c>
      <c r="E51" s="331">
        <f t="shared" si="0"/>
        <v>0</v>
      </c>
      <c r="F51" s="330"/>
      <c r="G51" s="330"/>
    </row>
    <row r="52" spans="1:7" s="569" customFormat="1" ht="12.75">
      <c r="A52" s="239" t="s">
        <v>932</v>
      </c>
      <c r="B52" s="329">
        <f>'Sources and Uses Budget'!C51</f>
        <v>0</v>
      </c>
      <c r="C52" s="329">
        <f>'Sources and Uses Budget'!C51</f>
        <v>0</v>
      </c>
      <c r="D52" s="329">
        <f>'Sources and Uses Budget'!C51</f>
        <v>0</v>
      </c>
      <c r="E52" s="331">
        <f t="shared" si="0"/>
        <v>0</v>
      </c>
      <c r="F52" s="330"/>
      <c r="G52" s="330"/>
    </row>
    <row r="53" spans="1:7" s="568" customFormat="1" ht="12.75">
      <c r="A53" s="246" t="s">
        <v>534</v>
      </c>
      <c r="B53" s="329">
        <f>'Sources and Uses Budget'!C52</f>
        <v>0</v>
      </c>
      <c r="C53" s="329">
        <f>'Sources and Uses Budget'!C52</f>
        <v>0</v>
      </c>
      <c r="D53" s="329">
        <f>'Sources and Uses Budget'!C52</f>
        <v>0</v>
      </c>
      <c r="E53" s="331">
        <f t="shared" si="0"/>
        <v>0</v>
      </c>
      <c r="F53" s="330"/>
      <c r="G53" s="330"/>
    </row>
    <row r="54" spans="1:7" s="568" customFormat="1" ht="12.75">
      <c r="A54" s="243" t="s">
        <v>934</v>
      </c>
      <c r="B54" s="894">
        <f>'Sources and Uses Budget'!C53</f>
        <v>975835</v>
      </c>
      <c r="C54" s="894">
        <f>'Sources and Uses Budget'!C53</f>
        <v>975835</v>
      </c>
      <c r="D54" s="894">
        <f>'Sources and Uses Budget'!C53</f>
        <v>975835</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72800</v>
      </c>
      <c r="C56" s="329">
        <f>'Sources and Uses Budget'!C55</f>
        <v>72800</v>
      </c>
      <c r="D56" s="329">
        <f>'Sources and Uses Budget'!C55</f>
        <v>72800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0</v>
      </c>
      <c r="C58" s="329">
        <f>'Sources and Uses Budget'!C57</f>
        <v>0</v>
      </c>
      <c r="D58" s="329">
        <f>'Sources and Uses Budget'!C57</f>
        <v>0</v>
      </c>
      <c r="E58" s="331">
        <f t="shared" si="0"/>
        <v>0</v>
      </c>
      <c r="F58" s="330"/>
      <c r="G58" s="330"/>
    </row>
    <row r="59" spans="1:7" s="568" customFormat="1" ht="12.75">
      <c r="A59" s="888" t="s">
        <v>931</v>
      </c>
      <c r="B59" s="329">
        <f>'Sources and Uses Budget'!C58</f>
        <v>10000</v>
      </c>
      <c r="C59" s="329">
        <f>'Sources and Uses Budget'!C58</f>
        <v>10000</v>
      </c>
      <c r="D59" s="329">
        <f>'Sources and Uses Budget'!C58</f>
        <v>10000</v>
      </c>
      <c r="E59" s="331">
        <f t="shared" si="0"/>
        <v>0</v>
      </c>
      <c r="F59" s="330"/>
      <c r="G59" s="330"/>
    </row>
    <row r="60" spans="1:7" s="568" customFormat="1" ht="12.75">
      <c r="A60" s="888" t="s">
        <v>932</v>
      </c>
      <c r="B60" s="329">
        <f>'Sources and Uses Budget'!C59</f>
        <v>120784</v>
      </c>
      <c r="C60" s="329">
        <f>'Sources and Uses Budget'!C59</f>
        <v>120784</v>
      </c>
      <c r="D60" s="329">
        <f>'Sources and Uses Budget'!C59</f>
        <v>120784</v>
      </c>
      <c r="E60" s="331">
        <f t="shared" si="0"/>
        <v>0</v>
      </c>
      <c r="F60" s="330"/>
      <c r="G60" s="330"/>
    </row>
    <row r="61" spans="1:7" s="568" customFormat="1" ht="13.9" customHeight="1">
      <c r="A61" s="889" t="s">
        <v>534</v>
      </c>
      <c r="B61" s="329">
        <f>'Sources and Uses Budget'!C60</f>
        <v>47280</v>
      </c>
      <c r="C61" s="329">
        <f>'Sources and Uses Budget'!C60</f>
        <v>47280</v>
      </c>
      <c r="D61" s="329">
        <f>'Sources and Uses Budget'!C60</f>
        <v>47280</v>
      </c>
      <c r="E61" s="331">
        <f t="shared" si="0"/>
        <v>0</v>
      </c>
      <c r="F61" s="330"/>
      <c r="G61" s="330"/>
    </row>
    <row r="62" spans="1:7" s="568" customFormat="1" ht="12.75">
      <c r="A62" s="887" t="s">
        <v>501</v>
      </c>
      <c r="B62" s="894">
        <f>'Sources and Uses Budget'!C61</f>
        <v>250864</v>
      </c>
      <c r="C62" s="894">
        <f>'Sources and Uses Budget'!C61</f>
        <v>250864</v>
      </c>
      <c r="D62" s="894">
        <f>'Sources and Uses Budget'!C61</f>
        <v>250864</v>
      </c>
      <c r="E62" s="331">
        <f t="shared" si="0"/>
        <v>0</v>
      </c>
      <c r="F62" s="330"/>
      <c r="G62" s="330"/>
    </row>
    <row r="63" spans="1:7" s="568" customFormat="1" ht="12.75">
      <c r="A63" s="890" t="s">
        <v>502</v>
      </c>
      <c r="B63" s="894">
        <f>'Sources and Uses Budget'!C62</f>
        <v>14427472</v>
      </c>
      <c r="C63" s="894">
        <f>'Sources and Uses Budget'!C62</f>
        <v>14427472</v>
      </c>
      <c r="D63" s="894">
        <f>'Sources and Uses Budget'!C62</f>
        <v>14427472</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110000</v>
      </c>
      <c r="C65" s="329">
        <f>'Sources and Uses Budget'!C64</f>
        <v>110000</v>
      </c>
      <c r="D65" s="329">
        <f>'Sources and Uses Budget'!C64</f>
        <v>110000</v>
      </c>
      <c r="E65" s="331">
        <f t="shared" si="0"/>
        <v>0</v>
      </c>
      <c r="F65" s="330"/>
      <c r="G65" s="330"/>
    </row>
    <row r="66" spans="1:7" s="568" customFormat="1" ht="24">
      <c r="A66" s="239" t="s">
        <v>1958</v>
      </c>
      <c r="B66" s="329">
        <f>'Sources and Uses Budget'!C65</f>
        <v>15000</v>
      </c>
      <c r="C66" s="329">
        <f>'Sources and Uses Budget'!C65</f>
        <v>15000</v>
      </c>
      <c r="D66" s="329">
        <f>'Sources and Uses Budget'!C65</f>
        <v>15000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225000</v>
      </c>
      <c r="C69" s="329">
        <f>'Sources and Uses Budget'!C68</f>
        <v>225000</v>
      </c>
      <c r="D69" s="329">
        <f>'Sources and Uses Budget'!C68</f>
        <v>225000</v>
      </c>
      <c r="E69" s="331">
        <f t="shared" si="0"/>
        <v>0</v>
      </c>
      <c r="F69" s="330"/>
      <c r="G69" s="330"/>
    </row>
    <row r="70" spans="1:7" s="568" customFormat="1" ht="12.75">
      <c r="A70" s="243" t="s">
        <v>1961</v>
      </c>
      <c r="B70" s="894">
        <f>'Sources and Uses Budget'!C69</f>
        <v>350000</v>
      </c>
      <c r="C70" s="894">
        <f>'Sources and Uses Budget'!C69</f>
        <v>350000</v>
      </c>
      <c r="D70" s="894">
        <f>'Sources and Uses Budget'!C69</f>
        <v>350000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242880</v>
      </c>
      <c r="C74" s="329">
        <f>'Sources and Uses Budget'!C73</f>
        <v>242880</v>
      </c>
      <c r="D74" s="329">
        <f>'Sources and Uses Budget'!C73</f>
        <v>242880</v>
      </c>
      <c r="E74" s="331">
        <f>C74-B74</f>
        <v>0</v>
      </c>
      <c r="F74" s="330"/>
      <c r="G74" s="330"/>
    </row>
    <row r="75" spans="1:7" s="568" customFormat="1" ht="12.75">
      <c r="A75" s="888" t="s">
        <v>288</v>
      </c>
      <c r="B75" s="329">
        <f>'Sources and Uses Budget'!C74</f>
        <v>370000</v>
      </c>
      <c r="C75" s="329">
        <f>'Sources and Uses Budget'!C74</f>
        <v>370000</v>
      </c>
      <c r="D75" s="329">
        <f>'Sources and Uses Budget'!C74</f>
        <v>370000</v>
      </c>
      <c r="E75" s="331">
        <f>C75-B75</f>
        <v>0</v>
      </c>
      <c r="F75" s="330"/>
      <c r="G75" s="330"/>
    </row>
    <row r="76" spans="1:7" s="568" customFormat="1" ht="12.75">
      <c r="A76" s="892" t="s">
        <v>534</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612880</v>
      </c>
      <c r="C77" s="894">
        <f>'Sources and Uses Budget'!C76</f>
        <v>612880</v>
      </c>
      <c r="D77" s="894">
        <f>'Sources and Uses Budget'!C76</f>
        <v>612880</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588736</v>
      </c>
      <c r="C79" s="329">
        <f>'Sources and Uses Budget'!C78</f>
        <v>588736</v>
      </c>
      <c r="D79" s="329">
        <f>'Sources and Uses Budget'!C78</f>
        <v>588736</v>
      </c>
      <c r="E79" s="331">
        <f t="shared" ref="E79:E105" si="2">C79-B79</f>
        <v>0</v>
      </c>
      <c r="F79" s="330"/>
      <c r="G79" s="330"/>
    </row>
    <row r="80" spans="1:7" s="568" customFormat="1" ht="12.75">
      <c r="A80" s="888" t="s">
        <v>539</v>
      </c>
      <c r="B80" s="329">
        <f>'Sources and Uses Budget'!C79</f>
        <v>75000</v>
      </c>
      <c r="C80" s="329">
        <f>'Sources and Uses Budget'!C79</f>
        <v>75000</v>
      </c>
      <c r="D80" s="329">
        <f>'Sources and Uses Budget'!C79</f>
        <v>75000</v>
      </c>
      <c r="E80" s="331">
        <f t="shared" si="2"/>
        <v>0</v>
      </c>
      <c r="F80" s="330"/>
      <c r="G80" s="330"/>
    </row>
    <row r="81" spans="1:7" s="568" customFormat="1" ht="12.75">
      <c r="A81" s="887" t="s">
        <v>1744</v>
      </c>
      <c r="B81" s="894">
        <f>'Sources and Uses Budget'!C80</f>
        <v>663736</v>
      </c>
      <c r="C81" s="894">
        <f>'Sources and Uses Budget'!C80</f>
        <v>663736</v>
      </c>
      <c r="D81" s="894">
        <f>'Sources and Uses Budget'!C80</f>
        <v>663736</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36620</v>
      </c>
      <c r="C83" s="329">
        <f>'Sources and Uses Budget'!C82</f>
        <v>36620</v>
      </c>
      <c r="D83" s="329">
        <f>'Sources and Uses Budget'!C82</f>
        <v>36620</v>
      </c>
      <c r="E83" s="331">
        <f t="shared" si="2"/>
        <v>0</v>
      </c>
      <c r="F83" s="330"/>
      <c r="G83" s="330"/>
    </row>
    <row r="84" spans="1:7" s="568" customFormat="1" ht="12.75">
      <c r="A84" s="239" t="s">
        <v>517</v>
      </c>
      <c r="B84" s="329">
        <f>'Sources and Uses Budget'!C83</f>
        <v>50000</v>
      </c>
      <c r="C84" s="329">
        <f>'Sources and Uses Budget'!C83</f>
        <v>50000</v>
      </c>
      <c r="D84" s="329">
        <f>'Sources and Uses Budget'!C83</f>
        <v>50000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57000</v>
      </c>
      <c r="C86" s="329">
        <f>'Sources and Uses Budget'!C85</f>
        <v>57000</v>
      </c>
      <c r="D86" s="329">
        <f>'Sources and Uses Budget'!C85</f>
        <v>57000</v>
      </c>
      <c r="E86" s="331">
        <f t="shared" si="2"/>
        <v>0</v>
      </c>
      <c r="F86" s="330"/>
      <c r="G86" s="330"/>
    </row>
    <row r="87" spans="1:7" s="568" customFormat="1" ht="12.75">
      <c r="A87" s="239" t="s">
        <v>520</v>
      </c>
      <c r="B87" s="329">
        <f>'Sources and Uses Budget'!C86</f>
        <v>97500</v>
      </c>
      <c r="C87" s="329">
        <f>'Sources and Uses Budget'!C86</f>
        <v>97500</v>
      </c>
      <c r="D87" s="329">
        <f>'Sources and Uses Budget'!C86</f>
        <v>97500</v>
      </c>
      <c r="E87" s="331">
        <f t="shared" si="2"/>
        <v>0</v>
      </c>
      <c r="F87" s="330"/>
      <c r="G87" s="330"/>
    </row>
    <row r="88" spans="1:7" s="568" customFormat="1" ht="12.75">
      <c r="A88" s="239" t="s">
        <v>521</v>
      </c>
      <c r="B88" s="329">
        <f>'Sources and Uses Budget'!C87</f>
        <v>0</v>
      </c>
      <c r="C88" s="329">
        <f>'Sources and Uses Budget'!C87</f>
        <v>0</v>
      </c>
      <c r="D88" s="329">
        <f>'Sources and Uses Budget'!C87</f>
        <v>0</v>
      </c>
      <c r="E88" s="331">
        <f t="shared" si="2"/>
        <v>0</v>
      </c>
      <c r="F88" s="330"/>
      <c r="G88" s="330"/>
    </row>
    <row r="89" spans="1:7" s="568" customFormat="1" ht="12.75">
      <c r="A89" s="239" t="s">
        <v>522</v>
      </c>
      <c r="B89" s="329">
        <f>'Sources and Uses Budget'!C88</f>
        <v>0</v>
      </c>
      <c r="C89" s="329">
        <f>'Sources and Uses Budget'!C88</f>
        <v>0</v>
      </c>
      <c r="D89" s="329">
        <f>'Sources and Uses Budget'!C88</f>
        <v>0</v>
      </c>
      <c r="E89" s="331">
        <f t="shared" si="2"/>
        <v>0</v>
      </c>
      <c r="F89" s="330"/>
      <c r="G89" s="330"/>
    </row>
    <row r="90" spans="1:7" s="568" customFormat="1" ht="12.75">
      <c r="A90" s="239" t="s">
        <v>523</v>
      </c>
      <c r="B90" s="329">
        <f>'Sources and Uses Budget'!C89</f>
        <v>15000</v>
      </c>
      <c r="C90" s="329">
        <f>'Sources and Uses Budget'!C89</f>
        <v>15000</v>
      </c>
      <c r="D90" s="329">
        <f>'Sources and Uses Budget'!C89</f>
        <v>15000</v>
      </c>
      <c r="E90" s="331">
        <f t="shared" si="2"/>
        <v>0</v>
      </c>
      <c r="F90" s="330"/>
      <c r="G90" s="330"/>
    </row>
    <row r="91" spans="1:7" s="568" customFormat="1" ht="12.75">
      <c r="A91" s="250" t="s">
        <v>1316</v>
      </c>
      <c r="B91" s="329">
        <f>'Sources and Uses Budget'!C90</f>
        <v>35000</v>
      </c>
      <c r="C91" s="329">
        <f>'Sources and Uses Budget'!C90</f>
        <v>35000</v>
      </c>
      <c r="D91" s="329">
        <f>'Sources and Uses Budget'!C90</f>
        <v>35000</v>
      </c>
      <c r="E91" s="331">
        <f t="shared" si="2"/>
        <v>0</v>
      </c>
      <c r="F91" s="330"/>
      <c r="G91" s="330"/>
    </row>
    <row r="92" spans="1:7" s="568" customFormat="1" ht="12.75">
      <c r="A92" s="250" t="s">
        <v>1742</v>
      </c>
      <c r="B92" s="329">
        <f>'Sources and Uses Budget'!C91</f>
        <v>20000</v>
      </c>
      <c r="C92" s="329">
        <f>'Sources and Uses Budget'!C91</f>
        <v>20000</v>
      </c>
      <c r="D92" s="329">
        <f>'Sources and Uses Budget'!C91</f>
        <v>20000</v>
      </c>
      <c r="E92" s="331">
        <f t="shared" si="2"/>
        <v>0</v>
      </c>
      <c r="F92" s="330"/>
      <c r="G92" s="330"/>
    </row>
    <row r="93" spans="1:7" s="568" customFormat="1" ht="12.75">
      <c r="A93" s="246" t="s">
        <v>534</v>
      </c>
      <c r="B93" s="329">
        <f>'Sources and Uses Budget'!C92</f>
        <v>15000</v>
      </c>
      <c r="C93" s="329">
        <f>'Sources and Uses Budget'!C92</f>
        <v>15000</v>
      </c>
      <c r="D93" s="329">
        <f>'Sources and Uses Budget'!C92</f>
        <v>15000</v>
      </c>
      <c r="E93" s="331">
        <f t="shared" si="2"/>
        <v>0</v>
      </c>
      <c r="F93" s="330"/>
      <c r="G93" s="330"/>
    </row>
    <row r="94" spans="1:7" s="568" customFormat="1" ht="12.75">
      <c r="A94" s="246" t="s">
        <v>534</v>
      </c>
      <c r="B94" s="329">
        <f>'Sources and Uses Budget'!C93</f>
        <v>30000</v>
      </c>
      <c r="C94" s="329">
        <f>'Sources and Uses Budget'!C93</f>
        <v>30000</v>
      </c>
      <c r="D94" s="329">
        <f>'Sources and Uses Budget'!C93</f>
        <v>30000</v>
      </c>
      <c r="E94" s="331">
        <f t="shared" si="2"/>
        <v>0</v>
      </c>
      <c r="F94" s="330"/>
      <c r="G94" s="330"/>
    </row>
    <row r="95" spans="1:7" s="568" customFormat="1" ht="12.75">
      <c r="A95" s="246" t="s">
        <v>534</v>
      </c>
      <c r="B95" s="329">
        <f>'Sources and Uses Budget'!C94</f>
        <v>15000</v>
      </c>
      <c r="C95" s="329">
        <f>'Sources and Uses Budget'!C94</f>
        <v>15000</v>
      </c>
      <c r="D95" s="329">
        <f>'Sources and Uses Budget'!C94</f>
        <v>15000</v>
      </c>
      <c r="E95" s="331">
        <f t="shared" si="2"/>
        <v>0</v>
      </c>
      <c r="F95" s="330"/>
      <c r="G95" s="330"/>
    </row>
    <row r="96" spans="1:7" s="568" customFormat="1" ht="12.75">
      <c r="A96" s="243" t="s">
        <v>524</v>
      </c>
      <c r="B96" s="894">
        <f>'Sources and Uses Budget'!C95</f>
        <v>371120</v>
      </c>
      <c r="C96" s="894">
        <f>'Sources and Uses Budget'!C95</f>
        <v>371120</v>
      </c>
      <c r="D96" s="894">
        <f>'Sources and Uses Budget'!C95</f>
        <v>371120</v>
      </c>
      <c r="E96" s="331">
        <f t="shared" si="2"/>
        <v>0</v>
      </c>
      <c r="F96" s="330"/>
      <c r="G96" s="330"/>
    </row>
    <row r="97" spans="1:7" s="568" customFormat="1" ht="12.75">
      <c r="A97" s="243" t="s">
        <v>525</v>
      </c>
      <c r="B97" s="894">
        <f>'Sources and Uses Budget'!C96</f>
        <v>16425208</v>
      </c>
      <c r="C97" s="894">
        <f>'Sources and Uses Budget'!C96</f>
        <v>16425208</v>
      </c>
      <c r="D97" s="894">
        <f>'Sources and Uses Budget'!C96</f>
        <v>16425208</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1531217</v>
      </c>
      <c r="C99" s="329">
        <f>'Sources and Uses Budget'!C98</f>
        <v>1531217</v>
      </c>
      <c r="D99" s="329">
        <f>'Sources and Uses Budget'!C98</f>
        <v>1531217</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1531217</v>
      </c>
      <c r="C104" s="894">
        <f>'Sources and Uses Budget'!C103</f>
        <v>1531217</v>
      </c>
      <c r="D104" s="894">
        <f>'Sources and Uses Budget'!C103</f>
        <v>1531217</v>
      </c>
      <c r="E104" s="331">
        <f t="shared" si="2"/>
        <v>0</v>
      </c>
      <c r="F104" s="330"/>
      <c r="G104" s="330"/>
    </row>
    <row r="105" spans="1:7" s="568" customFormat="1" ht="12.75">
      <c r="A105" s="887" t="s">
        <v>530</v>
      </c>
      <c r="B105" s="894">
        <f>'Sources and Uses Budget'!C104</f>
        <v>17956425</v>
      </c>
      <c r="C105" s="894">
        <f>'Sources and Uses Budget'!C104</f>
        <v>17956425</v>
      </c>
      <c r="D105" s="894">
        <f>'Sources and Uses Budget'!C104</f>
        <v>17956425</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9" workbookViewId="0">
      <selection activeCell="A5" sqref="A5:J6"/>
    </sheetView>
  </sheetViews>
  <sheetFormatPr defaultColWidth="0" defaultRowHeight="12.75" zeroHeight="1"/>
  <cols>
    <col min="1" max="10" width="9.140625" customWidth="1"/>
    <col min="11" max="16384" width="8.85546875" hidden="1"/>
  </cols>
  <sheetData>
    <row r="1" spans="1:10" ht="14.25" customHeight="1"/>
    <row r="2" spans="1:10" ht="15.75">
      <c r="A2" s="989" t="s">
        <v>300</v>
      </c>
      <c r="B2" s="990"/>
      <c r="C2" s="990"/>
      <c r="D2" s="990"/>
      <c r="E2" s="990"/>
      <c r="F2" s="990"/>
      <c r="G2" s="990"/>
      <c r="H2" s="990"/>
      <c r="I2" s="990"/>
      <c r="J2" s="990"/>
    </row>
    <row r="3" spans="1:10" ht="15">
      <c r="A3" s="991" t="s">
        <v>2304</v>
      </c>
      <c r="B3" s="990"/>
      <c r="C3" s="990"/>
      <c r="D3" s="990"/>
      <c r="E3" s="990"/>
      <c r="F3" s="990"/>
      <c r="G3" s="990"/>
      <c r="H3" s="990"/>
      <c r="I3" s="990"/>
      <c r="J3" s="990"/>
    </row>
    <row r="4" spans="1:10"/>
    <row r="5" spans="1:10" ht="12.75" customHeight="1">
      <c r="A5" s="996" t="s">
        <v>2171</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2101</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92" t="s">
        <v>1871</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5" t="s">
        <v>1019</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1036</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1019</v>
      </c>
    </row>
    <row r="66" spans="1:9"/>
    <row r="67" spans="1:9"/>
    <row r="68" spans="1:9"/>
    <row r="69" spans="1:9"/>
    <row r="70" spans="1:9"/>
    <row r="71" spans="1:9"/>
    <row r="72" spans="1:9"/>
    <row r="73" spans="1:9"/>
    <row r="74" spans="1:9"/>
    <row r="75" spans="1:9"/>
    <row r="76" spans="1:9">
      <c r="A76" s="988" t="s">
        <v>1143</v>
      </c>
      <c r="B76" s="988"/>
      <c r="C76" s="988"/>
      <c r="D76" s="988"/>
      <c r="E76" s="988"/>
      <c r="F76" s="988"/>
      <c r="G76" s="988"/>
      <c r="H76" s="988"/>
      <c r="I76" s="988"/>
    </row>
    <row r="77" spans="1:9">
      <c r="A77" s="987" t="s">
        <v>1289</v>
      </c>
      <c r="B77" s="987"/>
      <c r="C77" s="987"/>
      <c r="D77" s="987"/>
      <c r="E77" s="987"/>
      <c r="F77" s="668"/>
    </row>
    <row r="78" spans="1:9">
      <c r="A78" s="987" t="s">
        <v>1288</v>
      </c>
      <c r="B78" s="987"/>
      <c r="C78" s="987"/>
      <c r="D78" s="987"/>
      <c r="E78" s="987"/>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73" workbookViewId="0">
      <selection activeCell="B1207" sqref="B120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3" t="s">
        <v>2305</v>
      </c>
      <c r="B2" s="1043"/>
      <c r="C2" s="990"/>
      <c r="D2" s="990"/>
      <c r="E2" s="990"/>
      <c r="F2" s="990"/>
      <c r="G2" s="990"/>
      <c r="I2" t="s">
        <v>79</v>
      </c>
    </row>
    <row r="3" spans="1:9" ht="12.75">
      <c r="A3" s="190"/>
      <c r="B3" s="190"/>
      <c r="C3"/>
      <c r="D3"/>
      <c r="E3"/>
      <c r="F3"/>
      <c r="G3"/>
      <c r="I3" s="5" t="s">
        <v>1393</v>
      </c>
    </row>
    <row r="4" spans="1:9" ht="12.75">
      <c r="A4" s="1044" t="s">
        <v>2137</v>
      </c>
      <c r="B4" s="1044"/>
      <c r="C4" s="1045"/>
      <c r="D4" s="1045"/>
      <c r="E4" s="1045"/>
      <c r="F4" s="1045"/>
      <c r="G4" s="1045"/>
      <c r="I4" s="5" t="s">
        <v>1377</v>
      </c>
    </row>
    <row r="5" spans="1:9" ht="12.75">
      <c r="A5" s="1044" t="s">
        <v>1042</v>
      </c>
      <c r="B5" s="1044"/>
      <c r="C5" s="1045"/>
      <c r="D5" s="1045"/>
      <c r="E5" s="1045"/>
      <c r="F5" s="1045"/>
      <c r="G5" s="1045"/>
      <c r="I5" t="s">
        <v>124</v>
      </c>
    </row>
    <row r="6" spans="1:9" ht="13.7" customHeight="1"/>
    <row r="7" spans="1:9" ht="12.75">
      <c r="A7" s="1047" t="s">
        <v>2317</v>
      </c>
      <c r="B7" s="1047"/>
      <c r="C7" s="1047"/>
      <c r="D7" s="1047"/>
      <c r="E7" s="1047"/>
      <c r="F7" s="1047"/>
      <c r="G7" s="1047"/>
    </row>
    <row r="8" spans="1:9" ht="12.75">
      <c r="A8" s="1047"/>
      <c r="B8" s="1047"/>
      <c r="C8" s="1047"/>
      <c r="D8" s="1047"/>
      <c r="E8" s="1047"/>
      <c r="F8" s="1047"/>
      <c r="G8" s="1047"/>
    </row>
    <row r="9" spans="1:9" ht="12.75">
      <c r="A9" s="192"/>
      <c r="B9" s="192"/>
      <c r="C9" s="190"/>
      <c r="D9" s="190"/>
      <c r="E9" s="190"/>
      <c r="F9" s="190"/>
      <c r="G9" s="190"/>
    </row>
    <row r="10" spans="1:9" ht="12.75">
      <c r="A10" s="1033" t="s">
        <v>1545</v>
      </c>
      <c r="B10" s="1033"/>
      <c r="C10" s="1033"/>
      <c r="D10" s="1033"/>
      <c r="E10" s="1033"/>
      <c r="F10" s="1033"/>
      <c r="G10" s="1033"/>
    </row>
    <row r="11" spans="1:9" ht="12.75">
      <c r="A11" s="190"/>
      <c r="B11" s="190"/>
    </row>
    <row r="12" spans="1:9" ht="13.7" customHeight="1">
      <c r="C12" s="190"/>
      <c r="D12" s="1046" t="s">
        <v>1544</v>
      </c>
      <c r="E12" s="1046"/>
      <c r="F12" s="1046"/>
      <c r="G12" s="610"/>
    </row>
    <row r="13" spans="1:9" ht="12.75">
      <c r="C13" s="190"/>
      <c r="D13" s="1046"/>
      <c r="E13" s="1046"/>
      <c r="F13" s="1046"/>
      <c r="G13" s="610"/>
    </row>
    <row r="14" spans="1:9" ht="12.75">
      <c r="A14" s="191"/>
      <c r="B14" s="191"/>
      <c r="C14" s="191"/>
      <c r="D14" s="999" t="s">
        <v>1415</v>
      </c>
      <c r="E14" s="999"/>
      <c r="F14" s="999"/>
    </row>
    <row r="15" spans="1:9" ht="12.75">
      <c r="A15" s="191"/>
      <c r="B15" s="191"/>
      <c r="C15" s="191"/>
    </row>
    <row r="16" spans="1:9" ht="14.45" customHeight="1">
      <c r="A16" s="271"/>
      <c r="B16" s="609" t="s">
        <v>124</v>
      </c>
      <c r="C16" s="191"/>
      <c r="D16" s="972" t="s">
        <v>2066</v>
      </c>
      <c r="E16" s="979"/>
      <c r="F16" s="979"/>
      <c r="G16" s="354"/>
    </row>
    <row r="17" spans="1:7" ht="14.45" customHeight="1">
      <c r="A17" s="271"/>
      <c r="C17" s="191"/>
      <c r="D17" s="979"/>
      <c r="E17" s="979"/>
      <c r="F17" s="979"/>
      <c r="G17" s="354"/>
    </row>
    <row r="18" spans="1:7" ht="12.75">
      <c r="A18" s="191"/>
      <c r="C18" s="191"/>
      <c r="D18" s="979"/>
      <c r="E18" s="979"/>
      <c r="F18" s="979"/>
      <c r="G18" s="354"/>
    </row>
    <row r="19" spans="1:7" ht="12.75">
      <c r="A19" s="191"/>
      <c r="C19" s="191"/>
      <c r="D19" s="24"/>
      <c r="E19" s="128" t="s">
        <v>2067</v>
      </c>
      <c r="F19" s="24"/>
      <c r="G19" s="354"/>
    </row>
    <row r="20" spans="1:7" ht="12.75">
      <c r="A20" s="191"/>
      <c r="B20" s="191"/>
      <c r="C20" s="191"/>
    </row>
    <row r="21" spans="1:7" ht="14.25">
      <c r="A21" s="271"/>
      <c r="B21" s="609" t="s">
        <v>1377</v>
      </c>
      <c r="D21" s="972" t="s">
        <v>2068</v>
      </c>
      <c r="E21" s="979"/>
      <c r="F21" s="979"/>
    </row>
    <row r="22" spans="1:7" ht="12.75">
      <c r="D22" s="979"/>
      <c r="E22" s="979"/>
      <c r="F22" s="979"/>
    </row>
    <row r="23" spans="1:7" ht="12.75">
      <c r="D23" s="102"/>
      <c r="E23" s="104" t="s">
        <v>2069</v>
      </c>
      <c r="F23" s="102"/>
    </row>
    <row r="24" spans="1:7" ht="14.25">
      <c r="A24" s="271"/>
      <c r="B24" s="271"/>
      <c r="D24" s="44"/>
    </row>
    <row r="25" spans="1:7" ht="14.25">
      <c r="A25" s="271"/>
      <c r="B25" s="609" t="s">
        <v>124</v>
      </c>
      <c r="D25" s="979" t="s">
        <v>1409</v>
      </c>
      <c r="E25" s="979"/>
      <c r="F25" s="979"/>
    </row>
    <row r="26" spans="1:7" ht="14.25">
      <c r="A26" s="271"/>
      <c r="B26" s="271"/>
      <c r="D26" s="979"/>
      <c r="E26" s="979"/>
      <c r="F26" s="979"/>
    </row>
    <row r="27" spans="1:7" ht="14.25">
      <c r="A27" s="271"/>
      <c r="B27" s="271"/>
      <c r="D27" s="44"/>
    </row>
    <row r="28" spans="1:7" ht="14.25" customHeight="1">
      <c r="A28" s="271"/>
      <c r="B28" s="609" t="s">
        <v>1377</v>
      </c>
      <c r="D28" s="972" t="s">
        <v>2138</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9" t="s">
        <v>2139</v>
      </c>
      <c r="E34" s="979"/>
      <c r="F34" s="979"/>
    </row>
    <row r="35" spans="1:6" ht="14.25">
      <c r="A35" s="271"/>
      <c r="B35" s="271"/>
      <c r="D35" s="979"/>
      <c r="E35" s="979"/>
      <c r="F35" s="979"/>
    </row>
    <row r="36" spans="1:6" ht="14.25">
      <c r="A36" s="271"/>
      <c r="B36" s="271"/>
      <c r="D36" s="209"/>
      <c r="E36" s="209"/>
      <c r="F36" s="209"/>
    </row>
    <row r="37" spans="1:6" ht="14.25">
      <c r="A37" s="271"/>
      <c r="B37" s="609" t="s">
        <v>1377</v>
      </c>
      <c r="D37" s="972" t="s">
        <v>1755</v>
      </c>
      <c r="E37" s="979"/>
      <c r="F37" s="979"/>
    </row>
    <row r="38" spans="1:6" ht="14.25">
      <c r="A38" s="271"/>
      <c r="B38" s="271"/>
      <c r="D38" s="979"/>
      <c r="E38" s="979"/>
      <c r="F38" s="979"/>
    </row>
    <row r="39" spans="1:6" ht="14.25">
      <c r="A39" s="271"/>
      <c r="B39" s="271"/>
      <c r="D39" s="979"/>
      <c r="E39" s="979"/>
      <c r="F39" s="979"/>
    </row>
    <row r="40" spans="1:6" ht="14.25">
      <c r="A40" s="271"/>
      <c r="B40" s="271"/>
      <c r="D40" s="979"/>
      <c r="E40" s="979"/>
      <c r="F40" s="979"/>
    </row>
    <row r="41" spans="1:6" ht="14.25">
      <c r="A41" s="271"/>
      <c r="B41" s="271"/>
      <c r="D41" s="979"/>
      <c r="E41" s="979"/>
      <c r="F41" s="979"/>
    </row>
    <row r="42" spans="1:6" ht="14.25">
      <c r="A42" s="271"/>
      <c r="B42" s="271"/>
      <c r="D42" s="979"/>
      <c r="E42" s="979"/>
      <c r="F42" s="979"/>
    </row>
    <row r="43" spans="1:6" ht="14.25">
      <c r="A43" s="271"/>
      <c r="B43" s="271"/>
      <c r="D43" s="979"/>
      <c r="E43" s="979"/>
      <c r="F43" s="979"/>
    </row>
    <row r="44" spans="1:6" ht="14.25">
      <c r="A44" s="271"/>
      <c r="B44" s="271"/>
      <c r="D44" s="979"/>
      <c r="E44" s="979"/>
      <c r="F44" s="979"/>
    </row>
    <row r="45" spans="1:6" ht="14.25">
      <c r="A45" s="271"/>
      <c r="B45" s="271"/>
      <c r="D45" s="24"/>
      <c r="E45" s="24"/>
      <c r="F45" s="24"/>
    </row>
    <row r="46" spans="1:6" ht="14.45" customHeight="1">
      <c r="A46" s="271"/>
      <c r="B46" s="609" t="s">
        <v>124</v>
      </c>
      <c r="D46" s="979" t="s">
        <v>1442</v>
      </c>
      <c r="E46" s="979"/>
      <c r="F46" s="979"/>
    </row>
    <row r="47" spans="1:6" ht="14.25">
      <c r="A47" s="271"/>
      <c r="B47" s="271"/>
      <c r="D47" s="979"/>
      <c r="E47" s="979"/>
      <c r="F47" s="979"/>
    </row>
    <row r="48" spans="1:6" ht="14.25">
      <c r="A48" s="271"/>
      <c r="B48" s="271"/>
      <c r="D48" s="979"/>
      <c r="E48" s="979"/>
      <c r="F48" s="979"/>
    </row>
    <row r="49" spans="1:6" ht="14.25">
      <c r="A49" s="271"/>
      <c r="B49" s="271"/>
      <c r="D49" s="979"/>
      <c r="E49" s="979"/>
      <c r="F49" s="979"/>
    </row>
    <row r="50" spans="1:6" ht="14.25">
      <c r="A50" s="271"/>
      <c r="B50" s="271"/>
      <c r="D50" s="979"/>
      <c r="E50" s="979"/>
      <c r="F50" s="979"/>
    </row>
    <row r="51" spans="1:6" ht="14.25">
      <c r="A51" s="271"/>
      <c r="B51" s="271"/>
      <c r="D51" s="44"/>
    </row>
    <row r="52" spans="1:6" ht="14.25">
      <c r="A52" s="271"/>
      <c r="B52" s="609" t="s">
        <v>124</v>
      </c>
      <c r="D52" s="972" t="s">
        <v>1887</v>
      </c>
      <c r="E52" s="979"/>
      <c r="F52" s="979"/>
    </row>
    <row r="53" spans="1:6" ht="14.25">
      <c r="A53" s="271"/>
      <c r="B53" s="271"/>
      <c r="D53" s="979"/>
      <c r="E53" s="979"/>
      <c r="F53" s="979"/>
    </row>
    <row r="54" spans="1:6" ht="14.25">
      <c r="A54" s="271"/>
      <c r="B54" s="271"/>
      <c r="D54" s="979"/>
      <c r="E54" s="979"/>
      <c r="F54" s="979"/>
    </row>
    <row r="55" spans="1:6" ht="14.25">
      <c r="A55" s="271"/>
      <c r="B55" s="271"/>
      <c r="D55" s="979"/>
      <c r="E55" s="979"/>
      <c r="F55" s="979"/>
    </row>
    <row r="56" spans="1:6" ht="14.25">
      <c r="A56" s="271"/>
      <c r="B56" s="271"/>
      <c r="D56" s="979"/>
      <c r="E56" s="979"/>
      <c r="F56" s="979"/>
    </row>
    <row r="57" spans="1:6" ht="15" customHeight="1">
      <c r="A57" s="271"/>
      <c r="B57" s="271"/>
      <c r="D57" s="979"/>
      <c r="E57" s="979"/>
      <c r="F57" s="979"/>
    </row>
    <row r="58" spans="1:6" ht="14.25">
      <c r="A58" s="271"/>
      <c r="B58" s="271"/>
      <c r="D58"/>
    </row>
    <row r="59" spans="1:6" ht="14.25">
      <c r="A59" s="271"/>
      <c r="B59" s="609" t="s">
        <v>1377</v>
      </c>
      <c r="D59" s="972" t="s">
        <v>1929</v>
      </c>
      <c r="E59" s="979"/>
      <c r="F59" s="979"/>
    </row>
    <row r="60" spans="1:6" ht="14.25">
      <c r="A60" s="271"/>
      <c r="B60" s="271"/>
      <c r="D60" s="979"/>
      <c r="E60" s="979"/>
      <c r="F60" s="979"/>
    </row>
    <row r="61" spans="1:6" ht="14.25">
      <c r="A61" s="271"/>
      <c r="B61" s="271"/>
      <c r="D61" s="979"/>
      <c r="E61" s="979"/>
      <c r="F61" s="979"/>
    </row>
    <row r="62" spans="1:6" ht="14.25">
      <c r="A62" s="271"/>
      <c r="B62" s="271"/>
      <c r="D62" s="979"/>
      <c r="E62" s="979"/>
      <c r="F62" s="979"/>
    </row>
    <row r="63" spans="1:6" ht="17.25" customHeight="1">
      <c r="A63" s="271"/>
      <c r="B63" s="271"/>
      <c r="D63" s="979"/>
      <c r="E63" s="979"/>
      <c r="F63" s="979"/>
    </row>
    <row r="64" spans="1:6" ht="14.25" customHeight="1">
      <c r="A64" s="271"/>
      <c r="B64" s="609" t="s">
        <v>124</v>
      </c>
      <c r="D64" s="979" t="s">
        <v>2140</v>
      </c>
      <c r="E64" s="979"/>
      <c r="F64" s="979"/>
    </row>
    <row r="65" spans="1:6" ht="15" customHeight="1">
      <c r="A65" s="271"/>
      <c r="B65" s="271"/>
      <c r="D65" s="979"/>
      <c r="E65" s="979"/>
      <c r="F65" s="979"/>
    </row>
    <row r="66" spans="1:6" ht="21.6" customHeight="1">
      <c r="A66" s="271"/>
      <c r="B66" s="271"/>
      <c r="D66" s="979"/>
      <c r="E66" s="979"/>
      <c r="F66" s="979"/>
    </row>
    <row r="67" spans="1:6" ht="14.25">
      <c r="A67" s="271"/>
      <c r="B67" s="271"/>
    </row>
    <row r="68" spans="1:6" ht="14.25" customHeight="1">
      <c r="A68" s="271"/>
      <c r="B68" s="609" t="s">
        <v>1377</v>
      </c>
      <c r="D68" s="972" t="s">
        <v>2070</v>
      </c>
      <c r="E68" s="979"/>
      <c r="F68" s="979"/>
    </row>
    <row r="69" spans="1:6" ht="12.75">
      <c r="D69" s="979"/>
      <c r="E69" s="979"/>
      <c r="F69" s="979"/>
    </row>
    <row r="70" spans="1:6" ht="12.75">
      <c r="D70" s="979"/>
      <c r="E70" s="979"/>
      <c r="F70" s="979"/>
    </row>
    <row r="71" spans="1:6" ht="14.25">
      <c r="A71" s="271"/>
      <c r="B71" s="271"/>
      <c r="D71" s="209"/>
      <c r="E71" s="128" t="s">
        <v>2067</v>
      </c>
      <c r="F71" s="209"/>
    </row>
    <row r="72" spans="1:6" ht="14.25">
      <c r="A72" s="271"/>
      <c r="B72" s="271"/>
    </row>
    <row r="73" spans="1:6" ht="14.25">
      <c r="A73" s="271"/>
      <c r="B73" s="609" t="s">
        <v>124</v>
      </c>
      <c r="D73" s="979" t="s">
        <v>1543</v>
      </c>
      <c r="E73" s="979"/>
      <c r="F73" s="979"/>
    </row>
    <row r="74" spans="1:6" ht="12.75">
      <c r="D74" s="979"/>
      <c r="E74" s="979"/>
      <c r="F74" s="979"/>
    </row>
    <row r="75" spans="1:6" ht="12.75">
      <c r="D75" s="979"/>
      <c r="E75" s="979"/>
      <c r="F75" s="979"/>
    </row>
    <row r="76" spans="1:6" ht="12.75"/>
    <row r="77" spans="1:6" ht="14.25">
      <c r="A77" s="271" t="s">
        <v>229</v>
      </c>
      <c r="B77" s="609" t="s">
        <v>124</v>
      </c>
      <c r="D77" s="979" t="s">
        <v>1445</v>
      </c>
      <c r="E77" s="979"/>
      <c r="F77" s="979"/>
    </row>
    <row r="78" spans="1:6" ht="12.75">
      <c r="D78" s="979"/>
      <c r="E78" s="979"/>
      <c r="F78" s="979"/>
    </row>
    <row r="79" spans="1:6" ht="12.75"/>
    <row r="80" spans="1:6" ht="14.25">
      <c r="A80" s="271" t="s">
        <v>229</v>
      </c>
      <c r="B80" s="609" t="s">
        <v>1377</v>
      </c>
      <c r="D80" s="979" t="s">
        <v>1446</v>
      </c>
      <c r="E80" s="979"/>
      <c r="F80" s="979"/>
    </row>
    <row r="81" spans="1:7" ht="12.75">
      <c r="D81" s="979"/>
      <c r="E81" s="979"/>
      <c r="F81" s="979"/>
    </row>
    <row r="82" spans="1:7" ht="12.75">
      <c r="D82" s="979"/>
      <c r="E82" s="979"/>
      <c r="F82" s="979"/>
    </row>
    <row r="83" spans="1:7" ht="12.75">
      <c r="D83" s="44"/>
    </row>
    <row r="84" spans="1:7" ht="14.25">
      <c r="A84" s="271" t="s">
        <v>229</v>
      </c>
      <c r="B84" s="609" t="s">
        <v>124</v>
      </c>
      <c r="D84" s="979" t="s">
        <v>1447</v>
      </c>
      <c r="E84" s="979"/>
      <c r="F84" s="979"/>
    </row>
    <row r="85" spans="1:7" ht="12.75">
      <c r="D85" s="979"/>
      <c r="E85" s="979"/>
      <c r="F85" s="979"/>
    </row>
    <row r="86" spans="1:7" ht="12.75"/>
    <row r="87" spans="1:7" ht="12.75">
      <c r="A87" s="1033" t="s">
        <v>1381</v>
      </c>
      <c r="B87" s="1033"/>
      <c r="C87" s="1033"/>
      <c r="D87" s="1033"/>
      <c r="E87" s="1033"/>
      <c r="F87" s="1033"/>
      <c r="G87" s="1033"/>
    </row>
    <row r="88" spans="1:7" ht="12.75">
      <c r="E88"/>
      <c r="F88"/>
      <c r="G88"/>
    </row>
    <row r="89" spans="1:7" ht="13.7" customHeight="1">
      <c r="C89" s="590"/>
      <c r="D89" s="1006" t="s">
        <v>1382</v>
      </c>
      <c r="E89" s="1006"/>
      <c r="F89" s="1006"/>
      <c r="G89"/>
    </row>
    <row r="90" spans="1:7" ht="13.7" customHeight="1">
      <c r="A90" s="44"/>
      <c r="B90" s="44"/>
      <c r="D90" s="979" t="s">
        <v>1546</v>
      </c>
      <c r="E90" s="979"/>
      <c r="F90" s="979"/>
      <c r="G90"/>
    </row>
    <row r="91" spans="1:7" ht="12.75">
      <c r="A91" s="44"/>
      <c r="B91" s="44"/>
      <c r="E91"/>
      <c r="F91"/>
      <c r="G91"/>
    </row>
    <row r="92" spans="1:7" ht="14.25" customHeight="1">
      <c r="A92" s="271"/>
      <c r="B92" s="609" t="s">
        <v>1377</v>
      </c>
      <c r="D92" s="972" t="s">
        <v>1860</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1026" t="s">
        <v>1861</v>
      </c>
      <c r="E101" s="1026"/>
      <c r="F101" s="1026"/>
      <c r="G101"/>
    </row>
    <row r="102" spans="1:7" ht="14.25">
      <c r="A102" s="271"/>
      <c r="B102" s="271"/>
      <c r="D102" s="1026"/>
      <c r="E102" s="1026"/>
      <c r="F102" s="1026"/>
      <c r="G102"/>
    </row>
    <row r="103" spans="1:7" ht="14.25">
      <c r="A103" s="271"/>
      <c r="B103" s="271"/>
      <c r="D103" s="1026"/>
      <c r="E103" s="1026"/>
      <c r="F103" s="1026"/>
      <c r="G103"/>
    </row>
    <row r="104" spans="1:7" ht="14.25">
      <c r="A104" s="271"/>
      <c r="B104" s="271"/>
      <c r="D104" s="1026"/>
      <c r="E104" s="1026"/>
      <c r="F104" s="1026"/>
      <c r="G104"/>
    </row>
    <row r="105" spans="1:7" ht="14.25">
      <c r="A105" s="271"/>
      <c r="B105" s="271"/>
      <c r="D105" s="1026"/>
      <c r="E105" s="1026"/>
      <c r="F105" s="1026"/>
      <c r="G105"/>
    </row>
    <row r="106" spans="1:7" ht="14.25">
      <c r="A106" s="271"/>
      <c r="B106" s="271"/>
      <c r="D106" s="1026"/>
      <c r="E106" s="1026"/>
      <c r="F106" s="1026"/>
      <c r="G106"/>
    </row>
    <row r="107" spans="1:7" ht="14.25">
      <c r="A107" s="271"/>
      <c r="B107" s="271"/>
      <c r="D107" s="1026"/>
      <c r="E107" s="1026"/>
      <c r="F107" s="1026"/>
      <c r="G107"/>
    </row>
    <row r="108" spans="1:7" ht="14.25">
      <c r="A108" s="271"/>
      <c r="B108" s="271"/>
      <c r="D108" s="1026"/>
      <c r="E108" s="1026"/>
      <c r="F108" s="1026"/>
      <c r="G108"/>
    </row>
    <row r="109" spans="1:7" ht="14.25">
      <c r="A109" s="271"/>
      <c r="B109" s="271"/>
      <c r="D109" s="1026"/>
      <c r="E109" s="1026"/>
      <c r="F109" s="1026"/>
      <c r="G109"/>
    </row>
    <row r="110" spans="1:7" ht="14.25">
      <c r="A110" s="271"/>
      <c r="B110" s="271"/>
      <c r="D110" s="1026"/>
      <c r="E110" s="1026"/>
      <c r="F110" s="1026"/>
      <c r="G110"/>
    </row>
    <row r="111" spans="1:7" ht="14.25">
      <c r="A111" s="271"/>
      <c r="B111" s="271"/>
      <c r="D111" s="1026"/>
      <c r="E111" s="1026"/>
      <c r="F111" s="1026"/>
      <c r="G111"/>
    </row>
    <row r="112" spans="1:7" ht="14.25">
      <c r="A112" s="271"/>
      <c r="B112" s="271"/>
      <c r="D112" s="1026"/>
      <c r="E112" s="1026"/>
      <c r="F112" s="1026"/>
      <c r="G112"/>
    </row>
    <row r="113" spans="1:7" ht="14.25">
      <c r="A113" s="271"/>
      <c r="B113" s="271"/>
      <c r="D113" s="1026"/>
      <c r="E113" s="1026"/>
      <c r="F113" s="1026"/>
      <c r="G113"/>
    </row>
    <row r="114" spans="1:7" ht="14.25">
      <c r="A114" s="271"/>
      <c r="B114" s="609" t="s">
        <v>124</v>
      </c>
      <c r="D114" s="979" t="s">
        <v>1547</v>
      </c>
      <c r="E114" s="979"/>
      <c r="F114" s="979"/>
      <c r="G114"/>
    </row>
    <row r="115" spans="1:7" ht="14.25">
      <c r="A115" s="271"/>
      <c r="B115" s="271"/>
      <c r="D115" s="979"/>
      <c r="E115" s="979"/>
      <c r="F115" s="979"/>
      <c r="G115"/>
    </row>
    <row r="116" spans="1:7" ht="14.25">
      <c r="A116" s="271"/>
      <c r="B116" s="271"/>
      <c r="D116" s="979"/>
      <c r="E116" s="979"/>
      <c r="F116" s="979"/>
      <c r="G116"/>
    </row>
    <row r="117" spans="1:7" ht="14.25">
      <c r="A117" s="271"/>
      <c r="B117" s="271"/>
      <c r="D117" s="979"/>
      <c r="E117" s="979"/>
      <c r="F117" s="979"/>
      <c r="G117"/>
    </row>
    <row r="118" spans="1:7" ht="14.25">
      <c r="A118" s="271"/>
      <c r="B118" s="271"/>
      <c r="D118" s="979"/>
      <c r="E118" s="979"/>
      <c r="F118" s="979"/>
      <c r="G118"/>
    </row>
    <row r="119" spans="1:7" ht="14.25">
      <c r="A119" s="271"/>
      <c r="B119" s="271"/>
      <c r="D119" s="979"/>
      <c r="E119" s="979"/>
      <c r="F119" s="979"/>
      <c r="G119"/>
    </row>
    <row r="120" spans="1:7" ht="14.25">
      <c r="A120" s="271"/>
      <c r="B120" s="271"/>
      <c r="D120" s="979"/>
      <c r="E120" s="979"/>
      <c r="F120" s="979"/>
      <c r="G120"/>
    </row>
    <row r="121" spans="1:7" ht="14.25">
      <c r="A121" s="271"/>
      <c r="B121" s="271"/>
      <c r="D121" s="979"/>
      <c r="E121" s="979"/>
      <c r="F121" s="979"/>
      <c r="G121"/>
    </row>
    <row r="122" spans="1:7" ht="12.75" customHeight="1">
      <c r="A122" s="271"/>
      <c r="B122" s="609" t="s">
        <v>1377</v>
      </c>
      <c r="D122" s="979" t="s">
        <v>1548</v>
      </c>
      <c r="E122" s="979"/>
      <c r="F122" s="979"/>
    </row>
    <row r="123" spans="1:7" ht="12.75">
      <c r="D123" s="979"/>
      <c r="E123" s="979"/>
      <c r="F123" s="979"/>
    </row>
    <row r="124" spans="1:7" ht="12.75">
      <c r="D124" s="979"/>
      <c r="E124" s="979"/>
      <c r="F124" s="979"/>
    </row>
    <row r="125" spans="1:7" ht="12.75">
      <c r="D125" s="979"/>
      <c r="E125" s="979"/>
      <c r="F125" s="979"/>
    </row>
    <row r="126" spans="1:7" ht="26.85" customHeight="1">
      <c r="D126" s="979"/>
      <c r="E126" s="979"/>
      <c r="F126" s="979"/>
    </row>
    <row r="127" spans="1:7" ht="12.75"/>
    <row r="128" spans="1:7" ht="14.25">
      <c r="A128" s="271"/>
      <c r="B128" s="609" t="s">
        <v>1377</v>
      </c>
      <c r="D128" s="979" t="s">
        <v>1549</v>
      </c>
      <c r="E128" s="979"/>
      <c r="F128" s="979"/>
    </row>
    <row r="129" spans="1:7" s="323" customFormat="1" ht="13.9" customHeight="1">
      <c r="A129" s="316"/>
      <c r="B129" s="316"/>
      <c r="C129" s="316"/>
      <c r="D129" s="979"/>
      <c r="E129" s="979"/>
      <c r="F129" s="979"/>
      <c r="G129" s="357"/>
    </row>
    <row r="130" spans="1:7" ht="13.9" customHeight="1">
      <c r="D130" s="979"/>
      <c r="E130" s="979"/>
      <c r="F130" s="979"/>
    </row>
    <row r="131" spans="1:7" ht="13.9" customHeight="1">
      <c r="D131" s="979"/>
      <c r="E131" s="979"/>
      <c r="F131" s="979"/>
    </row>
    <row r="132" spans="1:7" ht="13.9" customHeight="1">
      <c r="D132" s="979"/>
      <c r="E132" s="979"/>
      <c r="F132" s="979"/>
    </row>
    <row r="133" spans="1:7" ht="13.9" customHeight="1">
      <c r="D133" s="979"/>
      <c r="E133" s="979"/>
      <c r="F133" s="979"/>
    </row>
    <row r="134" spans="1:7" ht="13.9" customHeight="1">
      <c r="D134" s="979"/>
      <c r="E134" s="979"/>
      <c r="F134" s="979"/>
      <c r="G134"/>
    </row>
    <row r="135" spans="1:7" ht="13.9" customHeight="1">
      <c r="D135" s="979"/>
      <c r="E135" s="979"/>
      <c r="F135" s="979"/>
      <c r="G135"/>
    </row>
    <row r="136" spans="1:7" ht="13.9" customHeight="1">
      <c r="D136" s="979"/>
      <c r="E136" s="979"/>
      <c r="F136" s="979"/>
      <c r="G136"/>
    </row>
    <row r="137" spans="1:7" ht="13.9" customHeight="1">
      <c r="D137" s="979"/>
      <c r="E137" s="979"/>
      <c r="F137" s="979"/>
      <c r="G137"/>
    </row>
    <row r="138" spans="1:7" ht="17.25" customHeight="1">
      <c r="D138" s="979"/>
      <c r="E138" s="979"/>
      <c r="F138" s="979"/>
      <c r="G138"/>
    </row>
    <row r="139" spans="1:7" ht="25.5" hidden="1" customHeight="1">
      <c r="D139" s="979"/>
      <c r="E139" s="979"/>
      <c r="F139" s="979"/>
      <c r="G139"/>
    </row>
    <row r="140" spans="1:7" ht="13.9" customHeight="1">
      <c r="G140"/>
    </row>
    <row r="141" spans="1:7" ht="13.9" customHeight="1">
      <c r="B141" s="609" t="s">
        <v>124</v>
      </c>
      <c r="D141" s="972" t="s">
        <v>1732</v>
      </c>
      <c r="E141" s="979"/>
      <c r="F141" s="979"/>
      <c r="G141"/>
    </row>
    <row r="142" spans="1:7" ht="13.9" customHeight="1">
      <c r="D142" s="979"/>
      <c r="E142" s="979"/>
      <c r="F142" s="979"/>
      <c r="G142"/>
    </row>
    <row r="143" spans="1:7" ht="13.9" customHeight="1">
      <c r="D143" s="979"/>
      <c r="E143" s="979"/>
      <c r="F143" s="979"/>
      <c r="G143"/>
    </row>
    <row r="144" spans="1:7" ht="13.9" customHeight="1">
      <c r="D144" s="979"/>
      <c r="E144" s="979"/>
      <c r="F144" s="979"/>
      <c r="G144"/>
    </row>
    <row r="145" spans="1:7" ht="13.9" customHeight="1">
      <c r="D145" s="979"/>
      <c r="E145" s="979"/>
      <c r="F145" s="979"/>
      <c r="G145"/>
    </row>
    <row r="146" spans="1:7" ht="13.9" customHeight="1">
      <c r="A146" s="18"/>
      <c r="B146" s="18"/>
      <c r="D146" s="979"/>
      <c r="E146" s="979"/>
      <c r="F146" s="979"/>
      <c r="G146"/>
    </row>
    <row r="147" spans="1:7" ht="13.9" customHeight="1">
      <c r="A147" s="18"/>
      <c r="B147" s="18"/>
      <c r="D147" s="979"/>
      <c r="E147" s="979"/>
      <c r="F147" s="979"/>
      <c r="G147"/>
    </row>
    <row r="148" spans="1:7" ht="13.9" customHeight="1">
      <c r="A148" s="18"/>
      <c r="B148" s="18"/>
      <c r="D148" s="979"/>
      <c r="E148" s="979"/>
      <c r="F148" s="979"/>
      <c r="G148"/>
    </row>
    <row r="149" spans="1:7" ht="13.9" customHeight="1">
      <c r="A149" s="18"/>
      <c r="B149" s="18"/>
      <c r="D149" s="979"/>
      <c r="E149" s="979"/>
      <c r="F149" s="979"/>
      <c r="G149"/>
    </row>
    <row r="150" spans="1:7" ht="13.9" customHeight="1">
      <c r="A150" s="18"/>
      <c r="B150" s="18"/>
      <c r="D150" s="979"/>
      <c r="E150" s="979"/>
      <c r="F150" s="979"/>
      <c r="G150"/>
    </row>
    <row r="151" spans="1:7" ht="13.9" customHeight="1">
      <c r="A151" s="18"/>
      <c r="B151" s="18"/>
      <c r="D151" s="979"/>
      <c r="E151" s="979"/>
      <c r="F151" s="979"/>
      <c r="G151"/>
    </row>
    <row r="152" spans="1:7" ht="13.9" customHeight="1">
      <c r="A152" s="18"/>
      <c r="B152" s="18"/>
      <c r="D152" s="979"/>
      <c r="E152" s="979"/>
      <c r="F152" s="979"/>
      <c r="G152"/>
    </row>
    <row r="153" spans="1:7" ht="13.9" customHeight="1">
      <c r="A153" s="18"/>
      <c r="B153" s="18"/>
      <c r="D153" s="979"/>
      <c r="E153" s="979"/>
      <c r="F153" s="979"/>
      <c r="G153"/>
    </row>
    <row r="154" spans="1:7" ht="13.9" customHeight="1">
      <c r="A154" s="18"/>
      <c r="B154" s="18"/>
      <c r="D154" s="979"/>
      <c r="E154" s="979"/>
      <c r="F154" s="979"/>
      <c r="G154"/>
    </row>
    <row r="155" spans="1:7" ht="13.9" customHeight="1">
      <c r="A155" s="18"/>
      <c r="B155" s="18"/>
      <c r="D155" s="979"/>
      <c r="E155" s="979"/>
      <c r="F155" s="979"/>
      <c r="G155"/>
    </row>
    <row r="156" spans="1:7" ht="13.9" customHeight="1">
      <c r="A156" s="18"/>
      <c r="B156" s="18"/>
      <c r="D156" s="979"/>
      <c r="E156" s="979"/>
      <c r="F156" s="979"/>
      <c r="G156"/>
    </row>
    <row r="157" spans="1:7" ht="13.9" customHeight="1">
      <c r="A157" s="18"/>
      <c r="B157" s="18"/>
      <c r="D157" s="979"/>
      <c r="E157" s="979"/>
      <c r="F157" s="979"/>
      <c r="G157"/>
    </row>
    <row r="158" spans="1:7" ht="13.9" customHeight="1">
      <c r="A158" s="18"/>
      <c r="B158" s="18"/>
      <c r="D158" s="979"/>
      <c r="E158" s="979"/>
      <c r="F158" s="979"/>
      <c r="G158"/>
    </row>
    <row r="159" spans="1:7" ht="13.9" customHeight="1">
      <c r="A159" s="18"/>
      <c r="B159" s="18"/>
      <c r="D159" s="1028" t="s">
        <v>1733</v>
      </c>
      <c r="E159" s="1028"/>
      <c r="F159" s="1028"/>
      <c r="G159"/>
    </row>
    <row r="160" spans="1:7" ht="13.9" customHeight="1">
      <c r="A160" s="18"/>
      <c r="B160" s="18"/>
      <c r="D160" s="44"/>
      <c r="G160"/>
    </row>
    <row r="161" spans="1:7" ht="13.9" customHeight="1">
      <c r="A161" s="271"/>
      <c r="B161" s="609" t="s">
        <v>124</v>
      </c>
      <c r="D161" s="1026" t="s">
        <v>2302</v>
      </c>
      <c r="E161" s="1027"/>
      <c r="F161" s="1027"/>
      <c r="G161"/>
    </row>
    <row r="162" spans="1:7" ht="13.9" customHeight="1">
      <c r="A162" s="271"/>
      <c r="B162" s="18"/>
      <c r="D162" s="1026"/>
      <c r="E162" s="1027"/>
      <c r="F162" s="1027"/>
      <c r="G162"/>
    </row>
    <row r="163" spans="1:7" ht="13.9" customHeight="1">
      <c r="A163" s="271"/>
      <c r="B163" s="18"/>
      <c r="D163" s="1027"/>
      <c r="E163" s="1027"/>
      <c r="F163" s="1027"/>
      <c r="G163"/>
    </row>
    <row r="164" spans="1:7" ht="13.9" customHeight="1">
      <c r="A164" s="271"/>
      <c r="B164" s="18"/>
      <c r="D164" s="1027"/>
      <c r="E164" s="1027"/>
      <c r="F164" s="1027"/>
      <c r="G164"/>
    </row>
    <row r="165" spans="1:7" ht="13.9" customHeight="1">
      <c r="A165" s="18"/>
      <c r="B165" s="18"/>
      <c r="D165" s="1027"/>
      <c r="E165" s="1027"/>
      <c r="F165" s="1027"/>
      <c r="G165"/>
    </row>
    <row r="166" spans="1:7" ht="13.9" customHeight="1">
      <c r="A166" s="18"/>
      <c r="B166" s="18"/>
      <c r="D166" s="44"/>
      <c r="G166"/>
    </row>
    <row r="167" spans="1:7" ht="13.9" customHeight="1">
      <c r="A167" s="271"/>
      <c r="B167" s="609" t="s">
        <v>1377</v>
      </c>
      <c r="D167" s="1027" t="s">
        <v>1550</v>
      </c>
      <c r="E167" s="1027"/>
      <c r="F167" s="1027"/>
      <c r="G167"/>
    </row>
    <row r="168" spans="1:7" ht="13.9" customHeight="1">
      <c r="A168" s="18"/>
      <c r="B168" s="18"/>
      <c r="D168" s="1027"/>
      <c r="E168" s="1027"/>
      <c r="F168" s="1027"/>
    </row>
    <row r="169" spans="1:7" ht="13.9" customHeight="1">
      <c r="A169" s="18"/>
      <c r="B169" s="18"/>
      <c r="D169" s="1027"/>
      <c r="E169" s="1027"/>
      <c r="F169" s="1027"/>
    </row>
    <row r="170" spans="1:7" ht="13.9" customHeight="1">
      <c r="A170" s="18"/>
      <c r="B170" s="18"/>
      <c r="D170" s="1027"/>
      <c r="E170" s="1027"/>
      <c r="F170" s="1027"/>
    </row>
    <row r="171" spans="1:7" ht="13.9" customHeight="1">
      <c r="A171" s="18"/>
      <c r="B171" s="18"/>
      <c r="D171" s="44"/>
    </row>
    <row r="172" spans="1:7" ht="13.9" customHeight="1">
      <c r="A172" s="370"/>
      <c r="B172" s="609" t="s">
        <v>124</v>
      </c>
      <c r="C172" s="370"/>
      <c r="D172" s="1030" t="s">
        <v>2141</v>
      </c>
      <c r="E172" s="1030"/>
      <c r="F172" s="1030"/>
      <c r="G172" s="361"/>
    </row>
    <row r="173" spans="1:7" ht="13.9" customHeight="1">
      <c r="A173" s="370"/>
      <c r="B173" s="370"/>
      <c r="C173" s="370"/>
      <c r="D173" s="1030"/>
      <c r="E173" s="1030"/>
      <c r="F173" s="1030"/>
      <c r="G173" s="361"/>
    </row>
    <row r="174" spans="1:7" ht="13.9" customHeight="1">
      <c r="A174" s="370"/>
      <c r="B174" s="370"/>
      <c r="C174" s="370"/>
      <c r="D174" s="1030"/>
      <c r="E174" s="1030"/>
      <c r="F174" s="1030"/>
      <c r="G174" s="361"/>
    </row>
    <row r="175" spans="1:7" ht="12.75">
      <c r="A175" s="370"/>
      <c r="B175" s="370"/>
      <c r="C175" s="370"/>
      <c r="D175" s="372"/>
      <c r="E175" s="361"/>
      <c r="F175" s="361"/>
      <c r="G175" s="361"/>
    </row>
    <row r="176" spans="1:7" ht="12.75">
      <c r="A176" s="1033" t="s">
        <v>1384</v>
      </c>
      <c r="B176" s="1033"/>
      <c r="C176" s="1033"/>
      <c r="D176" s="1033"/>
      <c r="E176" s="1033"/>
      <c r="F176" s="1033"/>
      <c r="G176" s="1033"/>
    </row>
    <row r="177" spans="1:6" ht="12.75">
      <c r="D177" s="44"/>
    </row>
    <row r="178" spans="1:6" ht="12.75">
      <c r="C178" s="590"/>
      <c r="D178" s="1029" t="s">
        <v>1383</v>
      </c>
      <c r="E178" s="1029"/>
      <c r="F178" s="1029"/>
    </row>
    <row r="179" spans="1:6" ht="12.75">
      <c r="A179" s="190"/>
      <c r="B179" s="190"/>
      <c r="C179" s="190"/>
      <c r="D179" s="1031" t="s">
        <v>1416</v>
      </c>
      <c r="E179" s="1031"/>
      <c r="F179" s="1031"/>
    </row>
    <row r="180" spans="1:6" ht="12.75">
      <c r="A180" s="191"/>
      <c r="B180" s="191"/>
      <c r="C180" s="191"/>
    </row>
    <row r="181" spans="1:6" ht="14.25">
      <c r="A181" s="271"/>
      <c r="B181" s="609" t="s">
        <v>124</v>
      </c>
      <c r="D181" s="1032" t="s">
        <v>1735</v>
      </c>
      <c r="E181" s="1009"/>
      <c r="F181" s="1009"/>
    </row>
    <row r="182" spans="1:6" ht="14.25">
      <c r="A182" s="271"/>
      <c r="D182" s="312"/>
      <c r="E182" s="102"/>
      <c r="F182" s="102"/>
    </row>
    <row r="183" spans="1:6" ht="14.25">
      <c r="A183" s="271"/>
      <c r="B183" s="609" t="s">
        <v>124</v>
      </c>
      <c r="D183" s="1009" t="s">
        <v>1551</v>
      </c>
      <c r="E183" s="1009"/>
      <c r="F183" s="1009"/>
    </row>
    <row r="184" spans="1:6" ht="14.25">
      <c r="A184" s="271"/>
      <c r="D184" s="102"/>
      <c r="E184" s="102"/>
      <c r="F184" s="102"/>
    </row>
    <row r="185" spans="1:6" ht="14.25">
      <c r="A185" s="271"/>
      <c r="B185" s="609" t="s">
        <v>124</v>
      </c>
      <c r="D185" s="1034" t="s">
        <v>1813</v>
      </c>
      <c r="E185" s="1034"/>
      <c r="F185" s="1034"/>
    </row>
    <row r="186" spans="1:6" ht="13.7" customHeight="1">
      <c r="A186" s="271"/>
      <c r="D186" s="41" t="s">
        <v>901</v>
      </c>
      <c r="E186" s="972" t="s">
        <v>2136</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902</v>
      </c>
      <c r="E190" s="972" t="s">
        <v>1814</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124</v>
      </c>
      <c r="D198" s="972" t="s">
        <v>2306</v>
      </c>
      <c r="E198" s="979"/>
      <c r="F198" s="979"/>
    </row>
    <row r="199" spans="1:7" ht="14.25">
      <c r="A199" s="271"/>
      <c r="B199" s="271"/>
      <c r="D199" s="979"/>
      <c r="E199" s="979"/>
      <c r="F199" s="979"/>
    </row>
    <row r="200" spans="1:7" ht="14.25">
      <c r="A200" s="271"/>
      <c r="B200" s="271"/>
      <c r="D200" s="979"/>
      <c r="E200" s="979"/>
      <c r="F200" s="979"/>
    </row>
    <row r="201" spans="1:7" ht="14.25">
      <c r="A201" s="271"/>
      <c r="B201" s="271"/>
      <c r="D201" s="979"/>
      <c r="E201" s="979"/>
      <c r="F201" s="979"/>
    </row>
    <row r="202" spans="1:7" ht="12.75">
      <c r="D202" s="1028" t="s">
        <v>2308</v>
      </c>
      <c r="E202" s="1028"/>
      <c r="F202" s="1028"/>
    </row>
    <row r="203" spans="1:7" ht="12.75">
      <c r="D203" s="625"/>
      <c r="E203" s="625"/>
      <c r="F203" s="625"/>
    </row>
    <row r="204" spans="1:7" ht="14.25">
      <c r="A204" s="271"/>
      <c r="B204" s="609" t="s">
        <v>124</v>
      </c>
      <c r="D204" s="1001" t="s">
        <v>2309</v>
      </c>
      <c r="E204" s="999"/>
      <c r="F204" s="999"/>
    </row>
    <row r="205" spans="1:7" ht="12.75"/>
    <row r="206" spans="1:7" ht="12.75">
      <c r="A206" s="1033" t="s">
        <v>1386</v>
      </c>
      <c r="B206" s="1033"/>
      <c r="C206" s="1033"/>
      <c r="D206" s="1033"/>
      <c r="E206" s="1033"/>
      <c r="F206" s="1033"/>
      <c r="G206" s="1033"/>
    </row>
    <row r="207" spans="1:7" ht="12.75"/>
    <row r="208" spans="1:7" ht="12.75">
      <c r="C208" s="591"/>
      <c r="D208" s="1029" t="s">
        <v>1385</v>
      </c>
      <c r="E208" s="1029"/>
      <c r="F208" s="1029"/>
    </row>
    <row r="209" spans="1:6" ht="12.75">
      <c r="A209" s="592"/>
      <c r="B209" s="592"/>
      <c r="C209" s="591"/>
      <c r="D209" s="1029" t="s">
        <v>698</v>
      </c>
      <c r="E209" s="1029"/>
      <c r="F209" s="1029"/>
    </row>
    <row r="210" spans="1:6" ht="12.75">
      <c r="A210" s="190"/>
      <c r="B210" s="190"/>
      <c r="C210" s="190"/>
      <c r="D210" s="1009" t="s">
        <v>1417</v>
      </c>
      <c r="E210" s="1009"/>
      <c r="F210" s="1009"/>
    </row>
    <row r="211" spans="1:6" ht="12.75">
      <c r="A211" s="190"/>
      <c r="B211" s="190"/>
      <c r="C211" s="190"/>
    </row>
    <row r="212" spans="1:6" ht="12.75">
      <c r="A212" s="190"/>
      <c r="B212" s="190"/>
      <c r="C212" s="190"/>
      <c r="D212" s="979" t="s">
        <v>1427</v>
      </c>
      <c r="E212" s="979"/>
      <c r="F212" s="979"/>
    </row>
    <row r="213" spans="1:6" ht="12.75">
      <c r="A213" s="190"/>
      <c r="B213" s="190"/>
      <c r="C213" s="190"/>
      <c r="D213" s="979"/>
      <c r="E213" s="979"/>
      <c r="F213" s="979"/>
    </row>
    <row r="214" spans="1:6" ht="12.75">
      <c r="A214" s="190"/>
      <c r="B214" s="190"/>
      <c r="C214" s="190"/>
      <c r="D214" s="979"/>
      <c r="E214" s="979"/>
      <c r="F214" s="979"/>
    </row>
    <row r="215" spans="1:6" ht="12.75">
      <c r="A215" s="190"/>
      <c r="B215" s="190"/>
      <c r="C215" s="190"/>
      <c r="D215" s="979"/>
      <c r="E215" s="979"/>
      <c r="F215" s="979"/>
    </row>
    <row r="216" spans="1:6" ht="12.75">
      <c r="A216" s="190"/>
      <c r="B216" s="190"/>
      <c r="C216" s="190"/>
    </row>
    <row r="217" spans="1:6" ht="12.75">
      <c r="A217" s="190"/>
      <c r="B217" s="190"/>
      <c r="C217" s="190"/>
      <c r="D217" s="972" t="s">
        <v>2142</v>
      </c>
      <c r="E217" s="979"/>
      <c r="F217" s="979"/>
    </row>
    <row r="218" spans="1:6" ht="12.75">
      <c r="A218" s="190"/>
      <c r="B218" s="190"/>
      <c r="C218" s="190"/>
      <c r="D218" s="979"/>
      <c r="E218" s="979"/>
      <c r="F218" s="979"/>
    </row>
    <row r="219" spans="1:6" ht="12.75">
      <c r="A219" s="190"/>
      <c r="B219" s="190"/>
      <c r="C219" s="190"/>
      <c r="D219" s="979"/>
      <c r="E219" s="979"/>
      <c r="F219" s="979"/>
    </row>
    <row r="220" spans="1:6" ht="12.75">
      <c r="A220" s="190"/>
      <c r="B220" s="190"/>
      <c r="C220" s="190"/>
      <c r="D220" s="979"/>
      <c r="E220" s="979"/>
      <c r="F220" s="979"/>
    </row>
    <row r="221" spans="1:6" ht="12.75">
      <c r="A221" s="190"/>
      <c r="B221" s="190"/>
      <c r="C221" s="190"/>
      <c r="D221" s="979"/>
      <c r="E221" s="979"/>
      <c r="F221" s="979"/>
    </row>
    <row r="222" spans="1:6" ht="12.75">
      <c r="A222" s="190"/>
      <c r="B222" s="190"/>
      <c r="C222" s="190"/>
      <c r="D222" s="979"/>
      <c r="E222" s="979"/>
      <c r="F222" s="979"/>
    </row>
    <row r="223" spans="1:6" ht="12.75">
      <c r="A223" s="191"/>
      <c r="B223" s="191"/>
      <c r="C223" s="191"/>
    </row>
    <row r="224" spans="1:6" ht="14.45" customHeight="1">
      <c r="A224" s="271"/>
      <c r="B224" s="609" t="s">
        <v>124</v>
      </c>
      <c r="C224" s="191"/>
      <c r="D224" s="999" t="s">
        <v>292</v>
      </c>
      <c r="E224" s="999"/>
      <c r="F224" s="999"/>
    </row>
    <row r="225" spans="1:6" ht="14.25">
      <c r="A225" s="271"/>
      <c r="C225" s="191"/>
      <c r="D225" s="1009" t="s">
        <v>1112</v>
      </c>
      <c r="E225" s="1009"/>
      <c r="F225" s="1009"/>
    </row>
    <row r="226" spans="1:6" ht="14.25">
      <c r="A226" s="271"/>
      <c r="B226" s="271"/>
      <c r="C226" s="191"/>
      <c r="D226" s="104" t="s">
        <v>1431</v>
      </c>
      <c r="E226" s="1039" t="s">
        <v>2071</v>
      </c>
      <c r="F226" s="1039"/>
    </row>
    <row r="227" spans="1:6" ht="12.75">
      <c r="D227" s="1032" t="s">
        <v>1410</v>
      </c>
      <c r="E227" s="1009"/>
      <c r="F227" s="1009"/>
    </row>
    <row r="228" spans="1:6" ht="12.75"/>
    <row r="229" spans="1:6" ht="14.25">
      <c r="A229" s="271"/>
      <c r="B229" s="609" t="s">
        <v>1377</v>
      </c>
      <c r="D229" s="1009" t="s">
        <v>293</v>
      </c>
      <c r="E229" s="1009"/>
      <c r="F229" s="1009"/>
    </row>
    <row r="230" spans="1:6" ht="14.25">
      <c r="A230" s="271"/>
      <c r="D230" s="999" t="s">
        <v>1112</v>
      </c>
      <c r="E230" s="999"/>
      <c r="F230" s="999"/>
    </row>
    <row r="231" spans="1:6" ht="14.25">
      <c r="A231" s="271"/>
      <c r="B231" s="271"/>
      <c r="D231" s="63" t="s">
        <v>1432</v>
      </c>
      <c r="E231" s="1039" t="s">
        <v>2072</v>
      </c>
      <c r="F231" s="1039"/>
    </row>
    <row r="232" spans="1:6" ht="12.75">
      <c r="D232" s="1009" t="s">
        <v>1411</v>
      </c>
      <c r="E232" s="1009"/>
      <c r="F232" s="1009"/>
    </row>
    <row r="233" spans="1:6" ht="12.75"/>
    <row r="234" spans="1:6" ht="14.25">
      <c r="A234" s="271"/>
      <c r="B234" s="609" t="s">
        <v>124</v>
      </c>
      <c r="D234" s="1009" t="s">
        <v>642</v>
      </c>
      <c r="E234" s="1009"/>
      <c r="F234" s="1009"/>
    </row>
    <row r="235" spans="1:6" ht="14.25">
      <c r="A235" s="271"/>
      <c r="D235" s="44" t="s">
        <v>1112</v>
      </c>
    </row>
    <row r="236" spans="1:6" ht="14.25">
      <c r="A236" s="271"/>
      <c r="B236" s="271"/>
      <c r="D236" s="63" t="s">
        <v>1431</v>
      </c>
      <c r="E236" s="1039" t="s">
        <v>2073</v>
      </c>
      <c r="F236" s="1039"/>
    </row>
    <row r="237" spans="1:6" ht="14.25">
      <c r="A237" s="271"/>
      <c r="B237" s="271"/>
      <c r="D237" s="979" t="s">
        <v>1434</v>
      </c>
      <c r="E237" s="979"/>
      <c r="F237" s="979"/>
    </row>
    <row r="238" spans="1:6" ht="12.75">
      <c r="D238" s="979"/>
      <c r="E238" s="979"/>
      <c r="F238" s="979"/>
    </row>
    <row r="239" spans="1:6" ht="12.75">
      <c r="D239" s="979"/>
      <c r="E239" s="979"/>
      <c r="F239" s="979"/>
    </row>
    <row r="240" spans="1:6" ht="12.75">
      <c r="D240" s="979"/>
      <c r="E240" s="979"/>
      <c r="F240" s="979"/>
    </row>
    <row r="241" spans="1:6" ht="12.75">
      <c r="D241" s="979"/>
      <c r="E241" s="979"/>
      <c r="F241" s="979"/>
    </row>
    <row r="242" spans="1:6" ht="12.75">
      <c r="D242" s="979" t="s">
        <v>1412</v>
      </c>
      <c r="E242" s="979"/>
      <c r="F242" s="979"/>
    </row>
    <row r="243" spans="1:6" ht="12.75">
      <c r="D243" s="44"/>
    </row>
    <row r="244" spans="1:6" ht="14.25">
      <c r="A244" s="271"/>
      <c r="B244" s="609" t="s">
        <v>124</v>
      </c>
      <c r="D244" s="1009" t="s">
        <v>643</v>
      </c>
      <c r="E244" s="1009"/>
      <c r="F244" s="1009"/>
    </row>
    <row r="245" spans="1:6" ht="14.25">
      <c r="A245" s="271"/>
      <c r="D245" s="1009" t="s">
        <v>1112</v>
      </c>
      <c r="E245" s="1009"/>
      <c r="F245" s="1009"/>
    </row>
    <row r="246" spans="1:6" ht="14.25">
      <c r="A246" s="271"/>
      <c r="B246" s="271"/>
      <c r="D246" s="63" t="s">
        <v>1431</v>
      </c>
      <c r="E246" s="1039" t="s">
        <v>2074</v>
      </c>
      <c r="F246" s="1039"/>
    </row>
    <row r="247" spans="1:6" ht="12.75">
      <c r="D247" s="1032" t="s">
        <v>1933</v>
      </c>
      <c r="E247" s="1009"/>
      <c r="F247" s="1009"/>
    </row>
    <row r="248" spans="1:6" ht="12.75">
      <c r="D248" s="102"/>
      <c r="E248" s="102"/>
      <c r="F248" s="102"/>
    </row>
    <row r="249" spans="1:6" ht="14.25">
      <c r="A249" s="271"/>
      <c r="B249" s="609" t="s">
        <v>124</v>
      </c>
      <c r="D249" s="1032" t="s">
        <v>1932</v>
      </c>
      <c r="E249" s="1009"/>
      <c r="F249" s="1009"/>
    </row>
    <row r="250" spans="1:6" ht="14.25">
      <c r="A250" s="271"/>
      <c r="D250" s="1009" t="s">
        <v>1112</v>
      </c>
      <c r="E250" s="1009"/>
      <c r="F250" s="1009"/>
    </row>
    <row r="251" spans="1:6" ht="14.25">
      <c r="A251" s="271"/>
      <c r="B251" s="271"/>
      <c r="D251" s="63" t="s">
        <v>1431</v>
      </c>
      <c r="E251" s="1039" t="s">
        <v>2075</v>
      </c>
      <c r="F251" s="1039"/>
    </row>
    <row r="252" spans="1:6" ht="12.75">
      <c r="D252" s="1032" t="s">
        <v>1934</v>
      </c>
      <c r="E252" s="1009"/>
      <c r="F252" s="1009"/>
    </row>
    <row r="253" spans="1:6" ht="12.75">
      <c r="D253" s="44"/>
    </row>
    <row r="254" spans="1:6" ht="14.25">
      <c r="A254" s="271"/>
      <c r="B254" s="609" t="s">
        <v>124</v>
      </c>
      <c r="D254" s="102" t="s">
        <v>1454</v>
      </c>
      <c r="E254" s="102"/>
      <c r="F254" s="102"/>
    </row>
    <row r="255" spans="1:6" ht="14.25">
      <c r="A255" s="271"/>
      <c r="B255"/>
      <c r="D255" s="972" t="s">
        <v>1756</v>
      </c>
      <c r="E255" s="979"/>
      <c r="F255" s="979"/>
    </row>
    <row r="256" spans="1:6" ht="14.25">
      <c r="A256" s="271"/>
      <c r="D256" s="979"/>
      <c r="E256" s="979"/>
      <c r="F256" s="979"/>
    </row>
    <row r="257" spans="1:7" ht="14.25">
      <c r="A257" s="271"/>
      <c r="D257" s="979"/>
      <c r="E257" s="979"/>
      <c r="F257" s="979"/>
    </row>
    <row r="258" spans="1:7" ht="14.25">
      <c r="A258" s="271"/>
      <c r="D258" s="24"/>
      <c r="E258" s="24"/>
      <c r="F258" s="24"/>
    </row>
    <row r="259" spans="1:7" ht="14.25">
      <c r="A259" s="271"/>
      <c r="B259" s="609" t="s">
        <v>124</v>
      </c>
      <c r="D259" s="1009" t="s">
        <v>1023</v>
      </c>
      <c r="E259" s="1009"/>
      <c r="F259" s="1009"/>
    </row>
    <row r="260" spans="1:7" ht="14.25">
      <c r="A260" s="271"/>
      <c r="D260" s="102"/>
      <c r="E260" s="102"/>
      <c r="F260" s="102"/>
    </row>
    <row r="261" spans="1:7" ht="12.75">
      <c r="A261" s="1033" t="s">
        <v>1388</v>
      </c>
      <c r="B261" s="1033"/>
      <c r="C261" s="1033"/>
      <c r="D261" s="1033"/>
      <c r="E261" s="1033"/>
      <c r="F261" s="1033"/>
      <c r="G261" s="1033"/>
    </row>
    <row r="262" spans="1:7" ht="12.75">
      <c r="D262" s="44"/>
    </row>
    <row r="263" spans="1:7" ht="12.75">
      <c r="C263" s="590"/>
      <c r="D263" s="1000" t="s">
        <v>1387</v>
      </c>
      <c r="E263" s="1000"/>
      <c r="F263" s="1000"/>
    </row>
    <row r="264" spans="1:7" ht="12.75">
      <c r="A264" s="190"/>
      <c r="B264" s="190"/>
      <c r="C264" s="190"/>
      <c r="D264" s="999" t="s">
        <v>1418</v>
      </c>
      <c r="E264" s="999"/>
      <c r="F264" s="999"/>
    </row>
    <row r="265" spans="1:7" ht="12.75">
      <c r="A265" s="18"/>
      <c r="B265" s="18"/>
      <c r="C265" s="18"/>
      <c r="D265" s="3"/>
    </row>
    <row r="266" spans="1:7" ht="12.75">
      <c r="A266" s="18"/>
      <c r="C266" s="18"/>
      <c r="D266" s="1000" t="s">
        <v>209</v>
      </c>
      <c r="E266" s="1000"/>
      <c r="F266" s="1000"/>
      <c r="G266"/>
    </row>
    <row r="267" spans="1:7" ht="14.45" customHeight="1">
      <c r="A267" s="271"/>
      <c r="B267" s="609" t="s">
        <v>1377</v>
      </c>
      <c r="C267" s="880"/>
      <c r="D267" s="1020" t="s">
        <v>2011</v>
      </c>
      <c r="E267" s="1020"/>
      <c r="F267" s="1020"/>
      <c r="G267"/>
    </row>
    <row r="268" spans="1:7" ht="14.25">
      <c r="A268" s="271"/>
      <c r="B268" s="881"/>
      <c r="C268" s="880"/>
      <c r="D268" s="1020"/>
      <c r="E268" s="1020"/>
      <c r="F268" s="1020"/>
      <c r="G268"/>
    </row>
    <row r="269" spans="1:7" ht="14.25">
      <c r="A269" s="271"/>
      <c r="B269" s="881"/>
      <c r="C269" s="880"/>
      <c r="D269" s="1020"/>
      <c r="E269" s="1020"/>
      <c r="F269" s="1020"/>
      <c r="G269"/>
    </row>
    <row r="270" spans="1:7" ht="14.45" customHeight="1">
      <c r="A270" s="271"/>
      <c r="B270" s="881"/>
      <c r="C270" s="880"/>
      <c r="D270" s="1020"/>
      <c r="E270" s="1020"/>
      <c r="F270" s="1020"/>
      <c r="G270"/>
    </row>
    <row r="271" spans="1:7" ht="14.25">
      <c r="A271" s="271"/>
      <c r="B271" s="881"/>
      <c r="C271" s="880"/>
      <c r="D271" s="882"/>
      <c r="E271" s="882"/>
      <c r="F271" s="882"/>
      <c r="G271"/>
    </row>
    <row r="272" spans="1:7" ht="14.25">
      <c r="A272" s="271"/>
      <c r="B272" s="609" t="s">
        <v>1377</v>
      </c>
      <c r="C272" s="880"/>
      <c r="D272" s="1020" t="s">
        <v>2012</v>
      </c>
      <c r="E272" s="1020"/>
      <c r="F272" s="1020"/>
      <c r="G272"/>
    </row>
    <row r="273" spans="1:7" ht="14.25">
      <c r="A273" s="271"/>
      <c r="B273" s="881"/>
      <c r="C273" s="880"/>
      <c r="D273" s="1020"/>
      <c r="E273" s="1020"/>
      <c r="F273" s="1020"/>
      <c r="G273"/>
    </row>
    <row r="274" spans="1:7" ht="14.25">
      <c r="A274" s="271"/>
      <c r="B274" s="881"/>
      <c r="C274" s="880"/>
      <c r="D274" s="1020"/>
      <c r="E274" s="1020"/>
      <c r="F274" s="1020"/>
      <c r="G274"/>
    </row>
    <row r="275" spans="1:7" ht="14.25">
      <c r="A275" s="271"/>
      <c r="B275" s="881"/>
      <c r="C275" s="880"/>
      <c r="D275" s="1020"/>
      <c r="E275" s="1020"/>
      <c r="F275" s="1020"/>
      <c r="G275"/>
    </row>
    <row r="276" spans="1:7" ht="14.25">
      <c r="A276" s="271"/>
      <c r="B276" s="881"/>
      <c r="C276" s="880"/>
      <c r="D276" s="1020"/>
      <c r="E276" s="1020"/>
      <c r="F276" s="1020"/>
      <c r="G276"/>
    </row>
    <row r="277" spans="1:7" ht="14.25">
      <c r="A277" s="271"/>
      <c r="B277" s="881"/>
      <c r="C277" s="880"/>
      <c r="D277" s="882"/>
      <c r="E277" s="882"/>
      <c r="F277" s="882"/>
      <c r="G277"/>
    </row>
    <row r="278" spans="1:7" ht="14.25">
      <c r="A278" s="271"/>
      <c r="B278" s="881"/>
      <c r="C278" s="880"/>
      <c r="D278" s="1020" t="s">
        <v>1560</v>
      </c>
      <c r="E278" s="1020"/>
      <c r="F278" s="1020"/>
      <c r="G278"/>
    </row>
    <row r="279" spans="1:7" ht="14.25">
      <c r="A279" s="271"/>
      <c r="B279" s="881"/>
      <c r="C279" s="880"/>
      <c r="D279" s="1020"/>
      <c r="E279" s="1020"/>
      <c r="F279" s="1020"/>
      <c r="G279"/>
    </row>
    <row r="280" spans="1:7" ht="14.25">
      <c r="A280" s="271"/>
      <c r="B280" s="881"/>
      <c r="C280" s="880"/>
      <c r="D280" s="1020"/>
      <c r="E280" s="1020"/>
      <c r="F280" s="1020"/>
      <c r="G280"/>
    </row>
    <row r="281" spans="1:7" ht="14.25">
      <c r="A281" s="271"/>
      <c r="B281" s="881"/>
      <c r="C281" s="880"/>
      <c r="D281" s="1020"/>
      <c r="E281" s="1020"/>
      <c r="F281" s="1020"/>
      <c r="G281"/>
    </row>
    <row r="282" spans="1:7" ht="14.25">
      <c r="A282" s="271"/>
      <c r="B282" s="881"/>
      <c r="C282" s="880"/>
      <c r="D282" s="1020"/>
      <c r="E282" s="1020"/>
      <c r="F282" s="1020"/>
      <c r="G282"/>
    </row>
    <row r="283" spans="1:7" ht="14.25">
      <c r="A283" s="271"/>
      <c r="B283" s="271"/>
      <c r="D283" s="209"/>
      <c r="E283" s="209"/>
      <c r="F283" s="209"/>
      <c r="G283"/>
    </row>
    <row r="284" spans="1:7" s="448" customFormat="1" ht="14.45" customHeight="1">
      <c r="A284" s="289"/>
      <c r="B284" s="609" t="s">
        <v>124</v>
      </c>
      <c r="C284" s="798"/>
      <c r="D284" s="1022" t="s">
        <v>1927</v>
      </c>
      <c r="E284" s="1022"/>
      <c r="F284" s="1022"/>
      <c r="G284" s="799"/>
    </row>
    <row r="285" spans="1:7" s="448" customFormat="1" ht="14.25">
      <c r="A285" s="289"/>
      <c r="B285" s="798"/>
      <c r="C285" s="798"/>
      <c r="D285" s="1022"/>
      <c r="E285" s="1022"/>
      <c r="F285" s="1022"/>
      <c r="G285" s="799"/>
    </row>
    <row r="286" spans="1:7" s="448" customFormat="1" ht="14.25">
      <c r="A286" s="289"/>
      <c r="B286" s="798"/>
      <c r="C286" s="798"/>
      <c r="D286" s="1022"/>
      <c r="E286" s="1022"/>
      <c r="F286" s="1022"/>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999" t="s">
        <v>1113</v>
      </c>
      <c r="E289" s="999"/>
      <c r="F289" s="999"/>
      <c r="G289"/>
    </row>
    <row r="290" spans="1:7" ht="14.25">
      <c r="A290" s="271"/>
      <c r="B290" s="271"/>
      <c r="D290" s="999" t="s">
        <v>1561</v>
      </c>
      <c r="E290" s="999"/>
      <c r="F290" s="999"/>
      <c r="G290"/>
    </row>
    <row r="291" spans="1:7" ht="14.25">
      <c r="A291" s="271"/>
      <c r="B291" s="271"/>
      <c r="D291" s="3" t="s">
        <v>1043</v>
      </c>
      <c r="E291" s="927" t="s">
        <v>2077</v>
      </c>
      <c r="F291" s="3"/>
    </row>
    <row r="292" spans="1:7" ht="12.75">
      <c r="D292" s="28"/>
    </row>
    <row r="293" spans="1:7" ht="14.25">
      <c r="A293" s="271"/>
      <c r="B293" s="609" t="s">
        <v>1377</v>
      </c>
      <c r="D293" s="979" t="s">
        <v>1562</v>
      </c>
      <c r="E293" s="979"/>
      <c r="F293" s="979"/>
    </row>
    <row r="294" spans="1:7" ht="14.25">
      <c r="A294" s="271"/>
      <c r="B294" s="271"/>
      <c r="D294" s="979"/>
      <c r="E294" s="979"/>
      <c r="F294" s="979"/>
    </row>
    <row r="295" spans="1:7" ht="12.75">
      <c r="D295" s="28"/>
    </row>
    <row r="296" spans="1:7" ht="12.75">
      <c r="A296" s="1033" t="s">
        <v>1390</v>
      </c>
      <c r="B296" s="1033"/>
      <c r="C296" s="1033"/>
      <c r="D296" s="1033"/>
      <c r="E296" s="1033"/>
      <c r="F296" s="1033"/>
      <c r="G296" s="1033"/>
    </row>
    <row r="297" spans="1:7" ht="12.75">
      <c r="D297" s="28"/>
    </row>
    <row r="298" spans="1:7" ht="12.75">
      <c r="C298" s="590"/>
      <c r="D298" s="1000" t="s">
        <v>1389</v>
      </c>
      <c r="E298" s="1000"/>
      <c r="F298" s="1000"/>
    </row>
    <row r="299" spans="1:7" ht="12.75">
      <c r="A299" s="190"/>
      <c r="B299" s="190"/>
      <c r="C299" s="190"/>
      <c r="D299" s="44"/>
    </row>
    <row r="300" spans="1:7" ht="12.75">
      <c r="A300" s="191"/>
      <c r="B300" s="191"/>
      <c r="C300" s="191"/>
      <c r="D300" s="1000" t="s">
        <v>211</v>
      </c>
      <c r="E300" s="1000"/>
      <c r="F300" s="1000"/>
    </row>
    <row r="301" spans="1:7" ht="14.45" customHeight="1">
      <c r="A301" s="271"/>
      <c r="B301" s="609" t="s">
        <v>124</v>
      </c>
      <c r="D301" s="972" t="s">
        <v>1884</v>
      </c>
      <c r="E301" s="979"/>
      <c r="F301" s="979"/>
    </row>
    <row r="302" spans="1:7" ht="12.75">
      <c r="D302" s="979"/>
      <c r="E302" s="979"/>
      <c r="F302" s="979"/>
    </row>
    <row r="303" spans="1:7" ht="12.75">
      <c r="D303" s="979"/>
      <c r="E303" s="979"/>
      <c r="F303" s="979"/>
    </row>
    <row r="304" spans="1:7" ht="12.75">
      <c r="D304" s="24"/>
      <c r="E304" s="24"/>
      <c r="F304" s="24"/>
    </row>
    <row r="305" spans="1:7" s="448" customFormat="1" ht="14.45" customHeight="1">
      <c r="A305" s="289"/>
      <c r="B305" s="609" t="s">
        <v>124</v>
      </c>
      <c r="C305" s="798"/>
      <c r="D305" s="1022" t="s">
        <v>1928</v>
      </c>
      <c r="E305" s="1022"/>
      <c r="F305" s="1022"/>
      <c r="G305" s="799"/>
    </row>
    <row r="306" spans="1:7" s="448" customFormat="1" ht="12.75">
      <c r="A306" s="798"/>
      <c r="B306" s="798"/>
      <c r="C306" s="798"/>
      <c r="D306" s="1022"/>
      <c r="E306" s="1022"/>
      <c r="F306" s="1022"/>
      <c r="G306" s="799"/>
    </row>
    <row r="307" spans="1:7" s="448" customFormat="1" ht="12.75">
      <c r="A307" s="798"/>
      <c r="B307" s="798"/>
      <c r="C307" s="798"/>
      <c r="D307" s="1022"/>
      <c r="E307" s="1022"/>
      <c r="F307" s="1022"/>
      <c r="G307" s="799"/>
    </row>
    <row r="308" spans="1:7" s="448" customFormat="1" ht="12.75">
      <c r="A308" s="798"/>
      <c r="B308" s="798"/>
      <c r="C308" s="798"/>
      <c r="E308" s="373" t="s">
        <v>2078</v>
      </c>
      <c r="F308" s="373"/>
      <c r="G308" s="799"/>
    </row>
    <row r="309" spans="1:7" ht="12.75">
      <c r="D309" s="212"/>
    </row>
    <row r="310" spans="1:7" ht="12.75">
      <c r="A310" s="1033" t="s">
        <v>1391</v>
      </c>
      <c r="B310" s="1033"/>
      <c r="C310" s="1033"/>
      <c r="D310" s="1033"/>
      <c r="E310" s="1033"/>
      <c r="F310" s="1033"/>
      <c r="G310" s="1033"/>
    </row>
    <row r="311" spans="1:7" ht="12.75">
      <c r="D311" s="212"/>
    </row>
    <row r="312" spans="1:7" ht="12.75">
      <c r="C312" s="190"/>
      <c r="D312" s="1006" t="s">
        <v>1563</v>
      </c>
      <c r="E312" s="1006"/>
      <c r="F312" s="1006"/>
    </row>
    <row r="313" spans="1:7" ht="12.75">
      <c r="C313" s="190"/>
      <c r="D313" s="1006"/>
      <c r="E313" s="1006"/>
      <c r="F313" s="1006"/>
    </row>
    <row r="314" spans="1:7" ht="12.75">
      <c r="A314" s="191"/>
      <c r="B314" s="191"/>
      <c r="C314" s="191"/>
      <c r="D314" s="3"/>
    </row>
    <row r="315" spans="1:7" ht="12.75">
      <c r="C315" s="191"/>
      <c r="D315" s="1000" t="s">
        <v>162</v>
      </c>
      <c r="E315" s="1000"/>
      <c r="F315" s="1000"/>
    </row>
    <row r="316" spans="1:7" ht="14.25">
      <c r="A316" s="271"/>
      <c r="B316" s="271"/>
      <c r="D316" s="1024" t="s">
        <v>1564</v>
      </c>
      <c r="E316" s="1024"/>
      <c r="F316" s="1024"/>
    </row>
    <row r="317" spans="1:7" ht="12" customHeight="1"/>
    <row r="318" spans="1:7" ht="14.45" customHeight="1">
      <c r="A318" s="271"/>
      <c r="B318" s="609" t="s">
        <v>124</v>
      </c>
      <c r="D318" s="979" t="s">
        <v>1565</v>
      </c>
      <c r="E318" s="979"/>
      <c r="F318" s="979"/>
    </row>
    <row r="319" spans="1:7" ht="14.25">
      <c r="A319" s="271"/>
      <c r="B319" s="271"/>
      <c r="D319" s="979"/>
      <c r="E319" s="979"/>
      <c r="F319" s="979"/>
    </row>
    <row r="320" spans="1:7" ht="12.75"/>
    <row r="321" spans="1:7" ht="14.45" customHeight="1">
      <c r="A321" s="271"/>
      <c r="B321" s="609" t="s">
        <v>1393</v>
      </c>
      <c r="D321" s="979" t="s">
        <v>1566</v>
      </c>
      <c r="E321" s="979"/>
      <c r="F321" s="979"/>
    </row>
    <row r="322" spans="1:7" ht="14.25">
      <c r="A322" s="271"/>
      <c r="B322" s="271"/>
      <c r="D322" s="979"/>
      <c r="E322" s="979"/>
      <c r="F322" s="979"/>
    </row>
    <row r="323" spans="1:7" ht="14.25">
      <c r="A323" s="271"/>
      <c r="B323" s="271"/>
      <c r="D323" s="979"/>
      <c r="E323" s="979"/>
      <c r="F323" s="979"/>
    </row>
    <row r="324" spans="1:7" ht="12.75">
      <c r="D324" s="44"/>
      <c r="E324"/>
      <c r="F324"/>
      <c r="G324"/>
    </row>
    <row r="325" spans="1:7" ht="14.25">
      <c r="A325" s="271"/>
      <c r="B325" s="609" t="s">
        <v>124</v>
      </c>
      <c r="D325" s="979" t="s">
        <v>1567</v>
      </c>
      <c r="E325" s="979"/>
      <c r="F325" s="979"/>
    </row>
    <row r="326" spans="1:7" ht="14.25">
      <c r="A326" s="271"/>
      <c r="B326" s="271"/>
      <c r="D326" s="979"/>
      <c r="E326" s="979"/>
      <c r="F326" s="979"/>
    </row>
    <row r="327" spans="1:7" ht="12.75">
      <c r="A327" s="18"/>
      <c r="B327" s="18"/>
      <c r="D327" s="44"/>
    </row>
    <row r="328" spans="1:7" ht="12.75">
      <c r="A328" s="1033" t="s">
        <v>1378</v>
      </c>
      <c r="B328" s="1033"/>
      <c r="C328" s="1033"/>
      <c r="D328" s="1033"/>
      <c r="E328" s="1033"/>
      <c r="F328" s="1033"/>
      <c r="G328" s="1033"/>
    </row>
    <row r="329" spans="1:7" ht="12.75">
      <c r="A329" s="18"/>
      <c r="B329" s="18"/>
      <c r="D329" s="44"/>
      <c r="G329"/>
    </row>
    <row r="330" spans="1:7" ht="12.75">
      <c r="C330" s="18"/>
      <c r="D330" s="1000" t="s">
        <v>163</v>
      </c>
      <c r="E330" s="1000"/>
      <c r="F330" s="1000"/>
      <c r="G330"/>
    </row>
    <row r="331" spans="1:7" ht="12.75">
      <c r="C331" s="18"/>
      <c r="D331" s="999" t="s">
        <v>1419</v>
      </c>
      <c r="E331" s="999"/>
      <c r="F331" s="999"/>
      <c r="G331"/>
    </row>
    <row r="332" spans="1:7" ht="12.75">
      <c r="C332" s="18"/>
      <c r="D332" s="182"/>
      <c r="G332"/>
    </row>
    <row r="333" spans="1:7" ht="12.75">
      <c r="B333" s="609" t="s">
        <v>1377</v>
      </c>
      <c r="D333" s="999" t="s">
        <v>1568</v>
      </c>
      <c r="E333" s="999"/>
      <c r="F333" s="999"/>
      <c r="G333"/>
    </row>
    <row r="334" spans="1:7" ht="14.25">
      <c r="A334" s="271"/>
      <c r="B334" s="271"/>
      <c r="D334" s="420"/>
      <c r="G334"/>
    </row>
    <row r="335" spans="1:7" ht="14.25">
      <c r="A335" s="271"/>
      <c r="B335" s="609" t="s">
        <v>1377</v>
      </c>
      <c r="D335" s="999" t="s">
        <v>1569</v>
      </c>
      <c r="E335" s="999"/>
      <c r="F335" s="999"/>
      <c r="G335"/>
    </row>
    <row r="336" spans="1:7" ht="12.75">
      <c r="G336"/>
    </row>
    <row r="337" spans="1:7" ht="14.45" customHeight="1">
      <c r="A337" s="271"/>
      <c r="B337" s="609" t="s">
        <v>1377</v>
      </c>
      <c r="D337" s="979" t="s">
        <v>1575</v>
      </c>
      <c r="E337" s="979"/>
      <c r="F337" s="979"/>
      <c r="G337"/>
    </row>
    <row r="338" spans="1:7" ht="14.25">
      <c r="A338" s="271"/>
      <c r="B338" s="271"/>
      <c r="D338" s="979"/>
      <c r="E338" s="979"/>
      <c r="F338" s="979"/>
      <c r="G338"/>
    </row>
    <row r="339" spans="1:7" ht="14.25">
      <c r="A339" s="271"/>
      <c r="B339" s="271"/>
      <c r="D339" s="979"/>
      <c r="E339" s="979"/>
      <c r="F339" s="979"/>
      <c r="G339"/>
    </row>
    <row r="340" spans="1:7" ht="14.25">
      <c r="A340" s="271"/>
      <c r="B340" s="271"/>
      <c r="D340" s="979"/>
      <c r="E340" s="979"/>
      <c r="F340" s="979"/>
      <c r="G340"/>
    </row>
    <row r="341" spans="1:7" ht="14.25">
      <c r="A341" s="271"/>
      <c r="B341" s="271"/>
      <c r="D341" s="979"/>
      <c r="E341" s="979"/>
      <c r="F341" s="979"/>
      <c r="G341"/>
    </row>
    <row r="342" spans="1:7" ht="14.25">
      <c r="A342" s="271"/>
      <c r="B342" s="271"/>
      <c r="D342" s="979"/>
      <c r="E342" s="979"/>
      <c r="F342" s="979"/>
      <c r="G342"/>
    </row>
    <row r="343" spans="1:7" ht="14.25">
      <c r="A343" s="271"/>
      <c r="B343" s="271"/>
      <c r="D343" s="979"/>
      <c r="E343" s="979"/>
      <c r="F343" s="979"/>
      <c r="G343"/>
    </row>
    <row r="344" spans="1:7" ht="14.25">
      <c r="A344" s="271"/>
      <c r="B344" s="271"/>
      <c r="D344" s="979"/>
      <c r="E344" s="979"/>
      <c r="F344" s="979"/>
      <c r="G344"/>
    </row>
    <row r="345" spans="1:7" ht="14.25">
      <c r="A345" s="271"/>
      <c r="B345" s="271"/>
      <c r="D345" s="979"/>
      <c r="E345" s="979"/>
      <c r="F345" s="979"/>
    </row>
    <row r="346" spans="1:7" ht="14.25">
      <c r="A346" s="271"/>
      <c r="B346" s="271"/>
      <c r="D346" s="979"/>
      <c r="E346" s="979"/>
      <c r="F346" s="979"/>
    </row>
    <row r="347" spans="1:7" ht="14.25">
      <c r="A347" s="271"/>
      <c r="B347" s="271"/>
      <c r="D347" s="979"/>
      <c r="E347" s="979"/>
      <c r="F347" s="979"/>
    </row>
    <row r="348" spans="1:7" ht="14.25">
      <c r="A348" s="271"/>
      <c r="B348" s="271"/>
      <c r="D348" s="979"/>
      <c r="E348" s="979"/>
      <c r="F348" s="979"/>
    </row>
    <row r="349" spans="1:7" ht="14.25">
      <c r="A349" s="271"/>
      <c r="B349" s="271"/>
      <c r="D349" s="979"/>
      <c r="E349" s="979"/>
      <c r="F349" s="979"/>
    </row>
    <row r="350" spans="1:7" ht="14.25">
      <c r="A350" s="271"/>
      <c r="B350" s="271"/>
      <c r="D350" s="979"/>
      <c r="E350" s="979"/>
      <c r="F350" s="979"/>
    </row>
    <row r="351" spans="1:7" ht="14.25">
      <c r="A351" s="271"/>
      <c r="B351" s="271"/>
      <c r="D351" s="979"/>
      <c r="E351" s="979"/>
      <c r="F351" s="979"/>
    </row>
    <row r="352" spans="1:7" ht="12.75"/>
    <row r="353" spans="1:6" ht="14.45" customHeight="1">
      <c r="A353" s="271"/>
      <c r="B353" s="609" t="s">
        <v>124</v>
      </c>
      <c r="D353" s="979" t="s">
        <v>1570</v>
      </c>
      <c r="E353" s="979"/>
      <c r="F353" s="979"/>
    </row>
    <row r="354" spans="1:6" ht="12.75">
      <c r="D354" s="979"/>
      <c r="E354" s="979"/>
      <c r="F354" s="979"/>
    </row>
    <row r="355" spans="1:6" ht="12.75">
      <c r="D355" s="979"/>
      <c r="E355" s="979"/>
      <c r="F355" s="979"/>
    </row>
    <row r="356" spans="1:6" ht="12.75">
      <c r="D356" s="979"/>
      <c r="E356" s="979"/>
      <c r="F356" s="979"/>
    </row>
    <row r="357" spans="1:6" ht="12.75">
      <c r="D357" s="979"/>
      <c r="E357" s="979"/>
      <c r="F357" s="979"/>
    </row>
    <row r="358" spans="1:6" ht="12.75">
      <c r="D358" s="979"/>
      <c r="E358" s="979"/>
      <c r="F358" s="979"/>
    </row>
    <row r="359" spans="1:6" ht="12.75">
      <c r="D359" s="979"/>
      <c r="E359" s="979"/>
      <c r="F359" s="979"/>
    </row>
    <row r="360" spans="1:6" ht="12.75">
      <c r="D360" s="979"/>
      <c r="E360" s="979"/>
      <c r="F360" s="979"/>
    </row>
    <row r="361" spans="1:6" ht="12.75">
      <c r="D361" s="979"/>
      <c r="E361" s="979"/>
      <c r="F361" s="979"/>
    </row>
    <row r="362" spans="1:6" ht="12.75">
      <c r="E362" s="44"/>
      <c r="F362" s="44"/>
    </row>
    <row r="363" spans="1:6" ht="14.25" customHeight="1">
      <c r="A363" s="271"/>
      <c r="B363" s="609" t="s">
        <v>1377</v>
      </c>
      <c r="D363" s="996" t="s">
        <v>2079</v>
      </c>
      <c r="E363" s="996"/>
      <c r="F363" s="996"/>
    </row>
    <row r="364" spans="1:6" ht="12.75">
      <c r="D364" s="996"/>
      <c r="E364" s="996"/>
      <c r="F364" s="996"/>
    </row>
    <row r="365" spans="1:6" ht="12.75">
      <c r="D365" s="996"/>
      <c r="E365" s="996"/>
      <c r="F365" s="996"/>
    </row>
    <row r="366" spans="1:6" ht="12.75">
      <c r="D366" s="996"/>
      <c r="E366" s="996"/>
      <c r="F366" s="996"/>
    </row>
    <row r="367" spans="1:6" ht="12.75">
      <c r="D367" s="996"/>
      <c r="E367" s="996"/>
      <c r="F367" s="996"/>
    </row>
    <row r="368" spans="1:6" ht="12.75">
      <c r="D368" s="209"/>
      <c r="E368" s="104" t="s">
        <v>2080</v>
      </c>
      <c r="F368" s="209"/>
    </row>
    <row r="369" spans="1:6" ht="13.5" thickBot="1">
      <c r="D369" s="777"/>
      <c r="E369" s="98"/>
      <c r="F369" s="98"/>
    </row>
    <row r="370" spans="1:6" ht="14.25" thickTop="1" thickBot="1">
      <c r="D370" s="1048" t="s">
        <v>1267</v>
      </c>
      <c r="E370" s="1048"/>
      <c r="F370" s="1048"/>
    </row>
    <row r="371" spans="1:6" ht="13.5" thickTop="1">
      <c r="D371" s="1049" t="s">
        <v>1571</v>
      </c>
      <c r="E371" s="1049"/>
      <c r="F371" s="1049"/>
    </row>
    <row r="372" spans="1:6" ht="12.75">
      <c r="D372" s="44"/>
    </row>
    <row r="373" spans="1:6" ht="14.25">
      <c r="A373" s="271"/>
      <c r="B373" s="609" t="s">
        <v>1377</v>
      </c>
      <c r="C373" s="361"/>
      <c r="D373" s="1016" t="s">
        <v>2143</v>
      </c>
      <c r="E373" s="1016"/>
      <c r="F373" s="1016"/>
    </row>
    <row r="374" spans="1:6" ht="14.25">
      <c r="A374" s="271"/>
      <c r="B374" s="271"/>
      <c r="C374" s="361"/>
      <c r="D374" s="420"/>
    </row>
    <row r="375" spans="1:6" ht="14.25">
      <c r="A375" s="271"/>
      <c r="B375" s="609" t="s">
        <v>1377</v>
      </c>
      <c r="C375" s="361"/>
      <c r="D375" s="986" t="s">
        <v>2144</v>
      </c>
      <c r="E375" s="1036"/>
      <c r="F375" s="1036"/>
    </row>
    <row r="376" spans="1:6" ht="14.25">
      <c r="A376" s="271"/>
      <c r="B376" s="271"/>
      <c r="C376" s="361"/>
      <c r="D376" s="1036"/>
      <c r="E376" s="1036"/>
      <c r="F376" s="1036"/>
    </row>
    <row r="377" spans="1:6" ht="14.25">
      <c r="A377" s="271"/>
      <c r="B377" s="271"/>
      <c r="C377" s="361"/>
      <c r="D377" s="1036"/>
      <c r="E377" s="1036"/>
      <c r="F377" s="1036"/>
    </row>
    <row r="378" spans="1:6" ht="14.25">
      <c r="A378" s="271"/>
      <c r="B378" s="271"/>
      <c r="C378" s="361"/>
      <c r="D378" s="1036"/>
      <c r="E378" s="1036"/>
      <c r="F378" s="1036"/>
    </row>
    <row r="379" spans="1:6" ht="14.25">
      <c r="A379" s="271"/>
      <c r="B379" s="271"/>
      <c r="C379" s="361"/>
      <c r="D379" s="1036"/>
      <c r="E379" s="1036"/>
      <c r="F379" s="1036"/>
    </row>
    <row r="380" spans="1:6" ht="14.25">
      <c r="A380" s="271"/>
      <c r="B380" s="271"/>
      <c r="C380" s="361"/>
      <c r="D380" s="1036"/>
      <c r="E380" s="1036"/>
      <c r="F380" s="1036"/>
    </row>
    <row r="381" spans="1:6" ht="14.25">
      <c r="A381" s="271"/>
      <c r="B381" s="271"/>
      <c r="C381" s="361"/>
      <c r="D381" s="1036"/>
      <c r="E381" s="1036"/>
      <c r="F381" s="1036"/>
    </row>
    <row r="382" spans="1:6" ht="14.25">
      <c r="A382" s="271"/>
      <c r="B382" s="271"/>
      <c r="C382" s="361"/>
      <c r="D382" s="1036"/>
      <c r="E382" s="1036"/>
      <c r="F382" s="1036"/>
    </row>
    <row r="383" spans="1:6" ht="14.25">
      <c r="A383" s="271"/>
      <c r="B383" s="271"/>
      <c r="C383" s="361"/>
      <c r="D383" s="1036"/>
      <c r="E383" s="1036"/>
      <c r="F383" s="1036"/>
    </row>
    <row r="384" spans="1:6" ht="14.25">
      <c r="A384" s="271"/>
      <c r="B384" s="271"/>
      <c r="C384" s="361"/>
      <c r="D384" s="1036"/>
      <c r="E384" s="1036"/>
      <c r="F384" s="1036"/>
    </row>
    <row r="385" spans="1:6" ht="14.25">
      <c r="A385" s="271"/>
      <c r="B385" s="271"/>
      <c r="C385" s="361"/>
      <c r="D385" s="627"/>
      <c r="E385" s="627"/>
      <c r="F385" s="627"/>
    </row>
    <row r="386" spans="1:6" ht="14.25">
      <c r="A386" s="271"/>
      <c r="B386" s="609" t="s">
        <v>124</v>
      </c>
      <c r="C386" s="361"/>
      <c r="D386" s="1036" t="s">
        <v>1572</v>
      </c>
      <c r="E386" s="1036"/>
      <c r="F386" s="1036"/>
    </row>
    <row r="387" spans="1:6" ht="12.75">
      <c r="A387" s="361"/>
      <c r="B387" s="361"/>
      <c r="C387" s="361"/>
      <c r="D387" s="1036"/>
      <c r="E387" s="1036"/>
      <c r="F387" s="1036"/>
    </row>
    <row r="388" spans="1:6" ht="12.75">
      <c r="A388" s="361"/>
      <c r="B388" s="361"/>
      <c r="C388" s="361"/>
      <c r="D388" s="1036"/>
      <c r="E388" s="1036"/>
      <c r="F388" s="1036"/>
    </row>
    <row r="389" spans="1:6" ht="12.75">
      <c r="A389" s="361"/>
      <c r="B389" s="361"/>
      <c r="C389" s="361"/>
      <c r="D389" s="1036"/>
      <c r="E389" s="1036"/>
      <c r="F389" s="1036"/>
    </row>
    <row r="390" spans="1:6" ht="12.75">
      <c r="A390" s="361"/>
      <c r="B390" s="361"/>
      <c r="C390" s="361"/>
      <c r="D390" s="627"/>
      <c r="E390" s="627"/>
      <c r="F390" s="627"/>
    </row>
    <row r="391" spans="1:6" ht="12.75">
      <c r="A391" s="361"/>
      <c r="B391" s="361"/>
      <c r="C391" s="361"/>
      <c r="D391" s="1036" t="s">
        <v>1573</v>
      </c>
      <c r="E391" s="1036"/>
      <c r="F391" s="1036"/>
    </row>
    <row r="392" spans="1:6" ht="12.75">
      <c r="A392" s="361"/>
      <c r="B392" s="361"/>
      <c r="C392" s="361"/>
      <c r="D392" s="1036"/>
      <c r="E392" s="1036"/>
      <c r="F392" s="1036"/>
    </row>
    <row r="393" spans="1:6" ht="12.75">
      <c r="A393" s="361"/>
      <c r="B393" s="361"/>
      <c r="C393" s="361"/>
      <c r="D393" s="1036"/>
      <c r="E393" s="1036"/>
      <c r="F393" s="1036"/>
    </row>
    <row r="394" spans="1:6" ht="12.75">
      <c r="A394" s="361"/>
      <c r="B394" s="361"/>
      <c r="C394" s="361"/>
      <c r="D394" s="1036"/>
      <c r="E394" s="1036"/>
      <c r="F394" s="1036"/>
    </row>
    <row r="395" spans="1:6" ht="12.75">
      <c r="A395" s="361"/>
      <c r="B395" s="361"/>
      <c r="C395" s="361"/>
      <c r="D395" s="1036"/>
      <c r="E395" s="1036"/>
      <c r="F395" s="1036"/>
    </row>
    <row r="396" spans="1:6" ht="12.75">
      <c r="A396" s="361"/>
      <c r="B396" s="361"/>
      <c r="C396" s="361"/>
      <c r="D396" s="1036"/>
      <c r="E396" s="1036"/>
      <c r="F396" s="1036"/>
    </row>
    <row r="397" spans="1:6" ht="12.75">
      <c r="A397" s="361"/>
      <c r="B397" s="361"/>
      <c r="C397" s="361"/>
      <c r="D397" s="1036"/>
      <c r="E397" s="1036"/>
      <c r="F397" s="1036"/>
    </row>
    <row r="398" spans="1:6" ht="12.75">
      <c r="A398" s="361"/>
      <c r="B398" s="361"/>
      <c r="C398" s="361"/>
      <c r="D398" s="1036"/>
      <c r="E398" s="1036"/>
      <c r="F398" s="1036"/>
    </row>
    <row r="399" spans="1:6" ht="12.75">
      <c r="A399" s="361"/>
      <c r="B399" s="361"/>
      <c r="C399" s="361"/>
      <c r="D399" s="1036"/>
      <c r="E399" s="1036"/>
      <c r="F399" s="1036"/>
    </row>
    <row r="400" spans="1:6" ht="13.7" customHeight="1">
      <c r="A400" s="361"/>
      <c r="B400" s="361"/>
      <c r="C400" s="361"/>
      <c r="D400" s="1036" t="s">
        <v>1576</v>
      </c>
      <c r="E400" s="1036"/>
      <c r="F400" s="1036"/>
    </row>
    <row r="401" spans="1:6" ht="13.7" customHeight="1">
      <c r="A401" s="361"/>
      <c r="B401" s="361"/>
      <c r="C401" s="361"/>
      <c r="D401" s="1036"/>
      <c r="E401" s="1036"/>
      <c r="F401" s="1036"/>
    </row>
    <row r="402" spans="1:6" ht="13.7" customHeight="1">
      <c r="A402" s="361"/>
      <c r="B402" s="361"/>
      <c r="C402" s="361"/>
      <c r="D402" s="1036"/>
      <c r="E402" s="1036"/>
      <c r="F402" s="1036"/>
    </row>
    <row r="403" spans="1:6" ht="13.7" customHeight="1">
      <c r="A403" s="361"/>
      <c r="B403" s="361"/>
      <c r="C403" s="361"/>
      <c r="D403" s="1036"/>
      <c r="E403" s="1036"/>
      <c r="F403" s="1036"/>
    </row>
    <row r="404" spans="1:6" ht="13.7" customHeight="1">
      <c r="A404" s="361"/>
      <c r="B404" s="361"/>
      <c r="C404" s="361"/>
      <c r="D404" s="1036"/>
      <c r="E404" s="1036"/>
      <c r="F404" s="1036"/>
    </row>
    <row r="405" spans="1:6" ht="13.7" customHeight="1">
      <c r="A405" s="361"/>
      <c r="B405" s="361"/>
      <c r="C405" s="361"/>
      <c r="D405" s="1036"/>
      <c r="E405" s="1036"/>
      <c r="F405" s="1036"/>
    </row>
    <row r="406" spans="1:6" ht="13.7" customHeight="1">
      <c r="A406" s="361"/>
      <c r="B406" s="361"/>
      <c r="C406" s="361"/>
      <c r="D406" s="1036"/>
      <c r="E406" s="1036"/>
      <c r="F406" s="1036"/>
    </row>
    <row r="407" spans="1:6" ht="13.7" customHeight="1">
      <c r="A407" s="361"/>
      <c r="B407" s="361"/>
      <c r="C407" s="361"/>
      <c r="D407" s="1036"/>
      <c r="E407" s="1036"/>
      <c r="F407" s="1036"/>
    </row>
    <row r="408" spans="1:6" ht="13.7" customHeight="1">
      <c r="A408" s="361"/>
      <c r="B408" s="361"/>
      <c r="C408" s="361"/>
      <c r="D408" s="1036"/>
      <c r="E408" s="1036"/>
      <c r="F408" s="1036"/>
    </row>
    <row r="409" spans="1:6" ht="13.7" customHeight="1">
      <c r="A409" s="361"/>
      <c r="B409" s="361"/>
      <c r="C409" s="361"/>
      <c r="D409" s="1036"/>
      <c r="E409" s="1036"/>
      <c r="F409" s="1036"/>
    </row>
    <row r="410" spans="1:6" ht="13.7" customHeight="1">
      <c r="A410" s="361"/>
      <c r="B410" s="361"/>
      <c r="C410" s="361"/>
      <c r="D410" s="1036"/>
      <c r="E410" s="1036"/>
      <c r="F410" s="1036"/>
    </row>
    <row r="411" spans="1:6" ht="13.7" customHeight="1">
      <c r="A411" s="361"/>
      <c r="B411" s="361"/>
      <c r="C411" s="361"/>
      <c r="D411" s="1036"/>
      <c r="E411" s="1036"/>
      <c r="F411" s="1036"/>
    </row>
    <row r="412" spans="1:6" ht="13.7" customHeight="1">
      <c r="A412" s="361"/>
      <c r="B412" s="361"/>
      <c r="C412" s="361"/>
      <c r="D412" s="1036"/>
      <c r="E412" s="1036"/>
      <c r="F412" s="1036"/>
    </row>
    <row r="413" spans="1:6" ht="13.7" customHeight="1">
      <c r="A413" s="361"/>
      <c r="B413" s="361"/>
      <c r="C413" s="361"/>
      <c r="D413" s="1036"/>
      <c r="E413" s="1036"/>
      <c r="F413" s="1036"/>
    </row>
    <row r="414" spans="1:6" ht="13.7" customHeight="1">
      <c r="A414" s="361"/>
      <c r="B414" s="361"/>
      <c r="C414" s="361"/>
      <c r="D414" s="1036"/>
      <c r="E414" s="1036"/>
      <c r="F414" s="1036"/>
    </row>
    <row r="415" spans="1:6" ht="13.7" customHeight="1">
      <c r="A415" s="361"/>
      <c r="B415" s="361"/>
      <c r="C415" s="361"/>
      <c r="D415" s="1036"/>
      <c r="E415" s="1036"/>
      <c r="F415" s="1036"/>
    </row>
    <row r="416" spans="1:6" ht="13.7" customHeight="1">
      <c r="A416" s="361"/>
      <c r="B416" s="361"/>
      <c r="C416" s="361"/>
      <c r="D416" s="1036"/>
      <c r="E416" s="1036"/>
      <c r="F416" s="1036"/>
    </row>
    <row r="417" spans="1:6" ht="13.7" customHeight="1">
      <c r="A417" s="361"/>
      <c r="B417" s="361"/>
      <c r="C417" s="361"/>
      <c r="D417" s="1036"/>
      <c r="E417" s="1036"/>
      <c r="F417" s="1036"/>
    </row>
    <row r="418" spans="1:6" ht="12.75">
      <c r="A418" s="361"/>
      <c r="B418" s="361"/>
      <c r="C418" s="361"/>
      <c r="D418" s="420"/>
    </row>
    <row r="419" spans="1:6" ht="13.7" customHeight="1">
      <c r="A419" s="361"/>
      <c r="B419" s="609" t="s">
        <v>1377</v>
      </c>
      <c r="C419" s="361"/>
      <c r="D419" s="1036" t="s">
        <v>1574</v>
      </c>
      <c r="E419" s="1036"/>
      <c r="F419" s="1036"/>
    </row>
    <row r="420" spans="1:6" ht="12.75">
      <c r="A420" s="361"/>
      <c r="B420" s="361"/>
      <c r="C420" s="361"/>
      <c r="D420" s="1036"/>
      <c r="E420" s="1036"/>
      <c r="F420" s="1036"/>
    </row>
    <row r="421" spans="1:6" ht="12.75">
      <c r="A421" s="361"/>
      <c r="B421" s="361"/>
      <c r="C421" s="361"/>
      <c r="D421" s="627"/>
      <c r="E421" s="627"/>
      <c r="F421" s="627"/>
    </row>
    <row r="422" spans="1:6" ht="12.75">
      <c r="A422" s="361"/>
      <c r="B422" s="609" t="s">
        <v>1377</v>
      </c>
      <c r="C422" s="361"/>
      <c r="D422" s="1026" t="s">
        <v>1881</v>
      </c>
      <c r="E422" s="1026"/>
      <c r="F422" s="1026"/>
    </row>
    <row r="423" spans="1:6" ht="12.75">
      <c r="A423" s="361"/>
      <c r="B423" s="361"/>
      <c r="C423" s="361"/>
      <c r="D423" s="1026"/>
      <c r="E423" s="1026"/>
      <c r="F423" s="1026"/>
    </row>
    <row r="424" spans="1:6" ht="12.75">
      <c r="A424" s="361"/>
      <c r="B424" s="361"/>
      <c r="C424" s="361"/>
      <c r="D424" s="1026"/>
      <c r="E424" s="1026"/>
      <c r="F424" s="1026"/>
    </row>
    <row r="425" spans="1:6" ht="12.75">
      <c r="A425" s="361"/>
      <c r="B425" s="361"/>
      <c r="C425" s="361"/>
      <c r="D425" s="1026"/>
      <c r="E425" s="1026"/>
      <c r="F425" s="1026"/>
    </row>
    <row r="426" spans="1:6" ht="12.75">
      <c r="A426" s="361"/>
      <c r="B426" s="361"/>
      <c r="C426" s="361"/>
      <c r="D426" s="1026"/>
      <c r="E426" s="1026"/>
      <c r="F426" s="1026"/>
    </row>
    <row r="427" spans="1:6" ht="12.75">
      <c r="A427" s="361"/>
      <c r="B427" s="361"/>
      <c r="C427" s="361"/>
      <c r="D427" s="1026"/>
      <c r="E427" s="1026"/>
      <c r="F427" s="1026"/>
    </row>
    <row r="428" spans="1:6" ht="14.45" customHeight="1">
      <c r="A428" s="271"/>
      <c r="B428" s="609" t="s">
        <v>1377</v>
      </c>
      <c r="C428" s="361"/>
      <c r="D428" s="1026" t="s">
        <v>1862</v>
      </c>
      <c r="E428" s="1026"/>
      <c r="F428" s="1026"/>
    </row>
    <row r="429" spans="1:6" ht="14.25">
      <c r="A429" s="500"/>
      <c r="B429" s="500"/>
      <c r="C429" s="361"/>
      <c r="D429" s="1026"/>
      <c r="E429" s="1026"/>
      <c r="F429" s="1026"/>
    </row>
    <row r="430" spans="1:6" ht="14.25">
      <c r="A430" s="500"/>
      <c r="B430" s="500"/>
      <c r="C430" s="361"/>
      <c r="D430" s="1026"/>
      <c r="E430" s="1026"/>
      <c r="F430" s="1026"/>
    </row>
    <row r="431" spans="1:6" ht="14.25">
      <c r="A431" s="500"/>
      <c r="B431" s="500"/>
      <c r="C431" s="361"/>
      <c r="D431" s="1026"/>
      <c r="E431" s="1026"/>
      <c r="F431" s="1026"/>
    </row>
    <row r="432" spans="1:6" ht="14.25" customHeight="1">
      <c r="A432" s="500"/>
      <c r="B432" s="500"/>
      <c r="C432" s="361"/>
      <c r="D432" s="1055" t="s">
        <v>1877</v>
      </c>
      <c r="E432" s="1055"/>
      <c r="F432" s="1055"/>
    </row>
    <row r="433" spans="1:6" ht="12.75">
      <c r="D433" s="44"/>
    </row>
    <row r="434" spans="1:6" ht="14.45" customHeight="1">
      <c r="A434" s="271"/>
      <c r="B434" s="609" t="s">
        <v>124</v>
      </c>
      <c r="C434" s="207"/>
      <c r="D434" s="979" t="s">
        <v>2145</v>
      </c>
      <c r="E434" s="979"/>
      <c r="F434" s="979"/>
    </row>
    <row r="435" spans="1:6" ht="14.25">
      <c r="A435" s="271"/>
      <c r="B435" s="271"/>
      <c r="D435" s="979"/>
      <c r="E435" s="979"/>
      <c r="F435" s="979"/>
    </row>
    <row r="436" spans="1:6" ht="14.25">
      <c r="A436" s="271"/>
      <c r="B436" s="271"/>
      <c r="D436" s="979"/>
      <c r="E436" s="979"/>
      <c r="F436" s="979"/>
    </row>
    <row r="437" spans="1:6" ht="14.25">
      <c r="A437" s="271"/>
      <c r="B437" s="271"/>
      <c r="D437" s="979"/>
      <c r="E437" s="979"/>
      <c r="F437" s="979"/>
    </row>
    <row r="438" spans="1:6" ht="14.25">
      <c r="A438" s="271"/>
      <c r="B438" s="271"/>
      <c r="D438" s="979"/>
      <c r="E438" s="979"/>
      <c r="F438" s="979"/>
    </row>
    <row r="439" spans="1:6" ht="14.25">
      <c r="A439" s="271"/>
      <c r="B439" s="271"/>
      <c r="D439" s="979"/>
      <c r="E439" s="979"/>
      <c r="F439" s="979"/>
    </row>
    <row r="440" spans="1:6" ht="14.25">
      <c r="A440" s="271"/>
      <c r="B440" s="271"/>
      <c r="D440" s="979"/>
      <c r="E440" s="979"/>
      <c r="F440" s="979"/>
    </row>
    <row r="441" spans="1:6" ht="14.25">
      <c r="A441" s="271"/>
      <c r="B441" s="271"/>
      <c r="D441" s="979"/>
      <c r="E441" s="979"/>
      <c r="F441" s="979"/>
    </row>
    <row r="442" spans="1:6" ht="14.25">
      <c r="A442" s="271"/>
      <c r="B442" s="271"/>
      <c r="D442" s="979"/>
      <c r="E442" s="979"/>
      <c r="F442" s="979"/>
    </row>
    <row r="443" spans="1:6" ht="14.25">
      <c r="A443" s="271"/>
      <c r="B443" s="271"/>
      <c r="D443" s="979"/>
      <c r="E443" s="979"/>
      <c r="F443" s="979"/>
    </row>
    <row r="444" spans="1:6" ht="14.25">
      <c r="A444" s="271"/>
      <c r="B444" s="271"/>
      <c r="D444" s="979"/>
      <c r="E444" s="979"/>
      <c r="F444" s="979"/>
    </row>
    <row r="445" spans="1:6" ht="14.25">
      <c r="A445" s="271"/>
      <c r="B445" s="271"/>
      <c r="D445" s="979"/>
      <c r="E445" s="979"/>
      <c r="F445" s="979"/>
    </row>
    <row r="446" spans="1:6" ht="14.25">
      <c r="A446" s="271"/>
      <c r="B446" s="271"/>
      <c r="D446" s="979"/>
      <c r="E446" s="979"/>
      <c r="F446" s="979"/>
    </row>
    <row r="447" spans="1:6" ht="14.25">
      <c r="A447" s="271"/>
      <c r="B447" s="271"/>
      <c r="D447" s="979"/>
      <c r="E447" s="979"/>
      <c r="F447" s="979"/>
    </row>
    <row r="448" spans="1:6" ht="14.25">
      <c r="A448" s="271"/>
      <c r="B448" s="271"/>
      <c r="D448" s="979"/>
      <c r="E448" s="979"/>
      <c r="F448" s="979"/>
    </row>
    <row r="449" spans="1:6" ht="14.25">
      <c r="A449" s="271"/>
      <c r="B449" s="271"/>
      <c r="D449" s="979"/>
      <c r="E449" s="979"/>
      <c r="F449" s="979"/>
    </row>
    <row r="450" spans="1:6" ht="14.25">
      <c r="A450" s="271"/>
      <c r="B450" s="271"/>
      <c r="D450" s="979"/>
      <c r="E450" s="979"/>
      <c r="F450" s="979"/>
    </row>
    <row r="451" spans="1:6" ht="14.25">
      <c r="A451" s="271"/>
      <c r="B451" s="271"/>
      <c r="D451" s="979"/>
      <c r="E451" s="979"/>
      <c r="F451" s="979"/>
    </row>
    <row r="452" spans="1:6" ht="14.25">
      <c r="A452" s="271"/>
      <c r="B452" s="271"/>
      <c r="D452" s="979"/>
      <c r="E452" s="979"/>
      <c r="F452" s="979"/>
    </row>
    <row r="453" spans="1:6" ht="14.25">
      <c r="A453" s="271"/>
      <c r="B453" s="271"/>
      <c r="D453" s="979"/>
      <c r="E453" s="979"/>
      <c r="F453" s="979"/>
    </row>
    <row r="454" spans="1:6" ht="14.25">
      <c r="A454" s="271"/>
      <c r="B454" s="271"/>
      <c r="D454" s="979"/>
      <c r="E454" s="979"/>
      <c r="F454" s="979"/>
    </row>
    <row r="455" spans="1:6" ht="14.25">
      <c r="A455" s="271"/>
      <c r="B455" s="271"/>
      <c r="D455" s="979"/>
      <c r="E455" s="979"/>
      <c r="F455" s="979"/>
    </row>
    <row r="456" spans="1:6" ht="14.25">
      <c r="A456" s="271"/>
      <c r="B456" s="271"/>
      <c r="D456" s="979"/>
      <c r="E456" s="979"/>
      <c r="F456" s="979"/>
    </row>
    <row r="457" spans="1:6" ht="14.25">
      <c r="A457" s="271"/>
      <c r="B457" s="271"/>
      <c r="D457" s="979"/>
      <c r="E457" s="979"/>
      <c r="F457" s="979"/>
    </row>
    <row r="458" spans="1:6" ht="14.25">
      <c r="A458" s="271"/>
      <c r="B458" s="271"/>
      <c r="D458" s="979"/>
      <c r="E458" s="979"/>
      <c r="F458" s="979"/>
    </row>
    <row r="459" spans="1:6" ht="14.25">
      <c r="A459" s="271"/>
      <c r="B459" s="271"/>
      <c r="D459" s="979"/>
      <c r="E459" s="979"/>
      <c r="F459" s="979"/>
    </row>
    <row r="460" spans="1:6" ht="14.25">
      <c r="A460" s="271"/>
      <c r="B460" s="271"/>
      <c r="D460" s="979"/>
      <c r="E460" s="979"/>
      <c r="F460" s="979"/>
    </row>
    <row r="461" spans="1:6" ht="14.25">
      <c r="A461" s="271"/>
      <c r="B461" s="271"/>
      <c r="D461" s="979"/>
      <c r="E461" s="979"/>
      <c r="F461" s="979"/>
    </row>
    <row r="462" spans="1:6" ht="14.25">
      <c r="A462" s="271"/>
      <c r="B462" s="271"/>
      <c r="D462" s="979"/>
      <c r="E462" s="979"/>
      <c r="F462" s="979"/>
    </row>
    <row r="463" spans="1:6" ht="14.25">
      <c r="A463" s="271"/>
      <c r="B463" s="271"/>
      <c r="D463" s="979"/>
      <c r="E463" s="979"/>
      <c r="F463" s="979"/>
    </row>
    <row r="464" spans="1:6" ht="12.75" hidden="1">
      <c r="D464" s="979"/>
      <c r="E464" s="979"/>
      <c r="F464" s="979"/>
    </row>
    <row r="465" spans="1:6" ht="12.75" hidden="1">
      <c r="D465" s="44"/>
    </row>
    <row r="466" spans="1:6" ht="14.25">
      <c r="A466" s="271"/>
      <c r="B466" s="609" t="s">
        <v>1377</v>
      </c>
      <c r="C466" s="207"/>
      <c r="D466" s="1001" t="s">
        <v>2082</v>
      </c>
      <c r="E466" s="999"/>
      <c r="F466" s="999"/>
    </row>
    <row r="467" spans="1:6" ht="12.75">
      <c r="D467"/>
      <c r="E467" s="928" t="s">
        <v>2081</v>
      </c>
      <c r="F467" s="928"/>
    </row>
    <row r="468" spans="1:6" ht="13.7" customHeight="1">
      <c r="D468" s="972" t="s">
        <v>1859</v>
      </c>
      <c r="E468" s="979"/>
      <c r="F468" s="979"/>
    </row>
    <row r="469" spans="1:6" ht="13.7" customHeight="1">
      <c r="D469" s="979"/>
      <c r="E469" s="979"/>
      <c r="F469" s="979"/>
    </row>
    <row r="470" spans="1:6" ht="12.75">
      <c r="D470" s="44"/>
    </row>
    <row r="471" spans="1:6" ht="14.45" customHeight="1">
      <c r="A471" s="271"/>
      <c r="B471" s="609" t="s">
        <v>1377</v>
      </c>
      <c r="C471" s="207"/>
      <c r="D471" s="979" t="s">
        <v>1577</v>
      </c>
      <c r="E471" s="979"/>
      <c r="F471" s="979"/>
    </row>
    <row r="472" spans="1:6" ht="12.75">
      <c r="D472" s="979"/>
      <c r="E472" s="979"/>
      <c r="F472" s="979"/>
    </row>
    <row r="473" spans="1:6" ht="12.75">
      <c r="D473" s="979"/>
      <c r="E473" s="979"/>
      <c r="F473" s="979"/>
    </row>
    <row r="474" spans="1:6" ht="12.75">
      <c r="D474" s="24"/>
      <c r="E474" s="24"/>
      <c r="F474" s="24"/>
    </row>
    <row r="475" spans="1:6" ht="14.25">
      <c r="B475" s="609" t="s">
        <v>1377</v>
      </c>
      <c r="C475" s="271"/>
      <c r="D475" s="972" t="s">
        <v>1720</v>
      </c>
      <c r="E475" s="979"/>
      <c r="F475" s="979"/>
    </row>
    <row r="476" spans="1:6" ht="12.75">
      <c r="D476" s="979"/>
      <c r="E476" s="979"/>
      <c r="F476" s="979"/>
    </row>
    <row r="477" spans="1:6" ht="12.75">
      <c r="D477" s="44"/>
      <c r="E477" s="44"/>
    </row>
    <row r="478" spans="1:6" ht="14.25">
      <c r="B478" s="609" t="s">
        <v>1377</v>
      </c>
      <c r="C478" s="271"/>
      <c r="D478" s="979" t="s">
        <v>1578</v>
      </c>
      <c r="E478" s="979"/>
      <c r="F478" s="979"/>
    </row>
    <row r="479" spans="1:6" ht="12.75">
      <c r="D479" s="979"/>
      <c r="E479" s="979"/>
      <c r="F479" s="979"/>
    </row>
    <row r="480" spans="1:6" ht="12.75">
      <c r="D480" s="979"/>
      <c r="E480" s="979"/>
      <c r="F480" s="979"/>
    </row>
    <row r="481" spans="2:6" ht="12.75">
      <c r="D481" s="979"/>
      <c r="E481" s="979"/>
      <c r="F481" s="979"/>
    </row>
    <row r="482" spans="2:6" ht="12.75">
      <c r="B482" s="609" t="s">
        <v>124</v>
      </c>
      <c r="D482" s="979"/>
      <c r="E482" s="979"/>
      <c r="F482" s="979"/>
    </row>
    <row r="483" spans="2:6" ht="12.75">
      <c r="D483" s="979"/>
      <c r="E483" s="979"/>
      <c r="F483" s="979"/>
    </row>
    <row r="484" spans="2:6" ht="12.75">
      <c r="D484" s="979"/>
      <c r="E484" s="979"/>
      <c r="F484" s="979"/>
    </row>
    <row r="485" spans="2:6" ht="12.75">
      <c r="B485" s="609" t="s">
        <v>124</v>
      </c>
      <c r="D485" s="979"/>
      <c r="E485" s="979"/>
      <c r="F485" s="979"/>
    </row>
    <row r="486" spans="2:6" ht="12.75">
      <c r="D486" s="979"/>
      <c r="E486" s="979"/>
      <c r="F486" s="979"/>
    </row>
    <row r="487" spans="2:6" ht="12.75">
      <c r="D487" s="979"/>
      <c r="E487" s="979"/>
      <c r="F487" s="979"/>
    </row>
    <row r="488" spans="2:6" ht="12.75">
      <c r="D488" s="979"/>
      <c r="E488" s="979"/>
      <c r="F488" s="979"/>
    </row>
    <row r="489" spans="2:6" ht="12.75">
      <c r="B489" s="609" t="s">
        <v>124</v>
      </c>
      <c r="D489" s="979"/>
      <c r="E489" s="979"/>
      <c r="F489" s="979"/>
    </row>
    <row r="490" spans="2:6" ht="12.75">
      <c r="D490" s="979"/>
      <c r="E490" s="979"/>
      <c r="F490" s="979"/>
    </row>
    <row r="491" spans="2:6" ht="12.75">
      <c r="B491" s="609" t="s">
        <v>124</v>
      </c>
      <c r="D491" s="979"/>
      <c r="E491" s="979"/>
      <c r="F491" s="979"/>
    </row>
    <row r="492" spans="2:6" ht="12.75">
      <c r="D492" s="979"/>
      <c r="E492" s="979"/>
      <c r="F492" s="979"/>
    </row>
    <row r="493" spans="2:6" ht="13.7" customHeight="1">
      <c r="B493" s="609" t="s">
        <v>124</v>
      </c>
      <c r="D493" s="979" t="s">
        <v>1579</v>
      </c>
      <c r="E493" s="979"/>
      <c r="F493" s="979"/>
    </row>
    <row r="494" spans="2:6" ht="12.75">
      <c r="D494" s="979"/>
      <c r="E494" s="979"/>
      <c r="F494" s="979"/>
    </row>
    <row r="495" spans="2:6" ht="12.75">
      <c r="D495" s="979"/>
      <c r="E495" s="979"/>
      <c r="F495" s="979"/>
    </row>
    <row r="496" spans="2:6" ht="12.75">
      <c r="D496" s="979"/>
      <c r="E496" s="979"/>
      <c r="F496" s="979"/>
    </row>
    <row r="497" spans="1:7" ht="12.75">
      <c r="D497" s="979"/>
      <c r="E497" s="979"/>
      <c r="F497" s="979"/>
    </row>
    <row r="498" spans="1:7" ht="12.75">
      <c r="D498" s="44"/>
    </row>
    <row r="499" spans="1:7" ht="12.75">
      <c r="B499" s="609" t="s">
        <v>124</v>
      </c>
      <c r="D499" s="999" t="s">
        <v>1420</v>
      </c>
      <c r="E499" s="999"/>
      <c r="F499" s="999"/>
    </row>
    <row r="500" spans="1:7" ht="12.75">
      <c r="A500" s="44"/>
      <c r="B500" s="44"/>
    </row>
    <row r="501" spans="1:7" ht="12.75">
      <c r="A501" s="1033" t="s">
        <v>1379</v>
      </c>
      <c r="B501" s="1033"/>
      <c r="C501" s="1033"/>
      <c r="D501" s="1033"/>
      <c r="E501" s="1033"/>
      <c r="F501" s="1033"/>
      <c r="G501" s="1033"/>
    </row>
    <row r="502" spans="1:7" ht="12.75">
      <c r="A502" s="44"/>
      <c r="B502" s="44"/>
    </row>
    <row r="503" spans="1:7" ht="12.75">
      <c r="D503" s="1050" t="s">
        <v>1119</v>
      </c>
      <c r="E503" s="1050"/>
      <c r="F503" s="1050"/>
    </row>
    <row r="504" spans="1:7" ht="12.75">
      <c r="D504" s="1016" t="s">
        <v>1413</v>
      </c>
      <c r="E504" s="1016"/>
      <c r="F504" s="1016"/>
    </row>
    <row r="505" spans="1:7" ht="14.25">
      <c r="A505" s="271"/>
      <c r="B505" s="271"/>
      <c r="D505" s="420"/>
    </row>
    <row r="506" spans="1:7" ht="14.25">
      <c r="A506" s="271"/>
      <c r="B506" s="609" t="s">
        <v>1377</v>
      </c>
      <c r="D506" s="1036" t="s">
        <v>1580</v>
      </c>
      <c r="E506" s="1036"/>
      <c r="F506" s="1036"/>
    </row>
    <row r="507" spans="1:7" ht="14.25">
      <c r="A507" s="271"/>
      <c r="B507" s="271"/>
      <c r="D507" s="1036"/>
      <c r="E507" s="1036"/>
      <c r="F507" s="1036"/>
    </row>
    <row r="508" spans="1:7" ht="14.25">
      <c r="A508" s="271"/>
      <c r="B508" s="271"/>
      <c r="D508" s="44"/>
    </row>
    <row r="509" spans="1:7" ht="14.25">
      <c r="A509" s="271"/>
      <c r="B509" s="609" t="s">
        <v>1377</v>
      </c>
      <c r="D509" s="1051" t="s">
        <v>1878</v>
      </c>
      <c r="E509" s="1002"/>
      <c r="F509" s="1002"/>
    </row>
    <row r="510" spans="1:7" ht="14.25">
      <c r="A510" s="271"/>
      <c r="B510" s="271"/>
      <c r="D510" s="1002"/>
      <c r="E510" s="1002"/>
      <c r="F510" s="1002"/>
    </row>
    <row r="511" spans="1:7" ht="14.25">
      <c r="A511" s="271"/>
      <c r="B511" s="271"/>
      <c r="D511" s="1002"/>
      <c r="E511" s="1002"/>
      <c r="F511" s="1002"/>
      <c r="G511"/>
    </row>
    <row r="512" spans="1:7" ht="14.25">
      <c r="A512" s="271"/>
      <c r="B512" s="271"/>
      <c r="D512" s="1002"/>
      <c r="E512" s="1002"/>
      <c r="F512" s="1002"/>
      <c r="G512"/>
    </row>
    <row r="513" spans="1:7" ht="12.75">
      <c r="G513"/>
    </row>
    <row r="514" spans="1:7" ht="14.25">
      <c r="A514" s="271"/>
      <c r="B514" s="609" t="s">
        <v>1377</v>
      </c>
      <c r="D514" s="999" t="s">
        <v>1582</v>
      </c>
      <c r="E514" s="999"/>
      <c r="F514" s="999"/>
      <c r="G514"/>
    </row>
    <row r="515" spans="1:7" ht="12.75">
      <c r="D515" s="44"/>
      <c r="G515"/>
    </row>
    <row r="516" spans="1:7" ht="14.25">
      <c r="A516" s="271"/>
      <c r="B516" s="609" t="s">
        <v>1377</v>
      </c>
      <c r="D516" s="979" t="s">
        <v>1583</v>
      </c>
      <c r="E516" s="979"/>
      <c r="F516" s="979"/>
      <c r="G516"/>
    </row>
    <row r="517" spans="1:7" ht="12.75">
      <c r="D517" s="979"/>
      <c r="E517" s="979"/>
      <c r="F517" s="979"/>
      <c r="G517"/>
    </row>
    <row r="518" spans="1:7" ht="12.75">
      <c r="D518" s="420"/>
      <c r="G518"/>
    </row>
    <row r="519" spans="1:7" ht="14.25">
      <c r="A519" s="271"/>
      <c r="B519" s="609" t="s">
        <v>124</v>
      </c>
      <c r="D519" s="999" t="s">
        <v>1581</v>
      </c>
      <c r="E519" s="999"/>
      <c r="F519" s="999"/>
    </row>
    <row r="520" spans="1:7" ht="14.25">
      <c r="A520" s="271"/>
      <c r="B520" s="271"/>
      <c r="D520" s="44"/>
    </row>
    <row r="521" spans="1:7" ht="12.75">
      <c r="A521" s="1033" t="s">
        <v>1380</v>
      </c>
      <c r="B521" s="1033"/>
      <c r="C521" s="1033"/>
      <c r="D521" s="1033"/>
      <c r="E521" s="1033"/>
      <c r="F521" s="1033"/>
      <c r="G521" s="1033"/>
    </row>
    <row r="522" spans="1:7" ht="12" customHeight="1">
      <c r="A522" s="271"/>
      <c r="B522" s="271"/>
      <c r="D522" s="44"/>
    </row>
    <row r="523" spans="1:7" ht="12.75">
      <c r="B523" s="609" t="s">
        <v>1377</v>
      </c>
      <c r="C523" s="190"/>
      <c r="D523" s="1007" t="s">
        <v>1526</v>
      </c>
      <c r="E523" s="1007"/>
      <c r="F523" s="1007"/>
    </row>
    <row r="524" spans="1:7" ht="12.75">
      <c r="C524" s="190"/>
      <c r="D524" s="1007"/>
      <c r="E524" s="1007"/>
      <c r="F524" s="1007"/>
    </row>
    <row r="525" spans="1:7" ht="12.75">
      <c r="A525" s="191"/>
      <c r="B525" s="191"/>
      <c r="C525" s="191"/>
      <c r="D525" s="1007"/>
      <c r="E525" s="1007"/>
      <c r="F525" s="1007"/>
    </row>
    <row r="526" spans="1:7" ht="12.75">
      <c r="A526" s="191"/>
      <c r="B526" s="191"/>
      <c r="C526" s="191"/>
      <c r="D526" s="1007"/>
      <c r="E526" s="1007"/>
      <c r="F526" s="1007"/>
    </row>
    <row r="527" spans="1:7" ht="12.75">
      <c r="A527" s="191"/>
      <c r="B527" s="191"/>
      <c r="C527" s="191"/>
    </row>
    <row r="528" spans="1:7" ht="14.25">
      <c r="A528" s="271"/>
      <c r="B528" s="609" t="s">
        <v>124</v>
      </c>
      <c r="C528" s="207"/>
      <c r="D528" s="979" t="s">
        <v>2146</v>
      </c>
      <c r="E528" s="979"/>
      <c r="F528" s="979"/>
      <c r="G528"/>
    </row>
    <row r="529" spans="1:7" ht="12.75">
      <c r="A529" s="207"/>
      <c r="B529" s="207"/>
      <c r="C529" s="207"/>
      <c r="D529" s="979"/>
      <c r="E529" s="979"/>
      <c r="F529" s="979"/>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1036" t="s">
        <v>2147</v>
      </c>
      <c r="E533" s="1036"/>
      <c r="F533" s="1036"/>
      <c r="G533"/>
    </row>
    <row r="534" spans="1:7" ht="14.25">
      <c r="A534" s="271"/>
      <c r="B534" s="271"/>
      <c r="D534" s="1036"/>
      <c r="E534" s="1036"/>
      <c r="F534" s="1036"/>
      <c r="G534"/>
    </row>
    <row r="535" spans="1:7" ht="12.75">
      <c r="D535" s="1036"/>
      <c r="E535" s="1036"/>
      <c r="F535" s="1036"/>
    </row>
    <row r="536" spans="1:7" ht="12" customHeight="1">
      <c r="A536" s="44"/>
      <c r="B536" s="44"/>
      <c r="C536" s="207"/>
      <c r="E536" s="44"/>
    </row>
    <row r="537" spans="1:7" ht="12.75">
      <c r="A537" s="1033" t="s">
        <v>1392</v>
      </c>
      <c r="B537" s="1033"/>
      <c r="C537" s="1033"/>
      <c r="D537" s="1033"/>
      <c r="E537" s="1033"/>
      <c r="F537" s="1033"/>
      <c r="G537" s="1033"/>
    </row>
    <row r="538" spans="1:7" ht="12" customHeight="1">
      <c r="A538" s="44"/>
      <c r="B538" s="44"/>
      <c r="C538" s="207"/>
      <c r="E538" s="44"/>
    </row>
    <row r="539" spans="1:7" ht="12.75">
      <c r="C539" s="207"/>
      <c r="D539" s="1000" t="s">
        <v>1421</v>
      </c>
      <c r="E539" s="1000"/>
      <c r="F539" s="1000"/>
    </row>
    <row r="540" spans="1:7" ht="12.75"/>
    <row r="541" spans="1:7" ht="12.75">
      <c r="B541" s="609" t="s">
        <v>124</v>
      </c>
      <c r="D541" s="979" t="s">
        <v>1552</v>
      </c>
      <c r="E541" s="979"/>
      <c r="F541" s="979"/>
    </row>
    <row r="542" spans="1:7" ht="12.75">
      <c r="D542" s="979"/>
      <c r="E542" s="979"/>
      <c r="F542" s="979"/>
    </row>
    <row r="543" spans="1:7" ht="12" customHeight="1">
      <c r="A543" s="207"/>
      <c r="B543" s="207"/>
      <c r="C543" s="207"/>
      <c r="D543" s="44"/>
    </row>
    <row r="544" spans="1:7" ht="14.25">
      <c r="A544" s="271"/>
      <c r="B544" s="609" t="s">
        <v>124</v>
      </c>
      <c r="C544" s="207"/>
      <c r="D544" s="979" t="s">
        <v>1553</v>
      </c>
      <c r="E544" s="979"/>
      <c r="F544" s="979"/>
    </row>
    <row r="545" spans="1:7" ht="12.75">
      <c r="A545" s="207"/>
      <c r="B545" s="207"/>
      <c r="C545" s="207"/>
      <c r="D545" s="979"/>
      <c r="E545" s="979"/>
      <c r="F545" s="979"/>
    </row>
    <row r="546" spans="1:7" ht="12" customHeight="1">
      <c r="A546" s="207"/>
      <c r="B546" s="207"/>
      <c r="C546" s="207"/>
      <c r="D546" s="44"/>
    </row>
    <row r="547" spans="1:7" ht="12.75">
      <c r="A547" s="1011" t="s">
        <v>1428</v>
      </c>
      <c r="B547" s="1011"/>
      <c r="C547" s="1011"/>
      <c r="D547" s="1011"/>
      <c r="E547" s="1011"/>
      <c r="F547" s="1011"/>
      <c r="G547" s="1011"/>
    </row>
    <row r="548" spans="1:7" ht="12" customHeight="1">
      <c r="A548" s="44"/>
      <c r="B548" s="44"/>
      <c r="C548" s="207"/>
      <c r="D548" s="44"/>
    </row>
    <row r="549" spans="1:7" ht="12.75">
      <c r="C549" s="207"/>
      <c r="D549" s="1000" t="s">
        <v>164</v>
      </c>
      <c r="E549" s="1000"/>
      <c r="F549" s="1000"/>
    </row>
    <row r="550" spans="1:7" ht="12.75">
      <c r="C550" s="207"/>
      <c r="D550" s="999" t="s">
        <v>1535</v>
      </c>
      <c r="E550" s="999"/>
      <c r="F550" s="999"/>
    </row>
    <row r="551" spans="1:7" ht="12.75">
      <c r="C551" s="207"/>
      <c r="D551" s="44"/>
      <c r="E551" s="44"/>
      <c r="F551" s="44"/>
    </row>
    <row r="552" spans="1:7" ht="14.25">
      <c r="A552" s="271"/>
      <c r="B552" s="609" t="s">
        <v>1377</v>
      </c>
      <c r="C552" s="207"/>
      <c r="D552" s="999" t="s">
        <v>1114</v>
      </c>
      <c r="E552" s="999"/>
      <c r="F552" s="999"/>
    </row>
    <row r="553" spans="1:7" ht="12" customHeight="1">
      <c r="A553" s="207"/>
      <c r="B553" s="207"/>
      <c r="C553" s="207"/>
      <c r="D553" s="44"/>
      <c r="E553"/>
      <c r="F553"/>
      <c r="G553"/>
    </row>
    <row r="554" spans="1:7" ht="14.45" customHeight="1">
      <c r="A554" s="271"/>
      <c r="B554" s="609" t="s">
        <v>1377</v>
      </c>
      <c r="C554" s="207"/>
      <c r="D554" s="979" t="s">
        <v>1534</v>
      </c>
      <c r="E554" s="979"/>
      <c r="F554" s="979"/>
      <c r="G554"/>
    </row>
    <row r="555" spans="1:7" ht="12.75">
      <c r="A555" s="207"/>
      <c r="B555" s="207"/>
      <c r="C555" s="207"/>
      <c r="D555" s="979"/>
      <c r="E555" s="979"/>
      <c r="F555" s="979"/>
      <c r="G555"/>
    </row>
    <row r="556" spans="1:7" ht="12" customHeight="1">
      <c r="A556" s="207"/>
      <c r="B556" s="207"/>
      <c r="C556" s="207"/>
      <c r="D556" s="44"/>
      <c r="E556"/>
      <c r="F556"/>
      <c r="G556"/>
    </row>
    <row r="557" spans="1:7" ht="14.25">
      <c r="A557" s="271"/>
      <c r="B557" s="609" t="s">
        <v>1377</v>
      </c>
      <c r="C557" s="207"/>
      <c r="D557" s="979" t="s">
        <v>1536</v>
      </c>
      <c r="E557" s="979"/>
      <c r="F557" s="979"/>
      <c r="G557"/>
    </row>
    <row r="558" spans="1:7" ht="12.75">
      <c r="A558" s="207"/>
      <c r="B558" s="207"/>
      <c r="C558" s="207"/>
      <c r="D558" s="979"/>
      <c r="E558" s="979"/>
      <c r="F558" s="979"/>
      <c r="G558"/>
    </row>
    <row r="559" spans="1:7" ht="12" customHeight="1">
      <c r="A559" s="207"/>
      <c r="B559" s="207"/>
      <c r="C559" s="207"/>
      <c r="D559" s="44"/>
      <c r="E559"/>
      <c r="F559"/>
      <c r="G559"/>
    </row>
    <row r="560" spans="1:7" ht="14.25">
      <c r="A560" s="271"/>
      <c r="B560" s="609" t="s">
        <v>1377</v>
      </c>
      <c r="C560" s="207"/>
      <c r="D560" s="979" t="s">
        <v>1537</v>
      </c>
      <c r="E560" s="979"/>
      <c r="F560" s="979"/>
      <c r="G560"/>
    </row>
    <row r="561" spans="1:7" ht="12.75">
      <c r="A561" s="207"/>
      <c r="B561" s="207"/>
      <c r="C561" s="207"/>
      <c r="D561" s="979"/>
      <c r="E561" s="979"/>
      <c r="F561" s="979"/>
      <c r="G561"/>
    </row>
    <row r="562" spans="1:7" ht="12" customHeight="1">
      <c r="A562" s="207"/>
      <c r="B562" s="207"/>
      <c r="C562" s="207"/>
      <c r="D562" s="44"/>
      <c r="E562"/>
      <c r="F562"/>
      <c r="G562"/>
    </row>
    <row r="563" spans="1:7" ht="14.45" customHeight="1">
      <c r="A563" s="271"/>
      <c r="B563" s="609" t="s">
        <v>1377</v>
      </c>
      <c r="C563" s="207"/>
      <c r="D563" s="979" t="s">
        <v>1538</v>
      </c>
      <c r="E563" s="979"/>
      <c r="F563" s="979"/>
      <c r="G563"/>
    </row>
    <row r="564" spans="1:7" ht="12.75">
      <c r="A564" s="207"/>
      <c r="B564" s="207"/>
      <c r="C564" s="207"/>
      <c r="D564" s="979"/>
      <c r="E564" s="979"/>
      <c r="F564" s="979"/>
      <c r="G564"/>
    </row>
    <row r="565" spans="1:7" ht="12.75">
      <c r="A565" s="207"/>
      <c r="B565" s="207"/>
      <c r="C565" s="207"/>
      <c r="D565" s="979"/>
      <c r="E565" s="979"/>
      <c r="F565" s="979"/>
      <c r="G565"/>
    </row>
    <row r="566" spans="1:7" ht="12.75">
      <c r="A566" s="207"/>
      <c r="B566" s="207"/>
      <c r="C566" s="207"/>
      <c r="D566" s="44"/>
      <c r="E566"/>
      <c r="F566"/>
      <c r="G566"/>
    </row>
    <row r="567" spans="1:7" ht="14.25">
      <c r="A567" s="271"/>
      <c r="B567" s="609" t="s">
        <v>124</v>
      </c>
      <c r="C567" s="207"/>
      <c r="D567" s="972" t="s">
        <v>1632</v>
      </c>
      <c r="E567" s="979"/>
      <c r="F567" s="979"/>
      <c r="G567"/>
    </row>
    <row r="568" spans="1:7" ht="12.75">
      <c r="A568" s="207"/>
      <c r="B568" s="207"/>
      <c r="C568" s="207"/>
      <c r="D568" s="979"/>
      <c r="E568" s="979"/>
      <c r="F568" s="979"/>
      <c r="G568"/>
    </row>
    <row r="569" spans="1:7" ht="12.75">
      <c r="A569" s="207"/>
      <c r="B569" s="207"/>
      <c r="C569" s="207"/>
      <c r="D569" s="44"/>
      <c r="G569"/>
    </row>
    <row r="570" spans="1:7" ht="14.25">
      <c r="A570" s="271"/>
      <c r="B570" s="609" t="s">
        <v>124</v>
      </c>
      <c r="C570" s="207"/>
      <c r="D570" s="979" t="s">
        <v>1539</v>
      </c>
      <c r="E570" s="979"/>
      <c r="F570" s="979"/>
      <c r="G570"/>
    </row>
    <row r="571" spans="1:7" ht="12.75">
      <c r="A571" s="207"/>
      <c r="B571" s="207"/>
      <c r="C571" s="207"/>
      <c r="D571" s="979"/>
      <c r="E571" s="979"/>
      <c r="F571" s="979"/>
      <c r="G571"/>
    </row>
    <row r="572" spans="1:7" ht="12" customHeight="1">
      <c r="A572" s="207"/>
      <c r="B572" s="207"/>
      <c r="C572" s="207"/>
      <c r="D572" s="44"/>
      <c r="G572"/>
    </row>
    <row r="573" spans="1:7" ht="14.25">
      <c r="A573" s="271"/>
      <c r="B573" s="609" t="s">
        <v>1377</v>
      </c>
      <c r="C573" s="207"/>
      <c r="D573" s="999" t="s">
        <v>1540</v>
      </c>
      <c r="E573" s="999"/>
      <c r="F573" s="999"/>
      <c r="G573"/>
    </row>
    <row r="574" spans="1:7" ht="14.25">
      <c r="A574" s="271"/>
      <c r="B574" s="271"/>
      <c r="C574" s="207"/>
      <c r="D574" s="1040" t="s">
        <v>2085</v>
      </c>
      <c r="E574" s="1040"/>
      <c r="F574" s="1040"/>
      <c r="G574"/>
    </row>
    <row r="575" spans="1:7" ht="12.75">
      <c r="A575" s="18"/>
      <c r="B575" s="18"/>
      <c r="C575" s="207"/>
      <c r="D575" s="931"/>
      <c r="E575" s="104" t="s">
        <v>2086</v>
      </c>
      <c r="F575" s="932"/>
      <c r="G575"/>
    </row>
    <row r="576" spans="1:7" ht="15" customHeight="1">
      <c r="A576" s="18"/>
      <c r="B576" s="18"/>
      <c r="C576" s="207"/>
      <c r="D576" s="972" t="s">
        <v>1754</v>
      </c>
      <c r="E576" s="979"/>
      <c r="F576" s="979"/>
      <c r="G576"/>
    </row>
    <row r="577" spans="1:7" ht="12.75">
      <c r="A577" s="18"/>
      <c r="B577" s="18"/>
      <c r="C577" s="207"/>
      <c r="D577" s="979"/>
      <c r="E577" s="979"/>
      <c r="F577" s="979"/>
      <c r="G577"/>
    </row>
    <row r="578" spans="1:7" ht="12.75">
      <c r="A578" s="18"/>
      <c r="B578" s="18"/>
      <c r="C578" s="207"/>
      <c r="D578" s="979"/>
      <c r="E578" s="979"/>
      <c r="F578" s="979"/>
      <c r="G578"/>
    </row>
    <row r="579" spans="1:7" ht="12.75">
      <c r="A579" s="18"/>
      <c r="B579" s="18"/>
      <c r="C579" s="207"/>
      <c r="D579" s="979"/>
      <c r="E579" s="979"/>
      <c r="F579" s="979"/>
      <c r="G579"/>
    </row>
    <row r="580" spans="1:7" ht="12.75">
      <c r="A580" s="18"/>
      <c r="B580" s="18"/>
      <c r="C580" s="207"/>
      <c r="D580" s="979"/>
      <c r="E580" s="979"/>
      <c r="F580" s="979"/>
      <c r="G580"/>
    </row>
    <row r="581" spans="1:7" ht="12.75">
      <c r="A581" s="18"/>
      <c r="B581" s="18"/>
      <c r="C581" s="207"/>
      <c r="D581" s="979"/>
      <c r="E581" s="979"/>
      <c r="F581" s="979"/>
      <c r="G581"/>
    </row>
    <row r="582" spans="1:7" ht="12.75">
      <c r="A582" s="18"/>
      <c r="B582" s="18"/>
      <c r="C582" s="207"/>
      <c r="D582" s="979"/>
      <c r="E582" s="979"/>
      <c r="F582" s="979"/>
      <c r="G582"/>
    </row>
    <row r="583" spans="1:7" ht="12.75">
      <c r="A583" s="18"/>
      <c r="B583" s="18"/>
      <c r="C583" s="207"/>
      <c r="D583" s="979"/>
      <c r="E583" s="979"/>
      <c r="F583" s="979"/>
      <c r="G583"/>
    </row>
    <row r="584" spans="1:7" ht="12.75">
      <c r="A584" s="18"/>
      <c r="B584" s="18"/>
      <c r="C584" s="207"/>
      <c r="D584" s="979"/>
      <c r="E584" s="979"/>
      <c r="F584" s="979"/>
      <c r="G584"/>
    </row>
    <row r="585" spans="1:7" ht="12.75">
      <c r="A585" s="18"/>
      <c r="B585" s="18"/>
      <c r="C585" s="207"/>
      <c r="D585" s="209"/>
      <c r="E585" s="209"/>
      <c r="F585" s="209"/>
      <c r="G585"/>
    </row>
    <row r="586" spans="1:7" ht="14.25">
      <c r="A586" s="271"/>
      <c r="B586" s="609" t="s">
        <v>1377</v>
      </c>
      <c r="C586" s="207"/>
      <c r="D586" s="999" t="s">
        <v>1541</v>
      </c>
      <c r="E586" s="999"/>
      <c r="F586" s="999"/>
      <c r="G586"/>
    </row>
    <row r="587" spans="1:7" ht="13.7" customHeight="1">
      <c r="C587" s="207"/>
      <c r="D587" s="979" t="s">
        <v>1542</v>
      </c>
      <c r="E587" s="979"/>
      <c r="F587" s="979"/>
      <c r="G587"/>
    </row>
    <row r="588" spans="1:7" ht="12.75">
      <c r="A588" s="207"/>
      <c r="B588" s="207"/>
      <c r="C588" s="207"/>
      <c r="D588" s="979"/>
      <c r="E588" s="979"/>
      <c r="F588" s="979"/>
      <c r="G588"/>
    </row>
    <row r="589" spans="1:7" ht="12.75">
      <c r="A589" s="207"/>
      <c r="B589" s="207"/>
      <c r="C589" s="207"/>
      <c r="D589" s="979"/>
      <c r="E589" s="979"/>
      <c r="F589" s="979"/>
      <c r="G589"/>
    </row>
    <row r="590" spans="1:7" ht="12.75">
      <c r="A590" s="207"/>
      <c r="B590" s="207"/>
      <c r="C590" s="207"/>
      <c r="D590" s="209"/>
      <c r="E590" s="209"/>
      <c r="F590" s="209"/>
      <c r="G590"/>
    </row>
    <row r="591" spans="1:7" ht="14.45" customHeight="1">
      <c r="A591" s="271"/>
      <c r="B591" s="609" t="s">
        <v>1377</v>
      </c>
      <c r="C591" s="207"/>
      <c r="D591" s="979" t="s">
        <v>2148</v>
      </c>
      <c r="E591" s="979"/>
      <c r="F591" s="979"/>
      <c r="G591"/>
    </row>
    <row r="592" spans="1:7" ht="14.25">
      <c r="A592" s="271"/>
      <c r="B592" s="271"/>
      <c r="C592" s="207"/>
      <c r="D592" s="979"/>
      <c r="E592" s="979"/>
      <c r="F592" s="979"/>
      <c r="G592"/>
    </row>
    <row r="593" spans="1:7" ht="14.25">
      <c r="A593" s="271"/>
      <c r="B593" s="271"/>
      <c r="C593" s="207"/>
      <c r="D593" s="979"/>
      <c r="E593" s="979"/>
      <c r="F593" s="979"/>
    </row>
    <row r="594" spans="1:7" ht="12.75">
      <c r="A594" s="207"/>
      <c r="B594" s="207"/>
      <c r="C594" s="207"/>
      <c r="D594" s="979"/>
      <c r="E594" s="979"/>
      <c r="F594" s="979"/>
    </row>
    <row r="595" spans="1:7" ht="12.75">
      <c r="A595" s="207"/>
      <c r="B595" s="207"/>
      <c r="C595" s="207"/>
      <c r="D595" s="44"/>
    </row>
    <row r="596" spans="1:7" ht="12.75">
      <c r="A596" s="191"/>
      <c r="B596" s="609" t="s">
        <v>124</v>
      </c>
      <c r="C596" s="191"/>
      <c r="D596" s="1032" t="s">
        <v>1816</v>
      </c>
      <c r="E596" s="1009"/>
      <c r="F596" s="1009"/>
    </row>
    <row r="597" spans="1:7" ht="12.75">
      <c r="A597" s="191"/>
      <c r="B597" s="191"/>
      <c r="C597" s="191"/>
    </row>
    <row r="598" spans="1:7" ht="12.75">
      <c r="A598" s="207"/>
      <c r="B598" s="207"/>
      <c r="C598" s="207"/>
      <c r="D598" s="24"/>
      <c r="E598" s="24"/>
      <c r="F598" s="24"/>
    </row>
    <row r="599" spans="1:7" ht="12.75">
      <c r="A599" s="1033" t="s">
        <v>1394</v>
      </c>
      <c r="B599" s="1033"/>
      <c r="C599" s="1033"/>
      <c r="D599" s="1033"/>
      <c r="E599" s="1033"/>
      <c r="F599" s="1033"/>
      <c r="G599" s="1033"/>
    </row>
    <row r="600" spans="1:7" ht="12.75">
      <c r="A600" s="207"/>
      <c r="B600" s="207"/>
      <c r="C600" s="207"/>
    </row>
    <row r="601" spans="1:7" ht="12.75">
      <c r="C601" s="190"/>
      <c r="D601" s="1006" t="s">
        <v>165</v>
      </c>
      <c r="E601" s="1006"/>
      <c r="F601" s="1006"/>
    </row>
    <row r="602" spans="1:7" ht="12.75">
      <c r="C602" s="190"/>
      <c r="D602" s="1002" t="s">
        <v>1443</v>
      </c>
      <c r="E602" s="1002"/>
      <c r="F602" s="1002"/>
    </row>
    <row r="603" spans="1:7" ht="12.75">
      <c r="C603" s="190"/>
      <c r="D603" s="371"/>
    </row>
    <row r="604" spans="1:7" ht="14.25">
      <c r="A604" s="271"/>
      <c r="B604" s="609" t="s">
        <v>1377</v>
      </c>
      <c r="D604" s="1002" t="s">
        <v>1115</v>
      </c>
      <c r="E604" s="1002"/>
      <c r="F604" s="1002"/>
    </row>
    <row r="605" spans="1:7" ht="12.75">
      <c r="A605" s="18"/>
      <c r="B605" s="18"/>
      <c r="D605" s="361"/>
    </row>
    <row r="606" spans="1:7" ht="14.45" customHeight="1">
      <c r="A606" s="271"/>
      <c r="B606" s="609" t="s">
        <v>1377</v>
      </c>
      <c r="D606" s="1002" t="s">
        <v>2149</v>
      </c>
      <c r="E606" s="1002"/>
      <c r="F606" s="1002"/>
    </row>
    <row r="607" spans="1:7" ht="14.45" customHeight="1">
      <c r="A607" s="271"/>
      <c r="B607" s="271"/>
      <c r="D607" s="1002"/>
      <c r="E607" s="1002"/>
      <c r="F607" s="1002"/>
    </row>
    <row r="608" spans="1:7" ht="14.25">
      <c r="A608" s="271"/>
      <c r="B608" s="271"/>
      <c r="D608" s="1002"/>
      <c r="E608" s="1002"/>
      <c r="F608" s="1002"/>
    </row>
    <row r="609" spans="1:7" ht="14.25">
      <c r="A609" s="271"/>
      <c r="B609" s="271"/>
      <c r="D609" s="613"/>
      <c r="E609" s="613"/>
      <c r="F609" s="613"/>
    </row>
    <row r="610" spans="1:7" ht="14.25">
      <c r="A610" s="271"/>
      <c r="B610" s="609" t="s">
        <v>124</v>
      </c>
      <c r="D610" s="1002" t="s">
        <v>1444</v>
      </c>
      <c r="E610" s="1002"/>
      <c r="F610" s="1002"/>
    </row>
    <row r="611" spans="1:7" ht="14.25">
      <c r="A611" s="271"/>
      <c r="B611" s="271"/>
      <c r="D611" s="1002"/>
      <c r="E611" s="1002"/>
      <c r="F611" s="1002"/>
    </row>
    <row r="612" spans="1:7" ht="14.25">
      <c r="A612" s="271"/>
      <c r="B612" s="271"/>
      <c r="D612" s="1002"/>
      <c r="E612" s="1002"/>
      <c r="F612" s="1002"/>
    </row>
    <row r="613" spans="1:7" ht="14.25">
      <c r="A613" s="271"/>
      <c r="B613" s="271"/>
      <c r="D613" s="1002"/>
      <c r="E613" s="1002"/>
      <c r="F613" s="1002"/>
    </row>
    <row r="614" spans="1:7" ht="14.25">
      <c r="A614" s="271"/>
      <c r="B614" s="271"/>
      <c r="D614" s="371"/>
    </row>
    <row r="615" spans="1:7" ht="14.25">
      <c r="A615" s="271"/>
      <c r="B615" s="609" t="s">
        <v>1377</v>
      </c>
      <c r="D615" s="1002" t="s">
        <v>2150</v>
      </c>
      <c r="E615" s="1002"/>
      <c r="F615" s="1002"/>
    </row>
    <row r="616" spans="1:7" ht="14.25">
      <c r="A616" s="271"/>
      <c r="B616" s="271"/>
      <c r="D616" s="1002"/>
      <c r="E616" s="1002"/>
      <c r="F616" s="1002"/>
    </row>
    <row r="617" spans="1:7" ht="14.25">
      <c r="A617" s="271"/>
      <c r="B617" s="271"/>
      <c r="D617" s="371"/>
    </row>
    <row r="618" spans="1:7" ht="14.45" customHeight="1">
      <c r="A618" s="271"/>
      <c r="B618" s="609" t="s">
        <v>124</v>
      </c>
      <c r="D618" s="1002" t="s">
        <v>1448</v>
      </c>
      <c r="E618" s="1002"/>
      <c r="F618" s="1002"/>
    </row>
    <row r="619" spans="1:7" ht="14.25">
      <c r="A619" s="271"/>
      <c r="B619" s="271"/>
      <c r="D619" s="1002"/>
      <c r="E619" s="1002"/>
      <c r="F619" s="1002"/>
    </row>
    <row r="620" spans="1:7" ht="14.25">
      <c r="A620" s="271"/>
      <c r="B620" s="271"/>
      <c r="D620" s="371"/>
    </row>
    <row r="621" spans="1:7" ht="14.25">
      <c r="A621" s="271"/>
      <c r="B621" s="609" t="s">
        <v>1377</v>
      </c>
      <c r="D621" s="1002" t="s">
        <v>1116</v>
      </c>
      <c r="E621" s="1002"/>
      <c r="F621" s="1002"/>
    </row>
    <row r="622" spans="1:7" ht="12.75">
      <c r="A622" s="18"/>
      <c r="B622" s="18"/>
    </row>
    <row r="623" spans="1:7" ht="12.75">
      <c r="A623" s="1033" t="s">
        <v>1396</v>
      </c>
      <c r="B623" s="1033"/>
      <c r="C623" s="1033"/>
      <c r="D623" s="1033"/>
      <c r="E623" s="1033"/>
      <c r="F623" s="1033"/>
      <c r="G623" s="1033"/>
    </row>
    <row r="624" spans="1:7" ht="12.75">
      <c r="A624" s="63"/>
      <c r="B624" s="63"/>
    </row>
    <row r="625" spans="1:7" ht="12.75">
      <c r="C625" s="191"/>
      <c r="D625" s="1029" t="s">
        <v>1395</v>
      </c>
      <c r="E625" s="1029"/>
      <c r="F625" s="1029"/>
    </row>
    <row r="626" spans="1:7" ht="12.75">
      <c r="C626" s="191"/>
      <c r="D626" s="1009" t="s">
        <v>1422</v>
      </c>
      <c r="E626" s="1009"/>
      <c r="F626" s="1009"/>
    </row>
    <row r="627" spans="1:7" ht="12.75">
      <c r="C627" s="191"/>
      <c r="D627" s="102"/>
      <c r="E627" s="102"/>
      <c r="F627" s="102"/>
    </row>
    <row r="628" spans="1:7" ht="14.25" customHeight="1">
      <c r="A628" s="271"/>
      <c r="B628" s="609" t="s">
        <v>1377</v>
      </c>
      <c r="D628" s="1052" t="s">
        <v>2088</v>
      </c>
      <c r="E628" s="1053"/>
      <c r="F628" s="1053"/>
    </row>
    <row r="629" spans="1:7" ht="12.75">
      <c r="D629" s="1053"/>
      <c r="E629" s="1053"/>
      <c r="F629" s="1053"/>
    </row>
    <row r="630" spans="1:7" ht="12.75">
      <c r="D630" s="933"/>
      <c r="E630" s="927" t="s">
        <v>2087</v>
      </c>
      <c r="F630" s="933"/>
    </row>
    <row r="631" spans="1:7" ht="12.75">
      <c r="A631" s="63"/>
      <c r="B631" s="63"/>
    </row>
    <row r="632" spans="1:7" ht="12" customHeight="1">
      <c r="A632" s="1033" t="s">
        <v>1398</v>
      </c>
      <c r="B632" s="1033"/>
      <c r="C632" s="1033"/>
      <c r="D632" s="1033"/>
      <c r="E632" s="1033"/>
      <c r="F632" s="1033"/>
      <c r="G632" s="1033"/>
    </row>
    <row r="633" spans="1:7" ht="12.75">
      <c r="A633" s="44"/>
      <c r="B633" s="44"/>
    </row>
    <row r="634" spans="1:7" ht="12.75">
      <c r="C634" s="190"/>
      <c r="D634" s="1000" t="s">
        <v>1397</v>
      </c>
      <c r="E634" s="1000"/>
      <c r="F634" s="1000"/>
    </row>
    <row r="635" spans="1:7" ht="12.75">
      <c r="A635" s="191"/>
      <c r="B635" s="191"/>
      <c r="C635" s="191"/>
      <c r="D635" s="999" t="s">
        <v>1554</v>
      </c>
      <c r="E635" s="999"/>
      <c r="F635" s="999"/>
    </row>
    <row r="636" spans="1:7" ht="12.75">
      <c r="A636" s="191"/>
      <c r="B636" s="191"/>
      <c r="C636" s="191"/>
    </row>
    <row r="637" spans="1:7" ht="14.25">
      <c r="A637" s="271"/>
      <c r="B637" s="271"/>
      <c r="D637" s="1029" t="s">
        <v>871</v>
      </c>
      <c r="E637" s="1029"/>
      <c r="F637" s="1029"/>
    </row>
    <row r="638" spans="1:7" ht="14.25">
      <c r="A638" s="271"/>
      <c r="B638" s="609" t="s">
        <v>1377</v>
      </c>
      <c r="D638" s="1009" t="s">
        <v>1555</v>
      </c>
      <c r="E638" s="1009"/>
      <c r="F638" s="1009"/>
    </row>
    <row r="639" spans="1:7" ht="14.25">
      <c r="A639" s="271"/>
      <c r="B639" s="271"/>
      <c r="D639" s="44"/>
    </row>
    <row r="640" spans="1:7" ht="14.25">
      <c r="A640" s="271"/>
      <c r="B640" s="609" t="s">
        <v>124</v>
      </c>
      <c r="D640" s="979" t="s">
        <v>1556</v>
      </c>
      <c r="E640" s="979"/>
      <c r="F640" s="979"/>
    </row>
    <row r="641" spans="1:7" ht="14.25">
      <c r="A641" s="271"/>
      <c r="B641" s="271"/>
      <c r="D641" s="979"/>
      <c r="E641" s="979"/>
      <c r="F641" s="979"/>
    </row>
    <row r="642" spans="1:7" ht="14.25">
      <c r="A642" s="271"/>
      <c r="B642" s="271"/>
      <c r="D642" s="44"/>
    </row>
    <row r="643" spans="1:7" ht="14.25">
      <c r="A643" s="271"/>
      <c r="B643" s="609" t="s">
        <v>1377</v>
      </c>
      <c r="D643" s="972" t="s">
        <v>1924</v>
      </c>
      <c r="E643" s="972"/>
      <c r="F643" s="972"/>
    </row>
    <row r="644" spans="1:7" ht="13.7" customHeight="1">
      <c r="D644" s="972"/>
      <c r="E644" s="972"/>
      <c r="F644" s="972"/>
    </row>
    <row r="645" spans="1:7" ht="12.75"/>
    <row r="646" spans="1:7" ht="14.25">
      <c r="A646" s="271"/>
      <c r="B646" s="609" t="s">
        <v>124</v>
      </c>
      <c r="D646" s="1009" t="s">
        <v>1557</v>
      </c>
      <c r="E646" s="1009"/>
      <c r="F646" s="1009"/>
    </row>
    <row r="647" spans="1:7" ht="12.75">
      <c r="A647" s="190"/>
      <c r="B647" s="190"/>
      <c r="C647" s="190"/>
    </row>
    <row r="648" spans="1:7" ht="12.75">
      <c r="A648" s="1033" t="s">
        <v>1399</v>
      </c>
      <c r="B648" s="1033"/>
      <c r="C648" s="1033"/>
      <c r="D648" s="1033"/>
      <c r="E648" s="1033"/>
      <c r="F648" s="1033"/>
      <c r="G648" s="1033"/>
    </row>
    <row r="649" spans="1:7" ht="12.75">
      <c r="A649" s="190"/>
      <c r="B649" s="190"/>
      <c r="C649" s="190"/>
    </row>
    <row r="650" spans="1:7" ht="12.75">
      <c r="C650" s="18"/>
      <c r="D650" s="1017" t="s">
        <v>1423</v>
      </c>
      <c r="E650" s="1017"/>
      <c r="F650" s="1017"/>
    </row>
    <row r="651" spans="1:7" ht="12.75">
      <c r="A651" s="18"/>
      <c r="B651" s="18"/>
      <c r="D651" s="3"/>
    </row>
    <row r="652" spans="1:7" ht="14.25" customHeight="1">
      <c r="A652" s="271"/>
      <c r="B652" s="609" t="s">
        <v>1377</v>
      </c>
      <c r="D652" s="1052" t="s">
        <v>2151</v>
      </c>
      <c r="E652" s="1052"/>
      <c r="F652" s="1052"/>
    </row>
    <row r="653" spans="1:7" ht="14.25">
      <c r="A653" s="271"/>
      <c r="B653" s="271"/>
      <c r="D653" s="1052"/>
      <c r="E653" s="1052"/>
      <c r="F653" s="1052"/>
    </row>
    <row r="654" spans="1:7" ht="12.75">
      <c r="D654" s="933"/>
      <c r="E654" s="927" t="s">
        <v>2090</v>
      </c>
      <c r="F654" s="933"/>
    </row>
    <row r="655" spans="1:7" ht="12.75">
      <c r="D655" s="976" t="s">
        <v>2089</v>
      </c>
      <c r="E655" s="976"/>
      <c r="F655" s="976"/>
    </row>
    <row r="656" spans="1:7" ht="12.75" customHeight="1">
      <c r="D656" s="976"/>
      <c r="E656" s="976"/>
      <c r="F656" s="976"/>
    </row>
    <row r="657" spans="1:9" ht="12.75">
      <c r="B657"/>
      <c r="D657" s="976"/>
      <c r="E657" s="976"/>
      <c r="F657" s="976"/>
    </row>
    <row r="658" spans="1:9" ht="12.75"/>
    <row r="659" spans="1:9" ht="14.25">
      <c r="A659" s="303"/>
      <c r="B659" s="609" t="s">
        <v>124</v>
      </c>
      <c r="D659" s="1018" t="s">
        <v>1558</v>
      </c>
      <c r="E659" s="1018"/>
      <c r="F659" s="1018"/>
      <c r="G659" s="44"/>
    </row>
    <row r="660" spans="1:9" ht="14.25">
      <c r="A660" s="303"/>
      <c r="B660" s="303"/>
      <c r="D660" s="1018"/>
      <c r="E660" s="1018"/>
      <c r="F660" s="1018"/>
      <c r="G660" s="44"/>
    </row>
    <row r="661" spans="1:9" ht="14.25">
      <c r="A661" s="303"/>
      <c r="B661" s="303"/>
      <c r="D661" s="44"/>
      <c r="E661" s="44"/>
      <c r="F661" s="44"/>
      <c r="G661" s="44"/>
    </row>
    <row r="662" spans="1:9" ht="13.7" customHeight="1">
      <c r="A662" s="303"/>
      <c r="B662" s="609" t="s">
        <v>124</v>
      </c>
      <c r="D662" s="1020" t="s">
        <v>1817</v>
      </c>
      <c r="E662" s="1020"/>
      <c r="F662" s="1020"/>
      <c r="G662" s="44"/>
    </row>
    <row r="663" spans="1:9" ht="14.25">
      <c r="A663" s="303"/>
      <c r="B663" s="303"/>
      <c r="D663" s="1020"/>
      <c r="E663" s="1020"/>
      <c r="F663" s="1020"/>
      <c r="G663" s="44"/>
    </row>
    <row r="664" spans="1:9" ht="14.25">
      <c r="A664" s="271"/>
      <c r="B664" s="271"/>
      <c r="D664" s="626"/>
      <c r="E664" s="626"/>
      <c r="F664" s="626"/>
      <c r="G664" s="44"/>
    </row>
    <row r="665" spans="1:9" ht="14.25">
      <c r="A665" s="271"/>
      <c r="B665" s="609" t="s">
        <v>124</v>
      </c>
      <c r="C665" s="207"/>
      <c r="D665" s="1019" t="s">
        <v>1559</v>
      </c>
      <c r="E665" s="1019"/>
      <c r="F665" s="1019"/>
      <c r="G665" s="44"/>
    </row>
    <row r="666" spans="1:9" ht="12.75">
      <c r="A666" s="44"/>
      <c r="B666" s="44"/>
      <c r="C666" s="207"/>
      <c r="D666" s="44"/>
      <c r="E666" s="44"/>
      <c r="F666" s="44"/>
      <c r="G666" s="44"/>
      <c r="H666" s="267"/>
      <c r="I666" s="267"/>
    </row>
    <row r="667" spans="1:9" ht="12.75">
      <c r="A667" s="1033" t="s">
        <v>1401</v>
      </c>
      <c r="B667" s="1033"/>
      <c r="C667" s="1033"/>
      <c r="D667" s="1033"/>
      <c r="E667" s="1033"/>
      <c r="F667" s="1033"/>
      <c r="G667" s="1033"/>
    </row>
    <row r="668" spans="1:9" ht="12.75">
      <c r="A668" s="44"/>
      <c r="B668" s="44"/>
      <c r="C668" s="207"/>
      <c r="D668" s="44"/>
      <c r="E668" s="44"/>
      <c r="F668" s="44"/>
      <c r="G668" s="44"/>
    </row>
    <row r="669" spans="1:9" ht="12.75">
      <c r="C669" s="190"/>
      <c r="D669" s="1000" t="s">
        <v>1400</v>
      </c>
      <c r="E669" s="1000"/>
      <c r="F669" s="1000"/>
      <c r="G669" s="44"/>
    </row>
    <row r="670" spans="1:9" ht="12.75">
      <c r="A670" s="191"/>
      <c r="B670" s="191"/>
      <c r="C670" s="191"/>
      <c r="D670" s="999" t="s">
        <v>1424</v>
      </c>
      <c r="E670" s="999"/>
      <c r="F670" s="999"/>
      <c r="G670" s="44"/>
    </row>
    <row r="671" spans="1:9" ht="12.75">
      <c r="A671" s="191"/>
      <c r="B671" s="191"/>
      <c r="C671" s="191"/>
      <c r="D671" s="44"/>
      <c r="E671" s="44"/>
      <c r="F671" s="44"/>
      <c r="G671" s="44"/>
    </row>
    <row r="672" spans="1:9" ht="14.45" customHeight="1">
      <c r="A672" s="271"/>
      <c r="B672" s="609" t="s">
        <v>1377</v>
      </c>
      <c r="C672" s="207"/>
      <c r="D672" s="972" t="s">
        <v>1880</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03" t="s">
        <v>1441</v>
      </c>
      <c r="E679" s="1003"/>
      <c r="F679" s="1003"/>
      <c r="G679" s="44"/>
    </row>
    <row r="680" spans="1:7" ht="14.25" hidden="1">
      <c r="A680" s="271"/>
      <c r="B680" s="271"/>
      <c r="C680" s="207"/>
      <c r="D680" s="997" t="s">
        <v>2152</v>
      </c>
      <c r="E680" s="997"/>
      <c r="F680" s="997"/>
      <c r="G680" s="44"/>
    </row>
    <row r="681" spans="1:7" ht="14.25" hidden="1">
      <c r="A681" s="271"/>
      <c r="B681" s="271"/>
      <c r="C681" s="207"/>
      <c r="D681" s="997"/>
      <c r="E681" s="997"/>
      <c r="F681" s="997"/>
      <c r="G681" s="44"/>
    </row>
    <row r="682" spans="1:7" ht="14.25" hidden="1">
      <c r="A682" s="271"/>
      <c r="B682" s="271"/>
      <c r="C682" s="207"/>
      <c r="D682" s="997"/>
      <c r="E682" s="997"/>
      <c r="F682" s="997"/>
      <c r="G682" s="44"/>
    </row>
    <row r="683" spans="1:7" ht="14.25" hidden="1">
      <c r="A683" s="271"/>
      <c r="B683" s="271"/>
      <c r="C683" s="207"/>
      <c r="D683" s="997"/>
      <c r="E683" s="997"/>
      <c r="F683" s="997"/>
      <c r="G683" s="44"/>
    </row>
    <row r="684" spans="1:7" ht="14.25" hidden="1">
      <c r="A684" s="271"/>
      <c r="B684" s="271"/>
      <c r="C684" s="207"/>
      <c r="D684" s="997"/>
      <c r="E684" s="997"/>
      <c r="F684" s="997"/>
      <c r="G684" s="44"/>
    </row>
    <row r="685" spans="1:7" ht="14.25" hidden="1">
      <c r="A685" s="271"/>
      <c r="B685" s="271"/>
      <c r="C685" s="207"/>
      <c r="D685" s="1021" t="s">
        <v>1879</v>
      </c>
      <c r="E685" s="1021"/>
      <c r="F685" s="1021"/>
      <c r="G685" s="44"/>
    </row>
    <row r="686" spans="1:7" ht="12.75">
      <c r="A686" s="44"/>
      <c r="B686" s="44"/>
      <c r="C686" s="207"/>
      <c r="D686" s="44"/>
      <c r="E686" s="44"/>
      <c r="F686" s="44"/>
      <c r="G686" s="44"/>
    </row>
    <row r="687" spans="1:7" ht="12.75">
      <c r="A687" s="1033" t="s">
        <v>1402</v>
      </c>
      <c r="B687" s="1033"/>
      <c r="C687" s="1033"/>
      <c r="D687" s="1033"/>
      <c r="E687" s="1033"/>
      <c r="F687" s="1033"/>
      <c r="G687" s="1033"/>
    </row>
    <row r="688" spans="1:7" ht="12.75">
      <c r="A688" s="44"/>
      <c r="B688" s="44"/>
      <c r="C688" s="207"/>
      <c r="D688" s="44"/>
      <c r="E688" s="44"/>
      <c r="F688" s="44"/>
      <c r="G688" s="44"/>
    </row>
    <row r="689" spans="1:7" ht="12.75">
      <c r="C689" s="190"/>
      <c r="D689" s="1000" t="s">
        <v>784</v>
      </c>
      <c r="E689" s="1000"/>
      <c r="F689" s="1000"/>
      <c r="G689" s="44"/>
    </row>
    <row r="690" spans="1:7" ht="12.75">
      <c r="A690" s="190"/>
      <c r="B690" s="190"/>
      <c r="C690" s="190"/>
      <c r="D690" s="1000" t="s">
        <v>872</v>
      </c>
      <c r="E690" s="1000"/>
      <c r="F690" s="1000"/>
      <c r="G690" s="44"/>
    </row>
    <row r="691" spans="1:7" ht="12.75">
      <c r="A691" s="191"/>
      <c r="B691" s="191"/>
      <c r="C691" s="191"/>
      <c r="D691" s="999" t="s">
        <v>1525</v>
      </c>
      <c r="E691" s="999"/>
      <c r="F691" s="999"/>
    </row>
    <row r="692" spans="1:7" ht="14.25" customHeight="1">
      <c r="A692" s="191"/>
      <c r="B692" s="191"/>
      <c r="C692" s="191"/>
    </row>
    <row r="693" spans="1:7" ht="14.25">
      <c r="A693" s="271"/>
      <c r="B693" s="609" t="s">
        <v>124</v>
      </c>
      <c r="C693" s="191"/>
      <c r="D693" s="999" t="s">
        <v>1117</v>
      </c>
      <c r="E693" s="999"/>
      <c r="F693" s="999"/>
    </row>
    <row r="694" spans="1:7" ht="12.75">
      <c r="A694" s="191"/>
      <c r="B694" s="191"/>
      <c r="C694" s="191"/>
      <c r="D694" s="999" t="s">
        <v>1134</v>
      </c>
      <c r="E694" s="999"/>
      <c r="F694" s="999"/>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124</v>
      </c>
      <c r="C698" s="191"/>
      <c r="D698" s="979" t="s">
        <v>2153</v>
      </c>
      <c r="E698" s="979"/>
      <c r="F698" s="979"/>
    </row>
    <row r="699" spans="1:7" ht="12.75">
      <c r="A699" s="18"/>
      <c r="B699" s="18"/>
      <c r="C699" s="191"/>
      <c r="D699" s="979"/>
      <c r="E699" s="979"/>
      <c r="F699" s="979"/>
    </row>
    <row r="700" spans="1:7" ht="12.75">
      <c r="A700" s="191"/>
      <c r="B700" s="191"/>
      <c r="C700" s="191"/>
      <c r="D700" s="979"/>
      <c r="E700" s="979"/>
      <c r="F700" s="979"/>
    </row>
    <row r="701" spans="1:7" ht="12.75">
      <c r="A701" s="191"/>
      <c r="B701" s="191"/>
      <c r="C701" s="191"/>
    </row>
    <row r="702" spans="1:7" ht="14.25">
      <c r="A702" s="271"/>
      <c r="B702" s="609" t="s">
        <v>124</v>
      </c>
      <c r="C702" s="191"/>
      <c r="D702" s="999" t="s">
        <v>1175</v>
      </c>
      <c r="E702" s="999"/>
      <c r="F702" s="999"/>
    </row>
    <row r="703" spans="1:7" ht="14.25">
      <c r="A703" s="271"/>
      <c r="B703" s="271"/>
      <c r="C703" s="191"/>
      <c r="D703" s="999" t="s">
        <v>1134</v>
      </c>
      <c r="E703" s="999"/>
      <c r="F703" s="999"/>
    </row>
    <row r="704" spans="1:7" ht="12.75">
      <c r="A704" s="191"/>
      <c r="B704" s="191"/>
      <c r="C704" s="191"/>
      <c r="E704" s="1024" t="s">
        <v>2093</v>
      </c>
      <c r="F704" s="1024"/>
    </row>
    <row r="705" spans="1:6" ht="12.75">
      <c r="A705" s="191"/>
      <c r="B705" s="191"/>
      <c r="C705" s="191"/>
      <c r="D705" s="3"/>
    </row>
    <row r="706" spans="1:6" ht="14.25">
      <c r="A706" s="271"/>
      <c r="B706" s="609" t="s">
        <v>124</v>
      </c>
      <c r="C706" s="191"/>
      <c r="D706" s="979" t="s">
        <v>1527</v>
      </c>
      <c r="E706" s="979"/>
      <c r="F706" s="979"/>
    </row>
    <row r="707" spans="1:6" ht="12.75">
      <c r="A707" s="191"/>
      <c r="B707" s="191"/>
      <c r="C707" s="191"/>
      <c r="D707" s="979"/>
      <c r="E707" s="979"/>
      <c r="F707" s="979"/>
    </row>
    <row r="708" spans="1:6" ht="12.75">
      <c r="A708" s="191"/>
      <c r="B708" s="191"/>
      <c r="C708" s="191"/>
      <c r="D708" s="979"/>
      <c r="E708" s="979"/>
      <c r="F708" s="979"/>
    </row>
    <row r="709" spans="1:6" ht="12.75">
      <c r="A709" s="191"/>
      <c r="B709" s="191"/>
      <c r="C709" s="191"/>
      <c r="D709" s="979"/>
      <c r="E709" s="979"/>
      <c r="F709" s="979"/>
    </row>
    <row r="710" spans="1:6" ht="12.75">
      <c r="A710" s="191"/>
      <c r="B710" s="191"/>
      <c r="C710" s="191"/>
      <c r="D710" s="979"/>
      <c r="E710" s="979"/>
      <c r="F710" s="979"/>
    </row>
    <row r="711" spans="1:6" ht="12.75">
      <c r="A711" s="191"/>
      <c r="B711" s="191"/>
      <c r="C711" s="191"/>
      <c r="D711" s="979"/>
      <c r="E711" s="979"/>
      <c r="F711" s="979"/>
    </row>
    <row r="712" spans="1:6" ht="12.75">
      <c r="A712" s="191"/>
      <c r="B712" s="191"/>
      <c r="C712" s="191"/>
      <c r="D712" s="979"/>
      <c r="E712" s="979"/>
      <c r="F712" s="979"/>
    </row>
    <row r="713" spans="1:6" ht="12.75">
      <c r="A713" s="191"/>
      <c r="B713" s="609" t="s">
        <v>124</v>
      </c>
      <c r="C713" s="191"/>
      <c r="D713" s="972" t="s">
        <v>1734</v>
      </c>
      <c r="E713" s="979"/>
      <c r="F713" s="979"/>
    </row>
    <row r="714" spans="1:6" ht="12.75">
      <c r="A714" s="191"/>
      <c r="B714" s="191"/>
      <c r="C714" s="191"/>
      <c r="D714" s="979"/>
      <c r="E714" s="979"/>
      <c r="F714" s="979"/>
    </row>
    <row r="715" spans="1:6" ht="12.75">
      <c r="A715" s="191"/>
      <c r="B715" s="191"/>
      <c r="C715" s="191"/>
    </row>
    <row r="716" spans="1:6" ht="14.45" customHeight="1">
      <c r="A716" s="271"/>
      <c r="B716" s="609" t="s">
        <v>124</v>
      </c>
      <c r="C716" s="191"/>
      <c r="D716" s="979" t="s">
        <v>1528</v>
      </c>
      <c r="E716" s="979"/>
      <c r="F716" s="979"/>
    </row>
    <row r="717" spans="1:6" ht="12.75">
      <c r="A717" s="191"/>
      <c r="B717" s="191"/>
      <c r="C717" s="191"/>
      <c r="D717" s="979"/>
      <c r="E717" s="979"/>
      <c r="F717" s="979"/>
    </row>
    <row r="718" spans="1:6" ht="12.75">
      <c r="A718" s="191"/>
      <c r="B718" s="191"/>
      <c r="C718" s="191"/>
      <c r="D718" s="979"/>
      <c r="E718" s="979"/>
      <c r="F718" s="979"/>
    </row>
    <row r="719" spans="1:6" ht="12.75">
      <c r="A719" s="191"/>
      <c r="B719" s="191"/>
      <c r="C719" s="191"/>
      <c r="D719" s="979"/>
      <c r="E719" s="979"/>
      <c r="F719" s="979"/>
    </row>
    <row r="720" spans="1:6" ht="12.75">
      <c r="A720" s="191"/>
      <c r="B720" s="191"/>
      <c r="C720" s="191"/>
      <c r="D720" s="979"/>
      <c r="E720" s="979"/>
      <c r="F720" s="979"/>
    </row>
    <row r="721" spans="1:9" ht="12.75">
      <c r="A721" s="191"/>
      <c r="B721" s="191"/>
      <c r="C721" s="191"/>
      <c r="D721" s="979"/>
      <c r="E721" s="979"/>
      <c r="F721" s="979"/>
    </row>
    <row r="722" spans="1:9" ht="12.75">
      <c r="A722" s="191"/>
      <c r="B722" s="191"/>
      <c r="C722" s="191"/>
      <c r="D722" s="979"/>
      <c r="E722" s="979"/>
      <c r="F722" s="979"/>
    </row>
    <row r="723" spans="1:9" ht="12.75">
      <c r="A723" s="191"/>
      <c r="B723" s="191"/>
      <c r="C723" s="191"/>
      <c r="D723" s="979"/>
      <c r="E723" s="979"/>
      <c r="F723" s="979"/>
    </row>
    <row r="724" spans="1:9" ht="12.75">
      <c r="A724" s="191"/>
      <c r="B724" s="191"/>
      <c r="C724" s="191"/>
      <c r="D724" s="979"/>
      <c r="E724" s="979"/>
      <c r="F724" s="979"/>
    </row>
    <row r="725" spans="1:9" ht="12.75">
      <c r="A725" s="191"/>
      <c r="B725" s="191"/>
      <c r="C725" s="191"/>
      <c r="D725" s="979"/>
      <c r="E725" s="979"/>
      <c r="F725" s="979"/>
    </row>
    <row r="726" spans="1:9" ht="12.75">
      <c r="A726" s="191"/>
      <c r="B726" s="191"/>
      <c r="C726" s="191"/>
      <c r="D726" s="979"/>
      <c r="E726" s="979"/>
      <c r="F726" s="979"/>
    </row>
    <row r="727" spans="1:9" ht="12.75">
      <c r="A727" s="191"/>
      <c r="B727" s="191"/>
      <c r="C727" s="191"/>
      <c r="D727" s="979"/>
      <c r="E727" s="979"/>
      <c r="F727" s="979"/>
    </row>
    <row r="728" spans="1:9" ht="12.75">
      <c r="A728" s="191"/>
      <c r="B728" s="191"/>
      <c r="C728" s="191"/>
      <c r="D728" s="979"/>
      <c r="E728" s="979"/>
      <c r="F728" s="979"/>
    </row>
    <row r="729" spans="1:9" ht="12.75">
      <c r="A729" s="191"/>
      <c r="B729" s="609" t="s">
        <v>124</v>
      </c>
      <c r="C729" s="191"/>
      <c r="D729" s="979" t="s">
        <v>1532</v>
      </c>
      <c r="E729" s="979"/>
      <c r="F729" s="979"/>
      <c r="H729" s="267"/>
      <c r="I729" s="267"/>
    </row>
    <row r="730" spans="1:9" ht="12.75">
      <c r="A730" s="191"/>
      <c r="B730" s="191"/>
      <c r="C730" s="191"/>
      <c r="D730" s="979"/>
      <c r="E730" s="979"/>
      <c r="F730" s="979"/>
      <c r="H730" s="267"/>
      <c r="I730" s="267"/>
    </row>
    <row r="731" spans="1:9" ht="12.75">
      <c r="A731" s="191"/>
      <c r="B731" s="191"/>
      <c r="C731" s="191"/>
      <c r="D731" s="24"/>
      <c r="E731" s="24"/>
      <c r="F731" s="24"/>
      <c r="H731" s="267"/>
      <c r="I731" s="267"/>
    </row>
    <row r="732" spans="1:9" ht="12.75">
      <c r="A732" s="191"/>
      <c r="B732" s="609" t="s">
        <v>124</v>
      </c>
      <c r="C732" s="191"/>
      <c r="D732" s="979" t="s">
        <v>1533</v>
      </c>
      <c r="E732" s="979"/>
      <c r="F732" s="979"/>
      <c r="H732" s="267"/>
      <c r="I732" s="267"/>
    </row>
    <row r="733" spans="1:9" ht="12.75">
      <c r="A733" s="191"/>
      <c r="B733" s="191"/>
      <c r="C733" s="191"/>
      <c r="D733" s="979"/>
      <c r="E733" s="979"/>
      <c r="F733" s="979"/>
      <c r="H733" s="267"/>
      <c r="I733" s="267"/>
    </row>
    <row r="734" spans="1:9" ht="12.75">
      <c r="A734" s="191"/>
      <c r="B734" s="191"/>
      <c r="C734" s="191"/>
      <c r="D734" s="979"/>
      <c r="E734" s="979"/>
      <c r="F734" s="979"/>
      <c r="H734" s="267"/>
      <c r="I734" s="267"/>
    </row>
    <row r="735" spans="1:9" ht="12.75">
      <c r="A735" s="191"/>
      <c r="B735" s="191"/>
      <c r="C735" s="191"/>
      <c r="D735" s="24"/>
      <c r="E735" s="24"/>
      <c r="F735" s="24"/>
      <c r="H735" s="267"/>
      <c r="I735" s="267"/>
    </row>
    <row r="736" spans="1:9" ht="14.45" customHeight="1">
      <c r="A736" s="271"/>
      <c r="B736" s="609" t="s">
        <v>124</v>
      </c>
      <c r="C736" s="191"/>
      <c r="D736" s="972" t="s">
        <v>1925</v>
      </c>
      <c r="E736" s="979"/>
      <c r="F736" s="979"/>
    </row>
    <row r="737" spans="1:9" ht="12.75">
      <c r="A737" s="191"/>
      <c r="B737" s="191"/>
      <c r="C737" s="191"/>
      <c r="D737" s="979"/>
      <c r="E737" s="979"/>
      <c r="F737" s="979"/>
    </row>
    <row r="738" spans="1:9" ht="12.75">
      <c r="A738" s="191"/>
      <c r="B738" s="191"/>
      <c r="C738" s="191"/>
      <c r="D738" s="979"/>
      <c r="E738" s="979"/>
      <c r="F738" s="979"/>
    </row>
    <row r="739" spans="1:9" ht="12.75">
      <c r="A739" s="191"/>
      <c r="B739" s="191"/>
      <c r="C739" s="191"/>
    </row>
    <row r="740" spans="1:9" ht="14.45" customHeight="1">
      <c r="A740" s="271"/>
      <c r="B740" s="609" t="s">
        <v>124</v>
      </c>
      <c r="C740" s="191"/>
      <c r="D740" s="979" t="s">
        <v>1529</v>
      </c>
      <c r="E740" s="979"/>
      <c r="F740" s="979"/>
    </row>
    <row r="741" spans="1:9" ht="12.75">
      <c r="A741" s="191"/>
      <c r="B741" s="191"/>
      <c r="C741" s="191"/>
      <c r="D741" s="979"/>
      <c r="E741" s="979"/>
      <c r="F741" s="979"/>
    </row>
    <row r="742" spans="1:9" ht="12.75">
      <c r="A742" s="191"/>
      <c r="B742" s="191"/>
      <c r="C742" s="191"/>
      <c r="D742" s="979"/>
      <c r="E742" s="979"/>
      <c r="F742" s="979"/>
    </row>
    <row r="743" spans="1:9" ht="12.75">
      <c r="A743" s="191"/>
      <c r="B743" s="191"/>
      <c r="C743" s="191"/>
      <c r="D743" s="212"/>
      <c r="H743" s="267"/>
      <c r="I743" s="267"/>
    </row>
    <row r="744" spans="1:9" ht="14.25">
      <c r="A744" s="271"/>
      <c r="B744" s="609" t="s">
        <v>124</v>
      </c>
      <c r="C744" s="191"/>
      <c r="D744" s="979" t="s">
        <v>1531</v>
      </c>
      <c r="E744" s="979"/>
      <c r="F744" s="979"/>
    </row>
    <row r="745" spans="1:9" ht="12.75">
      <c r="A745" s="191"/>
      <c r="B745" s="191"/>
      <c r="C745" s="191"/>
      <c r="D745" s="979"/>
      <c r="E745" s="979"/>
      <c r="F745" s="979"/>
    </row>
    <row r="746" spans="1:9" ht="12.75">
      <c r="A746" s="191"/>
      <c r="B746" s="191"/>
      <c r="C746" s="191"/>
      <c r="D746" s="979"/>
      <c r="E746" s="979"/>
      <c r="F746" s="979"/>
    </row>
    <row r="747" spans="1:9" ht="12.75">
      <c r="A747" s="191"/>
      <c r="B747" s="191"/>
      <c r="C747" s="191"/>
      <c r="D747" s="979"/>
      <c r="E747" s="979"/>
      <c r="F747" s="979"/>
    </row>
    <row r="748" spans="1:9" ht="12.75">
      <c r="A748" s="191"/>
      <c r="B748" s="191"/>
      <c r="C748" s="191"/>
      <c r="D748" s="24"/>
      <c r="E748" s="24"/>
      <c r="F748" s="24"/>
    </row>
    <row r="749" spans="1:9" ht="14.25">
      <c r="A749" s="271"/>
      <c r="B749" s="609" t="s">
        <v>124</v>
      </c>
      <c r="C749" s="191"/>
      <c r="D749" s="972" t="s">
        <v>2219</v>
      </c>
      <c r="E749" s="979"/>
      <c r="F749" s="979"/>
      <c r="H749" s="267"/>
      <c r="I749" s="267"/>
    </row>
    <row r="750" spans="1:9" ht="12.75">
      <c r="A750" s="191"/>
      <c r="B750" s="191"/>
      <c r="C750" s="191"/>
      <c r="D750" s="979"/>
      <c r="E750" s="979"/>
      <c r="F750" s="979"/>
      <c r="H750" s="267"/>
      <c r="I750" s="267"/>
    </row>
    <row r="751" spans="1:9" ht="12.75">
      <c r="A751" s="191"/>
      <c r="B751" s="191"/>
      <c r="C751" s="191"/>
      <c r="D751" s="979"/>
      <c r="E751" s="979"/>
      <c r="F751" s="979"/>
      <c r="H751" s="267"/>
      <c r="I751" s="267"/>
    </row>
    <row r="752" spans="1:9" ht="12.75">
      <c r="A752" s="191"/>
      <c r="B752" s="191"/>
      <c r="C752" s="191"/>
      <c r="D752" s="979"/>
      <c r="E752" s="979"/>
      <c r="F752" s="979"/>
      <c r="H752" s="267"/>
      <c r="I752" s="267"/>
    </row>
    <row r="753" spans="1:9" ht="12.75">
      <c r="A753" s="191"/>
      <c r="B753" s="191"/>
      <c r="C753" s="191"/>
      <c r="D753" s="979"/>
      <c r="E753" s="979"/>
      <c r="F753" s="979"/>
      <c r="H753" s="267"/>
      <c r="I753" s="267"/>
    </row>
    <row r="754" spans="1:9" ht="12.75">
      <c r="A754" s="191"/>
      <c r="B754" s="191"/>
      <c r="C754" s="191"/>
      <c r="D754" s="979"/>
      <c r="E754" s="979"/>
      <c r="F754" s="979"/>
      <c r="H754" s="267"/>
      <c r="I754" s="267"/>
    </row>
    <row r="755" spans="1:9" ht="12.75">
      <c r="A755" s="191"/>
      <c r="B755" s="191"/>
      <c r="C755" s="191"/>
      <c r="D755" s="979"/>
      <c r="E755" s="979"/>
      <c r="F755" s="979"/>
      <c r="H755" s="267"/>
      <c r="I755" s="267"/>
    </row>
    <row r="756" spans="1:9" ht="12.75">
      <c r="A756" s="191"/>
      <c r="B756" s="191"/>
      <c r="C756" s="191"/>
      <c r="D756" s="1023" t="s">
        <v>1530</v>
      </c>
      <c r="E756" s="1023"/>
      <c r="F756" s="1023"/>
      <c r="H756" s="267"/>
      <c r="I756" s="267"/>
    </row>
    <row r="757" spans="1:9" ht="12.75">
      <c r="A757" s="191"/>
      <c r="B757" s="191"/>
      <c r="C757" s="191"/>
      <c r="D757" s="560"/>
      <c r="H757" s="267"/>
      <c r="I757" s="267"/>
    </row>
    <row r="758" spans="1:9" ht="12.75">
      <c r="A758" s="1011" t="s">
        <v>1429</v>
      </c>
      <c r="B758" s="1011"/>
      <c r="C758" s="1011"/>
      <c r="D758" s="1011"/>
      <c r="E758" s="1011"/>
      <c r="F758" s="1011"/>
      <c r="G758" s="1011"/>
      <c r="H758" s="267"/>
      <c r="I758" s="267"/>
    </row>
    <row r="759" spans="1:9" ht="12.75">
      <c r="A759" s="191"/>
      <c r="B759" s="191"/>
      <c r="C759" s="191"/>
      <c r="D759" s="212"/>
      <c r="H759" s="267"/>
      <c r="I759" s="267"/>
    </row>
    <row r="760" spans="1:9" ht="12.75">
      <c r="C760" s="191"/>
      <c r="D760" s="1006" t="s">
        <v>1449</v>
      </c>
      <c r="E760" s="1006"/>
      <c r="F760" s="1006"/>
      <c r="H760" s="267"/>
      <c r="I760" s="267"/>
    </row>
    <row r="761" spans="1:9" ht="12.75">
      <c r="A761" s="190"/>
      <c r="B761" s="190"/>
      <c r="C761" s="190"/>
      <c r="D761" s="1009" t="s">
        <v>1452</v>
      </c>
      <c r="E761" s="1009"/>
      <c r="F761" s="1009"/>
      <c r="H761" s="267"/>
      <c r="I761" s="267"/>
    </row>
    <row r="762" spans="1:9" ht="12.75">
      <c r="A762" s="191"/>
      <c r="B762" s="191"/>
      <c r="C762" s="191"/>
      <c r="H762" s="267"/>
      <c r="I762" s="267"/>
    </row>
    <row r="763" spans="1:9" ht="14.25" customHeight="1">
      <c r="A763" s="271"/>
      <c r="B763" s="609" t="s">
        <v>1377</v>
      </c>
      <c r="D763" s="979" t="s">
        <v>1450</v>
      </c>
      <c r="E763" s="979"/>
      <c r="F763" s="979"/>
      <c r="H763" s="267"/>
      <c r="I763" s="267"/>
    </row>
    <row r="764" spans="1:9" ht="11.25" customHeight="1">
      <c r="D764" s="979"/>
      <c r="E764" s="979"/>
      <c r="F764" s="979"/>
      <c r="H764" s="267"/>
      <c r="I764" s="267"/>
    </row>
    <row r="765" spans="1:9" ht="12.75">
      <c r="D765" s="979"/>
      <c r="E765" s="979"/>
      <c r="F765" s="979"/>
      <c r="H765" s="267"/>
      <c r="I765" s="267"/>
    </row>
    <row r="766" spans="1:9" ht="12.75">
      <c r="D766" s="979"/>
      <c r="E766" s="979"/>
      <c r="F766" s="979"/>
      <c r="H766" s="267"/>
      <c r="I766" s="267"/>
    </row>
    <row r="767" spans="1:9" ht="12.75">
      <c r="D767" s="979"/>
      <c r="E767" s="979"/>
      <c r="F767" s="979"/>
      <c r="H767" s="267"/>
      <c r="I767" s="267"/>
    </row>
    <row r="768" spans="1:9" ht="17.25" customHeight="1">
      <c r="D768" s="979"/>
      <c r="E768" s="979"/>
      <c r="F768" s="979"/>
      <c r="H768" s="267"/>
      <c r="I768" s="267"/>
    </row>
    <row r="769" spans="1:9" ht="12.75">
      <c r="D769" s="44"/>
      <c r="E769" s="44"/>
      <c r="F769" s="44"/>
      <c r="H769" s="267"/>
      <c r="I769" s="267"/>
    </row>
    <row r="770" spans="1:9" ht="12.75" customHeight="1">
      <c r="B770" s="609" t="s">
        <v>1377</v>
      </c>
      <c r="D770" s="1020" t="s">
        <v>1866</v>
      </c>
      <c r="E770" s="1020"/>
      <c r="F770" s="1020"/>
      <c r="H770" s="267"/>
      <c r="I770" s="267"/>
    </row>
    <row r="771" spans="1:9" ht="12.75">
      <c r="D771" s="1020"/>
      <c r="E771" s="1020"/>
      <c r="F771" s="1020"/>
      <c r="H771" s="267"/>
      <c r="I771" s="267"/>
    </row>
    <row r="772" spans="1:9" ht="12.75">
      <c r="D772" s="1020"/>
      <c r="E772" s="1020"/>
      <c r="F772" s="1020"/>
      <c r="H772" s="267"/>
      <c r="I772" s="267"/>
    </row>
    <row r="773" spans="1:9" ht="12.75">
      <c r="D773" s="1020"/>
      <c r="E773" s="1020"/>
      <c r="F773" s="1020"/>
      <c r="H773" s="267"/>
      <c r="I773" s="267"/>
    </row>
    <row r="774" spans="1:9" ht="12.75">
      <c r="D774" s="44"/>
      <c r="H774" s="267"/>
      <c r="I774" s="267"/>
    </row>
    <row r="775" spans="1:9" ht="12.75">
      <c r="B775" s="609" t="s">
        <v>124</v>
      </c>
      <c r="C775" s="433"/>
      <c r="D775" s="1022" t="s">
        <v>1867</v>
      </c>
      <c r="E775" s="997"/>
      <c r="F775" s="997"/>
      <c r="G775" s="372"/>
      <c r="H775" s="267"/>
      <c r="I775" s="267"/>
    </row>
    <row r="776" spans="1:9" ht="12.75">
      <c r="A776" s="433"/>
      <c r="B776" s="433"/>
      <c r="C776" s="433"/>
      <c r="D776" s="997"/>
      <c r="E776" s="997"/>
      <c r="F776" s="997"/>
      <c r="G776" s="372"/>
      <c r="H776" s="267"/>
      <c r="I776" s="267"/>
    </row>
    <row r="777" spans="1:9" ht="12.75">
      <c r="A777" s="433"/>
      <c r="B777" s="433"/>
      <c r="C777" s="433"/>
      <c r="D777" s="997"/>
      <c r="E777" s="997"/>
      <c r="F777" s="997"/>
      <c r="G777" s="372"/>
      <c r="H777" s="267"/>
      <c r="I777" s="267"/>
    </row>
    <row r="778" spans="1:9" ht="12.75">
      <c r="D778" s="44"/>
      <c r="E778" s="44"/>
      <c r="F778" s="44"/>
      <c r="H778" s="267"/>
      <c r="I778" s="267"/>
    </row>
    <row r="779" spans="1:9" ht="12.75">
      <c r="B779" s="609" t="s">
        <v>1377</v>
      </c>
      <c r="D779" s="979" t="s">
        <v>1451</v>
      </c>
      <c r="E779" s="979"/>
      <c r="F779" s="979"/>
      <c r="H779" s="267"/>
      <c r="I779" s="267"/>
    </row>
    <row r="780" spans="1:9" ht="12.75">
      <c r="D780" s="979"/>
      <c r="E780" s="979"/>
      <c r="F780" s="979"/>
      <c r="H780" s="267"/>
      <c r="I780" s="267"/>
    </row>
    <row r="781" spans="1:9" ht="12.75">
      <c r="D781" s="24"/>
      <c r="E781" s="24"/>
      <c r="F781" s="24"/>
      <c r="H781" s="267"/>
      <c r="I781" s="267"/>
    </row>
    <row r="782" spans="1:9" ht="13.7" customHeight="1">
      <c r="B782" s="609" t="s">
        <v>124</v>
      </c>
      <c r="D782" s="972" t="s">
        <v>1757</v>
      </c>
      <c r="E782" s="979"/>
      <c r="F782" s="979"/>
      <c r="H782" s="267"/>
      <c r="I782" s="267"/>
    </row>
    <row r="783" spans="1:9" ht="12.75">
      <c r="D783" s="979"/>
      <c r="E783" s="979"/>
      <c r="F783" s="979"/>
      <c r="H783" s="267"/>
      <c r="I783" s="267"/>
    </row>
    <row r="784" spans="1:9" ht="12.75">
      <c r="D784" s="979"/>
      <c r="E784" s="979"/>
      <c r="F784" s="979"/>
      <c r="H784" s="267"/>
      <c r="I784" s="267"/>
    </row>
    <row r="785" spans="1:9" ht="12.75">
      <c r="D785" s="24"/>
      <c r="E785" s="24"/>
      <c r="F785" s="24"/>
      <c r="H785" s="267"/>
      <c r="I785" s="267"/>
    </row>
    <row r="786" spans="1:9" ht="12" customHeight="1">
      <c r="A786" s="1011" t="s">
        <v>1593</v>
      </c>
      <c r="B786" s="1011"/>
      <c r="C786" s="1011"/>
      <c r="D786" s="1011"/>
      <c r="E786" s="1011"/>
      <c r="F786" s="1011"/>
      <c r="G786" s="1011"/>
      <c r="H786" s="267"/>
      <c r="I786" s="267"/>
    </row>
    <row r="787" spans="1:9" ht="12.75">
      <c r="A787" s="63"/>
      <c r="B787" s="63"/>
      <c r="H787" s="267"/>
      <c r="I787" s="267"/>
    </row>
    <row r="788" spans="1:9" ht="13.7" customHeight="1">
      <c r="A788" s="63"/>
      <c r="B788" s="63"/>
      <c r="D788" s="1015" t="s">
        <v>1594</v>
      </c>
      <c r="E788" s="1015"/>
      <c r="F788" s="1015"/>
      <c r="H788" s="267"/>
      <c r="I788" s="267"/>
    </row>
    <row r="789" spans="1:9" ht="12.75">
      <c r="A789" s="63"/>
      <c r="B789" s="63"/>
      <c r="D789" s="1016" t="s">
        <v>1595</v>
      </c>
      <c r="E789" s="1016"/>
      <c r="F789" s="1016"/>
      <c r="H789" s="267"/>
      <c r="I789" s="267"/>
    </row>
    <row r="790" spans="1:9" ht="12.75">
      <c r="A790" s="63"/>
      <c r="B790" s="63"/>
      <c r="D790" s="420"/>
      <c r="E790" s="420"/>
      <c r="F790" s="420"/>
      <c r="H790" s="267"/>
      <c r="I790" s="267"/>
    </row>
    <row r="791" spans="1:9" ht="12.75">
      <c r="A791" s="63"/>
      <c r="B791" s="609" t="s">
        <v>1377</v>
      </c>
      <c r="D791" s="997" t="s">
        <v>1596</v>
      </c>
      <c r="E791" s="997"/>
      <c r="F791" s="997"/>
      <c r="H791" s="267"/>
      <c r="I791" s="267"/>
    </row>
    <row r="792" spans="1:9" ht="12.75">
      <c r="A792" s="63"/>
      <c r="B792" s="63"/>
      <c r="D792" s="997"/>
      <c r="E792" s="997"/>
      <c r="F792" s="997"/>
      <c r="H792" s="267"/>
      <c r="I792" s="267"/>
    </row>
    <row r="793" spans="1:9" ht="12.75">
      <c r="A793" s="191"/>
      <c r="B793" s="191"/>
      <c r="C793" s="191"/>
      <c r="D793" s="997"/>
      <c r="E793" s="997"/>
      <c r="F793" s="997"/>
      <c r="G793" s="44"/>
      <c r="H793" s="267"/>
      <c r="I793" s="267"/>
    </row>
    <row r="794" spans="1:9" ht="12.75">
      <c r="D794" s="192"/>
      <c r="H794" s="267"/>
      <c r="I794" s="267"/>
    </row>
    <row r="795" spans="1:9" ht="12.75">
      <c r="A795" s="190"/>
      <c r="B795" s="609" t="s">
        <v>124</v>
      </c>
      <c r="C795" s="190"/>
      <c r="D795" s="1022" t="s">
        <v>2214</v>
      </c>
      <c r="E795" s="997"/>
      <c r="F795" s="997"/>
      <c r="H795" s="267"/>
      <c r="I795" s="267"/>
    </row>
    <row r="796" spans="1:9" ht="12.75">
      <c r="A796" s="190"/>
      <c r="B796" s="190"/>
      <c r="C796" s="190"/>
      <c r="D796" s="997"/>
      <c r="E796" s="997"/>
      <c r="F796" s="997"/>
      <c r="H796" s="267"/>
      <c r="I796" s="267"/>
    </row>
    <row r="797" spans="1:9" ht="27.75" customHeight="1">
      <c r="A797" s="190"/>
      <c r="B797" s="190"/>
      <c r="C797" s="190"/>
      <c r="D797" s="997"/>
      <c r="E797" s="997"/>
      <c r="F797" s="997"/>
      <c r="H797" s="267"/>
      <c r="I797" s="267"/>
    </row>
    <row r="798" spans="1:9" ht="12.75">
      <c r="A798" s="191"/>
      <c r="B798" s="191"/>
      <c r="C798" s="191"/>
      <c r="E798" s="188"/>
      <c r="F798" s="188"/>
      <c r="G798" s="188"/>
      <c r="H798" s="267"/>
      <c r="I798" s="267"/>
    </row>
    <row r="799" spans="1:9" ht="14.45" customHeight="1">
      <c r="A799" s="271"/>
      <c r="B799" s="609" t="s">
        <v>124</v>
      </c>
      <c r="C799" s="207"/>
      <c r="D799" s="1022" t="s">
        <v>1698</v>
      </c>
      <c r="E799" s="1022"/>
      <c r="F799" s="1022"/>
      <c r="G799" s="188"/>
      <c r="H799" s="267"/>
      <c r="I799" s="267"/>
    </row>
    <row r="800" spans="1:9" ht="14.25">
      <c r="A800" s="271"/>
      <c r="B800" s="271"/>
      <c r="C800" s="207"/>
      <c r="D800" s="1022"/>
      <c r="E800" s="1022"/>
      <c r="F800" s="1022"/>
      <c r="G800" s="188"/>
      <c r="H800" s="267"/>
      <c r="I800" s="267"/>
    </row>
    <row r="801" spans="1:9" ht="14.25">
      <c r="A801" s="271"/>
      <c r="B801" s="271"/>
      <c r="C801" s="207"/>
      <c r="D801" s="1022"/>
      <c r="E801" s="1022"/>
      <c r="F801" s="1022"/>
      <c r="G801" s="188"/>
      <c r="H801" s="267"/>
      <c r="I801" s="267"/>
    </row>
    <row r="802" spans="1:9" ht="14.25">
      <c r="A802" s="271"/>
      <c r="B802" s="271"/>
      <c r="C802" s="207"/>
      <c r="D802" s="44"/>
      <c r="G802" s="188"/>
      <c r="H802" s="267"/>
      <c r="I802" s="267"/>
    </row>
    <row r="803" spans="1:9" ht="14.25" customHeight="1">
      <c r="A803" s="271"/>
      <c r="B803" s="609" t="s">
        <v>124</v>
      </c>
      <c r="C803" s="207"/>
      <c r="D803" s="997" t="s">
        <v>1597</v>
      </c>
      <c r="E803" s="997"/>
      <c r="F803" s="997"/>
      <c r="G803" s="188"/>
      <c r="H803" s="267"/>
      <c r="I803" s="267"/>
    </row>
    <row r="804" spans="1:9" ht="14.25">
      <c r="A804" s="271"/>
      <c r="B804" s="271"/>
      <c r="C804" s="207"/>
      <c r="D804" s="997"/>
      <c r="E804" s="997"/>
      <c r="F804" s="997"/>
      <c r="G804" s="188"/>
      <c r="H804" s="267"/>
      <c r="I804" s="267"/>
    </row>
    <row r="805" spans="1:9" ht="14.25">
      <c r="A805" s="271"/>
      <c r="B805" s="271"/>
      <c r="C805" s="207"/>
      <c r="D805" s="997"/>
      <c r="E805" s="997"/>
      <c r="F805" s="997"/>
      <c r="G805" s="188"/>
      <c r="H805" s="267"/>
      <c r="I805" s="267"/>
    </row>
    <row r="806" spans="1:9" ht="14.25">
      <c r="A806" s="271"/>
      <c r="B806" s="271"/>
      <c r="C806" s="207"/>
      <c r="D806" s="997"/>
      <c r="E806" s="997"/>
      <c r="F806" s="997"/>
      <c r="G806" s="188"/>
      <c r="H806" s="267"/>
      <c r="I806" s="267"/>
    </row>
    <row r="807" spans="1:9" ht="14.25">
      <c r="A807" s="271"/>
      <c r="B807" s="271"/>
      <c r="C807" s="207"/>
      <c r="D807" s="997"/>
      <c r="E807" s="997"/>
      <c r="F807" s="997"/>
      <c r="G807" s="188"/>
      <c r="H807" s="267"/>
      <c r="I807" s="267"/>
    </row>
    <row r="808" spans="1:9" ht="14.25">
      <c r="A808" s="271"/>
      <c r="B808" s="271"/>
      <c r="C808" s="207"/>
      <c r="D808" s="1022" t="s">
        <v>2013</v>
      </c>
      <c r="E808" s="1022"/>
      <c r="F808" s="1022"/>
      <c r="G808" s="188"/>
      <c r="H808" s="267"/>
      <c r="I808" s="267"/>
    </row>
    <row r="809" spans="1:9" ht="14.25">
      <c r="A809" s="271"/>
      <c r="B809" s="271"/>
      <c r="C809" s="207"/>
      <c r="D809" s="1022"/>
      <c r="E809" s="1022"/>
      <c r="F809" s="1022"/>
      <c r="G809" s="188"/>
      <c r="H809" s="267"/>
      <c r="I809" s="267"/>
    </row>
    <row r="810" spans="1:9" ht="14.25">
      <c r="A810" s="271"/>
      <c r="B810" s="271"/>
      <c r="C810" s="207"/>
      <c r="D810" s="1022"/>
      <c r="E810" s="1022"/>
      <c r="F810" s="1022"/>
      <c r="G810" s="188"/>
      <c r="H810" s="267"/>
      <c r="I810" s="267"/>
    </row>
    <row r="811" spans="1:9" ht="14.25">
      <c r="A811" s="271"/>
      <c r="C811" s="207"/>
      <c r="D811" s="793"/>
      <c r="E811" s="793"/>
      <c r="F811" s="793"/>
      <c r="G811" s="188"/>
      <c r="H811" s="267"/>
      <c r="I811" s="267"/>
    </row>
    <row r="812" spans="1:9" ht="14.25">
      <c r="A812" s="271"/>
      <c r="B812" s="609" t="s">
        <v>124</v>
      </c>
      <c r="C812" s="207"/>
      <c r="D812" s="997" t="s">
        <v>1599</v>
      </c>
      <c r="E812" s="997"/>
      <c r="F812" s="997"/>
      <c r="G812" s="188"/>
      <c r="H812" s="267"/>
      <c r="I812" s="267"/>
    </row>
    <row r="813" spans="1:9" ht="14.25">
      <c r="A813" s="271"/>
      <c r="B813" s="271"/>
      <c r="C813" s="207"/>
      <c r="D813" s="997"/>
      <c r="E813" s="997"/>
      <c r="F813" s="997"/>
      <c r="G813" s="188"/>
      <c r="H813" s="267"/>
      <c r="I813" s="267"/>
    </row>
    <row r="814" spans="1:9" ht="14.25">
      <c r="A814" s="271"/>
      <c r="B814" s="271"/>
      <c r="C814" s="207"/>
      <c r="D814" s="997"/>
      <c r="E814" s="997"/>
      <c r="F814" s="997"/>
      <c r="G814" s="188"/>
      <c r="H814" s="267"/>
      <c r="I814" s="267"/>
    </row>
    <row r="815" spans="1:9" ht="14.25">
      <c r="A815" s="271"/>
      <c r="B815" s="271"/>
      <c r="C815" s="207"/>
      <c r="D815" s="997"/>
      <c r="E815" s="997"/>
      <c r="F815" s="997"/>
      <c r="G815" s="188"/>
      <c r="H815" s="267"/>
      <c r="I815" s="267"/>
    </row>
    <row r="816" spans="1:9" ht="14.25">
      <c r="A816" s="271"/>
      <c r="B816" s="271"/>
      <c r="C816" s="207"/>
      <c r="D816" s="997"/>
      <c r="E816" s="997"/>
      <c r="F816" s="997"/>
      <c r="G816" s="188"/>
      <c r="H816" s="267"/>
      <c r="I816" s="267"/>
    </row>
    <row r="817" spans="1:9" ht="14.25">
      <c r="A817" s="271"/>
      <c r="B817" s="271"/>
      <c r="C817" s="207"/>
      <c r="D817" s="997"/>
      <c r="E817" s="997"/>
      <c r="F817" s="997"/>
      <c r="G817" s="188"/>
      <c r="H817" s="267"/>
      <c r="I817" s="267"/>
    </row>
    <row r="818" spans="1:9" ht="14.25">
      <c r="A818" s="271"/>
      <c r="B818" s="271"/>
      <c r="C818" s="207"/>
      <c r="D818" s="654"/>
      <c r="E818" s="654"/>
      <c r="F818" s="654"/>
      <c r="G818" s="188"/>
      <c r="H818" s="267"/>
      <c r="I818" s="267"/>
    </row>
    <row r="819" spans="1:9" ht="14.25">
      <c r="A819" s="271"/>
      <c r="B819" s="609" t="s">
        <v>124</v>
      </c>
      <c r="C819" s="207"/>
      <c r="D819" s="1022" t="s">
        <v>1868</v>
      </c>
      <c r="E819" s="997"/>
      <c r="F819" s="997"/>
      <c r="G819" s="188"/>
      <c r="H819" s="267"/>
      <c r="I819" s="267"/>
    </row>
    <row r="820" spans="1:9" ht="14.25">
      <c r="A820" s="271"/>
      <c r="B820" s="271"/>
      <c r="C820" s="207"/>
      <c r="D820" s="997"/>
      <c r="E820" s="997"/>
      <c r="F820" s="997"/>
      <c r="G820" s="188"/>
      <c r="H820" s="267"/>
      <c r="I820" s="267"/>
    </row>
    <row r="821" spans="1:9" ht="14.25">
      <c r="A821" s="271"/>
      <c r="B821" s="271"/>
      <c r="C821" s="207"/>
      <c r="D821" s="997"/>
      <c r="E821" s="997"/>
      <c r="F821" s="997"/>
      <c r="G821" s="188"/>
      <c r="H821" s="267"/>
      <c r="I821" s="267"/>
    </row>
    <row r="822" spans="1:9" ht="14.25">
      <c r="A822" s="271"/>
      <c r="B822" s="271"/>
      <c r="C822" s="207"/>
      <c r="D822" s="997"/>
      <c r="E822" s="997"/>
      <c r="F822" s="997"/>
      <c r="G822" s="188"/>
      <c r="H822" s="267"/>
      <c r="I822" s="267"/>
    </row>
    <row r="823" spans="1:9" ht="14.25">
      <c r="A823" s="271"/>
      <c r="B823" s="271"/>
      <c r="C823" s="207"/>
      <c r="D823" s="997"/>
      <c r="E823" s="997"/>
      <c r="F823" s="997"/>
      <c r="G823" s="188"/>
      <c r="H823" s="267"/>
      <c r="I823" s="267"/>
    </row>
    <row r="824" spans="1:9" ht="14.25">
      <c r="A824" s="271"/>
      <c r="B824" s="271"/>
      <c r="C824" s="207"/>
      <c r="D824" s="654"/>
      <c r="E824" s="654"/>
      <c r="F824" s="654"/>
      <c r="G824" s="188"/>
      <c r="H824" s="267"/>
      <c r="I824" s="267"/>
    </row>
    <row r="825" spans="1:9" ht="14.25">
      <c r="A825" s="271"/>
      <c r="B825" s="609" t="s">
        <v>124</v>
      </c>
      <c r="C825" s="207"/>
      <c r="D825" s="997" t="s">
        <v>1598</v>
      </c>
      <c r="E825" s="997"/>
      <c r="F825" s="997"/>
      <c r="G825" s="188"/>
      <c r="H825" s="267"/>
      <c r="I825" s="267"/>
    </row>
    <row r="826" spans="1:9" ht="14.25">
      <c r="A826" s="271"/>
      <c r="B826" s="271"/>
      <c r="C826" s="207"/>
      <c r="D826" s="997"/>
      <c r="E826" s="997"/>
      <c r="F826" s="997"/>
      <c r="G826" s="188"/>
      <c r="H826" s="267"/>
      <c r="I826" s="267"/>
    </row>
    <row r="827" spans="1:9" ht="14.25">
      <c r="A827" s="271"/>
      <c r="B827" s="271"/>
      <c r="C827" s="207"/>
      <c r="D827" s="997"/>
      <c r="E827" s="997"/>
      <c r="F827" s="997"/>
      <c r="G827" s="188"/>
      <c r="H827" s="267"/>
      <c r="I827" s="267"/>
    </row>
    <row r="828" spans="1:9" ht="14.25">
      <c r="A828" s="271"/>
      <c r="B828" s="271"/>
      <c r="C828" s="207"/>
      <c r="D828" s="997"/>
      <c r="E828" s="997"/>
      <c r="F828" s="997"/>
      <c r="G828" s="188"/>
      <c r="H828" s="267"/>
      <c r="I828" s="267"/>
    </row>
    <row r="829" spans="1:9" ht="14.25">
      <c r="A829" s="271"/>
      <c r="B829" s="271"/>
      <c r="C829" s="207"/>
      <c r="D829" s="188"/>
      <c r="G829" s="188"/>
      <c r="H829" s="267"/>
      <c r="I829" s="267"/>
    </row>
    <row r="830" spans="1:9" ht="14.25">
      <c r="A830" s="271"/>
      <c r="B830" s="609" t="s">
        <v>124</v>
      </c>
      <c r="C830" s="207"/>
      <c r="D830" s="1005" t="s">
        <v>1601</v>
      </c>
      <c r="E830" s="1005"/>
      <c r="F830" s="1005"/>
      <c r="G830" s="188"/>
      <c r="H830" s="267"/>
      <c r="I830" s="267"/>
    </row>
    <row r="831" spans="1:9" ht="14.25">
      <c r="A831" s="271"/>
      <c r="B831" s="271"/>
      <c r="C831" s="207"/>
      <c r="D831" s="1005"/>
      <c r="E831" s="1005"/>
      <c r="F831" s="1005"/>
      <c r="G831" s="188"/>
      <c r="H831" s="267"/>
      <c r="I831" s="267"/>
    </row>
    <row r="832" spans="1:9" ht="12.75">
      <c r="A832" s="18"/>
      <c r="B832" s="18"/>
      <c r="C832" s="207"/>
      <c r="D832" s="1005"/>
      <c r="E832" s="1005"/>
      <c r="F832" s="1005"/>
      <c r="G832" s="188"/>
      <c r="H832" s="267"/>
      <c r="I832" s="267"/>
    </row>
    <row r="833" spans="1:9" ht="14.25">
      <c r="A833" s="271"/>
      <c r="B833" s="18"/>
      <c r="C833" s="207"/>
      <c r="D833" s="1005"/>
      <c r="E833" s="1005"/>
      <c r="F833" s="1005"/>
      <c r="G833" s="188"/>
      <c r="H833" s="267"/>
      <c r="I833" s="267"/>
    </row>
    <row r="834" spans="1:9" ht="14.25">
      <c r="A834" s="271"/>
      <c r="B834" s="18"/>
      <c r="C834" s="207"/>
      <c r="D834" s="1005"/>
      <c r="E834" s="1005"/>
      <c r="F834" s="1005"/>
      <c r="G834" s="188"/>
      <c r="H834" s="267"/>
      <c r="I834" s="267"/>
    </row>
    <row r="835" spans="1:9" ht="14.25">
      <c r="A835" s="271"/>
      <c r="B835" s="18"/>
      <c r="C835" s="207"/>
      <c r="D835" s="1005"/>
      <c r="E835" s="1005"/>
      <c r="F835" s="1005"/>
      <c r="G835" s="188"/>
      <c r="H835" s="267"/>
      <c r="I835" s="267"/>
    </row>
    <row r="836" spans="1:9" ht="14.25">
      <c r="A836" s="271"/>
      <c r="B836" s="18"/>
      <c r="C836" s="207"/>
      <c r="D836" s="653"/>
      <c r="E836" s="653"/>
      <c r="F836" s="653"/>
      <c r="G836" s="188"/>
      <c r="H836" s="267"/>
      <c r="I836" s="267"/>
    </row>
    <row r="837" spans="1:9" ht="14.25">
      <c r="A837" s="271"/>
      <c r="B837" s="609" t="s">
        <v>124</v>
      </c>
      <c r="C837" s="207"/>
      <c r="D837" s="997" t="s">
        <v>1600</v>
      </c>
      <c r="E837" s="997"/>
      <c r="F837" s="997"/>
      <c r="G837" s="188"/>
      <c r="H837" s="267"/>
      <c r="I837" s="267"/>
    </row>
    <row r="838" spans="1:9" ht="14.25">
      <c r="A838" s="271"/>
      <c r="B838" s="271"/>
      <c r="C838" s="207"/>
      <c r="D838" s="997"/>
      <c r="E838" s="997"/>
      <c r="F838" s="997"/>
      <c r="G838" s="188"/>
      <c r="H838" s="267"/>
      <c r="I838" s="267"/>
    </row>
    <row r="839" spans="1:9" ht="14.25">
      <c r="A839" s="271"/>
      <c r="B839" s="271"/>
      <c r="C839" s="207"/>
      <c r="D839" s="188"/>
      <c r="G839" s="188"/>
      <c r="H839" s="267"/>
      <c r="I839" s="267"/>
    </row>
    <row r="840" spans="1:9" ht="14.25">
      <c r="A840" s="271"/>
      <c r="B840" s="609" t="s">
        <v>124</v>
      </c>
      <c r="C840" s="207"/>
      <c r="D840" s="1005" t="s">
        <v>1602</v>
      </c>
      <c r="E840" s="1005"/>
      <c r="F840" s="1005"/>
      <c r="G840" s="188"/>
      <c r="H840" s="267"/>
      <c r="I840" s="267"/>
    </row>
    <row r="841" spans="1:9" ht="14.25">
      <c r="A841" s="271"/>
      <c r="B841" s="271"/>
      <c r="C841" s="207"/>
      <c r="D841" s="1005"/>
      <c r="E841" s="1005"/>
      <c r="F841" s="1005"/>
      <c r="G841" s="188"/>
      <c r="H841" s="267"/>
      <c r="I841" s="267"/>
    </row>
    <row r="842" spans="1:9" ht="12.75">
      <c r="A842" s="18"/>
      <c r="B842" s="18"/>
      <c r="C842" s="207"/>
      <c r="D842" s="188"/>
      <c r="G842" s="188"/>
      <c r="H842" s="267"/>
      <c r="I842" s="267"/>
    </row>
    <row r="843" spans="1:9" ht="12.75">
      <c r="A843" s="1033" t="s">
        <v>1885</v>
      </c>
      <c r="B843" s="1033"/>
      <c r="C843" s="1033"/>
      <c r="D843" s="1033"/>
      <c r="E843" s="1033"/>
      <c r="F843" s="1033"/>
      <c r="G843" s="1033"/>
      <c r="H843" s="267"/>
      <c r="I843" s="267"/>
    </row>
    <row r="844" spans="1:9" ht="12.75">
      <c r="A844" s="190"/>
      <c r="B844" s="190"/>
      <c r="C844" s="207"/>
      <c r="D844" s="188"/>
      <c r="E844" s="188"/>
      <c r="F844" s="188"/>
      <c r="G844" s="188"/>
      <c r="H844" s="267"/>
      <c r="I844" s="267"/>
    </row>
    <row r="845" spans="1:9" ht="14.25">
      <c r="A845" s="271"/>
      <c r="B845" s="271"/>
      <c r="D845" s="1006" t="s">
        <v>1518</v>
      </c>
      <c r="E845" s="1006"/>
      <c r="F845" s="1006"/>
      <c r="H845" s="267"/>
      <c r="I845" s="267"/>
    </row>
    <row r="846" spans="1:9" ht="14.25">
      <c r="A846" s="271"/>
      <c r="B846" s="271"/>
      <c r="D846" s="972" t="s">
        <v>1882</v>
      </c>
      <c r="E846" s="972"/>
      <c r="F846" s="972"/>
      <c r="H846" s="267"/>
      <c r="I846" s="267"/>
    </row>
    <row r="847" spans="1:9" ht="14.25">
      <c r="A847" s="271"/>
      <c r="B847" s="271"/>
      <c r="D847" s="24"/>
      <c r="E847" s="210"/>
      <c r="F847" s="210"/>
      <c r="H847" s="267"/>
      <c r="I847" s="267"/>
    </row>
    <row r="848" spans="1:9" ht="12.75">
      <c r="B848" s="609" t="s">
        <v>1377</v>
      </c>
      <c r="C848" s="207"/>
      <c r="D848" s="979" t="s">
        <v>1455</v>
      </c>
      <c r="E848" s="979"/>
      <c r="F848" s="979"/>
      <c r="H848" s="267"/>
      <c r="I848" s="267"/>
    </row>
    <row r="849" spans="1:9" ht="12.75">
      <c r="A849" s="18"/>
      <c r="B849" s="18"/>
      <c r="C849" s="207"/>
      <c r="D849" s="3" t="s">
        <v>1432</v>
      </c>
      <c r="E849" s="980" t="s">
        <v>2076</v>
      </c>
      <c r="F849" s="980"/>
      <c r="H849" s="267"/>
      <c r="I849" s="267"/>
    </row>
    <row r="850" spans="1:9" ht="12.75">
      <c r="A850" s="18"/>
      <c r="B850" s="18"/>
      <c r="C850" s="207"/>
      <c r="D850" s="213"/>
      <c r="H850" s="267"/>
      <c r="I850" s="267"/>
    </row>
    <row r="851" spans="1:9" ht="12.75">
      <c r="A851" s="18"/>
      <c r="B851" s="609" t="s">
        <v>124</v>
      </c>
      <c r="C851" s="207"/>
      <c r="D851" s="1025" t="s">
        <v>1679</v>
      </c>
      <c r="E851" s="1025"/>
      <c r="F851" s="1025"/>
      <c r="H851" s="267"/>
      <c r="I851" s="267"/>
    </row>
    <row r="852" spans="1:9" ht="12.75">
      <c r="A852" s="18"/>
      <c r="B852" s="18"/>
      <c r="C852" s="207"/>
      <c r="D852" s="1025"/>
      <c r="E852" s="1025"/>
      <c r="F852" s="1025"/>
      <c r="H852" s="267"/>
      <c r="I852" s="267"/>
    </row>
    <row r="853" spans="1:9" ht="12.75">
      <c r="A853" s="18"/>
      <c r="B853" s="18"/>
      <c r="C853" s="207"/>
      <c r="D853" s="1025"/>
      <c r="E853" s="1025"/>
      <c r="F853" s="1025"/>
      <c r="H853" s="267"/>
      <c r="I853" s="267"/>
    </row>
    <row r="854" spans="1:9" ht="12.75">
      <c r="A854" s="18"/>
      <c r="B854" s="18"/>
      <c r="C854" s="207"/>
      <c r="D854" s="1025"/>
      <c r="E854" s="1025"/>
      <c r="F854" s="1025"/>
      <c r="H854" s="267"/>
      <c r="I854" s="267"/>
    </row>
    <row r="855" spans="1:9" ht="12.75">
      <c r="A855" s="18"/>
      <c r="B855" s="18"/>
      <c r="C855" s="207"/>
      <c r="D855" s="1025"/>
      <c r="E855" s="1025"/>
      <c r="F855" s="1025"/>
      <c r="H855" s="267"/>
      <c r="I855" s="267"/>
    </row>
    <row r="856" spans="1:9" ht="12.75">
      <c r="A856" s="18"/>
      <c r="B856" s="18"/>
      <c r="C856" s="207"/>
      <c r="D856" s="1025"/>
      <c r="E856" s="1025"/>
      <c r="F856" s="1025"/>
      <c r="H856" s="267"/>
      <c r="I856" s="267"/>
    </row>
    <row r="857" spans="1:9" ht="12.75">
      <c r="A857" s="18"/>
      <c r="B857" s="18"/>
      <c r="C857" s="207"/>
      <c r="D857" s="1025"/>
      <c r="E857" s="1025"/>
      <c r="F857" s="1025"/>
      <c r="H857" s="267"/>
      <c r="I857" s="267"/>
    </row>
    <row r="858" spans="1:9" ht="12.75">
      <c r="A858" s="18"/>
      <c r="B858" s="18"/>
      <c r="C858" s="207"/>
      <c r="D858" s="1025"/>
      <c r="E858" s="1025"/>
      <c r="F858" s="1025"/>
      <c r="H858" s="267"/>
      <c r="I858" s="267"/>
    </row>
    <row r="859" spans="1:9" ht="12.75">
      <c r="A859" s="18"/>
      <c r="B859" s="18"/>
      <c r="C859" s="207"/>
      <c r="D859" s="1025"/>
      <c r="E859" s="1025"/>
      <c r="F859" s="1025"/>
      <c r="H859" s="267"/>
      <c r="I859" s="267"/>
    </row>
    <row r="860" spans="1:9" ht="12.75">
      <c r="A860" s="18"/>
      <c r="B860" s="18"/>
      <c r="C860" s="207"/>
      <c r="D860" s="213"/>
      <c r="H860" s="267"/>
      <c r="I860" s="267"/>
    </row>
    <row r="861" spans="1:9" ht="14.25">
      <c r="A861" s="271"/>
      <c r="B861" s="609" t="s">
        <v>1377</v>
      </c>
      <c r="C861" s="207"/>
      <c r="D861" s="979" t="s">
        <v>1456</v>
      </c>
      <c r="E861" s="979"/>
      <c r="F861" s="979"/>
      <c r="H861" s="267"/>
      <c r="I861" s="267"/>
    </row>
    <row r="862" spans="1:9" ht="14.25">
      <c r="A862" s="271"/>
      <c r="B862" s="271"/>
      <c r="C862" s="207"/>
      <c r="D862" s="979"/>
      <c r="E862" s="979"/>
      <c r="F862" s="979"/>
      <c r="H862" s="267"/>
      <c r="I862" s="267"/>
    </row>
    <row r="863" spans="1:9" ht="14.25">
      <c r="A863" s="271"/>
      <c r="B863" s="271"/>
      <c r="C863" s="207"/>
      <c r="D863" s="979"/>
      <c r="E863" s="979"/>
      <c r="F863" s="979"/>
      <c r="H863" s="267"/>
      <c r="I863" s="267"/>
    </row>
    <row r="864" spans="1:9" ht="14.25">
      <c r="A864" s="271"/>
      <c r="B864" s="271"/>
      <c r="C864" s="207"/>
      <c r="D864" s="44"/>
      <c r="H864" s="267"/>
      <c r="I864" s="267"/>
    </row>
    <row r="865" spans="1:9" ht="12.75">
      <c r="A865" s="419"/>
      <c r="B865" s="609" t="s">
        <v>124</v>
      </c>
      <c r="C865" s="207"/>
      <c r="D865" s="1006" t="s">
        <v>1457</v>
      </c>
      <c r="E865" s="1006"/>
      <c r="F865" s="1006"/>
      <c r="H865" s="267"/>
      <c r="I865" s="267"/>
    </row>
    <row r="866" spans="1:9" ht="12.75">
      <c r="B866" s="419"/>
      <c r="C866" s="207"/>
      <c r="D866" s="1006"/>
      <c r="E866" s="1006"/>
      <c r="F866" s="1006"/>
      <c r="H866" s="267"/>
      <c r="I866" s="267"/>
    </row>
    <row r="867" spans="1:9" ht="14.25" customHeight="1">
      <c r="A867" s="271"/>
      <c r="C867" s="207"/>
      <c r="D867" s="979" t="s">
        <v>2154</v>
      </c>
      <c r="E867" s="979"/>
      <c r="F867" s="979"/>
      <c r="H867" s="267"/>
      <c r="I867" s="267"/>
    </row>
    <row r="868" spans="1:9" ht="14.25">
      <c r="A868" s="271"/>
      <c r="B868" s="271"/>
      <c r="C868" s="207"/>
      <c r="D868" s="979"/>
      <c r="E868" s="979"/>
      <c r="F868" s="979"/>
      <c r="H868" s="267"/>
      <c r="I868" s="267"/>
    </row>
    <row r="869" spans="1:9" ht="14.25">
      <c r="A869" s="271"/>
      <c r="B869" s="271"/>
      <c r="C869" s="207"/>
      <c r="D869" s="979"/>
      <c r="E869" s="979"/>
      <c r="F869" s="979"/>
      <c r="H869" s="267"/>
      <c r="I869" s="267"/>
    </row>
    <row r="870" spans="1:9" ht="14.25">
      <c r="A870" s="271"/>
      <c r="B870" s="271"/>
      <c r="C870" s="207"/>
      <c r="D870" s="979"/>
      <c r="E870" s="979"/>
      <c r="F870" s="979"/>
      <c r="H870" s="267"/>
      <c r="I870" s="267"/>
    </row>
    <row r="871" spans="1:9" ht="14.25">
      <c r="A871" s="271"/>
      <c r="B871" s="271"/>
      <c r="C871" s="207"/>
      <c r="D871" s="979"/>
      <c r="E871" s="979"/>
      <c r="F871" s="979"/>
      <c r="H871" s="267"/>
      <c r="I871" s="267"/>
    </row>
    <row r="872" spans="1:9" ht="14.25" customHeight="1">
      <c r="A872" s="271"/>
      <c r="B872" s="271"/>
      <c r="C872" s="207"/>
      <c r="D872" s="979"/>
      <c r="E872" s="979"/>
      <c r="F872" s="979"/>
      <c r="H872" s="267"/>
      <c r="I872" s="267"/>
    </row>
    <row r="873" spans="1:9" ht="14.25">
      <c r="A873" s="271"/>
      <c r="B873" s="271"/>
      <c r="C873" s="207"/>
      <c r="D873" s="44"/>
      <c r="H873" s="267"/>
      <c r="I873" s="267"/>
    </row>
    <row r="874" spans="1:9" ht="14.25">
      <c r="A874" s="271"/>
      <c r="B874" s="609" t="s">
        <v>124</v>
      </c>
      <c r="C874" s="207"/>
      <c r="D874" s="979" t="s">
        <v>1176</v>
      </c>
      <c r="E874" s="979"/>
      <c r="F874" s="979"/>
      <c r="H874" s="267"/>
      <c r="I874" s="267"/>
    </row>
    <row r="875" spans="1:9" ht="14.25">
      <c r="A875" s="271"/>
      <c r="B875" s="271"/>
      <c r="C875" s="207"/>
      <c r="D875" s="979" t="s">
        <v>1177</v>
      </c>
      <c r="E875" s="979"/>
      <c r="F875" s="979"/>
      <c r="H875" s="267"/>
      <c r="I875" s="267"/>
    </row>
    <row r="876" spans="1:9" ht="14.25">
      <c r="A876" s="271"/>
      <c r="B876" s="271"/>
      <c r="C876" s="207"/>
      <c r="D876" s="3" t="s">
        <v>1431</v>
      </c>
      <c r="E876" s="980" t="s">
        <v>2078</v>
      </c>
      <c r="F876" s="980"/>
      <c r="H876" s="267"/>
      <c r="I876" s="267"/>
    </row>
    <row r="877" spans="1:9" ht="14.25">
      <c r="A877" s="271"/>
      <c r="B877" s="271"/>
      <c r="C877" s="207"/>
      <c r="D877" s="44"/>
      <c r="H877" s="267"/>
      <c r="I877" s="267"/>
    </row>
    <row r="878" spans="1:9" ht="14.25">
      <c r="A878" s="271"/>
      <c r="B878" s="609" t="s">
        <v>124</v>
      </c>
      <c r="C878" s="207"/>
      <c r="D878" s="979" t="s">
        <v>1458</v>
      </c>
      <c r="E878" s="979"/>
      <c r="F878" s="979"/>
      <c r="H878" s="267"/>
      <c r="I878" s="267"/>
    </row>
    <row r="879" spans="1:9" ht="14.25">
      <c r="A879" s="271"/>
      <c r="B879" s="271"/>
      <c r="C879" s="207"/>
      <c r="D879" s="979"/>
      <c r="E879" s="979"/>
      <c r="F879" s="979"/>
      <c r="H879" s="267"/>
      <c r="I879" s="267"/>
    </row>
    <row r="880" spans="1:9" ht="14.25">
      <c r="A880" s="271"/>
      <c r="B880" s="271"/>
      <c r="C880" s="207"/>
      <c r="D880" s="979"/>
      <c r="E880" s="979"/>
      <c r="F880" s="979"/>
      <c r="H880" s="267"/>
      <c r="I880" s="267"/>
    </row>
    <row r="881" spans="1:9" ht="14.25">
      <c r="A881" s="271"/>
      <c r="B881" s="271"/>
      <c r="C881" s="207"/>
      <c r="D881" s="979"/>
      <c r="E881" s="979"/>
      <c r="F881" s="979"/>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1000" t="s">
        <v>1517</v>
      </c>
      <c r="E885" s="1000"/>
      <c r="F885" s="1000"/>
      <c r="G885" s="188"/>
      <c r="H885" s="267"/>
      <c r="I885" s="267"/>
    </row>
    <row r="886" spans="1:9" ht="12.75">
      <c r="C886" s="191"/>
      <c r="D886" s="1013" t="s">
        <v>1883</v>
      </c>
      <c r="E886" s="1014"/>
      <c r="F886" s="1014"/>
      <c r="G886" s="188"/>
      <c r="H886" s="267"/>
      <c r="I886" s="267"/>
    </row>
    <row r="887" spans="1:9" ht="12.75">
      <c r="C887" s="191"/>
      <c r="D887" s="640"/>
      <c r="E887" s="640"/>
      <c r="F887" s="640"/>
      <c r="G887" s="188"/>
      <c r="H887" s="267"/>
      <c r="I887" s="267"/>
    </row>
    <row r="888" spans="1:9" ht="14.25">
      <c r="A888" s="271"/>
      <c r="B888" s="609" t="s">
        <v>1377</v>
      </c>
      <c r="D888" s="999" t="s">
        <v>1477</v>
      </c>
      <c r="E888" s="999"/>
      <c r="F888" s="999"/>
      <c r="G888" s="188"/>
      <c r="H888" s="267"/>
      <c r="I888" s="267"/>
    </row>
    <row r="889" spans="1:9" ht="12.75">
      <c r="D889" s="3" t="s">
        <v>1431</v>
      </c>
      <c r="E889" s="1012" t="s">
        <v>2078</v>
      </c>
      <c r="F889" s="1012"/>
      <c r="G889" s="188"/>
    </row>
    <row r="890" spans="1:9" ht="12.75">
      <c r="D890" s="44"/>
      <c r="E890" s="188"/>
      <c r="F890" s="188"/>
      <c r="G890" s="188"/>
      <c r="H890" s="267"/>
      <c r="I890" s="267"/>
    </row>
    <row r="891" spans="1:9" ht="14.25">
      <c r="A891" s="271"/>
      <c r="B891" s="609" t="s">
        <v>1377</v>
      </c>
      <c r="D891" s="972" t="s">
        <v>1886</v>
      </c>
      <c r="E891" s="1042"/>
      <c r="F891" s="1042"/>
    </row>
    <row r="892" spans="1:9" ht="12.6" customHeight="1">
      <c r="D892" s="1042"/>
      <c r="E892" s="1042"/>
      <c r="F892" s="1042"/>
    </row>
    <row r="893" spans="1:9" ht="14.25">
      <c r="A893" s="271"/>
      <c r="B893" s="271"/>
      <c r="D893" s="44"/>
      <c r="E893" s="188"/>
      <c r="F893" s="188"/>
      <c r="G893" s="188"/>
      <c r="H893" s="267"/>
      <c r="I893" s="267"/>
    </row>
    <row r="894" spans="1:9" ht="12.75">
      <c r="B894" s="609" t="s">
        <v>124</v>
      </c>
      <c r="D894" s="1008" t="s">
        <v>1681</v>
      </c>
      <c r="E894" s="1008"/>
      <c r="F894" s="1008"/>
      <c r="G894" s="188"/>
      <c r="H894" s="267"/>
      <c r="I894" s="267"/>
    </row>
    <row r="895" spans="1:9" ht="29.45" customHeight="1">
      <c r="B895" s="565"/>
      <c r="D895" s="1008"/>
      <c r="E895" s="1008"/>
      <c r="F895" s="1008"/>
      <c r="G895" s="188"/>
      <c r="H895" s="267"/>
      <c r="I895" s="267"/>
    </row>
    <row r="896" spans="1:9" ht="14.25">
      <c r="A896" s="271"/>
      <c r="B896"/>
      <c r="D896" s="979" t="s">
        <v>2154</v>
      </c>
      <c r="E896" s="979"/>
      <c r="F896" s="979"/>
      <c r="G896" s="188"/>
      <c r="H896" s="267"/>
      <c r="I896" s="267"/>
    </row>
    <row r="897" spans="1:9" ht="14.25">
      <c r="A897" s="271"/>
      <c r="B897" s="271"/>
      <c r="D897" s="979"/>
      <c r="E897" s="979"/>
      <c r="F897" s="979"/>
      <c r="G897" s="188"/>
      <c r="H897" s="267"/>
      <c r="I897" s="267"/>
    </row>
    <row r="898" spans="1:9" ht="14.25">
      <c r="A898" s="271"/>
      <c r="B898" s="271"/>
      <c r="D898" s="979"/>
      <c r="E898" s="979"/>
      <c r="F898" s="979"/>
      <c r="G898" s="188"/>
      <c r="H898" s="267"/>
      <c r="I898" s="267"/>
    </row>
    <row r="899" spans="1:9" ht="14.25">
      <c r="A899" s="271"/>
      <c r="B899" s="271"/>
      <c r="D899" s="979"/>
      <c r="E899" s="979"/>
      <c r="F899" s="979"/>
      <c r="G899" s="188"/>
      <c r="H899" s="267"/>
      <c r="I899" s="267"/>
    </row>
    <row r="900" spans="1:9" ht="14.25">
      <c r="A900" s="271"/>
      <c r="B900" s="271"/>
      <c r="D900" s="979"/>
      <c r="E900" s="979"/>
      <c r="F900" s="979"/>
      <c r="G900" s="188"/>
      <c r="H900" s="267"/>
      <c r="I900" s="267"/>
    </row>
    <row r="901" spans="1:9" ht="14.25">
      <c r="A901" s="271"/>
      <c r="B901" s="271"/>
      <c r="D901" s="979"/>
      <c r="E901" s="979"/>
      <c r="F901" s="979"/>
      <c r="G901" s="188"/>
      <c r="H901" s="267"/>
      <c r="I901" s="267"/>
    </row>
    <row r="902" spans="1:9" ht="14.25">
      <c r="A902" s="271"/>
      <c r="B902" s="271"/>
      <c r="D902" s="44"/>
      <c r="E902" s="188"/>
      <c r="F902" s="188"/>
      <c r="G902" s="188"/>
      <c r="H902" s="267"/>
      <c r="I902" s="267"/>
    </row>
    <row r="903" spans="1:9" ht="14.25">
      <c r="A903" s="271"/>
      <c r="B903" s="609" t="s">
        <v>124</v>
      </c>
      <c r="D903" s="1009" t="s">
        <v>1176</v>
      </c>
      <c r="E903" s="1009"/>
      <c r="F903" s="1009"/>
      <c r="G903" s="188"/>
      <c r="H903" s="267"/>
      <c r="I903" s="267"/>
    </row>
    <row r="904" spans="1:9" ht="14.25">
      <c r="A904" s="271"/>
      <c r="B904" s="271"/>
      <c r="D904" s="1009" t="s">
        <v>1177</v>
      </c>
      <c r="E904" s="1009"/>
      <c r="F904" s="1009"/>
      <c r="G904" s="188"/>
      <c r="H904" s="267"/>
      <c r="I904" s="267"/>
    </row>
    <row r="905" spans="1:9" ht="14.25">
      <c r="A905" s="271"/>
      <c r="B905" s="271"/>
      <c r="D905" s="3" t="s">
        <v>1478</v>
      </c>
      <c r="E905" s="1010" t="s">
        <v>2078</v>
      </c>
      <c r="F905" s="1010"/>
      <c r="G905" s="188"/>
      <c r="H905" s="267"/>
      <c r="I905" s="267"/>
    </row>
    <row r="906" spans="1:9" ht="14.25">
      <c r="A906" s="271"/>
      <c r="B906" s="271"/>
      <c r="D906" s="44"/>
      <c r="E906" s="188"/>
      <c r="F906" s="188"/>
      <c r="G906" s="188"/>
      <c r="H906" s="267"/>
      <c r="I906" s="267"/>
    </row>
    <row r="907" spans="1:9" ht="14.25">
      <c r="A907" s="271"/>
      <c r="B907" s="609" t="s">
        <v>124</v>
      </c>
      <c r="D907" s="979" t="s">
        <v>1458</v>
      </c>
      <c r="E907" s="979"/>
      <c r="F907" s="979"/>
      <c r="G907" s="188"/>
      <c r="H907" s="267"/>
      <c r="I907" s="267"/>
    </row>
    <row r="908" spans="1:9" ht="14.25">
      <c r="A908" s="271"/>
      <c r="B908" s="271"/>
      <c r="D908" s="979"/>
      <c r="E908" s="979"/>
      <c r="F908" s="979"/>
      <c r="G908" s="188"/>
      <c r="H908" s="267"/>
      <c r="I908" s="267"/>
    </row>
    <row r="909" spans="1:9" ht="14.25">
      <c r="A909" s="271"/>
      <c r="B909" s="271"/>
      <c r="D909" s="979"/>
      <c r="E909" s="979"/>
      <c r="F909" s="979"/>
      <c r="G909" s="188"/>
      <c r="H909" s="267"/>
      <c r="I909" s="267"/>
    </row>
    <row r="910" spans="1:9" ht="14.25">
      <c r="A910" s="271"/>
      <c r="B910" s="271"/>
      <c r="D910" s="979"/>
      <c r="E910" s="979"/>
      <c r="F910" s="979"/>
      <c r="G910" s="188"/>
      <c r="H910" s="267"/>
      <c r="I910" s="267"/>
    </row>
    <row r="911" spans="1:9" ht="12.75">
      <c r="A911" s="44"/>
      <c r="B911" s="44"/>
      <c r="C911" s="207"/>
      <c r="D911" s="188"/>
      <c r="E911" s="188"/>
      <c r="F911" s="188"/>
      <c r="G911" s="188"/>
      <c r="H911" s="267"/>
      <c r="I911" s="267"/>
    </row>
    <row r="912" spans="1:9" ht="12.75">
      <c r="A912" s="1033" t="s">
        <v>1404</v>
      </c>
      <c r="B912" s="1033"/>
      <c r="C912" s="1033"/>
      <c r="D912" s="1033"/>
      <c r="E912" s="1033"/>
      <c r="F912" s="1033"/>
      <c r="G912" s="1033"/>
      <c r="H912" s="267"/>
      <c r="I912" s="267"/>
    </row>
    <row r="913" spans="1:9" ht="12.75">
      <c r="A913" s="44"/>
      <c r="B913" s="44"/>
      <c r="C913" s="207"/>
      <c r="D913" s="188"/>
      <c r="E913" s="188"/>
      <c r="F913" s="188"/>
      <c r="G913" s="188"/>
      <c r="H913" s="267"/>
      <c r="I913" s="267"/>
    </row>
    <row r="914" spans="1:9" ht="12.75">
      <c r="C914" s="207"/>
      <c r="D914" s="1003" t="s">
        <v>1635</v>
      </c>
      <c r="E914" s="1003"/>
      <c r="F914" s="1003"/>
      <c r="G914" s="188"/>
      <c r="H914" s="267"/>
      <c r="I914" s="267"/>
    </row>
    <row r="915" spans="1:9" ht="12.75">
      <c r="A915" s="190"/>
      <c r="B915" s="190"/>
      <c r="C915" s="190"/>
      <c r="D915" s="999" t="s">
        <v>1476</v>
      </c>
      <c r="E915" s="999"/>
      <c r="F915" s="999"/>
      <c r="G915" s="188"/>
      <c r="H915" s="267"/>
      <c r="I915" s="267"/>
    </row>
    <row r="916" spans="1:9" ht="12.75">
      <c r="A916" s="190"/>
      <c r="B916" s="190"/>
      <c r="C916" s="190"/>
      <c r="F916" s="188"/>
      <c r="G916" s="188"/>
      <c r="H916" s="267"/>
      <c r="I916" s="267"/>
    </row>
    <row r="917" spans="1:9" ht="13.7" customHeight="1">
      <c r="A917" s="190"/>
      <c r="B917" s="609" t="s">
        <v>124</v>
      </c>
      <c r="C917" s="190"/>
      <c r="D917" s="1006" t="s">
        <v>1645</v>
      </c>
      <c r="E917" s="1006"/>
      <c r="F917" s="1006"/>
      <c r="G917" s="188"/>
      <c r="H917" s="267"/>
      <c r="I917" s="267"/>
    </row>
    <row r="918" spans="1:9" ht="12.75">
      <c r="A918" s="190"/>
      <c r="B918" s="190"/>
      <c r="C918" s="190"/>
      <c r="D918" s="1006"/>
      <c r="E918" s="1006"/>
      <c r="F918" s="1006"/>
      <c r="G918" s="188"/>
      <c r="H918" s="267"/>
      <c r="I918" s="267"/>
    </row>
    <row r="919" spans="1:9" ht="12.75">
      <c r="A919" s="190"/>
      <c r="B919" s="190"/>
      <c r="C919" s="190"/>
      <c r="D919" s="1006"/>
      <c r="E919" s="1006"/>
      <c r="F919" s="1006"/>
      <c r="G919" s="188"/>
      <c r="H919" s="267"/>
      <c r="I919" s="267"/>
    </row>
    <row r="920" spans="1:9" ht="12.75">
      <c r="A920" s="190"/>
      <c r="B920" s="190"/>
      <c r="C920" s="190"/>
      <c r="D920" s="1006"/>
      <c r="E920" s="1006"/>
      <c r="F920" s="1006"/>
      <c r="G920" s="188"/>
      <c r="H920" s="267"/>
      <c r="I920" s="267"/>
    </row>
    <row r="921" spans="1:9" ht="12.75">
      <c r="A921" s="190"/>
      <c r="B921" s="190"/>
      <c r="C921" s="190"/>
      <c r="D921" s="1006"/>
      <c r="E921" s="1006"/>
      <c r="F921" s="1006"/>
      <c r="G921" s="188"/>
      <c r="H921" s="267"/>
      <c r="I921" s="267"/>
    </row>
    <row r="922" spans="1:9" ht="12.75">
      <c r="A922" s="191"/>
      <c r="B922" s="191"/>
      <c r="C922" s="191"/>
      <c r="F922" s="188"/>
      <c r="G922" s="188"/>
      <c r="H922" s="267"/>
      <c r="I922" s="267"/>
    </row>
    <row r="923" spans="1:9" ht="14.25" customHeight="1">
      <c r="A923" s="271"/>
      <c r="B923" s="609" t="s">
        <v>1377</v>
      </c>
      <c r="C923" s="191"/>
      <c r="D923" s="980" t="s">
        <v>1730</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0" t="s">
        <v>1731</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25">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07" t="s">
        <v>1646</v>
      </c>
      <c r="E941" s="1007"/>
      <c r="F941" s="1007"/>
      <c r="G941" s="188"/>
      <c r="H941" s="267"/>
      <c r="I941" s="267"/>
    </row>
    <row r="942" spans="1:9" ht="14.25" customHeight="1">
      <c r="A942" s="271"/>
      <c r="B942" s="271"/>
      <c r="C942" s="191"/>
      <c r="D942" s="1007"/>
      <c r="E942" s="1007"/>
      <c r="F942" s="1007"/>
      <c r="G942" s="188"/>
      <c r="H942" s="267"/>
      <c r="I942" s="267"/>
    </row>
    <row r="943" spans="1:9" ht="14.25" customHeight="1">
      <c r="A943" s="271"/>
      <c r="B943" s="271"/>
      <c r="C943" s="191"/>
      <c r="D943" s="1007"/>
      <c r="E943" s="1007"/>
      <c r="F943" s="1007"/>
      <c r="G943" s="188"/>
      <c r="H943" s="267"/>
      <c r="I943" s="267"/>
    </row>
    <row r="944" spans="1:9" ht="14.25" customHeight="1">
      <c r="A944" s="271"/>
      <c r="B944" s="271"/>
      <c r="C944" s="191"/>
      <c r="D944" s="1007"/>
      <c r="E944" s="1007"/>
      <c r="F944" s="1007"/>
      <c r="G944" s="188"/>
      <c r="H944" s="267"/>
      <c r="I944" s="267"/>
    </row>
    <row r="945" spans="1:9" ht="14.25" customHeight="1">
      <c r="A945" s="271"/>
      <c r="B945" s="271"/>
      <c r="C945" s="191"/>
      <c r="D945" s="1007"/>
      <c r="E945" s="1007"/>
      <c r="F945" s="1007"/>
      <c r="G945" s="188"/>
      <c r="H945" s="267"/>
      <c r="I945" s="267"/>
    </row>
    <row r="946" spans="1:9" ht="14.25" customHeight="1">
      <c r="A946" s="271"/>
      <c r="B946" s="271"/>
      <c r="C946" s="191"/>
      <c r="D946" s="1007"/>
      <c r="E946" s="1007"/>
      <c r="F946" s="1007"/>
      <c r="G946" s="188"/>
      <c r="H946" s="267"/>
      <c r="I946" s="267"/>
    </row>
    <row r="947" spans="1:9" ht="14.25" customHeight="1">
      <c r="A947" s="271"/>
      <c r="B947" s="271"/>
      <c r="C947" s="191"/>
      <c r="D947" s="1007"/>
      <c r="E947" s="1007"/>
      <c r="F947" s="100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0" t="s">
        <v>1647</v>
      </c>
      <c r="E949" s="980"/>
      <c r="F949" s="980"/>
      <c r="G949" s="188"/>
    </row>
    <row r="950" spans="1:9" s="448" customFormat="1" ht="14.25">
      <c r="A950" s="271"/>
      <c r="B950" s="271"/>
      <c r="C950" s="191"/>
      <c r="D950" s="980"/>
      <c r="E950" s="980"/>
      <c r="F950" s="980"/>
      <c r="G950" s="188"/>
    </row>
    <row r="951" spans="1:9" s="448" customFormat="1" ht="14.25">
      <c r="A951" s="271"/>
      <c r="B951" s="271"/>
      <c r="C951" s="191"/>
      <c r="D951" s="980"/>
      <c r="E951" s="980"/>
      <c r="F951" s="980"/>
      <c r="G951" s="188"/>
    </row>
    <row r="952" spans="1:9" s="448" customFormat="1" ht="14.25">
      <c r="A952" s="271"/>
      <c r="B952" s="271"/>
      <c r="C952" s="191"/>
      <c r="D952" s="980"/>
      <c r="E952" s="980"/>
      <c r="F952" s="980"/>
      <c r="G952" s="188"/>
    </row>
    <row r="953" spans="1:9" s="448" customFormat="1" ht="14.25">
      <c r="A953" s="271"/>
      <c r="B953" s="271"/>
      <c r="C953" s="191"/>
      <c r="D953" s="3"/>
      <c r="E953" s="5"/>
      <c r="F953" s="188"/>
      <c r="G953" s="188"/>
    </row>
    <row r="954" spans="1:9" ht="14.25" customHeight="1">
      <c r="A954" s="18"/>
      <c r="B954" s="18"/>
      <c r="C954" s="207"/>
      <c r="D954" s="979" t="s">
        <v>1648</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25">
      <c r="A957" s="271"/>
      <c r="B957" s="609" t="s">
        <v>1377</v>
      </c>
      <c r="D957" s="979" t="s">
        <v>1649</v>
      </c>
      <c r="E957" s="979"/>
      <c r="F957" s="979"/>
    </row>
    <row r="958" spans="1:9" ht="12.7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03" t="s">
        <v>1638</v>
      </c>
      <c r="E960" s="1003"/>
      <c r="F960" s="1003"/>
      <c r="G960" s="188"/>
      <c r="H960" s="267"/>
      <c r="I960" s="267"/>
    </row>
    <row r="961" spans="1:9" ht="14.25" customHeight="1">
      <c r="A961" s="191"/>
      <c r="B961" s="191"/>
      <c r="C961" s="191"/>
      <c r="D961" s="192"/>
      <c r="F961" s="188"/>
      <c r="G961" s="188"/>
      <c r="H961" s="267"/>
      <c r="I961" s="267"/>
    </row>
    <row r="962" spans="1:9" ht="14.45" customHeight="1">
      <c r="A962" s="271"/>
      <c r="B962" s="609" t="s">
        <v>1377</v>
      </c>
      <c r="C962" s="207"/>
      <c r="D962" s="1002" t="s">
        <v>1637</v>
      </c>
      <c r="E962" s="1002"/>
      <c r="F962" s="1002"/>
      <c r="G962" s="188"/>
      <c r="H962" s="267"/>
      <c r="I962" s="267"/>
    </row>
    <row r="963" spans="1:9" ht="12.75">
      <c r="A963" s="207"/>
      <c r="B963" s="207"/>
      <c r="C963" s="207"/>
      <c r="D963" s="1002"/>
      <c r="E963" s="1002"/>
      <c r="F963" s="1002"/>
      <c r="G963" s="188"/>
      <c r="H963" s="267"/>
      <c r="I963" s="267"/>
    </row>
    <row r="964" spans="1:9" ht="12.75">
      <c r="A964" s="207"/>
      <c r="B964" s="207"/>
      <c r="C964" s="207"/>
      <c r="D964" s="1002"/>
      <c r="E964" s="1002"/>
      <c r="F964" s="1002"/>
      <c r="G964" s="188"/>
      <c r="H964" s="267"/>
      <c r="I964" s="267"/>
    </row>
    <row r="965" spans="1:9" ht="12.75">
      <c r="A965" s="207"/>
      <c r="B965" s="207"/>
      <c r="C965" s="207"/>
      <c r="D965" s="1002"/>
      <c r="E965" s="1002"/>
      <c r="F965" s="1002"/>
      <c r="G965" s="188"/>
      <c r="H965" s="267"/>
      <c r="I965" s="267"/>
    </row>
    <row r="966" spans="1:9" ht="12.75">
      <c r="A966" s="207"/>
      <c r="B966" s="207"/>
      <c r="C966" s="207"/>
      <c r="D966" s="1002"/>
      <c r="E966" s="1002"/>
      <c r="F966" s="1002"/>
      <c r="G966" s="188"/>
      <c r="H966" s="267"/>
      <c r="I966" s="267"/>
    </row>
    <row r="967" spans="1:9" ht="12.75">
      <c r="A967" s="207"/>
      <c r="B967" s="207"/>
      <c r="C967" s="207"/>
      <c r="D967" s="1002"/>
      <c r="E967" s="1002"/>
      <c r="F967" s="1002"/>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2" t="s">
        <v>1636</v>
      </c>
      <c r="E969" s="1002"/>
      <c r="F969" s="1002"/>
      <c r="G969" s="188"/>
      <c r="H969" s="267"/>
      <c r="I969" s="267"/>
    </row>
    <row r="970" spans="1:9" ht="12.75">
      <c r="A970" s="207"/>
      <c r="B970" s="207"/>
      <c r="C970" s="207"/>
      <c r="D970" s="1002"/>
      <c r="E970" s="1002"/>
      <c r="F970" s="1002"/>
      <c r="G970" s="188"/>
      <c r="H970" s="267"/>
      <c r="I970" s="267"/>
    </row>
    <row r="971" spans="1:9" ht="12.75">
      <c r="A971" s="207"/>
      <c r="B971" s="207"/>
      <c r="C971" s="207"/>
      <c r="D971" s="1002"/>
      <c r="E971" s="1002"/>
      <c r="F971" s="1002"/>
      <c r="G971" s="188"/>
      <c r="H971" s="267"/>
      <c r="I971" s="267"/>
    </row>
    <row r="972" spans="1:9" ht="12.75">
      <c r="A972" s="207"/>
      <c r="B972" s="207"/>
      <c r="C972" s="207"/>
      <c r="D972" s="1002"/>
      <c r="E972" s="1002"/>
      <c r="F972" s="1002"/>
      <c r="G972" s="188"/>
      <c r="H972" s="267"/>
      <c r="I972" s="267"/>
    </row>
    <row r="973" spans="1:9" ht="12.75">
      <c r="A973" s="207"/>
      <c r="B973" s="207"/>
      <c r="C973" s="207"/>
      <c r="D973" s="1002"/>
      <c r="E973" s="1002"/>
      <c r="F973" s="1002"/>
      <c r="G973" s="188"/>
      <c r="H973" s="267"/>
      <c r="I973" s="267"/>
    </row>
    <row r="974" spans="1:9" ht="12.75">
      <c r="A974" s="207"/>
      <c r="B974" s="207"/>
      <c r="C974" s="207"/>
      <c r="D974" s="371"/>
      <c r="E974" s="188"/>
      <c r="F974" s="188"/>
      <c r="G974" s="188"/>
      <c r="H974" s="267"/>
      <c r="I974" s="267"/>
    </row>
    <row r="975" spans="1:9" ht="14.25">
      <c r="A975" s="271"/>
      <c r="B975" s="609" t="s">
        <v>124</v>
      </c>
      <c r="C975" s="207"/>
      <c r="D975" s="1002" t="s">
        <v>1639</v>
      </c>
      <c r="E975" s="1002"/>
      <c r="F975" s="1002"/>
      <c r="G975" s="188"/>
      <c r="H975" s="267"/>
      <c r="I975" s="267"/>
    </row>
    <row r="976" spans="1:9" ht="12.75">
      <c r="A976" s="207"/>
      <c r="B976" s="207"/>
      <c r="C976" s="207"/>
      <c r="D976" s="1002"/>
      <c r="E976" s="1002"/>
      <c r="F976" s="1002"/>
      <c r="G976" s="188"/>
      <c r="H976" s="267"/>
      <c r="I976" s="267"/>
    </row>
    <row r="977" spans="1:9" ht="12.75">
      <c r="A977" s="207"/>
      <c r="B977" s="207"/>
      <c r="C977" s="207"/>
      <c r="D977" s="1002"/>
      <c r="E977" s="1002"/>
      <c r="F977" s="1002"/>
      <c r="G977" s="188"/>
      <c r="H977" s="267"/>
      <c r="I977" s="267"/>
    </row>
    <row r="978" spans="1:9" ht="12.75">
      <c r="A978" s="207"/>
      <c r="B978" s="207"/>
      <c r="C978" s="207"/>
      <c r="D978" s="1002"/>
      <c r="E978" s="1002"/>
      <c r="F978" s="1002"/>
      <c r="G978" s="188"/>
      <c r="H978" s="267"/>
      <c r="I978" s="267"/>
    </row>
    <row r="979" spans="1:9" ht="12.75">
      <c r="A979" s="207"/>
      <c r="B979" s="207"/>
      <c r="C979" s="207"/>
      <c r="D979" s="1002"/>
      <c r="E979" s="1002"/>
      <c r="F979" s="1002"/>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2" t="s">
        <v>1640</v>
      </c>
      <c r="E981" s="1002"/>
      <c r="F981" s="1002"/>
      <c r="G981" s="188"/>
      <c r="H981" s="267"/>
      <c r="I981" s="267"/>
    </row>
    <row r="982" spans="1:9" ht="12.75">
      <c r="A982" s="207"/>
      <c r="B982" s="207"/>
      <c r="C982" s="207"/>
      <c r="D982" s="1002"/>
      <c r="E982" s="1002"/>
      <c r="F982" s="1002"/>
      <c r="G982" s="188"/>
      <c r="H982" s="267"/>
      <c r="I982" s="267"/>
    </row>
    <row r="983" spans="1:9" ht="12.75">
      <c r="A983" s="207"/>
      <c r="B983" s="207"/>
      <c r="C983" s="207"/>
      <c r="D983" s="1002"/>
      <c r="E983" s="1002"/>
      <c r="F983" s="1002"/>
      <c r="G983" s="188"/>
      <c r="H983" s="267"/>
      <c r="I983" s="267"/>
    </row>
    <row r="984" spans="1:9" ht="12.75">
      <c r="A984" s="207"/>
      <c r="B984" s="207"/>
      <c r="C984" s="207"/>
      <c r="D984" s="613"/>
      <c r="E984" s="613"/>
      <c r="F984" s="613"/>
      <c r="G984" s="188"/>
      <c r="H984" s="267"/>
      <c r="I984" s="267"/>
    </row>
    <row r="985" spans="1:9" ht="14.25">
      <c r="A985" s="271"/>
      <c r="B985" s="609" t="s">
        <v>124</v>
      </c>
      <c r="C985" s="207"/>
      <c r="D985" s="1002" t="s">
        <v>1641</v>
      </c>
      <c r="E985" s="1002"/>
      <c r="F985" s="1002"/>
      <c r="G985" s="188"/>
      <c r="H985" s="267"/>
      <c r="I985" s="267"/>
    </row>
    <row r="986" spans="1:9" ht="12.75">
      <c r="A986" s="207"/>
      <c r="B986" s="207"/>
      <c r="C986" s="207"/>
      <c r="D986" s="1002"/>
      <c r="E986" s="1002"/>
      <c r="F986" s="1002"/>
      <c r="G986" s="188"/>
      <c r="H986" s="267"/>
      <c r="I986" s="267"/>
    </row>
    <row r="987" spans="1:9" ht="12.75">
      <c r="A987" s="207"/>
      <c r="B987" s="207"/>
      <c r="C987" s="207"/>
      <c r="D987" s="371"/>
      <c r="E987" s="188"/>
      <c r="F987" s="188"/>
      <c r="G987" s="188"/>
      <c r="H987" s="267"/>
      <c r="I987" s="267"/>
    </row>
    <row r="988" spans="1:9" ht="12.75">
      <c r="A988" s="207"/>
      <c r="B988" s="609" t="s">
        <v>124</v>
      </c>
      <c r="C988" s="207"/>
      <c r="D988" s="979" t="s">
        <v>1642</v>
      </c>
      <c r="E988" s="979"/>
      <c r="F988" s="979"/>
      <c r="G988" s="188"/>
      <c r="H988" s="267"/>
      <c r="I988" s="267"/>
    </row>
    <row r="989" spans="1:9" ht="12.75">
      <c r="A989" s="207"/>
      <c r="B989" s="207"/>
      <c r="C989" s="207"/>
      <c r="D989" s="979"/>
      <c r="E989" s="979"/>
      <c r="F989" s="979"/>
      <c r="G989" s="188"/>
      <c r="H989" s="267"/>
      <c r="I989" s="267"/>
    </row>
    <row r="990" spans="1:9" ht="12.75">
      <c r="A990" s="207"/>
      <c r="B990" s="207"/>
      <c r="C990" s="207"/>
      <c r="D990" s="188"/>
      <c r="E990" s="188"/>
      <c r="F990" s="188"/>
      <c r="G990" s="188"/>
      <c r="H990" s="267"/>
      <c r="I990" s="267"/>
    </row>
    <row r="991" spans="1:9" ht="12.75">
      <c r="A991" s="207"/>
      <c r="B991" s="609" t="s">
        <v>124</v>
      </c>
      <c r="C991" s="207"/>
      <c r="D991" s="1004" t="s">
        <v>1772</v>
      </c>
      <c r="E991" s="1005"/>
      <c r="F991" s="1005"/>
      <c r="G991" s="188"/>
      <c r="H991" s="267"/>
      <c r="I991" s="267"/>
    </row>
    <row r="992" spans="1:9" ht="12.75">
      <c r="A992" s="207"/>
      <c r="B992" s="207"/>
      <c r="C992" s="207"/>
      <c r="D992" s="1004"/>
      <c r="E992" s="1005"/>
      <c r="F992" s="1005"/>
      <c r="G992" s="188"/>
      <c r="H992" s="267"/>
      <c r="I992" s="267"/>
    </row>
    <row r="993" spans="1:9" ht="12.75">
      <c r="A993" s="207"/>
      <c r="B993" s="207"/>
      <c r="C993" s="207"/>
      <c r="D993" s="1004"/>
      <c r="E993" s="1005"/>
      <c r="F993" s="1005"/>
      <c r="G993" s="188"/>
      <c r="H993" s="267"/>
      <c r="I993" s="267"/>
    </row>
    <row r="994" spans="1:9" ht="12.75">
      <c r="A994" s="207"/>
      <c r="B994" s="207"/>
      <c r="C994" s="207"/>
      <c r="D994" s="1005"/>
      <c r="E994" s="1005"/>
      <c r="F994" s="1005"/>
      <c r="G994" s="188"/>
      <c r="H994" s="267"/>
      <c r="I994" s="267"/>
    </row>
    <row r="995" spans="1:9" ht="12.75">
      <c r="A995" s="207"/>
      <c r="B995" s="207"/>
      <c r="C995" s="207"/>
      <c r="D995" s="44"/>
      <c r="E995" s="188"/>
      <c r="F995" s="188"/>
      <c r="G995" s="188"/>
      <c r="H995" s="267"/>
      <c r="I995" s="267"/>
    </row>
    <row r="996" spans="1:9" ht="12.75">
      <c r="A996" s="207"/>
      <c r="B996" s="609" t="s">
        <v>124</v>
      </c>
      <c r="C996" s="207"/>
      <c r="D996" s="999" t="s">
        <v>2155</v>
      </c>
      <c r="E996" s="999"/>
      <c r="F996" s="999"/>
      <c r="G996" s="188"/>
      <c r="H996" s="267"/>
      <c r="I996" s="267"/>
    </row>
    <row r="997" spans="1:9" ht="12.75">
      <c r="A997" s="207"/>
      <c r="B997" s="207"/>
      <c r="C997" s="207"/>
      <c r="D997" s="44"/>
      <c r="E997" s="188"/>
      <c r="F997" s="188"/>
      <c r="G997" s="188"/>
      <c r="H997" s="267"/>
      <c r="I997" s="267"/>
    </row>
    <row r="998" spans="1:9" ht="12.75">
      <c r="A998" s="207"/>
      <c r="B998" s="609" t="s">
        <v>124</v>
      </c>
      <c r="C998" s="207"/>
      <c r="D998" s="999" t="s">
        <v>2156</v>
      </c>
      <c r="E998" s="999"/>
      <c r="F998" s="999"/>
      <c r="G998" s="188"/>
      <c r="H998" s="267"/>
      <c r="I998" s="267"/>
    </row>
    <row r="999" spans="1:9" ht="12.75" customHeight="1">
      <c r="A999" s="207"/>
      <c r="B999" s="207"/>
      <c r="C999" s="207"/>
      <c r="D999" s="188"/>
      <c r="E999" s="188"/>
      <c r="F999" s="188"/>
      <c r="G999" s="188"/>
      <c r="H999" s="267"/>
      <c r="I999" s="267"/>
    </row>
    <row r="1000" spans="1:9" ht="12.75">
      <c r="A1000" s="207"/>
      <c r="C1000" s="207"/>
      <c r="D1000" s="1000" t="s">
        <v>1479</v>
      </c>
      <c r="E1000" s="1000"/>
      <c r="F1000" s="1000"/>
      <c r="G1000" s="188"/>
      <c r="H1000" s="267"/>
      <c r="I1000" s="267"/>
    </row>
    <row r="1001" spans="1:9" ht="12.75">
      <c r="A1001" s="207"/>
      <c r="C1001" s="207"/>
      <c r="D1001" s="192"/>
      <c r="E1001" s="188"/>
      <c r="F1001" s="188"/>
      <c r="G1001" s="188"/>
      <c r="H1001" s="267"/>
      <c r="I1001" s="267"/>
    </row>
    <row r="1002" spans="1:9" ht="14.25">
      <c r="A1002" s="271"/>
      <c r="B1002" s="609" t="s">
        <v>1377</v>
      </c>
      <c r="C1002" s="207"/>
      <c r="D1002" s="979" t="s">
        <v>1643</v>
      </c>
      <c r="E1002" s="979"/>
      <c r="F1002" s="979"/>
      <c r="G1002" s="188"/>
      <c r="H1002" s="267"/>
      <c r="I1002" s="267"/>
    </row>
    <row r="1003" spans="1:9" ht="12.75">
      <c r="A1003" s="207"/>
      <c r="B1003" s="207"/>
      <c r="C1003" s="207"/>
      <c r="D1003" s="979"/>
      <c r="E1003" s="979"/>
      <c r="F1003" s="979"/>
      <c r="G1003" s="188"/>
      <c r="H1003" s="267"/>
      <c r="I1003" s="267"/>
    </row>
    <row r="1004" spans="1:9" ht="12.75">
      <c r="A1004" s="207"/>
      <c r="B1004" s="207"/>
      <c r="C1004" s="207"/>
      <c r="D1004" s="979"/>
      <c r="E1004" s="979"/>
      <c r="F1004" s="979"/>
      <c r="G1004" s="188"/>
      <c r="H1004" s="267"/>
      <c r="I1004" s="267"/>
    </row>
    <row r="1005" spans="1:9" ht="12.75">
      <c r="A1005" s="207"/>
      <c r="B1005" s="207"/>
      <c r="C1005" s="207"/>
      <c r="D1005" s="979"/>
      <c r="E1005" s="979"/>
      <c r="F1005" s="979"/>
      <c r="G1005" s="188"/>
      <c r="H1005" s="267"/>
      <c r="I1005" s="267"/>
    </row>
    <row r="1006" spans="1:9" ht="12.75">
      <c r="A1006" s="207"/>
      <c r="B1006" s="207"/>
      <c r="C1006" s="207"/>
      <c r="D1006" s="979"/>
      <c r="E1006" s="979"/>
      <c r="F1006" s="979"/>
      <c r="G1006" s="188"/>
      <c r="H1006" s="267"/>
      <c r="I1006" s="267"/>
    </row>
    <row r="1007" spans="1:9" ht="12.75">
      <c r="A1007" s="207"/>
      <c r="B1007" s="207"/>
      <c r="C1007" s="207"/>
      <c r="G1007" s="188"/>
      <c r="H1007" s="267"/>
      <c r="I1007" s="267"/>
    </row>
    <row r="1008" spans="1:9" ht="14.25">
      <c r="A1008" s="271"/>
      <c r="B1008" s="609" t="s">
        <v>124</v>
      </c>
      <c r="C1008" s="207"/>
      <c r="D1008" s="979" t="s">
        <v>1644</v>
      </c>
      <c r="E1008" s="979"/>
      <c r="F1008" s="979"/>
      <c r="G1008" s="188"/>
      <c r="H1008" s="267"/>
      <c r="I1008" s="267"/>
    </row>
    <row r="1009" spans="1:9" ht="12.75">
      <c r="A1009" s="207"/>
      <c r="B1009" s="207"/>
      <c r="C1009" s="207"/>
      <c r="D1009" s="979"/>
      <c r="E1009" s="979"/>
      <c r="F1009" s="979"/>
      <c r="G1009" s="188"/>
      <c r="H1009" s="267"/>
      <c r="I1009" s="267"/>
    </row>
    <row r="1010" spans="1:9" ht="12.75">
      <c r="A1010" s="207"/>
      <c r="B1010" s="207"/>
      <c r="C1010" s="207"/>
      <c r="D1010" s="979"/>
      <c r="E1010" s="979"/>
      <c r="F1010" s="979"/>
      <c r="G1010" s="188"/>
      <c r="H1010" s="267"/>
      <c r="I1010" s="267"/>
    </row>
    <row r="1011" spans="1:9" ht="12.75">
      <c r="A1011" s="207"/>
      <c r="B1011" s="207"/>
      <c r="C1011" s="207"/>
      <c r="D1011" s="979"/>
      <c r="E1011" s="979"/>
      <c r="F1011" s="979"/>
      <c r="G1011" s="188"/>
      <c r="H1011" s="267"/>
      <c r="I1011" s="267"/>
    </row>
    <row r="1012" spans="1:9" ht="12.75">
      <c r="A1012" s="207"/>
      <c r="B1012" s="207"/>
      <c r="C1012" s="207"/>
      <c r="D1012" s="979"/>
      <c r="E1012" s="979"/>
      <c r="F1012" s="979"/>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0" t="s">
        <v>1480</v>
      </c>
      <c r="E1014" s="1000"/>
      <c r="F1014" s="1000"/>
      <c r="G1014" s="188"/>
      <c r="H1014" s="267"/>
      <c r="I1014" s="267"/>
    </row>
    <row r="1015" spans="1:9" ht="12.75">
      <c r="A1015" s="207"/>
      <c r="B1015" s="207"/>
      <c r="C1015" s="207"/>
      <c r="D1015" s="192"/>
      <c r="E1015" s="188"/>
      <c r="F1015" s="188"/>
      <c r="G1015" s="188"/>
      <c r="H1015" s="267"/>
      <c r="I1015" s="267"/>
    </row>
    <row r="1016" spans="1:9" ht="14.25">
      <c r="A1016" s="271"/>
      <c r="B1016" s="609" t="s">
        <v>1377</v>
      </c>
      <c r="C1016" s="207"/>
      <c r="D1016" s="979" t="s">
        <v>1650</v>
      </c>
      <c r="E1016" s="979"/>
      <c r="F1016" s="979"/>
      <c r="G1016" s="188"/>
      <c r="H1016" s="267"/>
      <c r="I1016" s="267"/>
    </row>
    <row r="1017" spans="1:9" ht="12.75">
      <c r="A1017" s="207"/>
      <c r="B1017" s="207"/>
      <c r="C1017" s="207"/>
      <c r="D1017" s="979"/>
      <c r="E1017" s="979"/>
      <c r="F1017" s="979"/>
      <c r="G1017" s="188"/>
      <c r="H1017" s="267"/>
      <c r="I1017" s="267"/>
    </row>
    <row r="1018" spans="1:9" ht="12.75">
      <c r="A1018" s="207"/>
      <c r="B1018" s="207"/>
      <c r="C1018" s="207"/>
      <c r="D1018" s="979"/>
      <c r="E1018" s="979"/>
      <c r="F1018" s="979"/>
      <c r="G1018" s="188"/>
      <c r="H1018" s="267"/>
      <c r="I1018" s="267"/>
    </row>
    <row r="1019" spans="1:9" ht="12.75">
      <c r="A1019" s="207"/>
      <c r="B1019" s="207"/>
      <c r="C1019" s="207"/>
      <c r="G1019" s="188"/>
      <c r="H1019" s="267"/>
      <c r="I1019" s="267"/>
    </row>
    <row r="1020" spans="1:9" ht="14.25">
      <c r="A1020" s="271"/>
      <c r="B1020" s="609" t="s">
        <v>124</v>
      </c>
      <c r="C1020" s="207"/>
      <c r="D1020" s="979" t="s">
        <v>1651</v>
      </c>
      <c r="E1020" s="979"/>
      <c r="F1020" s="979"/>
      <c r="G1020" s="188"/>
      <c r="H1020" s="267"/>
      <c r="I1020" s="267"/>
    </row>
    <row r="1021" spans="1:9" ht="12.75">
      <c r="A1021" s="207"/>
      <c r="B1021" s="207"/>
      <c r="C1021" s="207"/>
      <c r="D1021" s="979"/>
      <c r="E1021" s="979"/>
      <c r="F1021" s="979"/>
      <c r="G1021" s="188"/>
      <c r="H1021" s="267"/>
      <c r="I1021" s="267"/>
    </row>
    <row r="1022" spans="1:9" ht="12.75">
      <c r="A1022" s="207"/>
      <c r="B1022" s="207"/>
      <c r="C1022" s="207"/>
      <c r="D1022" s="979"/>
      <c r="E1022" s="979"/>
      <c r="F1022" s="979"/>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0" t="s">
        <v>1481</v>
      </c>
      <c r="E1024" s="1000"/>
      <c r="F1024" s="1000"/>
      <c r="G1024" s="188"/>
      <c r="H1024" s="267"/>
      <c r="I1024" s="267"/>
    </row>
    <row r="1025" spans="1:9" ht="12.75">
      <c r="A1025" s="207"/>
      <c r="B1025" s="207"/>
      <c r="C1025" s="207"/>
      <c r="D1025" s="192"/>
      <c r="E1025" s="188"/>
      <c r="F1025" s="188"/>
      <c r="G1025" s="188"/>
      <c r="H1025" s="267"/>
      <c r="I1025" s="267"/>
    </row>
    <row r="1026" spans="1:9" ht="14.25" customHeight="1">
      <c r="A1026" s="271"/>
      <c r="B1026" s="609" t="s">
        <v>1377</v>
      </c>
      <c r="C1026" s="207"/>
      <c r="D1026" s="979" t="s">
        <v>1653</v>
      </c>
      <c r="E1026" s="979"/>
      <c r="F1026" s="979"/>
      <c r="G1026" s="24"/>
      <c r="H1026" s="209"/>
      <c r="I1026" s="209"/>
    </row>
    <row r="1027" spans="1:9" ht="12.75">
      <c r="A1027" s="207"/>
      <c r="B1027" s="207"/>
      <c r="C1027" s="207"/>
      <c r="D1027" s="979"/>
      <c r="E1027" s="979"/>
      <c r="F1027" s="979"/>
      <c r="G1027" s="24"/>
      <c r="H1027" s="209"/>
      <c r="I1027" s="209"/>
    </row>
    <row r="1028" spans="1:9" ht="12.7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9" t="s">
        <v>1652</v>
      </c>
      <c r="E1030" s="979"/>
      <c r="F1030" s="979"/>
      <c r="G1030" s="209"/>
      <c r="H1030" s="267"/>
      <c r="I1030" s="267"/>
    </row>
    <row r="1031" spans="1:9" ht="12.75">
      <c r="A1031" s="207"/>
      <c r="B1031" s="207"/>
      <c r="C1031" s="207"/>
      <c r="D1031" s="979"/>
      <c r="E1031" s="979"/>
      <c r="F1031" s="979"/>
      <c r="G1031" s="209"/>
      <c r="H1031" s="267"/>
      <c r="I1031" s="267"/>
    </row>
    <row r="1032" spans="1:9" ht="12.7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1654</v>
      </c>
      <c r="E1034" s="977"/>
      <c r="F1034" s="977"/>
      <c r="G1034" s="208"/>
      <c r="H1034" s="267"/>
      <c r="I1034" s="267"/>
    </row>
    <row r="1035" spans="1:9" ht="12.75">
      <c r="A1035" s="207"/>
      <c r="B1035" s="207"/>
      <c r="C1035" s="207"/>
      <c r="D1035" s="977"/>
      <c r="E1035" s="977"/>
      <c r="F1035" s="977"/>
      <c r="G1035" s="208"/>
      <c r="H1035" s="267"/>
      <c r="I1035" s="267"/>
    </row>
    <row r="1036" spans="1:9" ht="12.7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1655</v>
      </c>
      <c r="E1038" s="979"/>
      <c r="F1038" s="979"/>
      <c r="G1038" s="208"/>
      <c r="H1038" s="208"/>
      <c r="I1038" s="208"/>
    </row>
    <row r="1039" spans="1:9" ht="12.75">
      <c r="A1039" s="207"/>
      <c r="B1039" s="207"/>
      <c r="C1039" s="207"/>
      <c r="D1039" s="979"/>
      <c r="E1039" s="979"/>
      <c r="F1039" s="979"/>
      <c r="G1039" s="208"/>
      <c r="H1039" s="208"/>
      <c r="I1039" s="208"/>
    </row>
    <row r="1040" spans="1:9" ht="12.75">
      <c r="A1040" s="207"/>
      <c r="B1040" s="207"/>
      <c r="C1040" s="207"/>
      <c r="D1040" s="979"/>
      <c r="E1040" s="979"/>
      <c r="F1040" s="979"/>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9" t="s">
        <v>1656</v>
      </c>
      <c r="E1042" s="979"/>
      <c r="F1042" s="979"/>
      <c r="G1042" s="208"/>
      <c r="H1042" s="208"/>
      <c r="I1042" s="208"/>
    </row>
    <row r="1043" spans="1:9" ht="12.75">
      <c r="A1043" s="207"/>
      <c r="B1043" s="207"/>
      <c r="C1043" s="207"/>
      <c r="D1043" s="979"/>
      <c r="E1043" s="979"/>
      <c r="F1043" s="979"/>
      <c r="G1043" s="208"/>
      <c r="H1043" s="208"/>
      <c r="I1043" s="208"/>
    </row>
    <row r="1044" spans="1:9" ht="12.75">
      <c r="A1044" s="207"/>
      <c r="B1044" s="207"/>
      <c r="C1044" s="207"/>
      <c r="D1044" s="979"/>
      <c r="E1044" s="979"/>
      <c r="F1044" s="979"/>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9" t="s">
        <v>1482</v>
      </c>
      <c r="E1046" s="979"/>
      <c r="F1046" s="979"/>
      <c r="G1046" s="24"/>
      <c r="H1046" s="267"/>
      <c r="I1046" s="267"/>
    </row>
    <row r="1047" spans="1:9" ht="12.75">
      <c r="A1047" s="207"/>
      <c r="B1047" s="207"/>
      <c r="C1047" s="207"/>
      <c r="D1047" s="979"/>
      <c r="E1047" s="979"/>
      <c r="F1047" s="979"/>
      <c r="G1047" s="24"/>
      <c r="H1047" s="267"/>
      <c r="I1047" s="267"/>
    </row>
    <row r="1048" spans="1:9" ht="12.75">
      <c r="A1048" s="207"/>
      <c r="B1048" s="207"/>
      <c r="C1048" s="207"/>
      <c r="D1048" s="979"/>
      <c r="E1048" s="979"/>
      <c r="F1048" s="979"/>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9" t="s">
        <v>1483</v>
      </c>
      <c r="E1050" s="979"/>
      <c r="F1050" s="979"/>
      <c r="G1050" s="24"/>
      <c r="H1050" s="267"/>
      <c r="I1050" s="267"/>
    </row>
    <row r="1051" spans="1:9" ht="12.75">
      <c r="A1051" s="207"/>
      <c r="B1051" s="207"/>
      <c r="C1051" s="207"/>
      <c r="D1051" s="979"/>
      <c r="E1051" s="979"/>
      <c r="F1051" s="979"/>
      <c r="G1051" s="24"/>
      <c r="H1051" s="267"/>
      <c r="I1051" s="267"/>
    </row>
    <row r="1052" spans="1:9" ht="12.75">
      <c r="A1052" s="207"/>
      <c r="B1052" s="207"/>
      <c r="C1052" s="207"/>
      <c r="D1052" s="979"/>
      <c r="E1052" s="979"/>
      <c r="F1052" s="979"/>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41" t="s">
        <v>1126</v>
      </c>
      <c r="E1054" s="1041"/>
      <c r="F1054" s="1041"/>
      <c r="G1054" s="608"/>
      <c r="H1054" s="267"/>
      <c r="I1054" s="267"/>
    </row>
    <row r="1055" spans="1:9" ht="12.75">
      <c r="A1055" s="207"/>
      <c r="B1055" s="207"/>
      <c r="C1055" s="207"/>
      <c r="D1055" s="1041"/>
      <c r="E1055" s="1041"/>
      <c r="F1055" s="1041"/>
      <c r="G1055" s="608"/>
      <c r="H1055" s="267"/>
      <c r="I1055" s="267"/>
    </row>
    <row r="1056" spans="1:9" ht="12.75">
      <c r="A1056" s="207"/>
      <c r="B1056" s="207"/>
      <c r="C1056" s="207"/>
      <c r="D1056" s="1041"/>
      <c r="E1056" s="1041"/>
      <c r="F1056" s="1041"/>
      <c r="G1056" s="608"/>
      <c r="H1056" s="267"/>
      <c r="I1056" s="267"/>
    </row>
    <row r="1057" spans="1:9" ht="12.75">
      <c r="A1057" s="207"/>
      <c r="B1057" s="207"/>
      <c r="C1057" s="207"/>
      <c r="D1057" s="1041"/>
      <c r="E1057" s="1041"/>
      <c r="F1057" s="1041"/>
      <c r="G1057" s="608"/>
      <c r="H1057" s="267"/>
      <c r="I1057" s="267"/>
    </row>
    <row r="1058" spans="1:9" ht="12.75">
      <c r="A1058" s="207"/>
      <c r="B1058" s="207"/>
      <c r="C1058" s="207"/>
      <c r="D1058" s="1041"/>
      <c r="E1058" s="1041"/>
      <c r="F1058" s="1041"/>
      <c r="G1058" s="608"/>
      <c r="H1058" s="267"/>
      <c r="I1058" s="267"/>
    </row>
    <row r="1059" spans="1:9" ht="12.75">
      <c r="A1059" s="207"/>
      <c r="B1059" s="207"/>
      <c r="C1059" s="207"/>
      <c r="D1059" s="1041"/>
      <c r="E1059" s="1041"/>
      <c r="F1059" s="1041"/>
      <c r="G1059" s="608"/>
      <c r="H1059" s="267"/>
      <c r="I1059" s="267"/>
    </row>
    <row r="1060" spans="1:9" ht="12.75">
      <c r="A1060" s="207"/>
      <c r="B1060" s="207"/>
      <c r="C1060" s="207"/>
      <c r="D1060" s="1041"/>
      <c r="E1060" s="1041"/>
      <c r="F1060" s="1041"/>
      <c r="G1060" s="608"/>
      <c r="H1060" s="267"/>
      <c r="I1060" s="267"/>
    </row>
    <row r="1061" spans="1:9" ht="12.75">
      <c r="A1061" s="207"/>
      <c r="B1061" s="207"/>
      <c r="C1061" s="207"/>
      <c r="D1061" s="1041"/>
      <c r="E1061" s="1041"/>
      <c r="F1061" s="1041"/>
      <c r="G1061" s="608"/>
      <c r="H1061" s="267"/>
      <c r="I1061" s="267"/>
    </row>
    <row r="1062" spans="1:9" ht="12.75">
      <c r="A1062" s="207"/>
      <c r="B1062" s="207"/>
      <c r="C1062" s="207"/>
      <c r="D1062" s="1041"/>
      <c r="E1062" s="1041"/>
      <c r="F1062" s="1041"/>
      <c r="G1062" s="608"/>
      <c r="H1062" s="267"/>
      <c r="I1062" s="267"/>
    </row>
    <row r="1063" spans="1:9" ht="12.75">
      <c r="A1063" s="207"/>
      <c r="B1063" s="207"/>
      <c r="C1063" s="207"/>
      <c r="D1063" s="1041"/>
      <c r="E1063" s="1041"/>
      <c r="F1063" s="1041"/>
      <c r="G1063" s="608"/>
      <c r="H1063" s="267"/>
      <c r="I1063" s="267"/>
    </row>
    <row r="1064" spans="1:9" ht="27.6" customHeight="1">
      <c r="A1064" s="207"/>
      <c r="B1064" s="207"/>
      <c r="C1064" s="207"/>
      <c r="D1064" s="1041"/>
      <c r="E1064" s="1041"/>
      <c r="F1064" s="1041"/>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0" t="s">
        <v>1484</v>
      </c>
      <c r="E1066" s="1000"/>
      <c r="F1066" s="1000"/>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2206</v>
      </c>
      <c r="E1068" s="979"/>
      <c r="F1068" s="979"/>
      <c r="G1068" s="188"/>
      <c r="H1068" s="267"/>
      <c r="I1068" s="267"/>
    </row>
    <row r="1069" spans="1:9" ht="12.75">
      <c r="A1069" s="207"/>
      <c r="B1069" s="207"/>
      <c r="C1069" s="207"/>
      <c r="D1069" s="979"/>
      <c r="E1069" s="979"/>
      <c r="F1069" s="979"/>
      <c r="G1069" s="188"/>
      <c r="H1069" s="267"/>
      <c r="I1069" s="267"/>
    </row>
    <row r="1070" spans="1:9" ht="12.75">
      <c r="A1070" s="207"/>
      <c r="B1070" s="207"/>
      <c r="C1070" s="207"/>
      <c r="D1070" s="979"/>
      <c r="E1070" s="979"/>
      <c r="F1070" s="979"/>
      <c r="G1070" s="188"/>
      <c r="H1070" s="267"/>
      <c r="I1070" s="267"/>
    </row>
    <row r="1071" spans="1:9" ht="12.75">
      <c r="A1071" s="207"/>
      <c r="B1071" s="207"/>
      <c r="C1071" s="207"/>
      <c r="D1071" s="979"/>
      <c r="E1071" s="979"/>
      <c r="F1071" s="979"/>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2207</v>
      </c>
      <c r="E1073" s="979"/>
      <c r="F1073" s="979"/>
      <c r="G1073" s="188"/>
      <c r="H1073" s="267"/>
      <c r="I1073" s="267"/>
    </row>
    <row r="1074" spans="1:9" ht="12.75">
      <c r="A1074" s="207"/>
      <c r="B1074" s="207"/>
      <c r="C1074" s="207"/>
      <c r="D1074" s="979"/>
      <c r="E1074" s="979"/>
      <c r="F1074" s="979"/>
      <c r="G1074" s="188"/>
      <c r="H1074" s="267"/>
      <c r="I1074" s="267"/>
    </row>
    <row r="1075" spans="1:9" ht="12.75">
      <c r="A1075" s="207"/>
      <c r="B1075" s="207"/>
      <c r="C1075" s="207"/>
      <c r="D1075" s="979"/>
      <c r="E1075" s="979"/>
      <c r="F1075" s="979"/>
      <c r="G1075" s="188"/>
      <c r="H1075" s="267"/>
      <c r="I1075" s="267"/>
    </row>
    <row r="1076" spans="1:9" ht="12.75">
      <c r="A1076" s="207"/>
      <c r="B1076" s="207"/>
      <c r="C1076" s="207"/>
      <c r="D1076" s="979"/>
      <c r="E1076" s="979"/>
      <c r="F1076" s="979"/>
      <c r="G1076" s="188"/>
      <c r="H1076" s="267"/>
      <c r="I1076" s="267"/>
    </row>
    <row r="1077" spans="1:9" ht="12.75">
      <c r="A1077" s="207"/>
      <c r="B1077" s="207"/>
      <c r="C1077" s="207"/>
      <c r="D1077" s="188"/>
      <c r="E1077" s="188"/>
      <c r="F1077" s="188"/>
      <c r="G1077" s="188"/>
    </row>
    <row r="1078" spans="1:9" ht="12.75">
      <c r="A1078" s="207"/>
      <c r="B1078" s="609" t="s">
        <v>124</v>
      </c>
      <c r="C1078" s="207"/>
      <c r="D1078" s="1005" t="s">
        <v>1657</v>
      </c>
      <c r="E1078" s="1005"/>
      <c r="F1078" s="1005"/>
      <c r="G1078" s="188"/>
    </row>
    <row r="1079" spans="1:9" ht="12.75">
      <c r="A1079" s="207"/>
      <c r="B1079" s="207"/>
      <c r="C1079" s="207"/>
      <c r="D1079" s="1005"/>
      <c r="E1079" s="1005"/>
      <c r="F1079" s="1005"/>
      <c r="G1079" s="188"/>
    </row>
    <row r="1080" spans="1:9" ht="12.75">
      <c r="A1080" s="207"/>
      <c r="B1080" s="207"/>
      <c r="C1080" s="207"/>
      <c r="D1080" s="1005"/>
      <c r="E1080" s="1005"/>
      <c r="F1080" s="1005"/>
      <c r="G1080" s="188"/>
    </row>
    <row r="1081" spans="1:9" ht="12.75">
      <c r="A1081" s="207"/>
      <c r="B1081" s="207"/>
      <c r="C1081" s="207"/>
      <c r="D1081" s="188"/>
      <c r="E1081" s="188"/>
      <c r="F1081" s="188"/>
      <c r="G1081" s="188"/>
    </row>
    <row r="1082" spans="1:9" ht="14.25">
      <c r="A1082" s="271"/>
      <c r="B1082" s="609" t="s">
        <v>124</v>
      </c>
      <c r="C1082" s="429"/>
      <c r="D1082" s="1035" t="s">
        <v>2157</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0" t="s">
        <v>1485</v>
      </c>
      <c r="E1086" s="1000"/>
      <c r="F1086" s="1000"/>
      <c r="G1086" s="188"/>
    </row>
    <row r="1087" spans="1:9" ht="12.75">
      <c r="C1087" s="207"/>
      <c r="D1087" s="192"/>
      <c r="E1087" s="188"/>
      <c r="F1087" s="188"/>
      <c r="G1087" s="188"/>
    </row>
    <row r="1088" spans="1:9" ht="12.75">
      <c r="A1088" s="207"/>
      <c r="B1088" s="609" t="s">
        <v>124</v>
      </c>
      <c r="C1088" s="207"/>
      <c r="D1088" s="979" t="s">
        <v>1658</v>
      </c>
      <c r="E1088" s="979"/>
      <c r="F1088" s="979"/>
      <c r="G1088" s="188"/>
    </row>
    <row r="1089" spans="1:7" ht="12.75">
      <c r="A1089" s="207"/>
      <c r="B1089" s="207"/>
      <c r="C1089" s="207"/>
      <c r="D1089" s="979"/>
      <c r="E1089" s="979"/>
      <c r="F1089" s="979"/>
      <c r="G1089" s="188"/>
    </row>
    <row r="1090" spans="1:7" ht="12.75">
      <c r="A1090" s="207"/>
      <c r="B1090" s="207"/>
      <c r="C1090" s="207"/>
      <c r="D1090" s="979"/>
      <c r="E1090" s="979"/>
      <c r="F1090" s="979"/>
      <c r="G1090" s="188"/>
    </row>
    <row r="1091" spans="1:7" ht="12.75">
      <c r="A1091" s="207"/>
      <c r="B1091" s="207"/>
      <c r="C1091" s="207"/>
      <c r="D1091" s="188"/>
      <c r="E1091" s="188"/>
      <c r="F1091" s="188"/>
      <c r="G1091" s="188"/>
    </row>
    <row r="1092" spans="1:7" ht="14.25">
      <c r="A1092" s="271"/>
      <c r="B1092" s="609" t="s">
        <v>124</v>
      </c>
      <c r="C1092" s="207"/>
      <c r="D1092" s="979" t="s">
        <v>1659</v>
      </c>
      <c r="E1092" s="979"/>
      <c r="F1092" s="979"/>
      <c r="G1092" s="188"/>
    </row>
    <row r="1093" spans="1:7" ht="12.75">
      <c r="A1093" s="207"/>
      <c r="B1093" s="207"/>
      <c r="C1093" s="207"/>
      <c r="D1093" s="979"/>
      <c r="E1093" s="979"/>
      <c r="F1093" s="979"/>
      <c r="G1093" s="188"/>
    </row>
    <row r="1094" spans="1:7" ht="12.75">
      <c r="A1094" s="207"/>
      <c r="B1094" s="207"/>
      <c r="C1094" s="207"/>
      <c r="D1094" s="979"/>
      <c r="E1094" s="979"/>
      <c r="F1094" s="979"/>
      <c r="G1094" s="188"/>
    </row>
    <row r="1095" spans="1:7" ht="12.75">
      <c r="A1095" s="207"/>
      <c r="B1095" s="207"/>
      <c r="C1095" s="207"/>
      <c r="D1095" s="188"/>
      <c r="E1095" s="188"/>
      <c r="F1095" s="188"/>
      <c r="G1095" s="188"/>
    </row>
    <row r="1096" spans="1:7" ht="12.75">
      <c r="A1096" s="207"/>
      <c r="B1096" s="207"/>
      <c r="C1096" s="207"/>
      <c r="D1096" s="1000" t="s">
        <v>1118</v>
      </c>
      <c r="E1096" s="1000"/>
      <c r="F1096" s="1000"/>
      <c r="G1096" s="188"/>
    </row>
    <row r="1097" spans="1:7" ht="12.75">
      <c r="A1097" s="207"/>
      <c r="B1097" s="207"/>
      <c r="C1097" s="207"/>
      <c r="D1097" s="999" t="s">
        <v>1486</v>
      </c>
      <c r="E1097" s="999"/>
      <c r="F1097" s="999"/>
      <c r="G1097" s="188"/>
    </row>
    <row r="1098" spans="1:7" ht="12.75">
      <c r="A1098" s="207"/>
      <c r="B1098" s="207"/>
      <c r="C1098" s="207"/>
      <c r="D1098" s="419"/>
      <c r="E1098" s="188"/>
      <c r="F1098" s="188"/>
      <c r="G1098" s="188"/>
    </row>
    <row r="1099" spans="1:7" ht="14.25">
      <c r="A1099" s="271"/>
      <c r="B1099" s="609" t="s">
        <v>124</v>
      </c>
      <c r="C1099" s="207"/>
      <c r="D1099" s="979" t="s">
        <v>1660</v>
      </c>
      <c r="E1099" s="979"/>
      <c r="F1099" s="979"/>
      <c r="G1099" s="188"/>
    </row>
    <row r="1100" spans="1:7" ht="12.75">
      <c r="A1100" s="207"/>
      <c r="B1100" s="207"/>
      <c r="C1100" s="207"/>
      <c r="D1100" s="979"/>
      <c r="E1100" s="979"/>
      <c r="F1100" s="979"/>
      <c r="G1100" s="188"/>
    </row>
    <row r="1101" spans="1:7" ht="12.75">
      <c r="A1101" s="207"/>
      <c r="B1101" s="207"/>
      <c r="C1101" s="207"/>
      <c r="D1101" s="188"/>
      <c r="E1101" s="188"/>
      <c r="F1101" s="188"/>
      <c r="G1101" s="188"/>
    </row>
    <row r="1102" spans="1:7" ht="14.25">
      <c r="A1102" s="271"/>
      <c r="B1102" s="609" t="s">
        <v>124</v>
      </c>
      <c r="C1102" s="207"/>
      <c r="D1102" s="979" t="s">
        <v>1661</v>
      </c>
      <c r="E1102" s="979"/>
      <c r="F1102" s="979"/>
      <c r="G1102" s="188"/>
    </row>
    <row r="1103" spans="1:7" ht="12.75">
      <c r="A1103" s="207"/>
      <c r="B1103" s="207"/>
      <c r="C1103" s="207"/>
      <c r="D1103" s="979"/>
      <c r="E1103" s="979"/>
      <c r="F1103" s="979"/>
      <c r="G1103" s="188"/>
    </row>
    <row r="1104" spans="1:7" ht="12.75">
      <c r="A1104" s="207"/>
      <c r="B1104" s="207"/>
      <c r="C1104" s="207"/>
      <c r="E1104" s="188"/>
      <c r="F1104" s="188"/>
      <c r="G1104" s="188"/>
    </row>
    <row r="1105" spans="1:7" ht="12.75">
      <c r="A1105" s="207"/>
      <c r="B1105" s="207"/>
      <c r="C1105" s="207"/>
      <c r="D1105" s="1000" t="s">
        <v>1487</v>
      </c>
      <c r="E1105" s="1000"/>
      <c r="F1105" s="1000"/>
      <c r="G1105" s="188"/>
    </row>
    <row r="1106" spans="1:7" ht="12.75">
      <c r="A1106" s="207"/>
      <c r="B1106" s="207"/>
      <c r="C1106" s="207"/>
      <c r="D1106" s="192"/>
      <c r="E1106" s="188"/>
      <c r="F1106" s="188"/>
      <c r="G1106" s="188"/>
    </row>
    <row r="1107" spans="1:7" ht="14.25">
      <c r="A1107" s="271"/>
      <c r="B1107" s="609" t="s">
        <v>1377</v>
      </c>
      <c r="C1107" s="207"/>
      <c r="D1107" s="979" t="s">
        <v>1662</v>
      </c>
      <c r="E1107" s="979"/>
      <c r="F1107" s="979"/>
      <c r="G1107" s="188"/>
    </row>
    <row r="1108" spans="1:7" ht="12.75">
      <c r="A1108" s="207"/>
      <c r="B1108" s="207"/>
      <c r="C1108" s="207"/>
      <c r="D1108" s="979"/>
      <c r="E1108" s="979"/>
      <c r="F1108" s="979"/>
      <c r="G1108" s="188"/>
    </row>
    <row r="1109" spans="1:7" ht="12.75">
      <c r="A1109" s="207"/>
      <c r="B1109" s="207"/>
      <c r="C1109" s="207"/>
      <c r="D1109" s="979"/>
      <c r="E1109" s="979"/>
      <c r="F1109" s="979"/>
      <c r="G1109" s="188"/>
    </row>
    <row r="1110" spans="1:7" ht="12.75">
      <c r="A1110" s="207"/>
      <c r="B1110" s="207"/>
      <c r="C1110" s="207"/>
      <c r="D1110" s="979"/>
      <c r="E1110" s="979"/>
      <c r="F1110" s="979"/>
      <c r="G1110" s="188"/>
    </row>
    <row r="1111" spans="1:7" ht="12.75">
      <c r="A1111" s="207"/>
      <c r="B1111" s="207"/>
      <c r="C1111" s="207"/>
      <c r="D1111" s="979"/>
      <c r="E1111" s="979"/>
      <c r="F1111" s="979"/>
      <c r="G1111" s="188"/>
    </row>
    <row r="1112" spans="1:7" ht="12.75">
      <c r="A1112" s="207"/>
      <c r="B1112" s="207"/>
      <c r="C1112" s="207"/>
      <c r="D1112" s="979"/>
      <c r="E1112" s="979"/>
      <c r="F1112" s="979"/>
      <c r="G1112" s="188"/>
    </row>
    <row r="1113" spans="1:7" ht="12.75">
      <c r="A1113" s="207"/>
      <c r="B1113" s="207"/>
      <c r="C1113" s="207"/>
      <c r="D1113" s="979"/>
      <c r="E1113" s="979"/>
      <c r="F1113" s="979"/>
      <c r="G1113" s="188"/>
    </row>
    <row r="1114" spans="1:7" ht="12.75">
      <c r="A1114" s="207"/>
      <c r="B1114" s="207"/>
      <c r="C1114" s="207"/>
      <c r="D1114" s="188"/>
      <c r="E1114" s="188"/>
      <c r="F1114" s="188"/>
      <c r="G1114" s="188"/>
    </row>
    <row r="1115" spans="1:7" ht="14.25">
      <c r="A1115" s="271"/>
      <c r="B1115" s="609" t="s">
        <v>124</v>
      </c>
      <c r="C1115" s="207"/>
      <c r="D1115" s="979" t="s">
        <v>1663</v>
      </c>
      <c r="E1115" s="979"/>
      <c r="F1115" s="979"/>
      <c r="G1115" s="188"/>
    </row>
    <row r="1116" spans="1:7" ht="12.75">
      <c r="A1116" s="207"/>
      <c r="B1116" s="207"/>
      <c r="C1116" s="207"/>
      <c r="D1116" s="979"/>
      <c r="E1116" s="979"/>
      <c r="F1116" s="979"/>
      <c r="G1116" s="188"/>
    </row>
    <row r="1117" spans="1:7" ht="12.75">
      <c r="A1117" s="207"/>
      <c r="B1117" s="207"/>
      <c r="C1117" s="207"/>
      <c r="D1117" s="979"/>
      <c r="E1117" s="979"/>
      <c r="F1117" s="979"/>
      <c r="G1117" s="188"/>
    </row>
    <row r="1118" spans="1:7" ht="12.75">
      <c r="A1118" s="207"/>
      <c r="B1118" s="207"/>
      <c r="C1118" s="207"/>
      <c r="D1118" s="979"/>
      <c r="E1118" s="979"/>
      <c r="F1118" s="979"/>
      <c r="G1118" s="188"/>
    </row>
    <row r="1119" spans="1:7" ht="12.75">
      <c r="A1119" s="207"/>
      <c r="B1119" s="207"/>
      <c r="C1119" s="207"/>
      <c r="D1119" s="979"/>
      <c r="E1119" s="979"/>
      <c r="F1119" s="979"/>
      <c r="G1119" s="188"/>
    </row>
    <row r="1120" spans="1:7" ht="12.75">
      <c r="A1120" s="207"/>
      <c r="B1120" s="207"/>
      <c r="C1120" s="207"/>
      <c r="D1120" s="979"/>
      <c r="E1120" s="979"/>
      <c r="F1120" s="979"/>
      <c r="G1120" s="188"/>
    </row>
    <row r="1121" spans="1:7" ht="12.75">
      <c r="A1121" s="207"/>
      <c r="B1121" s="207"/>
      <c r="C1121" s="207"/>
      <c r="D1121" s="979"/>
      <c r="E1121" s="979"/>
      <c r="F1121" s="979"/>
      <c r="G1121" s="188"/>
    </row>
    <row r="1122" spans="1:7" ht="12.75">
      <c r="A1122" s="207"/>
      <c r="B1122" s="207"/>
      <c r="C1122" s="207"/>
      <c r="D1122" s="24"/>
      <c r="E1122" s="24"/>
      <c r="F1122" s="24"/>
      <c r="G1122" s="188"/>
    </row>
    <row r="1123" spans="1:7" ht="12.4" customHeight="1">
      <c r="A1123" s="207"/>
      <c r="B1123" s="609" t="s">
        <v>124</v>
      </c>
      <c r="C1123" s="207"/>
      <c r="D1123" s="1004" t="s">
        <v>1773</v>
      </c>
      <c r="E1123" s="1005"/>
      <c r="F1123" s="1005"/>
      <c r="G1123" s="188"/>
    </row>
    <row r="1124" spans="1:7" ht="12.4" customHeight="1">
      <c r="A1124" s="207"/>
      <c r="B1124" s="207"/>
      <c r="C1124" s="207"/>
      <c r="D1124" s="1005"/>
      <c r="E1124" s="1005"/>
      <c r="F1124" s="1005"/>
      <c r="G1124" s="188"/>
    </row>
    <row r="1125" spans="1:7" ht="12.75">
      <c r="A1125" s="207"/>
      <c r="B1125" s="207"/>
      <c r="C1125" s="207"/>
      <c r="D1125" s="1005"/>
      <c r="E1125" s="1005"/>
      <c r="F1125" s="1005"/>
      <c r="G1125" s="188"/>
    </row>
    <row r="1126" spans="1:7" ht="12.75">
      <c r="A1126" s="207"/>
      <c r="B1126" s="207"/>
      <c r="C1126" s="207"/>
      <c r="D1126" s="653"/>
      <c r="E1126" s="653"/>
      <c r="F1126" s="653"/>
      <c r="G1126" s="188"/>
    </row>
    <row r="1127" spans="1:7" ht="12.75">
      <c r="D1127" s="1000" t="s">
        <v>1488</v>
      </c>
      <c r="E1127" s="1000"/>
      <c r="F1127" s="1000"/>
    </row>
    <row r="1128" spans="1:7" ht="12.75">
      <c r="D1128" s="192"/>
    </row>
    <row r="1129" spans="1:7" ht="14.25">
      <c r="A1129" s="271"/>
      <c r="B1129" s="609" t="s">
        <v>1377</v>
      </c>
      <c r="D1129" s="979" t="s">
        <v>1664</v>
      </c>
      <c r="E1129" s="979"/>
      <c r="F1129" s="979"/>
    </row>
    <row r="1130" spans="1:7" ht="12.75">
      <c r="D1130" s="979"/>
      <c r="E1130" s="979"/>
      <c r="F1130" s="979"/>
    </row>
    <row r="1131" spans="1:7" ht="12.75"/>
    <row r="1132" spans="1:7" ht="14.25">
      <c r="A1132" s="271"/>
      <c r="B1132" s="609" t="s">
        <v>124</v>
      </c>
      <c r="D1132" s="979" t="s">
        <v>1665</v>
      </c>
      <c r="E1132" s="979"/>
      <c r="F1132" s="979"/>
    </row>
    <row r="1133" spans="1:7" ht="12.75">
      <c r="D1133" s="979"/>
      <c r="E1133" s="979"/>
      <c r="F1133" s="979"/>
    </row>
    <row r="1134" spans="1:7" ht="12.75"/>
    <row r="1135" spans="1:7" ht="12.75">
      <c r="D1135" s="1000" t="s">
        <v>1489</v>
      </c>
      <c r="E1135" s="1000"/>
      <c r="F1135" s="1000"/>
    </row>
    <row r="1136" spans="1:7" ht="12.75">
      <c r="D1136" s="192"/>
    </row>
    <row r="1137" spans="1:7" ht="14.25">
      <c r="A1137" s="271"/>
      <c r="B1137" s="609" t="s">
        <v>124</v>
      </c>
      <c r="D1137" s="999" t="s">
        <v>1666</v>
      </c>
      <c r="E1137" s="999"/>
      <c r="F1137" s="999"/>
    </row>
    <row r="1138" spans="1:7" ht="12.75"/>
    <row r="1139" spans="1:7" ht="14.25">
      <c r="A1139" s="271"/>
      <c r="B1139" s="609" t="s">
        <v>124</v>
      </c>
      <c r="D1139" s="979" t="s">
        <v>1667</v>
      </c>
      <c r="E1139" s="979"/>
      <c r="F1139" s="979"/>
    </row>
    <row r="1140" spans="1:7" ht="14.25">
      <c r="A1140" s="271"/>
      <c r="B1140" s="271"/>
      <c r="D1140" s="979"/>
      <c r="E1140" s="979"/>
      <c r="F1140" s="979"/>
    </row>
    <row r="1141" spans="1:7" ht="14.25">
      <c r="A1141" s="271"/>
      <c r="B1141" s="271"/>
      <c r="D1141" s="24"/>
      <c r="E1141" s="24"/>
      <c r="F1141" s="24"/>
      <c r="G1141"/>
    </row>
    <row r="1142" spans="1:7" ht="12.75">
      <c r="D1142" s="1000" t="s">
        <v>1677</v>
      </c>
      <c r="E1142" s="1000"/>
      <c r="F1142" s="1000"/>
      <c r="G1142"/>
    </row>
    <row r="1143" spans="1:7" ht="12.75">
      <c r="D1143" s="192"/>
      <c r="G1143"/>
    </row>
    <row r="1144" spans="1:7" ht="14.45" customHeight="1">
      <c r="A1144" s="271"/>
      <c r="B1144" s="609" t="s">
        <v>124</v>
      </c>
      <c r="D1144" s="972" t="s">
        <v>2208</v>
      </c>
      <c r="E1144" s="979"/>
      <c r="F1144" s="979"/>
      <c r="G1144"/>
    </row>
    <row r="1145" spans="1:7" ht="14.25">
      <c r="A1145" s="271"/>
      <c r="B1145" s="271"/>
      <c r="D1145" s="979"/>
      <c r="E1145" s="979"/>
      <c r="F1145" s="979"/>
      <c r="G1145"/>
    </row>
    <row r="1146" spans="1:7" ht="14.25">
      <c r="A1146" s="271"/>
      <c r="B1146" s="271"/>
      <c r="D1146" s="979"/>
      <c r="E1146" s="979"/>
      <c r="F1146" s="979"/>
      <c r="G1146"/>
    </row>
    <row r="1147" spans="1:7" ht="14.25">
      <c r="A1147" s="271"/>
      <c r="B1147" s="271"/>
      <c r="D1147" s="979"/>
      <c r="E1147" s="979"/>
      <c r="F1147" s="979"/>
      <c r="G1147"/>
    </row>
    <row r="1148" spans="1:7" ht="14.25">
      <c r="A1148" s="271"/>
      <c r="B1148" s="271"/>
      <c r="D1148" s="979"/>
      <c r="E1148" s="979"/>
      <c r="F1148" s="979"/>
      <c r="G1148"/>
    </row>
    <row r="1149" spans="1:7" ht="14.25">
      <c r="A1149" s="271"/>
      <c r="B1149" s="271"/>
      <c r="D1149" s="979"/>
      <c r="E1149" s="979"/>
      <c r="F1149" s="979"/>
      <c r="G1149"/>
    </row>
    <row r="1150" spans="1:7" ht="14.25">
      <c r="A1150" s="271"/>
      <c r="B1150" s="271"/>
      <c r="D1150" s="979"/>
      <c r="E1150" s="979"/>
      <c r="F1150" s="979"/>
      <c r="G1150"/>
    </row>
    <row r="1151" spans="1:7" ht="14.25">
      <c r="A1151" s="271"/>
      <c r="B1151" s="271"/>
      <c r="D1151" s="979"/>
      <c r="E1151" s="979"/>
      <c r="F1151" s="979"/>
      <c r="G1151"/>
    </row>
    <row r="1152" spans="1:7" ht="14.25">
      <c r="A1152" s="271"/>
      <c r="B1152" s="271"/>
      <c r="D1152" s="979"/>
      <c r="E1152" s="979"/>
      <c r="F1152" s="979"/>
      <c r="G1152"/>
    </row>
    <row r="1153" spans="1:7" ht="14.25">
      <c r="A1153" s="271"/>
      <c r="B1153" s="271"/>
      <c r="D1153" s="979"/>
      <c r="E1153" s="979"/>
      <c r="F1153" s="979"/>
      <c r="G1153"/>
    </row>
    <row r="1154" spans="1:7" ht="14.25">
      <c r="A1154" s="271"/>
      <c r="B1154" s="271"/>
      <c r="D1154" s="979"/>
      <c r="E1154" s="979"/>
      <c r="F1154" s="979"/>
      <c r="G1154"/>
    </row>
    <row r="1155" spans="1:7" ht="14.25">
      <c r="A1155" s="271"/>
      <c r="B1155" s="271"/>
      <c r="D1155" s="979"/>
      <c r="E1155" s="979"/>
      <c r="F1155" s="979"/>
      <c r="G1155"/>
    </row>
    <row r="1156" spans="1:7" ht="14.25">
      <c r="A1156" s="271"/>
      <c r="B1156" s="271"/>
      <c r="D1156" s="979"/>
      <c r="E1156" s="979"/>
      <c r="F1156" s="979"/>
      <c r="G1156"/>
    </row>
    <row r="1157" spans="1:7" ht="38.25" customHeight="1">
      <c r="A1157" s="271"/>
      <c r="B1157" s="271"/>
      <c r="D1157" s="979"/>
      <c r="E1157" s="979"/>
      <c r="F1157" s="979"/>
    </row>
    <row r="1158" spans="1:7" ht="12.75"/>
    <row r="1159" spans="1:7" ht="12.75">
      <c r="A1159" s="1033" t="s">
        <v>1405</v>
      </c>
      <c r="B1159" s="1033"/>
      <c r="C1159" s="1033"/>
      <c r="D1159" s="1033"/>
      <c r="E1159" s="1033"/>
      <c r="F1159" s="1033"/>
      <c r="G1159" s="1033"/>
    </row>
    <row r="1160" spans="1:7" ht="12.75">
      <c r="A1160" s="44"/>
      <c r="B1160" s="44"/>
    </row>
    <row r="1161" spans="1:7" ht="12.75">
      <c r="C1161" s="207"/>
      <c r="D1161" s="1000" t="s">
        <v>1668</v>
      </c>
      <c r="E1161" s="1000"/>
      <c r="F1161" s="1000"/>
    </row>
    <row r="1162" spans="1:7" ht="12.75">
      <c r="A1162" s="190"/>
      <c r="B1162" s="190"/>
      <c r="C1162" s="190"/>
      <c r="D1162" s="1001" t="s">
        <v>1493</v>
      </c>
      <c r="E1162" s="999"/>
      <c r="F1162" s="999"/>
    </row>
    <row r="1163" spans="1:7" ht="12.75">
      <c r="A1163" s="190"/>
      <c r="B1163" s="190"/>
      <c r="C1163" s="190"/>
      <c r="F1163" s="188"/>
      <c r="G1163"/>
    </row>
    <row r="1164" spans="1:7" ht="13.7" customHeight="1">
      <c r="B1164" s="609" t="s">
        <v>1377</v>
      </c>
      <c r="D1164" s="1054" t="s">
        <v>2095</v>
      </c>
      <c r="E1164" s="1054"/>
      <c r="F1164" s="1054"/>
      <c r="G1164"/>
    </row>
    <row r="1165" spans="1:7" ht="12.75">
      <c r="D1165" s="1054"/>
      <c r="E1165" s="1054"/>
      <c r="F1165" s="1054"/>
      <c r="G1165"/>
    </row>
    <row r="1166" spans="1:7" ht="12.75">
      <c r="D1166" s="15"/>
      <c r="E1166" s="927" t="s">
        <v>2096</v>
      </c>
      <c r="F1166" s="15"/>
      <c r="G1166"/>
    </row>
    <row r="1167" spans="1:7" ht="12.75">
      <c r="D1167" s="15"/>
      <c r="E1167" s="15"/>
      <c r="F1167" s="15"/>
      <c r="G1167"/>
    </row>
    <row r="1168" spans="1:7" ht="12.75">
      <c r="D1168" s="996" t="s">
        <v>2094</v>
      </c>
      <c r="E1168" s="996"/>
      <c r="F1168" s="996"/>
      <c r="G1168"/>
    </row>
    <row r="1169" spans="1:7" ht="12.75">
      <c r="A1169" s="191"/>
      <c r="B1169" s="191"/>
      <c r="C1169" s="191"/>
      <c r="D1169" s="996"/>
      <c r="E1169" s="996"/>
      <c r="F1169" s="996"/>
      <c r="G1169"/>
    </row>
    <row r="1170" spans="1:7" ht="14.45" customHeight="1">
      <c r="A1170" s="191"/>
      <c r="B1170" s="191"/>
      <c r="C1170" s="191"/>
      <c r="D1170" s="996"/>
      <c r="E1170" s="996"/>
      <c r="F1170" s="996"/>
      <c r="G1170"/>
    </row>
    <row r="1171" spans="1:7" ht="12.75">
      <c r="A1171" s="191"/>
      <c r="B1171" s="191"/>
      <c r="C1171" s="191"/>
      <c r="D1171" s="106"/>
      <c r="E1171" s="106"/>
      <c r="F1171" s="106"/>
      <c r="G1171"/>
    </row>
    <row r="1172" spans="1:7" ht="12.75">
      <c r="A1172" s="191"/>
      <c r="B1172" s="609" t="s">
        <v>124</v>
      </c>
      <c r="C1172" s="191"/>
      <c r="D1172" s="979" t="s">
        <v>1678</v>
      </c>
      <c r="E1172" s="979"/>
      <c r="F1172" s="979"/>
      <c r="G1172"/>
    </row>
    <row r="1173" spans="1:7" ht="12.75">
      <c r="A1173" s="191"/>
      <c r="B1173" s="191"/>
      <c r="C1173" s="191"/>
      <c r="D1173" s="979"/>
      <c r="E1173" s="979"/>
      <c r="F1173" s="979"/>
      <c r="G1173"/>
    </row>
    <row r="1174" spans="1:7" ht="12.75">
      <c r="A1174" s="191"/>
      <c r="B1174" s="191"/>
      <c r="C1174" s="191"/>
      <c r="D1174" s="979"/>
      <c r="E1174" s="979"/>
      <c r="F1174" s="979"/>
      <c r="G1174"/>
    </row>
    <row r="1175" spans="1:7" ht="12.75">
      <c r="A1175" s="191"/>
      <c r="B1175" s="191"/>
      <c r="C1175" s="191"/>
      <c r="D1175" s="979"/>
      <c r="E1175" s="979"/>
      <c r="F1175" s="979"/>
      <c r="G1175"/>
    </row>
    <row r="1176" spans="1:7" ht="12.75">
      <c r="A1176" s="191"/>
      <c r="B1176" s="191"/>
      <c r="C1176" s="191"/>
      <c r="D1176" s="24"/>
      <c r="E1176" s="24"/>
      <c r="F1176" s="24"/>
      <c r="G1176"/>
    </row>
    <row r="1177" spans="1:7" ht="12.75">
      <c r="A1177" s="191"/>
      <c r="B1177" s="609" t="s">
        <v>124</v>
      </c>
      <c r="C1177" s="191"/>
      <c r="D1177" s="972" t="s">
        <v>1758</v>
      </c>
      <c r="E1177" s="979"/>
      <c r="F1177" s="979"/>
      <c r="G1177"/>
    </row>
    <row r="1178" spans="1:7" ht="12.75">
      <c r="A1178" s="191"/>
      <c r="B1178" s="191"/>
      <c r="C1178" s="191"/>
      <c r="D1178" s="979"/>
      <c r="E1178" s="979"/>
      <c r="F1178" s="979"/>
      <c r="G1178"/>
    </row>
    <row r="1179" spans="1:7" ht="12.75">
      <c r="A1179" s="191"/>
      <c r="B1179" s="191"/>
      <c r="C1179" s="191"/>
      <c r="D1179" s="24"/>
      <c r="E1179" s="24"/>
      <c r="F1179" s="24"/>
      <c r="G1179"/>
    </row>
    <row r="1180" spans="1:7" ht="14.25">
      <c r="A1180" s="271"/>
      <c r="B1180" s="609" t="s">
        <v>124</v>
      </c>
      <c r="D1180" s="999" t="s">
        <v>1669</v>
      </c>
      <c r="E1180" s="999"/>
      <c r="F1180" s="999"/>
      <c r="G1180"/>
    </row>
    <row r="1181" spans="1:7" ht="12.75">
      <c r="G1181"/>
    </row>
    <row r="1182" spans="1:7" ht="14.25">
      <c r="A1182" s="271"/>
      <c r="B1182" s="609" t="s">
        <v>124</v>
      </c>
      <c r="D1182" s="999" t="s">
        <v>1670</v>
      </c>
      <c r="E1182" s="999"/>
      <c r="F1182" s="999"/>
      <c r="G1182"/>
    </row>
    <row r="1183" spans="1:7" ht="12.75">
      <c r="D1183" s="44"/>
      <c r="G1183"/>
    </row>
    <row r="1184" spans="1:7" ht="14.25">
      <c r="A1184" s="271"/>
      <c r="B1184" s="609" t="s">
        <v>1377</v>
      </c>
      <c r="D1184" s="999" t="s">
        <v>1671</v>
      </c>
      <c r="E1184" s="999"/>
      <c r="F1184" s="999"/>
      <c r="G1184"/>
    </row>
    <row r="1185" spans="1:7" ht="12.75">
      <c r="D1185" s="44"/>
      <c r="G1185"/>
    </row>
    <row r="1186" spans="1:7" ht="14.25">
      <c r="A1186" s="271"/>
      <c r="B1186" s="609" t="s">
        <v>1377</v>
      </c>
      <c r="D1186" s="979" t="s">
        <v>1672</v>
      </c>
      <c r="E1186" s="979"/>
      <c r="F1186" s="979"/>
      <c r="G1186"/>
    </row>
    <row r="1187" spans="1:7" ht="14.25">
      <c r="A1187" s="271"/>
      <c r="B1187" s="271"/>
      <c r="D1187" s="979"/>
      <c r="E1187" s="979"/>
      <c r="F1187" s="979"/>
      <c r="G1187"/>
    </row>
    <row r="1188" spans="1:7" ht="14.25">
      <c r="A1188" s="271"/>
      <c r="B1188" s="271"/>
      <c r="D1188" s="44"/>
    </row>
    <row r="1189" spans="1:7" s="448" customFormat="1" ht="14.25">
      <c r="A1189" s="289"/>
      <c r="B1189" s="609" t="s">
        <v>124</v>
      </c>
      <c r="C1189" s="290"/>
      <c r="D1189" s="997" t="s">
        <v>1673</v>
      </c>
      <c r="E1189" s="997"/>
      <c r="F1189" s="997"/>
      <c r="G1189" s="292"/>
    </row>
    <row r="1190" spans="1:7" s="448" customFormat="1" ht="12.75">
      <c r="A1190" s="290"/>
      <c r="B1190" s="290"/>
      <c r="C1190" s="290"/>
      <c r="D1190" s="997"/>
      <c r="E1190" s="997"/>
      <c r="F1190" s="997"/>
      <c r="G1190" s="292"/>
    </row>
    <row r="1191" spans="1:7" s="448" customFormat="1" ht="12.75">
      <c r="A1191" s="290"/>
      <c r="B1191" s="290"/>
      <c r="C1191" s="290"/>
      <c r="D1191" s="291"/>
      <c r="E1191" s="292"/>
      <c r="F1191" s="292"/>
      <c r="G1191" s="292"/>
    </row>
    <row r="1192" spans="1:7" s="448" customFormat="1" ht="14.25">
      <c r="A1192" s="289"/>
      <c r="B1192" s="609" t="s">
        <v>124</v>
      </c>
      <c r="C1192" s="290"/>
      <c r="D1192" s="998" t="s">
        <v>1674</v>
      </c>
      <c r="E1192" s="998"/>
      <c r="F1192" s="998"/>
      <c r="G1192" s="292"/>
    </row>
    <row r="1193" spans="1:7" s="448" customFormat="1" ht="12.75">
      <c r="A1193" s="290"/>
      <c r="B1193" s="290"/>
      <c r="C1193" s="290"/>
      <c r="D1193" s="291"/>
      <c r="E1193" s="292"/>
      <c r="F1193" s="292"/>
      <c r="G1193" s="292"/>
    </row>
    <row r="1194" spans="1:7" ht="14.25">
      <c r="A1194" s="271"/>
      <c r="B1194" s="609" t="s">
        <v>124</v>
      </c>
      <c r="D1194" s="999" t="s">
        <v>1675</v>
      </c>
      <c r="E1194" s="999"/>
      <c r="F1194" s="999"/>
    </row>
    <row r="1195" spans="1:7" ht="14.25">
      <c r="A1195" s="271"/>
      <c r="B1195" s="271"/>
      <c r="D1195" s="44"/>
    </row>
    <row r="1196" spans="1:7" ht="14.25">
      <c r="A1196" s="271"/>
      <c r="B1196" s="609" t="s">
        <v>124</v>
      </c>
      <c r="D1196" s="979" t="s">
        <v>1676</v>
      </c>
      <c r="E1196" s="979"/>
      <c r="F1196" s="979"/>
    </row>
    <row r="1197" spans="1:7" ht="14.25">
      <c r="A1197" s="271"/>
      <c r="B1197" s="271"/>
      <c r="D1197" s="979"/>
      <c r="E1197" s="979"/>
      <c r="F1197" s="979"/>
    </row>
    <row r="1198" spans="1:7" ht="12.75"/>
    <row r="1199" spans="1:7" ht="12.75">
      <c r="A1199" s="1033" t="s">
        <v>2014</v>
      </c>
      <c r="B1199" s="1033"/>
      <c r="C1199" s="1033"/>
      <c r="D1199" s="1033"/>
      <c r="E1199" s="1033"/>
      <c r="F1199" s="1033"/>
      <c r="G1199" s="1033"/>
    </row>
    <row r="1200" spans="1:7" ht="12.75"/>
    <row r="1201" spans="1:7" ht="12.75">
      <c r="A1201" s="1033" t="s">
        <v>1406</v>
      </c>
      <c r="B1201" s="1033"/>
      <c r="C1201" s="1033"/>
      <c r="D1201" s="1033"/>
      <c r="E1201" s="1033"/>
      <c r="F1201" s="1033"/>
      <c r="G1201" s="1033"/>
    </row>
    <row r="1202" spans="1:7" ht="12.75"/>
    <row r="1203" spans="1:7" ht="12.75">
      <c r="D1203" s="1003" t="s">
        <v>1512</v>
      </c>
      <c r="E1203" s="1003"/>
      <c r="F1203" s="1003"/>
    </row>
    <row r="1204" spans="1:7" ht="12.75">
      <c r="D1204" s="1038" t="s">
        <v>1919</v>
      </c>
      <c r="E1204" s="1038"/>
      <c r="F1204" s="1038"/>
    </row>
    <row r="1205" spans="1:7" ht="12.75">
      <c r="A1205" s="190"/>
      <c r="B1205" s="190"/>
      <c r="C1205" s="190"/>
    </row>
    <row r="1206" spans="1:7" ht="14.25">
      <c r="A1206" s="271"/>
      <c r="B1206" s="271"/>
      <c r="C1206" s="191"/>
      <c r="D1206" s="1003" t="s">
        <v>1513</v>
      </c>
      <c r="E1206" s="1003"/>
      <c r="F1206" s="1003"/>
    </row>
    <row r="1207" spans="1:7" ht="12.75">
      <c r="B1207" s="609" t="s">
        <v>1377</v>
      </c>
      <c r="D1207" s="998" t="s">
        <v>1514</v>
      </c>
      <c r="E1207" s="998"/>
      <c r="F1207" s="998"/>
    </row>
    <row r="1208" spans="1:7" ht="12.75">
      <c r="D1208" s="1038" t="s">
        <v>1920</v>
      </c>
      <c r="E1208" s="1038"/>
      <c r="F1208" s="1038"/>
    </row>
    <row r="1209" spans="1:7" ht="12.75">
      <c r="G1209"/>
    </row>
    <row r="1210" spans="1:7" ht="12.75" customHeight="1">
      <c r="B1210" s="609" t="s">
        <v>124</v>
      </c>
      <c r="D1210" s="1022" t="s">
        <v>1837</v>
      </c>
      <c r="E1210" s="1022"/>
      <c r="F1210" s="1022"/>
      <c r="G1210"/>
    </row>
    <row r="1211" spans="1:7" ht="12.75">
      <c r="D1211" s="1022"/>
      <c r="E1211" s="1022"/>
      <c r="F1211" s="1022"/>
      <c r="G1211"/>
    </row>
    <row r="1212" spans="1:7" ht="12.75">
      <c r="G1212"/>
    </row>
    <row r="1213" spans="1:7" ht="12.75" customHeight="1"/>
    <row r="1214" spans="1:7" ht="12.75">
      <c r="A1214" s="1033" t="s">
        <v>1408</v>
      </c>
      <c r="B1214" s="1033"/>
      <c r="C1214" s="1033"/>
      <c r="D1214" s="1033"/>
      <c r="E1214" s="1033"/>
      <c r="F1214" s="1033"/>
      <c r="G1214" s="1033"/>
    </row>
    <row r="1215" spans="1:7" ht="12.75">
      <c r="A1215" s="44"/>
      <c r="B1215" s="44"/>
    </row>
    <row r="1216" spans="1:7" ht="12.75" customHeight="1">
      <c r="A1216" s="44"/>
      <c r="B1216" s="44"/>
      <c r="D1216" s="1000" t="s">
        <v>1407</v>
      </c>
      <c r="E1216" s="1000"/>
      <c r="F1216" s="1000"/>
    </row>
    <row r="1217" spans="1:7" ht="12.75" customHeight="1">
      <c r="A1217" s="44"/>
      <c r="B1217" s="44"/>
      <c r="D1217" s="999" t="s">
        <v>1414</v>
      </c>
      <c r="E1217" s="999"/>
      <c r="F1217" s="999"/>
    </row>
    <row r="1218" spans="1:7" ht="12.75" customHeight="1">
      <c r="A1218" s="44"/>
      <c r="B1218" s="44"/>
    </row>
    <row r="1219" spans="1:7" ht="14.25">
      <c r="A1219" s="271"/>
      <c r="B1219" s="609" t="s">
        <v>124</v>
      </c>
      <c r="D1219" s="1009" t="s">
        <v>1014</v>
      </c>
      <c r="E1219" s="1009"/>
      <c r="F1219" s="1009"/>
    </row>
    <row r="1220" spans="1:7" ht="12.75">
      <c r="D1220" s="999" t="s">
        <v>1134</v>
      </c>
      <c r="E1220" s="999"/>
      <c r="F1220" s="999"/>
    </row>
    <row r="1221" spans="1:7" ht="12.75">
      <c r="E1221" s="1024" t="s">
        <v>2097</v>
      </c>
      <c r="F1221" s="1024"/>
    </row>
    <row r="1222" spans="1:7" ht="12.75">
      <c r="D1222" s="3"/>
    </row>
    <row r="1223" spans="1:7" ht="12.75">
      <c r="D1223" s="1037" t="s">
        <v>1274</v>
      </c>
      <c r="E1223" s="1037"/>
      <c r="F1223" s="1037"/>
    </row>
    <row r="1224" spans="1:7" ht="12.75">
      <c r="B1224" s="609" t="s">
        <v>124</v>
      </c>
      <c r="D1224" s="972" t="s">
        <v>2098</v>
      </c>
      <c r="E1224" s="979"/>
      <c r="F1224" s="979"/>
      <c r="G1224"/>
    </row>
    <row r="1225" spans="1:7" ht="12.75">
      <c r="D1225" s="979"/>
      <c r="E1225" s="979"/>
      <c r="F1225" s="979"/>
      <c r="G1225"/>
    </row>
    <row r="1226" spans="1:7" ht="12.75">
      <c r="D1226" s="501" t="s">
        <v>1277</v>
      </c>
      <c r="E1226"/>
      <c r="F1226"/>
      <c r="G1226"/>
    </row>
    <row r="1227" spans="1:7" ht="13.7" customHeight="1">
      <c r="D1227" s="972" t="s">
        <v>2099</v>
      </c>
      <c r="E1227" s="979"/>
      <c r="F1227" s="979"/>
      <c r="G1227"/>
    </row>
    <row r="1228" spans="1:7" ht="12.75">
      <c r="D1228" s="979"/>
      <c r="E1228" s="979"/>
      <c r="F1228" s="979"/>
      <c r="G1228"/>
    </row>
    <row r="1229" spans="1:7" ht="12.75">
      <c r="D1229" s="979"/>
      <c r="E1229" s="979"/>
      <c r="F1229" s="979"/>
      <c r="G1229"/>
    </row>
    <row r="1230" spans="1:7" ht="12.75">
      <c r="D1230" s="979"/>
      <c r="E1230" s="979"/>
      <c r="F1230" s="979"/>
      <c r="G1230"/>
    </row>
    <row r="1231" spans="1:7" ht="12.75">
      <c r="D1231" s="1024" t="s">
        <v>1017</v>
      </c>
      <c r="E1231" s="1024"/>
      <c r="F1231" s="1024"/>
      <c r="G1231"/>
    </row>
    <row r="1232" spans="1:7" ht="12.75">
      <c r="B1232" s="609" t="s">
        <v>124</v>
      </c>
      <c r="D1232" s="1009" t="s">
        <v>1275</v>
      </c>
      <c r="E1232" s="1009"/>
      <c r="F1232" s="1009"/>
      <c r="G1232"/>
    </row>
    <row r="1233" spans="1:7" ht="12.75">
      <c r="E1233"/>
      <c r="F1233"/>
      <c r="G1233"/>
    </row>
    <row r="1234" spans="1:7" ht="12.75">
      <c r="D1234" s="1039" t="s">
        <v>1276</v>
      </c>
      <c r="E1234" s="1039"/>
      <c r="F1234" s="1039"/>
      <c r="G1234"/>
    </row>
    <row r="1235" spans="1:7" ht="12.75">
      <c r="D1235" s="3" t="s">
        <v>1015</v>
      </c>
      <c r="E1235"/>
      <c r="F1235"/>
      <c r="G1235"/>
    </row>
    <row r="1236" spans="1:7" ht="14.45" customHeight="1">
      <c r="A1236" s="271"/>
      <c r="B1236" s="609" t="s">
        <v>124</v>
      </c>
      <c r="D1236" s="979" t="s">
        <v>1515</v>
      </c>
      <c r="E1236" s="979"/>
      <c r="F1236" s="979"/>
      <c r="G1236"/>
    </row>
    <row r="1237" spans="1:7" ht="14.25">
      <c r="A1237" s="271"/>
      <c r="B1237" s="271"/>
      <c r="D1237" s="979"/>
      <c r="E1237" s="979"/>
      <c r="F1237" s="979"/>
      <c r="G1237"/>
    </row>
    <row r="1238" spans="1:7" ht="14.25">
      <c r="A1238" s="271"/>
      <c r="B1238" s="271"/>
      <c r="D1238" s="979"/>
      <c r="E1238" s="979"/>
      <c r="F1238" s="979"/>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79" t="s">
        <v>1516</v>
      </c>
      <c r="E1241" s="979"/>
      <c r="F1241" s="979"/>
    </row>
    <row r="1242" spans="1:7" ht="14.25">
      <c r="A1242" s="271"/>
      <c r="B1242" s="271"/>
      <c r="D1242" s="979"/>
      <c r="E1242" s="979"/>
      <c r="F1242" s="979"/>
    </row>
    <row r="1243" spans="1:7" ht="14.25">
      <c r="A1243" s="271"/>
      <c r="B1243" s="271"/>
      <c r="D1243" s="979"/>
      <c r="E1243" s="979"/>
      <c r="F1243" s="979"/>
    </row>
    <row r="1244" spans="1:7" ht="14.25">
      <c r="A1244" s="271"/>
      <c r="B1244" s="271"/>
      <c r="D1244" s="979"/>
      <c r="E1244" s="979"/>
      <c r="F1244" s="979"/>
    </row>
    <row r="1245" spans="1:7" ht="14.25">
      <c r="A1245" s="271"/>
      <c r="B1245" s="271"/>
      <c r="D1245" s="979"/>
      <c r="E1245" s="979"/>
      <c r="F1245" s="979"/>
    </row>
    <row r="1246" spans="1:7" ht="12.75" customHeight="1">
      <c r="A1246" s="44"/>
      <c r="B1246" s="44"/>
    </row>
    <row r="1247" spans="1:7" ht="12.75">
      <c r="A1247" s="1033" t="s">
        <v>1439</v>
      </c>
      <c r="B1247" s="1033"/>
      <c r="C1247" s="1033"/>
      <c r="D1247" s="1033"/>
      <c r="E1247" s="1033"/>
      <c r="F1247" s="1033"/>
      <c r="G1247" s="1033"/>
    </row>
    <row r="1248" spans="1:7" ht="12.75">
      <c r="A1248" s="44"/>
      <c r="B1248" s="44"/>
    </row>
    <row r="1249" spans="1:7" ht="12.75">
      <c r="A1249" s="44"/>
      <c r="B1249" s="44"/>
      <c r="D1249" s="1029" t="s">
        <v>1440</v>
      </c>
      <c r="E1249" s="1029"/>
      <c r="F1249" s="1029"/>
    </row>
    <row r="1250" spans="1:7" ht="12.75">
      <c r="A1250" s="268"/>
      <c r="B1250" s="268"/>
      <c r="C1250" s="268"/>
      <c r="D1250" s="1009" t="s">
        <v>1453</v>
      </c>
      <c r="E1250" s="1009"/>
      <c r="F1250" s="1009"/>
      <c r="G1250" s="269"/>
    </row>
    <row r="1251" spans="1:7" ht="10.5" customHeight="1"/>
    <row r="1252" spans="1:7" ht="14.25">
      <c r="A1252" s="271"/>
      <c r="B1252" s="609" t="s">
        <v>124</v>
      </c>
      <c r="D1252" s="1009" t="s">
        <v>1135</v>
      </c>
      <c r="E1252" s="1009"/>
      <c r="F1252" s="1009"/>
    </row>
    <row r="1253" spans="1:7" ht="12.75">
      <c r="E1253" s="1024" t="s">
        <v>2100</v>
      </c>
      <c r="F1253" s="1024"/>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328" zoomScaleNormal="100" workbookViewId="0">
      <selection activeCell="AN370" sqref="AN370"/>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7" t="s">
        <v>793</v>
      </c>
      <c r="B9" s="1577"/>
      <c r="C9" s="1577"/>
      <c r="D9" s="1577"/>
      <c r="E9" s="1577"/>
      <c r="F9" s="1577"/>
      <c r="G9" s="1577"/>
      <c r="H9" s="1577"/>
      <c r="I9" s="1577"/>
      <c r="J9" s="1577"/>
      <c r="K9" s="1577"/>
      <c r="L9" s="1577"/>
      <c r="M9" s="1577"/>
      <c r="N9" s="1577"/>
      <c r="O9" s="1577"/>
      <c r="P9" s="1577"/>
      <c r="Q9" s="1577"/>
      <c r="R9" s="1577"/>
      <c r="S9" s="1577"/>
      <c r="T9" s="1577"/>
      <c r="U9" s="1577"/>
      <c r="V9" s="1577"/>
      <c r="W9" s="1577"/>
      <c r="X9" s="1577"/>
      <c r="Y9" s="1577"/>
      <c r="Z9" s="1577"/>
      <c r="AA9" s="1577"/>
      <c r="AB9" s="1577"/>
      <c r="AC9" s="1577"/>
      <c r="AD9" s="1577"/>
      <c r="AE9" s="1577"/>
      <c r="AF9" s="1577"/>
      <c r="AG9" s="1577"/>
      <c r="AH9" s="1577"/>
      <c r="AI9" s="1577"/>
      <c r="AJ9" s="1577"/>
      <c r="AK9" s="1577"/>
      <c r="AL9" s="1577"/>
      <c r="AM9" s="1577"/>
      <c r="AN9" s="1577"/>
      <c r="AO9" s="1577"/>
      <c r="AP9" s="1577"/>
      <c r="AQ9" s="1577"/>
      <c r="AR9" s="1577"/>
      <c r="AS9" s="1577"/>
      <c r="AT9" s="1577"/>
    </row>
    <row r="10" spans="1:46" s="659" customFormat="1" ht="12.95" customHeight="1">
      <c r="A10" s="1578" t="s">
        <v>2307</v>
      </c>
      <c r="B10" s="1578"/>
      <c r="C10" s="1578"/>
      <c r="D10" s="1578"/>
      <c r="E10" s="1578"/>
      <c r="F10" s="1578"/>
      <c r="G10" s="1578"/>
      <c r="H10" s="1578"/>
      <c r="I10" s="1578"/>
      <c r="J10" s="1578"/>
      <c r="K10" s="1578"/>
      <c r="L10" s="1578"/>
      <c r="M10" s="1578"/>
      <c r="N10" s="1578"/>
      <c r="O10" s="1578"/>
      <c r="P10" s="1578"/>
      <c r="Q10" s="1578"/>
      <c r="R10" s="1578"/>
      <c r="S10" s="1578"/>
      <c r="T10" s="1578"/>
      <c r="U10" s="1578"/>
      <c r="V10" s="1578"/>
      <c r="W10" s="1578"/>
      <c r="X10" s="1578"/>
      <c r="Y10" s="1578"/>
      <c r="Z10" s="1578"/>
      <c r="AA10" s="1578"/>
      <c r="AB10" s="1578"/>
      <c r="AC10" s="1578"/>
      <c r="AD10" s="1578"/>
      <c r="AE10" s="1578"/>
      <c r="AF10" s="1578"/>
      <c r="AG10" s="1578"/>
      <c r="AH10" s="1578"/>
      <c r="AI10" s="1578"/>
      <c r="AJ10" s="1578"/>
      <c r="AK10" s="1578"/>
      <c r="AL10" s="1578"/>
      <c r="AM10" s="1578"/>
      <c r="AN10" s="1578"/>
      <c r="AO10" s="1578"/>
      <c r="AP10" s="1578"/>
      <c r="AQ10" s="1578"/>
      <c r="AR10" s="1578"/>
      <c r="AS10" s="1578"/>
      <c r="AT10" s="1578"/>
    </row>
    <row r="11" spans="1:46" s="41" customFormat="1" ht="12.95" customHeight="1">
      <c r="A11" s="1579" t="s">
        <v>2316</v>
      </c>
      <c r="B11" s="1579"/>
      <c r="C11" s="1579"/>
      <c r="D11" s="1579"/>
      <c r="E11" s="1579"/>
      <c r="F11" s="1579"/>
      <c r="G11" s="1579"/>
      <c r="H11" s="1579"/>
      <c r="I11" s="1579"/>
      <c r="J11" s="1579"/>
      <c r="K11" s="1579"/>
      <c r="L11" s="1579"/>
      <c r="M11" s="1579"/>
      <c r="N11" s="1579"/>
      <c r="O11" s="1579"/>
      <c r="P11" s="1579"/>
      <c r="Q11" s="1579"/>
      <c r="R11" s="1579"/>
      <c r="S11" s="1579"/>
      <c r="T11" s="1579"/>
      <c r="U11" s="1579"/>
      <c r="V11" s="1579"/>
      <c r="W11" s="1579"/>
      <c r="X11" s="1579"/>
      <c r="Y11" s="1579"/>
      <c r="Z11" s="1579"/>
      <c r="AA11" s="1579"/>
      <c r="AB11" s="1579"/>
      <c r="AC11" s="1579"/>
      <c r="AD11" s="1579"/>
      <c r="AE11" s="1579"/>
      <c r="AF11" s="1579"/>
      <c r="AG11" s="1579"/>
      <c r="AH11" s="1579"/>
      <c r="AI11" s="1579"/>
      <c r="AJ11" s="1579"/>
      <c r="AK11" s="1579"/>
      <c r="AL11" s="1579"/>
      <c r="AM11" s="1579"/>
      <c r="AN11" s="1579"/>
      <c r="AO11" s="1579"/>
      <c r="AP11" s="1579"/>
      <c r="AQ11" s="1579"/>
      <c r="AR11" s="1579"/>
      <c r="AS11" s="1579"/>
      <c r="AT11" s="1579"/>
    </row>
    <row r="12" spans="1:46" ht="12.95" customHeight="1">
      <c r="A12" s="982" t="s">
        <v>1876</v>
      </c>
      <c r="B12" s="982"/>
      <c r="C12" s="982"/>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c r="AL12" s="982"/>
      <c r="AM12" s="982"/>
      <c r="AN12" s="982"/>
      <c r="AO12" s="982"/>
      <c r="AP12" s="982"/>
      <c r="AQ12" s="982"/>
      <c r="AR12" s="982"/>
      <c r="AS12" s="982"/>
      <c r="AT12" s="982"/>
    </row>
    <row r="13" spans="1:46" ht="12.95" customHeight="1">
      <c r="A13" s="982"/>
      <c r="B13" s="982"/>
      <c r="C13" s="982"/>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402" t="s">
        <v>2320</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5" customHeight="1"/>
    <row r="17" spans="1:46" ht="12.95" customHeight="1">
      <c r="A17" s="63" t="s">
        <v>794</v>
      </c>
      <c r="C17" s="5"/>
      <c r="D17" s="5"/>
      <c r="E17" s="5"/>
      <c r="F17" s="5"/>
      <c r="G17" s="5"/>
      <c r="H17" s="1107" t="s">
        <v>2321</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5" customHeight="1"/>
    <row r="19" spans="1:46" ht="12.95" customHeight="1">
      <c r="A19" s="991" t="s">
        <v>1102</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6" ht="12.95" customHeight="1">
      <c r="A20" s="1404" t="s">
        <v>1353</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6" t="s">
        <v>2255</v>
      </c>
      <c r="B22" s="996"/>
      <c r="C22" s="996"/>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996"/>
    </row>
    <row r="23" spans="1:46" ht="12.95" customHeight="1">
      <c r="A23" s="996"/>
      <c r="B23" s="996"/>
      <c r="C23" s="996"/>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6"/>
      <c r="AQ23" s="996"/>
      <c r="AR23" s="996"/>
      <c r="AS23" s="996"/>
      <c r="AT23" s="99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8">
        <f>ROUND('Basis &amp; Credits'!AB55,0)</f>
        <v>1125000</v>
      </c>
      <c r="N25" s="1408"/>
      <c r="O25" s="1408"/>
      <c r="P25" s="1408"/>
      <c r="Q25" s="1408"/>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8">
        <f>'Basis &amp; Credits'!AB76</f>
        <v>0</v>
      </c>
      <c r="N27" s="1408"/>
      <c r="O27" s="1408"/>
      <c r="P27" s="1408"/>
      <c r="Q27" s="1408"/>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6" t="s">
        <v>2256</v>
      </c>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996"/>
      <c r="AO29" s="996"/>
      <c r="AP29" s="996"/>
      <c r="AQ29" s="996"/>
      <c r="AR29" s="996"/>
      <c r="AS29" s="996"/>
      <c r="AT29" s="996"/>
    </row>
    <row r="30" spans="1:46" s="776" customFormat="1" ht="12.95" customHeight="1">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996"/>
    </row>
    <row r="31" spans="1:46" s="776" customFormat="1" ht="12.95" customHeight="1">
      <c r="A31" s="996"/>
      <c r="B31" s="996"/>
      <c r="C31" s="996"/>
      <c r="D31" s="996"/>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c r="AT31" s="996"/>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02" t="s">
        <v>483</v>
      </c>
      <c r="P33" s="1102"/>
      <c r="Q33" s="1580" t="s">
        <v>2257</v>
      </c>
      <c r="R33" s="1580"/>
      <c r="S33" s="1580"/>
      <c r="T33" s="1580"/>
      <c r="U33" s="1580"/>
      <c r="V33" s="1580"/>
      <c r="W33" s="1580"/>
      <c r="X33" s="1580"/>
      <c r="Y33" s="1580"/>
      <c r="Z33" s="1580"/>
      <c r="AA33" s="1580"/>
      <c r="AB33" s="1580"/>
      <c r="AC33" s="1580"/>
      <c r="AD33" s="1580"/>
      <c r="AE33" s="1580"/>
      <c r="AF33" s="1580"/>
      <c r="AG33" s="1580"/>
      <c r="AH33" s="1580"/>
      <c r="AI33" s="1580"/>
      <c r="AJ33" s="1580"/>
      <c r="AK33" s="1580"/>
      <c r="AL33" s="1580"/>
      <c r="AM33" s="1580"/>
      <c r="AN33" s="1580"/>
      <c r="AO33" s="1580"/>
      <c r="AP33" s="1580"/>
      <c r="AQ33" s="1580"/>
      <c r="AR33" s="1580"/>
      <c r="AS33" s="1580"/>
      <c r="AT33" s="1580"/>
    </row>
    <row r="34" spans="1:46" ht="12.95" customHeight="1">
      <c r="A34" s="992" t="s">
        <v>2258</v>
      </c>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row>
    <row r="35" spans="1:46" ht="12.95" customHeight="1">
      <c r="A35" s="992"/>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row>
    <row r="36" spans="1:46" ht="12.95" customHeight="1">
      <c r="A36" s="992"/>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row>
    <row r="37" spans="1:46" ht="12.95" customHeight="1">
      <c r="A37" s="992"/>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row>
    <row r="38" spans="1:46" ht="12.95" customHeight="1">
      <c r="AM38" s="19"/>
    </row>
    <row r="39" spans="1:46" s="776" customFormat="1" ht="12.95" customHeight="1">
      <c r="A39" s="996" t="s">
        <v>2259</v>
      </c>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O39" s="996"/>
      <c r="AP39" s="996"/>
      <c r="AQ39" s="996"/>
      <c r="AR39" s="996"/>
      <c r="AS39" s="996"/>
      <c r="AT39" s="996"/>
    </row>
    <row r="40" spans="1:46" s="776" customFormat="1" ht="12.95" customHeight="1">
      <c r="A40" s="996"/>
      <c r="B40" s="996"/>
      <c r="C40" s="996"/>
      <c r="D40" s="996"/>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96"/>
      <c r="AT40" s="996"/>
    </row>
    <row r="41" spans="1:46" s="776" customFormat="1" ht="12.95" customHeight="1">
      <c r="A41" s="996"/>
      <c r="B41" s="996"/>
      <c r="C41" s="996"/>
      <c r="D41" s="996"/>
      <c r="E41" s="996"/>
      <c r="F41" s="996"/>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996"/>
    </row>
    <row r="42" spans="1:46" s="776" customFormat="1" ht="12.95" customHeight="1">
      <c r="A42" s="996"/>
      <c r="B42" s="996"/>
      <c r="C42" s="996"/>
      <c r="D42" s="996"/>
      <c r="E42" s="996"/>
      <c r="F42" s="996"/>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c r="AL42" s="996"/>
      <c r="AM42" s="996"/>
      <c r="AN42" s="996"/>
      <c r="AO42" s="996"/>
      <c r="AP42" s="996"/>
      <c r="AQ42" s="996"/>
      <c r="AR42" s="996"/>
      <c r="AS42" s="996"/>
      <c r="AT42" s="996"/>
    </row>
    <row r="43" spans="1:46" s="776" customFormat="1" ht="12.95" customHeight="1">
      <c r="A43" s="996"/>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6"/>
      <c r="AQ43" s="996"/>
      <c r="AR43" s="996"/>
      <c r="AS43" s="996"/>
      <c r="AT43" s="996"/>
    </row>
    <row r="44" spans="1:46" s="776" customFormat="1" ht="12.95" customHeight="1">
      <c r="A44" s="996"/>
      <c r="B44" s="996"/>
      <c r="C44" s="996"/>
      <c r="D44" s="996"/>
      <c r="E44" s="996"/>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c r="AL44" s="996"/>
      <c r="AM44" s="996"/>
      <c r="AN44" s="996"/>
      <c r="AO44" s="996"/>
      <c r="AP44" s="996"/>
      <c r="AQ44" s="996"/>
      <c r="AR44" s="996"/>
      <c r="AS44" s="996"/>
      <c r="AT44" s="996"/>
    </row>
    <row r="45" spans="1:46" s="776" customFormat="1" ht="12.95" customHeight="1">
      <c r="A45" s="996"/>
      <c r="B45" s="996"/>
      <c r="C45" s="996"/>
      <c r="D45" s="996"/>
      <c r="E45" s="996"/>
      <c r="F45" s="996"/>
      <c r="G45" s="996"/>
      <c r="H45" s="996"/>
      <c r="I45" s="996"/>
      <c r="J45" s="996"/>
      <c r="K45" s="996"/>
      <c r="L45" s="996"/>
      <c r="M45" s="996"/>
      <c r="N45" s="996"/>
      <c r="O45" s="996"/>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O45" s="996"/>
      <c r="AP45" s="996"/>
      <c r="AQ45" s="996"/>
      <c r="AR45" s="996"/>
      <c r="AS45" s="996"/>
      <c r="AT45" s="996"/>
    </row>
    <row r="46" spans="1:46" s="776" customFormat="1" ht="12.95" customHeight="1">
      <c r="A46" s="996"/>
      <c r="B46" s="996"/>
      <c r="C46" s="996"/>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6"/>
      <c r="AB46" s="996"/>
      <c r="AC46" s="996"/>
      <c r="AD46" s="996"/>
      <c r="AE46" s="996"/>
      <c r="AF46" s="996"/>
      <c r="AG46" s="996"/>
      <c r="AH46" s="996"/>
      <c r="AI46" s="996"/>
      <c r="AJ46" s="996"/>
      <c r="AK46" s="996"/>
      <c r="AL46" s="996"/>
      <c r="AM46" s="996"/>
      <c r="AN46" s="996"/>
      <c r="AO46" s="996"/>
      <c r="AP46" s="996"/>
      <c r="AQ46" s="996"/>
      <c r="AR46" s="996"/>
      <c r="AS46" s="996"/>
      <c r="AT46" s="996"/>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6" t="s">
        <v>2260</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6"/>
      <c r="AO48" s="996"/>
      <c r="AP48" s="996"/>
      <c r="AQ48" s="996"/>
      <c r="AR48" s="996"/>
      <c r="AS48" s="996"/>
      <c r="AT48" s="996"/>
    </row>
    <row r="49" spans="1:16384" s="776" customFormat="1" ht="12.95" customHeight="1">
      <c r="A49" s="996"/>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6"/>
      <c r="AO49" s="996"/>
      <c r="AP49" s="996"/>
      <c r="AQ49" s="996"/>
      <c r="AR49" s="996"/>
      <c r="AS49" s="996"/>
      <c r="AT49" s="996"/>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2261</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2263</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2266</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6" t="s">
        <v>2268</v>
      </c>
      <c r="B74" s="996"/>
      <c r="C74" s="996"/>
      <c r="D74" s="996"/>
      <c r="E74" s="996"/>
      <c r="F74" s="996"/>
      <c r="G74" s="996"/>
      <c r="H74" s="996"/>
      <c r="I74" s="996"/>
      <c r="J74" s="996"/>
      <c r="K74" s="996"/>
      <c r="L74" s="996"/>
      <c r="M74" s="996"/>
      <c r="N74" s="996"/>
      <c r="O74" s="996"/>
      <c r="P74" s="996"/>
      <c r="Q74" s="996"/>
      <c r="R74" s="996"/>
      <c r="S74" s="996"/>
      <c r="T74" s="996"/>
      <c r="U74" s="996"/>
      <c r="V74" s="996"/>
      <c r="W74" s="996"/>
      <c r="X74" s="996"/>
      <c r="Y74" s="996"/>
      <c r="Z74" s="996"/>
      <c r="AA74" s="996"/>
      <c r="AB74" s="996"/>
      <c r="AC74" s="996"/>
      <c r="AD74" s="996"/>
      <c r="AE74" s="996"/>
      <c r="AF74" s="996"/>
      <c r="AG74" s="996"/>
      <c r="AH74" s="996"/>
      <c r="AI74" s="996"/>
      <c r="AJ74" s="996"/>
      <c r="AK74" s="996"/>
      <c r="AL74" s="996"/>
      <c r="AM74" s="996"/>
      <c r="AN74" s="996"/>
      <c r="AO74" s="996"/>
      <c r="AP74" s="996"/>
      <c r="AQ74" s="996"/>
      <c r="AR74" s="996"/>
      <c r="AS74" s="996"/>
      <c r="AT74" s="996"/>
    </row>
    <row r="75" spans="1:46" s="776" customFormat="1" ht="12.95" customHeight="1">
      <c r="A75" s="996"/>
      <c r="B75" s="996"/>
      <c r="C75" s="996"/>
      <c r="D75" s="996"/>
      <c r="E75" s="996"/>
      <c r="F75" s="996"/>
      <c r="G75" s="996"/>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c r="AL75" s="996"/>
      <c r="AM75" s="996"/>
      <c r="AN75" s="996"/>
      <c r="AO75" s="996"/>
      <c r="AP75" s="996"/>
      <c r="AQ75" s="996"/>
      <c r="AR75" s="996"/>
      <c r="AS75" s="996"/>
      <c r="AT75" s="996"/>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2269</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2270</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6" t="s">
        <v>2271</v>
      </c>
      <c r="B85" s="996"/>
      <c r="C85" s="996"/>
      <c r="D85" s="99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996"/>
      <c r="AE85" s="996"/>
      <c r="AF85" s="996"/>
      <c r="AG85" s="996"/>
      <c r="AH85" s="996"/>
      <c r="AI85" s="996"/>
      <c r="AJ85" s="996"/>
      <c r="AK85" s="996"/>
      <c r="AL85" s="996"/>
      <c r="AM85" s="996"/>
      <c r="AN85" s="996"/>
      <c r="AO85" s="996"/>
      <c r="AP85" s="996"/>
      <c r="AQ85" s="996"/>
      <c r="AR85" s="996"/>
      <c r="AS85" s="996"/>
      <c r="AT85" s="996"/>
    </row>
    <row r="86" spans="1:16384" s="776" customFormat="1" ht="12.95" customHeight="1">
      <c r="A86" s="996"/>
      <c r="B86" s="996"/>
      <c r="C86" s="996"/>
      <c r="D86" s="996"/>
      <c r="E86" s="996"/>
      <c r="F86" s="996"/>
      <c r="G86" s="996"/>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c r="AL86" s="996"/>
      <c r="AM86" s="996"/>
      <c r="AN86" s="996"/>
      <c r="AO86" s="996"/>
      <c r="AP86" s="996"/>
      <c r="AQ86" s="996"/>
      <c r="AR86" s="996"/>
      <c r="AS86" s="996"/>
      <c r="AT86" s="996"/>
    </row>
    <row r="87" spans="1:16384" ht="12.95" customHeight="1">
      <c r="AM87" s="19"/>
    </row>
    <row r="88" spans="1:16384" s="210" customFormat="1" ht="12.95" customHeight="1">
      <c r="A88" s="996" t="s">
        <v>2272</v>
      </c>
      <c r="B88" s="996"/>
      <c r="C88" s="996"/>
      <c r="D88" s="996"/>
      <c r="E88" s="996"/>
      <c r="F88" s="996"/>
      <c r="G88" s="996"/>
      <c r="H88" s="996"/>
      <c r="I88" s="996"/>
      <c r="J88" s="996"/>
      <c r="K88" s="996"/>
      <c r="L88" s="996"/>
      <c r="M88" s="996"/>
      <c r="N88" s="996"/>
      <c r="O88" s="996"/>
      <c r="P88" s="996"/>
      <c r="Q88" s="996"/>
      <c r="R88" s="996"/>
      <c r="S88" s="996"/>
      <c r="T88" s="996"/>
      <c r="U88" s="996"/>
      <c r="V88" s="996"/>
      <c r="W88" s="996"/>
      <c r="X88" s="996"/>
      <c r="Y88" s="996"/>
      <c r="Z88" s="996"/>
      <c r="AA88" s="996"/>
      <c r="AB88" s="996"/>
      <c r="AC88" s="996"/>
      <c r="AD88" s="996"/>
      <c r="AE88" s="996"/>
      <c r="AF88" s="996"/>
      <c r="AG88" s="996"/>
      <c r="AH88" s="996"/>
      <c r="AI88" s="996"/>
      <c r="AJ88" s="996"/>
      <c r="AK88" s="996"/>
      <c r="AL88" s="996"/>
      <c r="AM88" s="996"/>
      <c r="AN88" s="996"/>
      <c r="AO88" s="996"/>
      <c r="AP88" s="996"/>
      <c r="AQ88" s="996"/>
      <c r="AR88" s="996"/>
      <c r="AS88" s="996"/>
      <c r="AT88" s="996"/>
      <c r="AU88" s="996"/>
      <c r="AV88" s="996"/>
      <c r="AW88" s="996"/>
      <c r="AX88" s="996"/>
      <c r="AY88" s="996"/>
      <c r="AZ88" s="996"/>
      <c r="BA88" s="996"/>
      <c r="BB88" s="996"/>
      <c r="BC88" s="996"/>
      <c r="BD88" s="996"/>
      <c r="BE88" s="996"/>
      <c r="BF88" s="996"/>
      <c r="BG88" s="996"/>
      <c r="BH88" s="996"/>
      <c r="BI88" s="996"/>
      <c r="BJ88" s="996"/>
      <c r="BK88" s="996"/>
      <c r="BL88" s="996"/>
      <c r="BM88" s="996"/>
      <c r="BN88" s="996"/>
      <c r="BO88" s="996"/>
      <c r="BP88" s="996"/>
      <c r="BQ88" s="996"/>
      <c r="BR88" s="996"/>
      <c r="BS88" s="996"/>
      <c r="BT88" s="996"/>
      <c r="BU88" s="996"/>
      <c r="BV88" s="996"/>
      <c r="BW88" s="996"/>
      <c r="BX88" s="996"/>
      <c r="BY88" s="996"/>
      <c r="BZ88" s="996"/>
      <c r="CA88" s="996"/>
      <c r="CB88" s="996"/>
      <c r="CC88" s="996"/>
      <c r="CD88" s="996"/>
      <c r="CE88" s="996"/>
      <c r="CF88" s="996"/>
      <c r="CG88" s="996"/>
      <c r="CH88" s="996"/>
      <c r="CI88" s="996"/>
      <c r="CJ88" s="996"/>
      <c r="CK88" s="996"/>
      <c r="CL88" s="996"/>
      <c r="CM88" s="996"/>
      <c r="CN88" s="996"/>
      <c r="CO88" s="996"/>
      <c r="CP88" s="996"/>
      <c r="CQ88" s="996"/>
      <c r="CR88" s="996"/>
      <c r="CS88" s="996"/>
      <c r="CT88" s="996"/>
      <c r="CU88" s="996"/>
      <c r="CV88" s="996"/>
      <c r="CW88" s="996"/>
      <c r="CX88" s="996"/>
      <c r="CY88" s="996"/>
      <c r="CZ88" s="996"/>
      <c r="DA88" s="996"/>
      <c r="DB88" s="996"/>
      <c r="DC88" s="996"/>
      <c r="DD88" s="996"/>
      <c r="DE88" s="996"/>
      <c r="DF88" s="996"/>
      <c r="DG88" s="996"/>
      <c r="DH88" s="996"/>
      <c r="DI88" s="996"/>
      <c r="DJ88" s="996"/>
      <c r="DK88" s="996"/>
      <c r="DL88" s="996"/>
      <c r="DM88" s="996"/>
      <c r="DN88" s="996"/>
      <c r="DO88" s="996"/>
      <c r="DP88" s="996"/>
      <c r="DQ88" s="996"/>
      <c r="DR88" s="996"/>
      <c r="DS88" s="996"/>
      <c r="DT88" s="996"/>
      <c r="DU88" s="996"/>
      <c r="DV88" s="996"/>
      <c r="DW88" s="996"/>
      <c r="DX88" s="996"/>
      <c r="DY88" s="996"/>
      <c r="DZ88" s="996"/>
      <c r="EA88" s="996"/>
      <c r="EB88" s="996"/>
      <c r="EC88" s="996"/>
      <c r="ED88" s="996"/>
      <c r="EE88" s="996"/>
      <c r="EF88" s="996"/>
      <c r="EG88" s="996"/>
      <c r="EH88" s="996"/>
      <c r="EI88" s="996"/>
      <c r="EJ88" s="996"/>
      <c r="EK88" s="996"/>
      <c r="EL88" s="996"/>
      <c r="EM88" s="996"/>
      <c r="EN88" s="996"/>
      <c r="EO88" s="996"/>
      <c r="EP88" s="996"/>
      <c r="EQ88" s="996"/>
      <c r="ER88" s="996"/>
      <c r="ES88" s="996"/>
      <c r="ET88" s="996"/>
      <c r="EU88" s="996"/>
      <c r="EV88" s="996"/>
      <c r="EW88" s="996"/>
      <c r="EX88" s="996"/>
      <c r="EY88" s="996"/>
      <c r="EZ88" s="996"/>
      <c r="FA88" s="996"/>
      <c r="FB88" s="996"/>
      <c r="FC88" s="996"/>
      <c r="FD88" s="996"/>
      <c r="FE88" s="996"/>
      <c r="FF88" s="996"/>
      <c r="FG88" s="996"/>
      <c r="FH88" s="996"/>
      <c r="FI88" s="996"/>
      <c r="FJ88" s="996"/>
      <c r="FK88" s="996"/>
      <c r="FL88" s="996"/>
      <c r="FM88" s="996"/>
      <c r="FN88" s="996"/>
      <c r="FO88" s="996"/>
      <c r="FP88" s="996"/>
      <c r="FQ88" s="996"/>
      <c r="FR88" s="996"/>
      <c r="FS88" s="996"/>
      <c r="FT88" s="996"/>
      <c r="FU88" s="996"/>
      <c r="FV88" s="996"/>
      <c r="FW88" s="996"/>
      <c r="FX88" s="996"/>
      <c r="FY88" s="996"/>
      <c r="FZ88" s="996"/>
      <c r="GA88" s="996"/>
      <c r="GB88" s="996"/>
      <c r="GC88" s="996"/>
      <c r="GD88" s="996"/>
      <c r="GE88" s="996"/>
      <c r="GF88" s="996"/>
      <c r="GG88" s="996"/>
      <c r="GH88" s="996"/>
      <c r="GI88" s="996"/>
      <c r="GJ88" s="996"/>
      <c r="GK88" s="996"/>
      <c r="GL88" s="996"/>
      <c r="GM88" s="996"/>
      <c r="GN88" s="996"/>
      <c r="GO88" s="996"/>
      <c r="GP88" s="996"/>
      <c r="GQ88" s="996"/>
      <c r="GR88" s="996"/>
      <c r="GS88" s="996"/>
      <c r="GT88" s="996"/>
      <c r="GU88" s="996"/>
      <c r="GV88" s="996"/>
      <c r="GW88" s="996"/>
      <c r="GX88" s="996"/>
      <c r="GY88" s="996"/>
      <c r="GZ88" s="996"/>
      <c r="HA88" s="996"/>
      <c r="HB88" s="996"/>
      <c r="HC88" s="996"/>
      <c r="HD88" s="996"/>
      <c r="HE88" s="996"/>
      <c r="HF88" s="996"/>
      <c r="HG88" s="996"/>
      <c r="HH88" s="996"/>
      <c r="HI88" s="996"/>
      <c r="HJ88" s="996"/>
      <c r="HK88" s="996"/>
      <c r="HL88" s="996"/>
      <c r="HM88" s="996"/>
      <c r="HN88" s="996"/>
      <c r="HO88" s="996"/>
      <c r="HP88" s="996"/>
      <c r="HQ88" s="996"/>
      <c r="HR88" s="996"/>
      <c r="HS88" s="996"/>
      <c r="HT88" s="996"/>
      <c r="HU88" s="996"/>
      <c r="HV88" s="996"/>
      <c r="HW88" s="996"/>
      <c r="HX88" s="996"/>
      <c r="HY88" s="996"/>
      <c r="HZ88" s="996"/>
      <c r="IA88" s="996"/>
      <c r="IB88" s="996"/>
      <c r="IC88" s="996"/>
      <c r="ID88" s="996"/>
      <c r="IE88" s="996"/>
      <c r="IF88" s="996"/>
      <c r="IG88" s="996"/>
      <c r="IH88" s="996"/>
      <c r="II88" s="996"/>
      <c r="IJ88" s="996"/>
      <c r="IK88" s="996"/>
      <c r="IL88" s="996"/>
      <c r="IM88" s="996"/>
      <c r="IN88" s="996"/>
      <c r="IO88" s="996"/>
      <c r="IP88" s="996"/>
      <c r="IQ88" s="996"/>
      <c r="IR88" s="996"/>
      <c r="IS88" s="996"/>
      <c r="IT88" s="996"/>
      <c r="IU88" s="996"/>
      <c r="IV88" s="996"/>
      <c r="IW88" s="996"/>
      <c r="IX88" s="996"/>
      <c r="IY88" s="996"/>
      <c r="IZ88" s="996"/>
      <c r="JA88" s="996"/>
      <c r="JB88" s="996"/>
      <c r="JC88" s="996"/>
      <c r="JD88" s="996"/>
      <c r="JE88" s="996"/>
      <c r="JF88" s="996"/>
      <c r="JG88" s="996"/>
      <c r="JH88" s="996"/>
      <c r="JI88" s="996"/>
      <c r="JJ88" s="996"/>
      <c r="JK88" s="996"/>
      <c r="JL88" s="996"/>
      <c r="JM88" s="996"/>
      <c r="JN88" s="996"/>
      <c r="JO88" s="996"/>
      <c r="JP88" s="996"/>
      <c r="JQ88" s="996"/>
      <c r="JR88" s="996"/>
      <c r="JS88" s="996"/>
      <c r="JT88" s="996"/>
      <c r="JU88" s="996"/>
      <c r="JV88" s="996"/>
      <c r="JW88" s="996"/>
      <c r="JX88" s="996"/>
      <c r="JY88" s="996"/>
      <c r="JZ88" s="996"/>
      <c r="KA88" s="996"/>
      <c r="KB88" s="996"/>
      <c r="KC88" s="996"/>
      <c r="KD88" s="996"/>
      <c r="KE88" s="996"/>
      <c r="KF88" s="996"/>
      <c r="KG88" s="996"/>
      <c r="KH88" s="996"/>
      <c r="KI88" s="996"/>
      <c r="KJ88" s="996"/>
      <c r="KK88" s="996"/>
      <c r="KL88" s="996"/>
      <c r="KM88" s="996"/>
      <c r="KN88" s="996"/>
      <c r="KO88" s="996"/>
      <c r="KP88" s="996"/>
      <c r="KQ88" s="996"/>
      <c r="KR88" s="996"/>
      <c r="KS88" s="996"/>
      <c r="KT88" s="996"/>
      <c r="KU88" s="996"/>
      <c r="KV88" s="996"/>
      <c r="KW88" s="996"/>
      <c r="KX88" s="996"/>
      <c r="KY88" s="996"/>
      <c r="KZ88" s="996"/>
      <c r="LA88" s="996"/>
      <c r="LB88" s="996"/>
      <c r="LC88" s="996"/>
      <c r="LD88" s="996"/>
      <c r="LE88" s="996"/>
      <c r="LF88" s="996"/>
      <c r="LG88" s="996"/>
      <c r="LH88" s="996"/>
      <c r="LI88" s="996"/>
      <c r="LJ88" s="996"/>
      <c r="LK88" s="996"/>
      <c r="LL88" s="996"/>
      <c r="LM88" s="996"/>
      <c r="LN88" s="996"/>
      <c r="LO88" s="996"/>
      <c r="LP88" s="996"/>
      <c r="LQ88" s="996"/>
      <c r="LR88" s="996"/>
      <c r="LS88" s="996"/>
      <c r="LT88" s="996"/>
      <c r="LU88" s="996"/>
      <c r="LV88" s="996"/>
      <c r="LW88" s="996"/>
      <c r="LX88" s="996"/>
      <c r="LY88" s="996"/>
      <c r="LZ88" s="996"/>
      <c r="MA88" s="996"/>
      <c r="MB88" s="996"/>
      <c r="MC88" s="996"/>
      <c r="MD88" s="996"/>
      <c r="ME88" s="996"/>
      <c r="MF88" s="996"/>
      <c r="MG88" s="996"/>
      <c r="MH88" s="996"/>
      <c r="MI88" s="996"/>
      <c r="MJ88" s="996"/>
      <c r="MK88" s="996"/>
      <c r="ML88" s="996"/>
      <c r="MM88" s="996"/>
      <c r="MN88" s="996"/>
      <c r="MO88" s="996"/>
      <c r="MP88" s="996"/>
      <c r="MQ88" s="996"/>
      <c r="MR88" s="996"/>
      <c r="MS88" s="996"/>
      <c r="MT88" s="996"/>
      <c r="MU88" s="996"/>
      <c r="MV88" s="996"/>
      <c r="MW88" s="996"/>
      <c r="MX88" s="996"/>
      <c r="MY88" s="996"/>
      <c r="MZ88" s="996"/>
      <c r="NA88" s="996"/>
      <c r="NB88" s="996"/>
      <c r="NC88" s="996"/>
      <c r="ND88" s="996"/>
      <c r="NE88" s="996"/>
      <c r="NF88" s="996"/>
      <c r="NG88" s="996"/>
      <c r="NH88" s="996"/>
      <c r="NI88" s="996"/>
      <c r="NJ88" s="996"/>
      <c r="NK88" s="996"/>
      <c r="NL88" s="996"/>
      <c r="NM88" s="996"/>
      <c r="NN88" s="996"/>
      <c r="NO88" s="996"/>
      <c r="NP88" s="996"/>
      <c r="NQ88" s="996"/>
      <c r="NR88" s="996"/>
      <c r="NS88" s="996"/>
      <c r="NT88" s="996"/>
      <c r="NU88" s="996"/>
      <c r="NV88" s="996"/>
      <c r="NW88" s="996"/>
      <c r="NX88" s="996"/>
      <c r="NY88" s="996"/>
      <c r="NZ88" s="996"/>
      <c r="OA88" s="996"/>
      <c r="OB88" s="996"/>
      <c r="OC88" s="996"/>
      <c r="OD88" s="996"/>
      <c r="OE88" s="996"/>
      <c r="OF88" s="996"/>
      <c r="OG88" s="996"/>
      <c r="OH88" s="996"/>
      <c r="OI88" s="996"/>
      <c r="OJ88" s="996"/>
      <c r="OK88" s="996"/>
      <c r="OL88" s="996"/>
      <c r="OM88" s="996"/>
      <c r="ON88" s="996"/>
      <c r="OO88" s="996"/>
      <c r="OP88" s="996"/>
      <c r="OQ88" s="996"/>
      <c r="OR88" s="996"/>
      <c r="OS88" s="996"/>
      <c r="OT88" s="996"/>
      <c r="OU88" s="996"/>
      <c r="OV88" s="996"/>
      <c r="OW88" s="996"/>
      <c r="OX88" s="996"/>
      <c r="OY88" s="996"/>
      <c r="OZ88" s="996"/>
      <c r="PA88" s="996"/>
      <c r="PB88" s="996"/>
      <c r="PC88" s="996"/>
      <c r="PD88" s="996"/>
      <c r="PE88" s="996"/>
      <c r="PF88" s="996"/>
      <c r="PG88" s="996"/>
      <c r="PH88" s="996"/>
      <c r="PI88" s="996"/>
      <c r="PJ88" s="996"/>
      <c r="PK88" s="996"/>
      <c r="PL88" s="996"/>
      <c r="PM88" s="996"/>
      <c r="PN88" s="996"/>
      <c r="PO88" s="996"/>
      <c r="PP88" s="996"/>
      <c r="PQ88" s="996"/>
      <c r="PR88" s="996"/>
      <c r="PS88" s="996"/>
      <c r="PT88" s="996"/>
      <c r="PU88" s="996"/>
      <c r="PV88" s="996"/>
      <c r="PW88" s="996"/>
      <c r="PX88" s="996"/>
      <c r="PY88" s="996"/>
      <c r="PZ88" s="996"/>
      <c r="QA88" s="996"/>
      <c r="QB88" s="996"/>
      <c r="QC88" s="996"/>
      <c r="QD88" s="996"/>
      <c r="QE88" s="996"/>
      <c r="QF88" s="996"/>
      <c r="QG88" s="996"/>
      <c r="QH88" s="996"/>
      <c r="QI88" s="996"/>
      <c r="QJ88" s="996"/>
      <c r="QK88" s="996"/>
      <c r="QL88" s="996"/>
      <c r="QM88" s="996"/>
      <c r="QN88" s="996"/>
      <c r="QO88" s="996"/>
      <c r="QP88" s="996"/>
      <c r="QQ88" s="996"/>
      <c r="QR88" s="996"/>
      <c r="QS88" s="996"/>
      <c r="QT88" s="996"/>
      <c r="QU88" s="996"/>
      <c r="QV88" s="996"/>
      <c r="QW88" s="996"/>
      <c r="QX88" s="996"/>
      <c r="QY88" s="996"/>
      <c r="QZ88" s="996"/>
      <c r="RA88" s="996"/>
      <c r="RB88" s="996"/>
      <c r="RC88" s="996"/>
      <c r="RD88" s="996"/>
      <c r="RE88" s="996"/>
      <c r="RF88" s="996"/>
      <c r="RG88" s="996"/>
      <c r="RH88" s="996"/>
      <c r="RI88" s="996"/>
      <c r="RJ88" s="996"/>
      <c r="RK88" s="996"/>
      <c r="RL88" s="996"/>
      <c r="RM88" s="996"/>
      <c r="RN88" s="996"/>
      <c r="RO88" s="996"/>
      <c r="RP88" s="996"/>
      <c r="RQ88" s="996"/>
      <c r="RR88" s="996"/>
      <c r="RS88" s="996"/>
      <c r="RT88" s="996"/>
      <c r="RU88" s="996"/>
      <c r="RV88" s="996"/>
      <c r="RW88" s="996"/>
      <c r="RX88" s="996"/>
      <c r="RY88" s="996"/>
      <c r="RZ88" s="996"/>
      <c r="SA88" s="996"/>
      <c r="SB88" s="996"/>
      <c r="SC88" s="996"/>
      <c r="SD88" s="996"/>
      <c r="SE88" s="996"/>
      <c r="SF88" s="996"/>
      <c r="SG88" s="996"/>
      <c r="SH88" s="996"/>
      <c r="SI88" s="996"/>
      <c r="SJ88" s="996"/>
      <c r="SK88" s="996"/>
      <c r="SL88" s="996"/>
      <c r="SM88" s="996"/>
      <c r="SN88" s="996"/>
      <c r="SO88" s="996"/>
      <c r="SP88" s="996"/>
      <c r="SQ88" s="996"/>
      <c r="SR88" s="996"/>
      <c r="SS88" s="996"/>
      <c r="ST88" s="996"/>
      <c r="SU88" s="996"/>
      <c r="SV88" s="996"/>
      <c r="SW88" s="996"/>
      <c r="SX88" s="996"/>
      <c r="SY88" s="996"/>
      <c r="SZ88" s="996"/>
      <c r="TA88" s="996"/>
      <c r="TB88" s="996"/>
      <c r="TC88" s="996"/>
      <c r="TD88" s="996"/>
      <c r="TE88" s="996"/>
      <c r="TF88" s="996"/>
      <c r="TG88" s="996"/>
      <c r="TH88" s="996"/>
      <c r="TI88" s="996"/>
      <c r="TJ88" s="996"/>
      <c r="TK88" s="996"/>
      <c r="TL88" s="996"/>
      <c r="TM88" s="996"/>
      <c r="TN88" s="996"/>
      <c r="TO88" s="996"/>
      <c r="TP88" s="996"/>
      <c r="TQ88" s="996"/>
      <c r="TR88" s="996"/>
      <c r="TS88" s="996"/>
      <c r="TT88" s="996"/>
      <c r="TU88" s="996"/>
      <c r="TV88" s="996"/>
      <c r="TW88" s="996"/>
      <c r="TX88" s="996"/>
      <c r="TY88" s="996"/>
      <c r="TZ88" s="996"/>
      <c r="UA88" s="996"/>
      <c r="UB88" s="996"/>
      <c r="UC88" s="996"/>
      <c r="UD88" s="996"/>
      <c r="UE88" s="996"/>
      <c r="UF88" s="996"/>
      <c r="UG88" s="996"/>
      <c r="UH88" s="996"/>
      <c r="UI88" s="996"/>
      <c r="UJ88" s="996"/>
      <c r="UK88" s="996"/>
      <c r="UL88" s="996"/>
      <c r="UM88" s="996"/>
      <c r="UN88" s="996"/>
      <c r="UO88" s="996"/>
      <c r="UP88" s="996"/>
      <c r="UQ88" s="996"/>
      <c r="UR88" s="996"/>
      <c r="US88" s="996"/>
      <c r="UT88" s="996"/>
      <c r="UU88" s="996"/>
      <c r="UV88" s="996"/>
      <c r="UW88" s="996"/>
      <c r="UX88" s="996"/>
      <c r="UY88" s="996"/>
      <c r="UZ88" s="996"/>
      <c r="VA88" s="996"/>
      <c r="VB88" s="996"/>
      <c r="VC88" s="996"/>
      <c r="VD88" s="996"/>
      <c r="VE88" s="996"/>
      <c r="VF88" s="996"/>
      <c r="VG88" s="996"/>
      <c r="VH88" s="996"/>
      <c r="VI88" s="996"/>
      <c r="VJ88" s="996"/>
      <c r="VK88" s="996"/>
      <c r="VL88" s="996"/>
      <c r="VM88" s="996"/>
      <c r="VN88" s="996"/>
      <c r="VO88" s="996"/>
      <c r="VP88" s="996"/>
      <c r="VQ88" s="996"/>
      <c r="VR88" s="996"/>
      <c r="VS88" s="996"/>
      <c r="VT88" s="996"/>
      <c r="VU88" s="996"/>
      <c r="VV88" s="996"/>
      <c r="VW88" s="996"/>
      <c r="VX88" s="996"/>
      <c r="VY88" s="996"/>
      <c r="VZ88" s="996"/>
      <c r="WA88" s="996"/>
      <c r="WB88" s="996"/>
      <c r="WC88" s="996"/>
      <c r="WD88" s="996"/>
      <c r="WE88" s="996"/>
      <c r="WF88" s="996"/>
      <c r="WG88" s="996"/>
      <c r="WH88" s="996"/>
      <c r="WI88" s="996"/>
      <c r="WJ88" s="996"/>
      <c r="WK88" s="996"/>
      <c r="WL88" s="996"/>
      <c r="WM88" s="996"/>
      <c r="WN88" s="996"/>
      <c r="WO88" s="996"/>
      <c r="WP88" s="996"/>
      <c r="WQ88" s="996"/>
      <c r="WR88" s="996"/>
      <c r="WS88" s="996"/>
      <c r="WT88" s="996"/>
      <c r="WU88" s="996"/>
      <c r="WV88" s="996"/>
      <c r="WW88" s="996"/>
      <c r="WX88" s="996"/>
      <c r="WY88" s="996"/>
      <c r="WZ88" s="996"/>
      <c r="XA88" s="996"/>
      <c r="XB88" s="996"/>
      <c r="XC88" s="996"/>
      <c r="XD88" s="996"/>
      <c r="XE88" s="996"/>
      <c r="XF88" s="996"/>
      <c r="XG88" s="996"/>
      <c r="XH88" s="996"/>
      <c r="XI88" s="996"/>
      <c r="XJ88" s="996"/>
      <c r="XK88" s="996"/>
      <c r="XL88" s="996"/>
      <c r="XM88" s="996"/>
      <c r="XN88" s="996"/>
      <c r="XO88" s="996"/>
      <c r="XP88" s="996"/>
      <c r="XQ88" s="996"/>
      <c r="XR88" s="996"/>
      <c r="XS88" s="996"/>
      <c r="XT88" s="996"/>
      <c r="XU88" s="996"/>
      <c r="XV88" s="996"/>
      <c r="XW88" s="996"/>
      <c r="XX88" s="996"/>
      <c r="XY88" s="996"/>
      <c r="XZ88" s="996"/>
      <c r="YA88" s="996"/>
      <c r="YB88" s="996"/>
      <c r="YC88" s="996"/>
      <c r="YD88" s="996"/>
      <c r="YE88" s="996"/>
      <c r="YF88" s="996"/>
      <c r="YG88" s="996"/>
      <c r="YH88" s="996"/>
      <c r="YI88" s="996"/>
      <c r="YJ88" s="996"/>
      <c r="YK88" s="996"/>
      <c r="YL88" s="996"/>
      <c r="YM88" s="996"/>
      <c r="YN88" s="996"/>
      <c r="YO88" s="996"/>
      <c r="YP88" s="996"/>
      <c r="YQ88" s="996"/>
      <c r="YR88" s="996"/>
      <c r="YS88" s="996"/>
      <c r="YT88" s="996"/>
      <c r="YU88" s="996"/>
      <c r="YV88" s="996"/>
      <c r="YW88" s="996"/>
      <c r="YX88" s="996"/>
      <c r="YY88" s="996"/>
      <c r="YZ88" s="996"/>
      <c r="ZA88" s="996"/>
      <c r="ZB88" s="996"/>
      <c r="ZC88" s="996"/>
      <c r="ZD88" s="996"/>
      <c r="ZE88" s="996"/>
      <c r="ZF88" s="996"/>
      <c r="ZG88" s="996"/>
      <c r="ZH88" s="996"/>
      <c r="ZI88" s="996"/>
      <c r="ZJ88" s="996"/>
      <c r="ZK88" s="996"/>
      <c r="ZL88" s="996"/>
      <c r="ZM88" s="996"/>
      <c r="ZN88" s="996"/>
      <c r="ZO88" s="996"/>
      <c r="ZP88" s="996"/>
      <c r="ZQ88" s="996"/>
      <c r="ZR88" s="996"/>
      <c r="ZS88" s="996"/>
      <c r="ZT88" s="996"/>
      <c r="ZU88" s="996"/>
      <c r="ZV88" s="996"/>
      <c r="ZW88" s="996"/>
      <c r="ZX88" s="996"/>
      <c r="ZY88" s="996"/>
      <c r="ZZ88" s="996"/>
      <c r="AAA88" s="996"/>
      <c r="AAB88" s="996"/>
      <c r="AAC88" s="996"/>
      <c r="AAD88" s="996"/>
      <c r="AAE88" s="996"/>
      <c r="AAF88" s="996"/>
      <c r="AAG88" s="996"/>
      <c r="AAH88" s="996"/>
      <c r="AAI88" s="996"/>
      <c r="AAJ88" s="996"/>
      <c r="AAK88" s="996"/>
      <c r="AAL88" s="996"/>
      <c r="AAM88" s="996"/>
      <c r="AAN88" s="996"/>
      <c r="AAO88" s="996"/>
      <c r="AAP88" s="996"/>
      <c r="AAQ88" s="996"/>
      <c r="AAR88" s="996"/>
      <c r="AAS88" s="996"/>
      <c r="AAT88" s="996"/>
      <c r="AAU88" s="996"/>
      <c r="AAV88" s="996"/>
      <c r="AAW88" s="996"/>
      <c r="AAX88" s="996"/>
      <c r="AAY88" s="996"/>
      <c r="AAZ88" s="996"/>
      <c r="ABA88" s="996"/>
      <c r="ABB88" s="996"/>
      <c r="ABC88" s="996"/>
      <c r="ABD88" s="996"/>
      <c r="ABE88" s="996"/>
      <c r="ABF88" s="996"/>
      <c r="ABG88" s="996"/>
      <c r="ABH88" s="996"/>
      <c r="ABI88" s="996"/>
      <c r="ABJ88" s="996"/>
      <c r="ABK88" s="996"/>
      <c r="ABL88" s="996"/>
      <c r="ABM88" s="996"/>
      <c r="ABN88" s="996"/>
      <c r="ABO88" s="996"/>
      <c r="ABP88" s="996"/>
      <c r="ABQ88" s="996"/>
      <c r="ABR88" s="996"/>
      <c r="ABS88" s="996"/>
      <c r="ABT88" s="996"/>
      <c r="ABU88" s="996"/>
      <c r="ABV88" s="996"/>
      <c r="ABW88" s="996"/>
      <c r="ABX88" s="996"/>
      <c r="ABY88" s="996"/>
      <c r="ABZ88" s="996"/>
      <c r="ACA88" s="996"/>
      <c r="ACB88" s="996"/>
      <c r="ACC88" s="996"/>
      <c r="ACD88" s="996"/>
      <c r="ACE88" s="996"/>
      <c r="ACF88" s="996"/>
      <c r="ACG88" s="996"/>
      <c r="ACH88" s="996"/>
      <c r="ACI88" s="996"/>
      <c r="ACJ88" s="996"/>
      <c r="ACK88" s="996"/>
      <c r="ACL88" s="996"/>
      <c r="ACM88" s="996"/>
      <c r="ACN88" s="996"/>
      <c r="ACO88" s="996"/>
      <c r="ACP88" s="996"/>
      <c r="ACQ88" s="996"/>
      <c r="ACR88" s="996"/>
      <c r="ACS88" s="996"/>
      <c r="ACT88" s="996"/>
      <c r="ACU88" s="996"/>
      <c r="ACV88" s="996"/>
      <c r="ACW88" s="996"/>
      <c r="ACX88" s="996"/>
      <c r="ACY88" s="996"/>
      <c r="ACZ88" s="996"/>
      <c r="ADA88" s="996"/>
      <c r="ADB88" s="996"/>
      <c r="ADC88" s="996"/>
      <c r="ADD88" s="996"/>
      <c r="ADE88" s="996"/>
      <c r="ADF88" s="996"/>
      <c r="ADG88" s="996"/>
      <c r="ADH88" s="996"/>
      <c r="ADI88" s="996"/>
      <c r="ADJ88" s="996"/>
      <c r="ADK88" s="996"/>
      <c r="ADL88" s="996"/>
      <c r="ADM88" s="996"/>
      <c r="ADN88" s="996"/>
      <c r="ADO88" s="996"/>
      <c r="ADP88" s="996"/>
      <c r="ADQ88" s="996"/>
      <c r="ADR88" s="996"/>
      <c r="ADS88" s="996"/>
      <c r="ADT88" s="996"/>
      <c r="ADU88" s="996"/>
      <c r="ADV88" s="996"/>
      <c r="ADW88" s="996"/>
      <c r="ADX88" s="996"/>
      <c r="ADY88" s="996"/>
      <c r="ADZ88" s="996"/>
      <c r="AEA88" s="996"/>
      <c r="AEB88" s="996"/>
      <c r="AEC88" s="996"/>
      <c r="AED88" s="996"/>
      <c r="AEE88" s="996"/>
      <c r="AEF88" s="996"/>
      <c r="AEG88" s="996"/>
      <c r="AEH88" s="996"/>
      <c r="AEI88" s="996"/>
      <c r="AEJ88" s="996"/>
      <c r="AEK88" s="996"/>
      <c r="AEL88" s="996"/>
      <c r="AEM88" s="996"/>
      <c r="AEN88" s="996"/>
      <c r="AEO88" s="996"/>
      <c r="AEP88" s="996"/>
      <c r="AEQ88" s="996"/>
      <c r="AER88" s="996"/>
      <c r="AES88" s="996"/>
      <c r="AET88" s="996"/>
      <c r="AEU88" s="996"/>
      <c r="AEV88" s="996"/>
      <c r="AEW88" s="996"/>
      <c r="AEX88" s="996"/>
      <c r="AEY88" s="996"/>
      <c r="AEZ88" s="996"/>
      <c r="AFA88" s="996"/>
      <c r="AFB88" s="996"/>
      <c r="AFC88" s="996"/>
      <c r="AFD88" s="996"/>
      <c r="AFE88" s="996"/>
      <c r="AFF88" s="996"/>
      <c r="AFG88" s="996"/>
      <c r="AFH88" s="996"/>
      <c r="AFI88" s="996"/>
      <c r="AFJ88" s="996"/>
      <c r="AFK88" s="996"/>
      <c r="AFL88" s="996"/>
      <c r="AFM88" s="996"/>
      <c r="AFN88" s="996"/>
      <c r="AFO88" s="996"/>
      <c r="AFP88" s="996"/>
      <c r="AFQ88" s="996"/>
      <c r="AFR88" s="996"/>
      <c r="AFS88" s="996"/>
      <c r="AFT88" s="996"/>
      <c r="AFU88" s="996"/>
      <c r="AFV88" s="996"/>
      <c r="AFW88" s="996"/>
      <c r="AFX88" s="996"/>
      <c r="AFY88" s="996"/>
      <c r="AFZ88" s="996"/>
      <c r="AGA88" s="996"/>
      <c r="AGB88" s="996"/>
      <c r="AGC88" s="996"/>
      <c r="AGD88" s="996"/>
      <c r="AGE88" s="996"/>
      <c r="AGF88" s="996"/>
      <c r="AGG88" s="996"/>
      <c r="AGH88" s="996"/>
      <c r="AGI88" s="996"/>
      <c r="AGJ88" s="996"/>
      <c r="AGK88" s="996"/>
      <c r="AGL88" s="996"/>
      <c r="AGM88" s="996"/>
      <c r="AGN88" s="996"/>
      <c r="AGO88" s="996"/>
      <c r="AGP88" s="996"/>
      <c r="AGQ88" s="996"/>
      <c r="AGR88" s="996"/>
      <c r="AGS88" s="996"/>
      <c r="AGT88" s="996"/>
      <c r="AGU88" s="996"/>
      <c r="AGV88" s="996"/>
      <c r="AGW88" s="996"/>
      <c r="AGX88" s="996"/>
      <c r="AGY88" s="996"/>
      <c r="AGZ88" s="996"/>
      <c r="AHA88" s="996"/>
      <c r="AHB88" s="996"/>
      <c r="AHC88" s="996"/>
      <c r="AHD88" s="996"/>
      <c r="AHE88" s="996"/>
      <c r="AHF88" s="996"/>
      <c r="AHG88" s="996"/>
      <c r="AHH88" s="996"/>
      <c r="AHI88" s="996"/>
      <c r="AHJ88" s="996"/>
      <c r="AHK88" s="996"/>
      <c r="AHL88" s="996"/>
      <c r="AHM88" s="996"/>
      <c r="AHN88" s="996"/>
      <c r="AHO88" s="996"/>
      <c r="AHP88" s="996"/>
      <c r="AHQ88" s="996"/>
      <c r="AHR88" s="996"/>
      <c r="AHS88" s="996"/>
      <c r="AHT88" s="996"/>
      <c r="AHU88" s="996"/>
      <c r="AHV88" s="996"/>
      <c r="AHW88" s="996"/>
      <c r="AHX88" s="996"/>
      <c r="AHY88" s="996"/>
      <c r="AHZ88" s="996"/>
      <c r="AIA88" s="996"/>
      <c r="AIB88" s="996"/>
      <c r="AIC88" s="996"/>
      <c r="AID88" s="996"/>
      <c r="AIE88" s="996"/>
      <c r="AIF88" s="996"/>
      <c r="AIG88" s="996"/>
      <c r="AIH88" s="996"/>
      <c r="AII88" s="996"/>
      <c r="AIJ88" s="996"/>
      <c r="AIK88" s="996"/>
      <c r="AIL88" s="996"/>
      <c r="AIM88" s="996"/>
      <c r="AIN88" s="996"/>
      <c r="AIO88" s="996"/>
      <c r="AIP88" s="996"/>
      <c r="AIQ88" s="996"/>
      <c r="AIR88" s="996"/>
      <c r="AIS88" s="996"/>
      <c r="AIT88" s="996"/>
      <c r="AIU88" s="996"/>
      <c r="AIV88" s="996"/>
      <c r="AIW88" s="996"/>
      <c r="AIX88" s="996"/>
      <c r="AIY88" s="996"/>
      <c r="AIZ88" s="996"/>
      <c r="AJA88" s="996"/>
      <c r="AJB88" s="996"/>
      <c r="AJC88" s="996"/>
      <c r="AJD88" s="996"/>
      <c r="AJE88" s="996"/>
      <c r="AJF88" s="996"/>
      <c r="AJG88" s="996"/>
      <c r="AJH88" s="996"/>
      <c r="AJI88" s="996"/>
      <c r="AJJ88" s="996"/>
      <c r="AJK88" s="996"/>
      <c r="AJL88" s="996"/>
      <c r="AJM88" s="996"/>
      <c r="AJN88" s="996"/>
      <c r="AJO88" s="996"/>
      <c r="AJP88" s="996"/>
      <c r="AJQ88" s="996"/>
      <c r="AJR88" s="996"/>
      <c r="AJS88" s="996"/>
      <c r="AJT88" s="996"/>
      <c r="AJU88" s="996"/>
      <c r="AJV88" s="996"/>
      <c r="AJW88" s="996"/>
      <c r="AJX88" s="996"/>
      <c r="AJY88" s="996"/>
      <c r="AJZ88" s="996"/>
      <c r="AKA88" s="996"/>
      <c r="AKB88" s="996"/>
      <c r="AKC88" s="996"/>
      <c r="AKD88" s="996"/>
      <c r="AKE88" s="996"/>
      <c r="AKF88" s="996"/>
      <c r="AKG88" s="996"/>
      <c r="AKH88" s="996"/>
      <c r="AKI88" s="996"/>
      <c r="AKJ88" s="996"/>
      <c r="AKK88" s="996"/>
      <c r="AKL88" s="996"/>
      <c r="AKM88" s="996"/>
      <c r="AKN88" s="996"/>
      <c r="AKO88" s="996"/>
      <c r="AKP88" s="996"/>
      <c r="AKQ88" s="996"/>
      <c r="AKR88" s="996"/>
      <c r="AKS88" s="996"/>
      <c r="AKT88" s="996"/>
      <c r="AKU88" s="996"/>
      <c r="AKV88" s="996"/>
      <c r="AKW88" s="996"/>
      <c r="AKX88" s="996"/>
      <c r="AKY88" s="996"/>
      <c r="AKZ88" s="996"/>
      <c r="ALA88" s="996"/>
      <c r="ALB88" s="996"/>
      <c r="ALC88" s="996"/>
      <c r="ALD88" s="996"/>
      <c r="ALE88" s="996"/>
      <c r="ALF88" s="996"/>
      <c r="ALG88" s="996"/>
      <c r="ALH88" s="996"/>
      <c r="ALI88" s="996"/>
      <c r="ALJ88" s="996"/>
      <c r="ALK88" s="996"/>
      <c r="ALL88" s="996"/>
      <c r="ALM88" s="996"/>
      <c r="ALN88" s="996"/>
      <c r="ALO88" s="996"/>
      <c r="ALP88" s="996"/>
      <c r="ALQ88" s="996"/>
      <c r="ALR88" s="996"/>
      <c r="ALS88" s="996"/>
      <c r="ALT88" s="996"/>
      <c r="ALU88" s="996"/>
      <c r="ALV88" s="996"/>
      <c r="ALW88" s="996"/>
      <c r="ALX88" s="996"/>
      <c r="ALY88" s="996"/>
      <c r="ALZ88" s="996"/>
      <c r="AMA88" s="996"/>
      <c r="AMB88" s="996"/>
      <c r="AMC88" s="996"/>
      <c r="AMD88" s="996"/>
      <c r="AME88" s="996"/>
      <c r="AMF88" s="996"/>
      <c r="AMG88" s="996"/>
      <c r="AMH88" s="996"/>
      <c r="AMI88" s="996"/>
      <c r="AMJ88" s="996"/>
      <c r="AMK88" s="996"/>
      <c r="AML88" s="996"/>
      <c r="AMM88" s="996"/>
      <c r="AMN88" s="996"/>
      <c r="AMO88" s="996"/>
      <c r="AMP88" s="996"/>
      <c r="AMQ88" s="996"/>
      <c r="AMR88" s="996"/>
      <c r="AMS88" s="996"/>
      <c r="AMT88" s="996"/>
      <c r="AMU88" s="996"/>
      <c r="AMV88" s="996"/>
      <c r="AMW88" s="996"/>
      <c r="AMX88" s="996"/>
      <c r="AMY88" s="996"/>
      <c r="AMZ88" s="996"/>
      <c r="ANA88" s="996"/>
      <c r="ANB88" s="996"/>
      <c r="ANC88" s="996"/>
      <c r="AND88" s="996"/>
      <c r="ANE88" s="996"/>
      <c r="ANF88" s="996"/>
      <c r="ANG88" s="996"/>
      <c r="ANH88" s="996"/>
      <c r="ANI88" s="996"/>
      <c r="ANJ88" s="996"/>
      <c r="ANK88" s="996"/>
      <c r="ANL88" s="996"/>
      <c r="ANM88" s="996"/>
      <c r="ANN88" s="996"/>
      <c r="ANO88" s="996"/>
      <c r="ANP88" s="996"/>
      <c r="ANQ88" s="996"/>
      <c r="ANR88" s="996"/>
      <c r="ANS88" s="996"/>
      <c r="ANT88" s="996"/>
      <c r="ANU88" s="996"/>
      <c r="ANV88" s="996"/>
      <c r="ANW88" s="996"/>
      <c r="ANX88" s="996"/>
      <c r="ANY88" s="996"/>
      <c r="ANZ88" s="996"/>
      <c r="AOA88" s="996"/>
      <c r="AOB88" s="996"/>
      <c r="AOC88" s="996"/>
      <c r="AOD88" s="996"/>
      <c r="AOE88" s="996"/>
      <c r="AOF88" s="996"/>
      <c r="AOG88" s="996"/>
      <c r="AOH88" s="996"/>
      <c r="AOI88" s="996"/>
      <c r="AOJ88" s="996"/>
      <c r="AOK88" s="996"/>
      <c r="AOL88" s="996"/>
      <c r="AOM88" s="996"/>
      <c r="AON88" s="996"/>
      <c r="AOO88" s="996"/>
      <c r="AOP88" s="996"/>
      <c r="AOQ88" s="996"/>
      <c r="AOR88" s="996"/>
      <c r="AOS88" s="996"/>
      <c r="AOT88" s="996"/>
      <c r="AOU88" s="996"/>
      <c r="AOV88" s="996"/>
      <c r="AOW88" s="996"/>
      <c r="AOX88" s="996"/>
      <c r="AOY88" s="996"/>
      <c r="AOZ88" s="996"/>
      <c r="APA88" s="996"/>
      <c r="APB88" s="996"/>
      <c r="APC88" s="996"/>
      <c r="APD88" s="996"/>
      <c r="APE88" s="996"/>
      <c r="APF88" s="996"/>
      <c r="APG88" s="996"/>
      <c r="APH88" s="996"/>
      <c r="API88" s="996"/>
      <c r="APJ88" s="996"/>
      <c r="APK88" s="996"/>
      <c r="APL88" s="996"/>
      <c r="APM88" s="996"/>
      <c r="APN88" s="996"/>
      <c r="APO88" s="996"/>
      <c r="APP88" s="996"/>
      <c r="APQ88" s="996"/>
      <c r="APR88" s="996"/>
      <c r="APS88" s="996"/>
      <c r="APT88" s="996"/>
      <c r="APU88" s="996"/>
      <c r="APV88" s="996"/>
      <c r="APW88" s="996"/>
      <c r="APX88" s="996"/>
      <c r="APY88" s="996"/>
      <c r="APZ88" s="996"/>
      <c r="AQA88" s="996"/>
      <c r="AQB88" s="996"/>
      <c r="AQC88" s="996"/>
      <c r="AQD88" s="996"/>
      <c r="AQE88" s="996"/>
      <c r="AQF88" s="996"/>
      <c r="AQG88" s="996"/>
      <c r="AQH88" s="996"/>
      <c r="AQI88" s="996"/>
      <c r="AQJ88" s="996"/>
      <c r="AQK88" s="996"/>
      <c r="AQL88" s="996"/>
      <c r="AQM88" s="996"/>
      <c r="AQN88" s="996"/>
      <c r="AQO88" s="996"/>
      <c r="AQP88" s="996"/>
      <c r="AQQ88" s="996"/>
      <c r="AQR88" s="996"/>
      <c r="AQS88" s="996"/>
      <c r="AQT88" s="996"/>
      <c r="AQU88" s="996"/>
      <c r="AQV88" s="996"/>
      <c r="AQW88" s="996"/>
      <c r="AQX88" s="996"/>
      <c r="AQY88" s="996"/>
      <c r="AQZ88" s="996"/>
      <c r="ARA88" s="996"/>
      <c r="ARB88" s="996"/>
      <c r="ARC88" s="996"/>
      <c r="ARD88" s="996"/>
      <c r="ARE88" s="996"/>
      <c r="ARF88" s="996"/>
      <c r="ARG88" s="996"/>
      <c r="ARH88" s="996"/>
      <c r="ARI88" s="996"/>
      <c r="ARJ88" s="996"/>
      <c r="ARK88" s="996"/>
      <c r="ARL88" s="996"/>
      <c r="ARM88" s="996"/>
      <c r="ARN88" s="996"/>
      <c r="ARO88" s="996"/>
      <c r="ARP88" s="996"/>
      <c r="ARQ88" s="996"/>
      <c r="ARR88" s="996"/>
      <c r="ARS88" s="996"/>
      <c r="ART88" s="996"/>
      <c r="ARU88" s="996"/>
      <c r="ARV88" s="996"/>
      <c r="ARW88" s="996"/>
      <c r="ARX88" s="996"/>
      <c r="ARY88" s="996"/>
      <c r="ARZ88" s="996"/>
      <c r="ASA88" s="996"/>
      <c r="ASB88" s="996"/>
      <c r="ASC88" s="996"/>
      <c r="ASD88" s="996"/>
      <c r="ASE88" s="996"/>
      <c r="ASF88" s="996"/>
      <c r="ASG88" s="996"/>
      <c r="ASH88" s="996"/>
      <c r="ASI88" s="996"/>
      <c r="ASJ88" s="996"/>
      <c r="ASK88" s="996"/>
      <c r="ASL88" s="996"/>
      <c r="ASM88" s="996"/>
      <c r="ASN88" s="996"/>
      <c r="ASO88" s="996"/>
      <c r="ASP88" s="996"/>
      <c r="ASQ88" s="996"/>
      <c r="ASR88" s="996"/>
      <c r="ASS88" s="996"/>
      <c r="AST88" s="996"/>
      <c r="ASU88" s="996"/>
      <c r="ASV88" s="996"/>
      <c r="ASW88" s="996"/>
      <c r="ASX88" s="996"/>
      <c r="ASY88" s="996"/>
      <c r="ASZ88" s="996"/>
      <c r="ATA88" s="996"/>
      <c r="ATB88" s="996"/>
      <c r="ATC88" s="996"/>
      <c r="ATD88" s="996"/>
      <c r="ATE88" s="996"/>
      <c r="ATF88" s="996"/>
      <c r="ATG88" s="996"/>
      <c r="ATH88" s="996"/>
      <c r="ATI88" s="996"/>
      <c r="ATJ88" s="996"/>
      <c r="ATK88" s="996"/>
      <c r="ATL88" s="996"/>
      <c r="ATM88" s="996"/>
      <c r="ATN88" s="996"/>
      <c r="ATO88" s="996"/>
      <c r="ATP88" s="996"/>
      <c r="ATQ88" s="996"/>
      <c r="ATR88" s="996"/>
      <c r="ATS88" s="996"/>
      <c r="ATT88" s="996"/>
      <c r="ATU88" s="996"/>
      <c r="ATV88" s="996"/>
      <c r="ATW88" s="996"/>
      <c r="ATX88" s="996"/>
      <c r="ATY88" s="996"/>
      <c r="ATZ88" s="996"/>
      <c r="AUA88" s="996"/>
      <c r="AUB88" s="996"/>
      <c r="AUC88" s="996"/>
      <c r="AUD88" s="996"/>
      <c r="AUE88" s="996"/>
      <c r="AUF88" s="996"/>
      <c r="AUG88" s="996"/>
      <c r="AUH88" s="996"/>
      <c r="AUI88" s="996"/>
      <c r="AUJ88" s="996"/>
      <c r="AUK88" s="996"/>
      <c r="AUL88" s="996"/>
      <c r="AUM88" s="996"/>
      <c r="AUN88" s="996"/>
      <c r="AUO88" s="996"/>
      <c r="AUP88" s="996"/>
      <c r="AUQ88" s="996"/>
      <c r="AUR88" s="996"/>
      <c r="AUS88" s="996"/>
      <c r="AUT88" s="996"/>
      <c r="AUU88" s="996"/>
      <c r="AUV88" s="996"/>
      <c r="AUW88" s="996"/>
      <c r="AUX88" s="996"/>
      <c r="AUY88" s="996"/>
      <c r="AUZ88" s="996"/>
      <c r="AVA88" s="996"/>
      <c r="AVB88" s="996"/>
      <c r="AVC88" s="996"/>
      <c r="AVD88" s="996"/>
      <c r="AVE88" s="996"/>
      <c r="AVF88" s="996"/>
      <c r="AVG88" s="996"/>
      <c r="AVH88" s="996"/>
      <c r="AVI88" s="996"/>
      <c r="AVJ88" s="996"/>
      <c r="AVK88" s="996"/>
      <c r="AVL88" s="996"/>
      <c r="AVM88" s="996"/>
      <c r="AVN88" s="996"/>
      <c r="AVO88" s="996"/>
      <c r="AVP88" s="996"/>
      <c r="AVQ88" s="996"/>
      <c r="AVR88" s="996"/>
      <c r="AVS88" s="996"/>
      <c r="AVT88" s="996"/>
      <c r="AVU88" s="996"/>
      <c r="AVV88" s="996"/>
      <c r="AVW88" s="996"/>
      <c r="AVX88" s="996"/>
      <c r="AVY88" s="996"/>
      <c r="AVZ88" s="996"/>
      <c r="AWA88" s="996"/>
      <c r="AWB88" s="996"/>
      <c r="AWC88" s="996"/>
      <c r="AWD88" s="996"/>
      <c r="AWE88" s="996"/>
      <c r="AWF88" s="996"/>
      <c r="AWG88" s="996"/>
      <c r="AWH88" s="996"/>
      <c r="AWI88" s="996"/>
      <c r="AWJ88" s="996"/>
      <c r="AWK88" s="996"/>
      <c r="AWL88" s="996"/>
      <c r="AWM88" s="996"/>
      <c r="AWN88" s="996"/>
      <c r="AWO88" s="996"/>
      <c r="AWP88" s="996"/>
      <c r="AWQ88" s="996"/>
      <c r="AWR88" s="996"/>
      <c r="AWS88" s="996"/>
      <c r="AWT88" s="996"/>
      <c r="AWU88" s="996"/>
      <c r="AWV88" s="996"/>
      <c r="AWW88" s="996"/>
      <c r="AWX88" s="996"/>
      <c r="AWY88" s="996"/>
      <c r="AWZ88" s="996"/>
      <c r="AXA88" s="996"/>
      <c r="AXB88" s="996"/>
      <c r="AXC88" s="996"/>
      <c r="AXD88" s="996"/>
      <c r="AXE88" s="996"/>
      <c r="AXF88" s="996"/>
      <c r="AXG88" s="996"/>
      <c r="AXH88" s="996"/>
      <c r="AXI88" s="996"/>
      <c r="AXJ88" s="996"/>
      <c r="AXK88" s="996"/>
      <c r="AXL88" s="996"/>
      <c r="AXM88" s="996"/>
      <c r="AXN88" s="996"/>
      <c r="AXO88" s="996"/>
      <c r="AXP88" s="996"/>
      <c r="AXQ88" s="996"/>
      <c r="AXR88" s="996"/>
      <c r="AXS88" s="996"/>
      <c r="AXT88" s="996"/>
      <c r="AXU88" s="996"/>
      <c r="AXV88" s="996"/>
      <c r="AXW88" s="996"/>
      <c r="AXX88" s="996"/>
      <c r="AXY88" s="996"/>
      <c r="AXZ88" s="996"/>
      <c r="AYA88" s="996"/>
      <c r="AYB88" s="996"/>
      <c r="AYC88" s="996"/>
      <c r="AYD88" s="996"/>
      <c r="AYE88" s="996"/>
      <c r="AYF88" s="996"/>
      <c r="AYG88" s="996"/>
      <c r="AYH88" s="996"/>
      <c r="AYI88" s="996"/>
      <c r="AYJ88" s="996"/>
      <c r="AYK88" s="996"/>
      <c r="AYL88" s="996"/>
      <c r="AYM88" s="996"/>
      <c r="AYN88" s="996"/>
      <c r="AYO88" s="996"/>
      <c r="AYP88" s="996"/>
      <c r="AYQ88" s="996"/>
      <c r="AYR88" s="996"/>
      <c r="AYS88" s="996"/>
      <c r="AYT88" s="996"/>
      <c r="AYU88" s="996"/>
      <c r="AYV88" s="996"/>
      <c r="AYW88" s="996"/>
      <c r="AYX88" s="996"/>
      <c r="AYY88" s="996"/>
      <c r="AYZ88" s="996"/>
      <c r="AZA88" s="996"/>
      <c r="AZB88" s="996"/>
      <c r="AZC88" s="996"/>
      <c r="AZD88" s="996"/>
      <c r="AZE88" s="996"/>
      <c r="AZF88" s="996"/>
      <c r="AZG88" s="996"/>
      <c r="AZH88" s="996"/>
      <c r="AZI88" s="996"/>
      <c r="AZJ88" s="996"/>
      <c r="AZK88" s="996"/>
      <c r="AZL88" s="996"/>
      <c r="AZM88" s="996"/>
      <c r="AZN88" s="996"/>
      <c r="AZO88" s="996"/>
      <c r="AZP88" s="996"/>
      <c r="AZQ88" s="996"/>
      <c r="AZR88" s="996"/>
      <c r="AZS88" s="996"/>
      <c r="AZT88" s="996"/>
      <c r="AZU88" s="996"/>
      <c r="AZV88" s="996"/>
      <c r="AZW88" s="996"/>
      <c r="AZX88" s="996"/>
      <c r="AZY88" s="996"/>
      <c r="AZZ88" s="996"/>
      <c r="BAA88" s="996"/>
      <c r="BAB88" s="996"/>
      <c r="BAC88" s="996"/>
      <c r="BAD88" s="996"/>
      <c r="BAE88" s="996"/>
      <c r="BAF88" s="996"/>
      <c r="BAG88" s="996"/>
      <c r="BAH88" s="996"/>
      <c r="BAI88" s="996"/>
      <c r="BAJ88" s="996"/>
      <c r="BAK88" s="996"/>
      <c r="BAL88" s="996"/>
      <c r="BAM88" s="996"/>
      <c r="BAN88" s="996"/>
      <c r="BAO88" s="996"/>
      <c r="BAP88" s="996"/>
      <c r="BAQ88" s="996"/>
      <c r="BAR88" s="996"/>
      <c r="BAS88" s="996"/>
      <c r="BAT88" s="996"/>
      <c r="BAU88" s="996"/>
      <c r="BAV88" s="996"/>
      <c r="BAW88" s="996"/>
      <c r="BAX88" s="996"/>
      <c r="BAY88" s="996"/>
      <c r="BAZ88" s="996"/>
      <c r="BBA88" s="996"/>
      <c r="BBB88" s="996"/>
      <c r="BBC88" s="996"/>
      <c r="BBD88" s="996"/>
      <c r="BBE88" s="996"/>
      <c r="BBF88" s="996"/>
      <c r="BBG88" s="996"/>
      <c r="BBH88" s="996"/>
      <c r="BBI88" s="996"/>
      <c r="BBJ88" s="996"/>
      <c r="BBK88" s="996"/>
      <c r="BBL88" s="996"/>
      <c r="BBM88" s="996"/>
      <c r="BBN88" s="996"/>
      <c r="BBO88" s="996"/>
      <c r="BBP88" s="996"/>
      <c r="BBQ88" s="996"/>
      <c r="BBR88" s="996"/>
      <c r="BBS88" s="996"/>
      <c r="BBT88" s="996"/>
      <c r="BBU88" s="996"/>
      <c r="BBV88" s="996"/>
      <c r="BBW88" s="996"/>
      <c r="BBX88" s="996"/>
      <c r="BBY88" s="996"/>
      <c r="BBZ88" s="996"/>
      <c r="BCA88" s="996"/>
      <c r="BCB88" s="996"/>
      <c r="BCC88" s="996"/>
      <c r="BCD88" s="996"/>
      <c r="BCE88" s="996"/>
      <c r="BCF88" s="996"/>
      <c r="BCG88" s="996"/>
      <c r="BCH88" s="996"/>
      <c r="BCI88" s="996"/>
      <c r="BCJ88" s="996"/>
      <c r="BCK88" s="996"/>
      <c r="BCL88" s="996"/>
      <c r="BCM88" s="996"/>
      <c r="BCN88" s="996"/>
      <c r="BCO88" s="996"/>
      <c r="BCP88" s="996"/>
      <c r="BCQ88" s="996"/>
      <c r="BCR88" s="996"/>
      <c r="BCS88" s="996"/>
      <c r="BCT88" s="996"/>
      <c r="BCU88" s="996"/>
      <c r="BCV88" s="996"/>
      <c r="BCW88" s="996"/>
      <c r="BCX88" s="996"/>
      <c r="BCY88" s="996"/>
      <c r="BCZ88" s="996"/>
      <c r="BDA88" s="996"/>
      <c r="BDB88" s="996"/>
      <c r="BDC88" s="996"/>
      <c r="BDD88" s="996"/>
      <c r="BDE88" s="996"/>
      <c r="BDF88" s="996"/>
      <c r="BDG88" s="996"/>
      <c r="BDH88" s="996"/>
      <c r="BDI88" s="996"/>
      <c r="BDJ88" s="996"/>
      <c r="BDK88" s="996"/>
      <c r="BDL88" s="996"/>
      <c r="BDM88" s="996"/>
      <c r="BDN88" s="996"/>
      <c r="BDO88" s="996"/>
      <c r="BDP88" s="996"/>
      <c r="BDQ88" s="996"/>
      <c r="BDR88" s="996"/>
      <c r="BDS88" s="996"/>
      <c r="BDT88" s="996"/>
      <c r="BDU88" s="996"/>
      <c r="BDV88" s="996"/>
      <c r="BDW88" s="996"/>
      <c r="BDX88" s="996"/>
      <c r="BDY88" s="996"/>
      <c r="BDZ88" s="996"/>
      <c r="BEA88" s="996"/>
      <c r="BEB88" s="996"/>
      <c r="BEC88" s="996"/>
      <c r="BED88" s="996"/>
      <c r="BEE88" s="996"/>
      <c r="BEF88" s="996"/>
      <c r="BEG88" s="996"/>
      <c r="BEH88" s="996"/>
      <c r="BEI88" s="996"/>
      <c r="BEJ88" s="996"/>
      <c r="BEK88" s="996"/>
      <c r="BEL88" s="996"/>
      <c r="BEM88" s="996"/>
      <c r="BEN88" s="996"/>
      <c r="BEO88" s="996"/>
      <c r="BEP88" s="996"/>
      <c r="BEQ88" s="996"/>
      <c r="BER88" s="996"/>
      <c r="BES88" s="996"/>
      <c r="BET88" s="996"/>
      <c r="BEU88" s="996"/>
      <c r="BEV88" s="996"/>
      <c r="BEW88" s="996"/>
      <c r="BEX88" s="996"/>
      <c r="BEY88" s="996"/>
      <c r="BEZ88" s="996"/>
      <c r="BFA88" s="996"/>
      <c r="BFB88" s="996"/>
      <c r="BFC88" s="996"/>
      <c r="BFD88" s="996"/>
      <c r="BFE88" s="996"/>
      <c r="BFF88" s="996"/>
      <c r="BFG88" s="996"/>
      <c r="BFH88" s="996"/>
      <c r="BFI88" s="996"/>
      <c r="BFJ88" s="996"/>
      <c r="BFK88" s="996"/>
      <c r="BFL88" s="996"/>
      <c r="BFM88" s="996"/>
      <c r="BFN88" s="996"/>
      <c r="BFO88" s="996"/>
      <c r="BFP88" s="996"/>
      <c r="BFQ88" s="996"/>
      <c r="BFR88" s="996"/>
      <c r="BFS88" s="996"/>
      <c r="BFT88" s="996"/>
      <c r="BFU88" s="996"/>
      <c r="BFV88" s="996"/>
      <c r="BFW88" s="996"/>
      <c r="BFX88" s="996"/>
      <c r="BFY88" s="996"/>
      <c r="BFZ88" s="996"/>
      <c r="BGA88" s="996"/>
      <c r="BGB88" s="996"/>
      <c r="BGC88" s="996"/>
      <c r="BGD88" s="996"/>
      <c r="BGE88" s="996"/>
      <c r="BGF88" s="996"/>
      <c r="BGG88" s="996"/>
      <c r="BGH88" s="996"/>
      <c r="BGI88" s="996"/>
      <c r="BGJ88" s="996"/>
      <c r="BGK88" s="996"/>
      <c r="BGL88" s="996"/>
      <c r="BGM88" s="996"/>
      <c r="BGN88" s="996"/>
      <c r="BGO88" s="996"/>
      <c r="BGP88" s="996"/>
      <c r="BGQ88" s="996"/>
      <c r="BGR88" s="996"/>
      <c r="BGS88" s="996"/>
      <c r="BGT88" s="996"/>
      <c r="BGU88" s="996"/>
      <c r="BGV88" s="996"/>
      <c r="BGW88" s="996"/>
      <c r="BGX88" s="996"/>
      <c r="BGY88" s="996"/>
      <c r="BGZ88" s="996"/>
      <c r="BHA88" s="996"/>
      <c r="BHB88" s="996"/>
      <c r="BHC88" s="996"/>
      <c r="BHD88" s="996"/>
      <c r="BHE88" s="996"/>
      <c r="BHF88" s="996"/>
      <c r="BHG88" s="996"/>
      <c r="BHH88" s="996"/>
      <c r="BHI88" s="996"/>
      <c r="BHJ88" s="996"/>
      <c r="BHK88" s="996"/>
      <c r="BHL88" s="996"/>
      <c r="BHM88" s="996"/>
      <c r="BHN88" s="996"/>
      <c r="BHO88" s="996"/>
      <c r="BHP88" s="996"/>
      <c r="BHQ88" s="996"/>
      <c r="BHR88" s="996"/>
      <c r="BHS88" s="996"/>
      <c r="BHT88" s="996"/>
      <c r="BHU88" s="996"/>
      <c r="BHV88" s="996"/>
      <c r="BHW88" s="996"/>
      <c r="BHX88" s="996"/>
      <c r="BHY88" s="996"/>
      <c r="BHZ88" s="996"/>
      <c r="BIA88" s="996"/>
      <c r="BIB88" s="996"/>
      <c r="BIC88" s="996"/>
      <c r="BID88" s="996"/>
      <c r="BIE88" s="996"/>
      <c r="BIF88" s="996"/>
      <c r="BIG88" s="996"/>
      <c r="BIH88" s="996"/>
      <c r="BII88" s="996"/>
      <c r="BIJ88" s="996"/>
      <c r="BIK88" s="996"/>
      <c r="BIL88" s="996"/>
      <c r="BIM88" s="996"/>
      <c r="BIN88" s="996"/>
      <c r="BIO88" s="996"/>
      <c r="BIP88" s="996"/>
      <c r="BIQ88" s="996"/>
      <c r="BIR88" s="996"/>
      <c r="BIS88" s="996"/>
      <c r="BIT88" s="996"/>
      <c r="BIU88" s="996"/>
      <c r="BIV88" s="996"/>
      <c r="BIW88" s="996"/>
      <c r="BIX88" s="996"/>
      <c r="BIY88" s="996"/>
      <c r="BIZ88" s="996"/>
      <c r="BJA88" s="996"/>
      <c r="BJB88" s="996"/>
      <c r="BJC88" s="996"/>
      <c r="BJD88" s="996"/>
      <c r="BJE88" s="996"/>
      <c r="BJF88" s="996"/>
      <c r="BJG88" s="996"/>
      <c r="BJH88" s="996"/>
      <c r="BJI88" s="996"/>
      <c r="BJJ88" s="996"/>
      <c r="BJK88" s="996"/>
      <c r="BJL88" s="996"/>
      <c r="BJM88" s="996"/>
      <c r="BJN88" s="996"/>
      <c r="BJO88" s="996"/>
      <c r="BJP88" s="996"/>
      <c r="BJQ88" s="996"/>
      <c r="BJR88" s="996"/>
      <c r="BJS88" s="996"/>
      <c r="BJT88" s="996"/>
      <c r="BJU88" s="996"/>
      <c r="BJV88" s="996"/>
      <c r="BJW88" s="996"/>
      <c r="BJX88" s="996"/>
      <c r="BJY88" s="996"/>
      <c r="BJZ88" s="996"/>
      <c r="BKA88" s="996"/>
      <c r="BKB88" s="996"/>
      <c r="BKC88" s="996"/>
      <c r="BKD88" s="996"/>
      <c r="BKE88" s="996"/>
      <c r="BKF88" s="996"/>
      <c r="BKG88" s="996"/>
      <c r="BKH88" s="996"/>
      <c r="BKI88" s="996"/>
      <c r="BKJ88" s="996"/>
      <c r="BKK88" s="996"/>
      <c r="BKL88" s="996"/>
      <c r="BKM88" s="996"/>
      <c r="BKN88" s="996"/>
      <c r="BKO88" s="996"/>
      <c r="BKP88" s="996"/>
      <c r="BKQ88" s="996"/>
      <c r="BKR88" s="996"/>
      <c r="BKS88" s="996"/>
      <c r="BKT88" s="996"/>
      <c r="BKU88" s="996"/>
      <c r="BKV88" s="996"/>
      <c r="BKW88" s="996"/>
      <c r="BKX88" s="996"/>
      <c r="BKY88" s="996"/>
      <c r="BKZ88" s="996"/>
      <c r="BLA88" s="996"/>
      <c r="BLB88" s="996"/>
      <c r="BLC88" s="996"/>
      <c r="BLD88" s="996"/>
      <c r="BLE88" s="996"/>
      <c r="BLF88" s="996"/>
      <c r="BLG88" s="996"/>
      <c r="BLH88" s="996"/>
      <c r="BLI88" s="996"/>
      <c r="BLJ88" s="996"/>
      <c r="BLK88" s="996"/>
      <c r="BLL88" s="996"/>
      <c r="BLM88" s="996"/>
      <c r="BLN88" s="996"/>
      <c r="BLO88" s="996"/>
      <c r="BLP88" s="996"/>
      <c r="BLQ88" s="996"/>
      <c r="BLR88" s="996"/>
      <c r="BLS88" s="996"/>
      <c r="BLT88" s="996"/>
      <c r="BLU88" s="996"/>
      <c r="BLV88" s="996"/>
      <c r="BLW88" s="996"/>
      <c r="BLX88" s="996"/>
      <c r="BLY88" s="996"/>
      <c r="BLZ88" s="996"/>
      <c r="BMA88" s="996"/>
      <c r="BMB88" s="996"/>
      <c r="BMC88" s="996"/>
      <c r="BMD88" s="996"/>
      <c r="BME88" s="996"/>
      <c r="BMF88" s="996"/>
      <c r="BMG88" s="996"/>
      <c r="BMH88" s="996"/>
      <c r="BMI88" s="996"/>
      <c r="BMJ88" s="996"/>
      <c r="BMK88" s="996"/>
      <c r="BML88" s="996"/>
      <c r="BMM88" s="996"/>
      <c r="BMN88" s="996"/>
      <c r="BMO88" s="996"/>
      <c r="BMP88" s="996"/>
      <c r="BMQ88" s="996"/>
      <c r="BMR88" s="996"/>
      <c r="BMS88" s="996"/>
      <c r="BMT88" s="996"/>
      <c r="BMU88" s="996"/>
      <c r="BMV88" s="996"/>
      <c r="BMW88" s="996"/>
      <c r="BMX88" s="996"/>
      <c r="BMY88" s="996"/>
      <c r="BMZ88" s="996"/>
      <c r="BNA88" s="996"/>
      <c r="BNB88" s="996"/>
      <c r="BNC88" s="996"/>
      <c r="BND88" s="996"/>
      <c r="BNE88" s="996"/>
      <c r="BNF88" s="996"/>
      <c r="BNG88" s="996"/>
      <c r="BNH88" s="996"/>
      <c r="BNI88" s="996"/>
      <c r="BNJ88" s="996"/>
      <c r="BNK88" s="996"/>
      <c r="BNL88" s="996"/>
      <c r="BNM88" s="996"/>
      <c r="BNN88" s="996"/>
      <c r="BNO88" s="996"/>
      <c r="BNP88" s="996"/>
      <c r="BNQ88" s="996"/>
      <c r="BNR88" s="996"/>
      <c r="BNS88" s="996"/>
      <c r="BNT88" s="996"/>
      <c r="BNU88" s="996"/>
      <c r="BNV88" s="996"/>
      <c r="BNW88" s="996"/>
      <c r="BNX88" s="996"/>
      <c r="BNY88" s="996"/>
      <c r="BNZ88" s="996"/>
      <c r="BOA88" s="996"/>
      <c r="BOB88" s="996"/>
      <c r="BOC88" s="996"/>
      <c r="BOD88" s="996"/>
      <c r="BOE88" s="996"/>
      <c r="BOF88" s="996"/>
      <c r="BOG88" s="996"/>
      <c r="BOH88" s="996"/>
      <c r="BOI88" s="996"/>
      <c r="BOJ88" s="996"/>
      <c r="BOK88" s="996"/>
      <c r="BOL88" s="996"/>
      <c r="BOM88" s="996"/>
      <c r="BON88" s="996"/>
      <c r="BOO88" s="996"/>
      <c r="BOP88" s="996"/>
      <c r="BOQ88" s="996"/>
      <c r="BOR88" s="996"/>
      <c r="BOS88" s="996"/>
      <c r="BOT88" s="996"/>
      <c r="BOU88" s="996"/>
      <c r="BOV88" s="996"/>
      <c r="BOW88" s="996"/>
      <c r="BOX88" s="996"/>
      <c r="BOY88" s="996"/>
      <c r="BOZ88" s="996"/>
      <c r="BPA88" s="996"/>
      <c r="BPB88" s="996"/>
      <c r="BPC88" s="996"/>
      <c r="BPD88" s="996"/>
      <c r="BPE88" s="996"/>
      <c r="BPF88" s="996"/>
      <c r="BPG88" s="996"/>
      <c r="BPH88" s="996"/>
      <c r="BPI88" s="996"/>
      <c r="BPJ88" s="996"/>
      <c r="BPK88" s="996"/>
      <c r="BPL88" s="996"/>
      <c r="BPM88" s="996"/>
      <c r="BPN88" s="996"/>
      <c r="BPO88" s="996"/>
      <c r="BPP88" s="996"/>
      <c r="BPQ88" s="996"/>
      <c r="BPR88" s="996"/>
      <c r="BPS88" s="996"/>
      <c r="BPT88" s="996"/>
      <c r="BPU88" s="996"/>
      <c r="BPV88" s="996"/>
      <c r="BPW88" s="996"/>
      <c r="BPX88" s="996"/>
      <c r="BPY88" s="996"/>
      <c r="BPZ88" s="996"/>
      <c r="BQA88" s="996"/>
      <c r="BQB88" s="996"/>
      <c r="BQC88" s="996"/>
      <c r="BQD88" s="996"/>
      <c r="BQE88" s="996"/>
      <c r="BQF88" s="996"/>
      <c r="BQG88" s="996"/>
      <c r="BQH88" s="996"/>
      <c r="BQI88" s="996"/>
      <c r="BQJ88" s="996"/>
      <c r="BQK88" s="996"/>
      <c r="BQL88" s="996"/>
      <c r="BQM88" s="996"/>
      <c r="BQN88" s="996"/>
      <c r="BQO88" s="996"/>
      <c r="BQP88" s="996"/>
      <c r="BQQ88" s="996"/>
      <c r="BQR88" s="996"/>
      <c r="BQS88" s="996"/>
      <c r="BQT88" s="996"/>
      <c r="BQU88" s="996"/>
      <c r="BQV88" s="996"/>
      <c r="BQW88" s="996"/>
      <c r="BQX88" s="996"/>
      <c r="BQY88" s="996"/>
      <c r="BQZ88" s="996"/>
      <c r="BRA88" s="996"/>
      <c r="BRB88" s="996"/>
      <c r="BRC88" s="996"/>
      <c r="BRD88" s="996"/>
      <c r="BRE88" s="996"/>
      <c r="BRF88" s="996"/>
      <c r="BRG88" s="996"/>
      <c r="BRH88" s="996"/>
      <c r="BRI88" s="996"/>
      <c r="BRJ88" s="996"/>
      <c r="BRK88" s="996"/>
      <c r="BRL88" s="996"/>
      <c r="BRM88" s="996"/>
      <c r="BRN88" s="996"/>
      <c r="BRO88" s="996"/>
      <c r="BRP88" s="996"/>
      <c r="BRQ88" s="996"/>
      <c r="BRR88" s="996"/>
      <c r="BRS88" s="996"/>
      <c r="BRT88" s="996"/>
      <c r="BRU88" s="996"/>
      <c r="BRV88" s="996"/>
      <c r="BRW88" s="996"/>
      <c r="BRX88" s="996"/>
      <c r="BRY88" s="996"/>
      <c r="BRZ88" s="996"/>
      <c r="BSA88" s="996"/>
      <c r="BSB88" s="996"/>
      <c r="BSC88" s="996"/>
      <c r="BSD88" s="996"/>
      <c r="BSE88" s="996"/>
      <c r="BSF88" s="996"/>
      <c r="BSG88" s="996"/>
      <c r="BSH88" s="996"/>
      <c r="BSI88" s="996"/>
      <c r="BSJ88" s="996"/>
      <c r="BSK88" s="996"/>
      <c r="BSL88" s="996"/>
      <c r="BSM88" s="996"/>
      <c r="BSN88" s="996"/>
      <c r="BSO88" s="996"/>
      <c r="BSP88" s="996"/>
      <c r="BSQ88" s="996"/>
      <c r="BSR88" s="996"/>
      <c r="BSS88" s="996"/>
      <c r="BST88" s="996"/>
      <c r="BSU88" s="996"/>
      <c r="BSV88" s="996"/>
      <c r="BSW88" s="996"/>
      <c r="BSX88" s="996"/>
      <c r="BSY88" s="996"/>
      <c r="BSZ88" s="996"/>
      <c r="BTA88" s="996"/>
      <c r="BTB88" s="996"/>
      <c r="BTC88" s="996"/>
      <c r="BTD88" s="996"/>
      <c r="BTE88" s="996"/>
      <c r="BTF88" s="996"/>
      <c r="BTG88" s="996"/>
      <c r="BTH88" s="996"/>
      <c r="BTI88" s="996"/>
      <c r="BTJ88" s="996"/>
      <c r="BTK88" s="996"/>
      <c r="BTL88" s="996"/>
      <c r="BTM88" s="996"/>
      <c r="BTN88" s="996"/>
      <c r="BTO88" s="996"/>
      <c r="BTP88" s="996"/>
      <c r="BTQ88" s="996"/>
      <c r="BTR88" s="996"/>
      <c r="BTS88" s="996"/>
      <c r="BTT88" s="996"/>
      <c r="BTU88" s="996"/>
      <c r="BTV88" s="996"/>
      <c r="BTW88" s="996"/>
      <c r="BTX88" s="996"/>
      <c r="BTY88" s="996"/>
      <c r="BTZ88" s="996"/>
      <c r="BUA88" s="996"/>
      <c r="BUB88" s="996"/>
      <c r="BUC88" s="996"/>
      <c r="BUD88" s="996"/>
      <c r="BUE88" s="996"/>
      <c r="BUF88" s="996"/>
      <c r="BUG88" s="996"/>
      <c r="BUH88" s="996"/>
      <c r="BUI88" s="996"/>
      <c r="BUJ88" s="996"/>
      <c r="BUK88" s="996"/>
      <c r="BUL88" s="996"/>
      <c r="BUM88" s="996"/>
      <c r="BUN88" s="996"/>
      <c r="BUO88" s="996"/>
      <c r="BUP88" s="996"/>
      <c r="BUQ88" s="996"/>
      <c r="BUR88" s="996"/>
      <c r="BUS88" s="996"/>
      <c r="BUT88" s="996"/>
      <c r="BUU88" s="996"/>
      <c r="BUV88" s="996"/>
      <c r="BUW88" s="996"/>
      <c r="BUX88" s="996"/>
      <c r="BUY88" s="996"/>
      <c r="BUZ88" s="996"/>
      <c r="BVA88" s="996"/>
      <c r="BVB88" s="996"/>
      <c r="BVC88" s="996"/>
      <c r="BVD88" s="996"/>
      <c r="BVE88" s="996"/>
      <c r="BVF88" s="996"/>
      <c r="BVG88" s="996"/>
      <c r="BVH88" s="996"/>
      <c r="BVI88" s="996"/>
      <c r="BVJ88" s="996"/>
      <c r="BVK88" s="996"/>
      <c r="BVL88" s="996"/>
      <c r="BVM88" s="996"/>
      <c r="BVN88" s="996"/>
      <c r="BVO88" s="996"/>
      <c r="BVP88" s="996"/>
      <c r="BVQ88" s="996"/>
      <c r="BVR88" s="996"/>
      <c r="BVS88" s="996"/>
      <c r="BVT88" s="996"/>
      <c r="BVU88" s="996"/>
      <c r="BVV88" s="996"/>
      <c r="BVW88" s="996"/>
      <c r="BVX88" s="996"/>
      <c r="BVY88" s="996"/>
      <c r="BVZ88" s="996"/>
      <c r="BWA88" s="996"/>
      <c r="BWB88" s="996"/>
      <c r="BWC88" s="996"/>
      <c r="BWD88" s="996"/>
      <c r="BWE88" s="996"/>
      <c r="BWF88" s="996"/>
      <c r="BWG88" s="996"/>
      <c r="BWH88" s="996"/>
      <c r="BWI88" s="996"/>
      <c r="BWJ88" s="996"/>
      <c r="BWK88" s="996"/>
      <c r="BWL88" s="996"/>
      <c r="BWM88" s="996"/>
      <c r="BWN88" s="996"/>
      <c r="BWO88" s="996"/>
      <c r="BWP88" s="996"/>
      <c r="BWQ88" s="996"/>
      <c r="BWR88" s="996"/>
      <c r="BWS88" s="996"/>
      <c r="BWT88" s="996"/>
      <c r="BWU88" s="996"/>
      <c r="BWV88" s="996"/>
      <c r="BWW88" s="996"/>
      <c r="BWX88" s="996"/>
      <c r="BWY88" s="996"/>
      <c r="BWZ88" s="996"/>
      <c r="BXA88" s="996"/>
      <c r="BXB88" s="996"/>
      <c r="BXC88" s="996"/>
      <c r="BXD88" s="996"/>
      <c r="BXE88" s="996"/>
      <c r="BXF88" s="996"/>
      <c r="BXG88" s="996"/>
      <c r="BXH88" s="996"/>
      <c r="BXI88" s="996"/>
      <c r="BXJ88" s="996"/>
      <c r="BXK88" s="996"/>
      <c r="BXL88" s="996"/>
      <c r="BXM88" s="996"/>
      <c r="BXN88" s="996"/>
      <c r="BXO88" s="996"/>
      <c r="BXP88" s="996"/>
      <c r="BXQ88" s="996"/>
      <c r="BXR88" s="996"/>
      <c r="BXS88" s="996"/>
      <c r="BXT88" s="996"/>
      <c r="BXU88" s="996"/>
      <c r="BXV88" s="996"/>
      <c r="BXW88" s="996"/>
      <c r="BXX88" s="996"/>
      <c r="BXY88" s="996"/>
      <c r="BXZ88" s="996"/>
      <c r="BYA88" s="996"/>
      <c r="BYB88" s="996"/>
      <c r="BYC88" s="996"/>
      <c r="BYD88" s="996"/>
      <c r="BYE88" s="996"/>
      <c r="BYF88" s="996"/>
      <c r="BYG88" s="996"/>
      <c r="BYH88" s="996"/>
      <c r="BYI88" s="996"/>
      <c r="BYJ88" s="996"/>
      <c r="BYK88" s="996"/>
      <c r="BYL88" s="996"/>
      <c r="BYM88" s="996"/>
      <c r="BYN88" s="996"/>
      <c r="BYO88" s="996"/>
      <c r="BYP88" s="996"/>
      <c r="BYQ88" s="996"/>
      <c r="BYR88" s="996"/>
      <c r="BYS88" s="996"/>
      <c r="BYT88" s="996"/>
      <c r="BYU88" s="996"/>
      <c r="BYV88" s="996"/>
      <c r="BYW88" s="996"/>
      <c r="BYX88" s="996"/>
      <c r="BYY88" s="996"/>
      <c r="BYZ88" s="996"/>
      <c r="BZA88" s="996"/>
      <c r="BZB88" s="996"/>
      <c r="BZC88" s="996"/>
      <c r="BZD88" s="996"/>
      <c r="BZE88" s="996"/>
      <c r="BZF88" s="996"/>
      <c r="BZG88" s="996"/>
      <c r="BZH88" s="996"/>
      <c r="BZI88" s="996"/>
      <c r="BZJ88" s="996"/>
      <c r="BZK88" s="996"/>
      <c r="BZL88" s="996"/>
      <c r="BZM88" s="996"/>
      <c r="BZN88" s="996"/>
      <c r="BZO88" s="996"/>
      <c r="BZP88" s="996"/>
      <c r="BZQ88" s="996"/>
      <c r="BZR88" s="996"/>
      <c r="BZS88" s="996"/>
      <c r="BZT88" s="996"/>
      <c r="BZU88" s="996"/>
      <c r="BZV88" s="996"/>
      <c r="BZW88" s="996"/>
      <c r="BZX88" s="996"/>
      <c r="BZY88" s="996"/>
      <c r="BZZ88" s="996"/>
      <c r="CAA88" s="996"/>
      <c r="CAB88" s="996"/>
      <c r="CAC88" s="996"/>
      <c r="CAD88" s="996"/>
      <c r="CAE88" s="996"/>
      <c r="CAF88" s="996"/>
      <c r="CAG88" s="996"/>
      <c r="CAH88" s="996"/>
      <c r="CAI88" s="996"/>
      <c r="CAJ88" s="996"/>
      <c r="CAK88" s="996"/>
      <c r="CAL88" s="996"/>
      <c r="CAM88" s="996"/>
      <c r="CAN88" s="996"/>
      <c r="CAO88" s="996"/>
      <c r="CAP88" s="996"/>
      <c r="CAQ88" s="996"/>
      <c r="CAR88" s="996"/>
      <c r="CAS88" s="996"/>
      <c r="CAT88" s="996"/>
      <c r="CAU88" s="996"/>
      <c r="CAV88" s="996"/>
      <c r="CAW88" s="996"/>
      <c r="CAX88" s="996"/>
      <c r="CAY88" s="996"/>
      <c r="CAZ88" s="996"/>
      <c r="CBA88" s="996"/>
      <c r="CBB88" s="996"/>
      <c r="CBC88" s="996"/>
      <c r="CBD88" s="996"/>
      <c r="CBE88" s="996"/>
      <c r="CBF88" s="996"/>
      <c r="CBG88" s="996"/>
      <c r="CBH88" s="996"/>
      <c r="CBI88" s="996"/>
      <c r="CBJ88" s="996"/>
      <c r="CBK88" s="996"/>
      <c r="CBL88" s="996"/>
      <c r="CBM88" s="996"/>
      <c r="CBN88" s="996"/>
      <c r="CBO88" s="996"/>
      <c r="CBP88" s="996"/>
      <c r="CBQ88" s="996"/>
      <c r="CBR88" s="996"/>
      <c r="CBS88" s="996"/>
      <c r="CBT88" s="996"/>
      <c r="CBU88" s="996"/>
      <c r="CBV88" s="996"/>
      <c r="CBW88" s="996"/>
      <c r="CBX88" s="996"/>
      <c r="CBY88" s="996"/>
      <c r="CBZ88" s="996"/>
      <c r="CCA88" s="996"/>
      <c r="CCB88" s="996"/>
      <c r="CCC88" s="996"/>
      <c r="CCD88" s="996"/>
      <c r="CCE88" s="996"/>
      <c r="CCF88" s="996"/>
      <c r="CCG88" s="996"/>
      <c r="CCH88" s="996"/>
      <c r="CCI88" s="996"/>
      <c r="CCJ88" s="996"/>
      <c r="CCK88" s="996"/>
      <c r="CCL88" s="996"/>
      <c r="CCM88" s="996"/>
      <c r="CCN88" s="996"/>
      <c r="CCO88" s="996"/>
      <c r="CCP88" s="996"/>
      <c r="CCQ88" s="996"/>
      <c r="CCR88" s="996"/>
      <c r="CCS88" s="996"/>
      <c r="CCT88" s="996"/>
      <c r="CCU88" s="996"/>
      <c r="CCV88" s="996"/>
      <c r="CCW88" s="996"/>
      <c r="CCX88" s="996"/>
      <c r="CCY88" s="996"/>
      <c r="CCZ88" s="996"/>
      <c r="CDA88" s="996"/>
      <c r="CDB88" s="996"/>
      <c r="CDC88" s="996"/>
      <c r="CDD88" s="996"/>
      <c r="CDE88" s="996"/>
      <c r="CDF88" s="996"/>
      <c r="CDG88" s="996"/>
      <c r="CDH88" s="996"/>
      <c r="CDI88" s="996"/>
      <c r="CDJ88" s="996"/>
      <c r="CDK88" s="996"/>
      <c r="CDL88" s="996"/>
      <c r="CDM88" s="996"/>
      <c r="CDN88" s="996"/>
      <c r="CDO88" s="996"/>
      <c r="CDP88" s="996"/>
      <c r="CDQ88" s="996"/>
      <c r="CDR88" s="996"/>
      <c r="CDS88" s="996"/>
      <c r="CDT88" s="996"/>
      <c r="CDU88" s="996"/>
      <c r="CDV88" s="996"/>
      <c r="CDW88" s="996"/>
      <c r="CDX88" s="996"/>
      <c r="CDY88" s="996"/>
      <c r="CDZ88" s="996"/>
      <c r="CEA88" s="996"/>
      <c r="CEB88" s="996"/>
      <c r="CEC88" s="996"/>
      <c r="CED88" s="996"/>
      <c r="CEE88" s="996"/>
      <c r="CEF88" s="996"/>
      <c r="CEG88" s="996"/>
      <c r="CEH88" s="996"/>
      <c r="CEI88" s="996"/>
      <c r="CEJ88" s="996"/>
      <c r="CEK88" s="996"/>
      <c r="CEL88" s="996"/>
      <c r="CEM88" s="996"/>
      <c r="CEN88" s="996"/>
      <c r="CEO88" s="996"/>
      <c r="CEP88" s="996"/>
      <c r="CEQ88" s="996"/>
      <c r="CER88" s="996"/>
      <c r="CES88" s="996"/>
      <c r="CET88" s="996"/>
      <c r="CEU88" s="996"/>
      <c r="CEV88" s="996"/>
      <c r="CEW88" s="996"/>
      <c r="CEX88" s="996"/>
      <c r="CEY88" s="996"/>
      <c r="CEZ88" s="996"/>
      <c r="CFA88" s="996"/>
      <c r="CFB88" s="996"/>
      <c r="CFC88" s="996"/>
      <c r="CFD88" s="996"/>
      <c r="CFE88" s="996"/>
      <c r="CFF88" s="996"/>
      <c r="CFG88" s="996"/>
      <c r="CFH88" s="996"/>
      <c r="CFI88" s="996"/>
      <c r="CFJ88" s="996"/>
      <c r="CFK88" s="996"/>
      <c r="CFL88" s="996"/>
      <c r="CFM88" s="996"/>
      <c r="CFN88" s="996"/>
      <c r="CFO88" s="996"/>
      <c r="CFP88" s="996"/>
      <c r="CFQ88" s="996"/>
      <c r="CFR88" s="996"/>
      <c r="CFS88" s="996"/>
      <c r="CFT88" s="996"/>
      <c r="CFU88" s="996"/>
      <c r="CFV88" s="996"/>
      <c r="CFW88" s="996"/>
      <c r="CFX88" s="996"/>
      <c r="CFY88" s="996"/>
      <c r="CFZ88" s="996"/>
      <c r="CGA88" s="996"/>
      <c r="CGB88" s="996"/>
      <c r="CGC88" s="996"/>
      <c r="CGD88" s="996"/>
      <c r="CGE88" s="996"/>
      <c r="CGF88" s="996"/>
      <c r="CGG88" s="996"/>
      <c r="CGH88" s="996"/>
      <c r="CGI88" s="996"/>
      <c r="CGJ88" s="996"/>
      <c r="CGK88" s="996"/>
      <c r="CGL88" s="996"/>
      <c r="CGM88" s="996"/>
      <c r="CGN88" s="996"/>
      <c r="CGO88" s="996"/>
      <c r="CGP88" s="996"/>
      <c r="CGQ88" s="996"/>
      <c r="CGR88" s="996"/>
      <c r="CGS88" s="996"/>
      <c r="CGT88" s="996"/>
      <c r="CGU88" s="996"/>
      <c r="CGV88" s="996"/>
      <c r="CGW88" s="996"/>
      <c r="CGX88" s="996"/>
      <c r="CGY88" s="996"/>
      <c r="CGZ88" s="996"/>
      <c r="CHA88" s="996"/>
      <c r="CHB88" s="996"/>
      <c r="CHC88" s="996"/>
      <c r="CHD88" s="996"/>
      <c r="CHE88" s="996"/>
      <c r="CHF88" s="996"/>
      <c r="CHG88" s="996"/>
      <c r="CHH88" s="996"/>
      <c r="CHI88" s="996"/>
      <c r="CHJ88" s="996"/>
      <c r="CHK88" s="996"/>
      <c r="CHL88" s="996"/>
      <c r="CHM88" s="996"/>
      <c r="CHN88" s="996"/>
      <c r="CHO88" s="996"/>
      <c r="CHP88" s="996"/>
      <c r="CHQ88" s="996"/>
      <c r="CHR88" s="996"/>
      <c r="CHS88" s="996"/>
      <c r="CHT88" s="996"/>
      <c r="CHU88" s="996"/>
      <c r="CHV88" s="996"/>
      <c r="CHW88" s="996"/>
      <c r="CHX88" s="996"/>
      <c r="CHY88" s="996"/>
      <c r="CHZ88" s="996"/>
      <c r="CIA88" s="996"/>
      <c r="CIB88" s="996"/>
      <c r="CIC88" s="996"/>
      <c r="CID88" s="996"/>
      <c r="CIE88" s="996"/>
      <c r="CIF88" s="996"/>
      <c r="CIG88" s="996"/>
      <c r="CIH88" s="996"/>
      <c r="CII88" s="996"/>
      <c r="CIJ88" s="996"/>
      <c r="CIK88" s="996"/>
      <c r="CIL88" s="996"/>
      <c r="CIM88" s="996"/>
      <c r="CIN88" s="996"/>
      <c r="CIO88" s="996"/>
      <c r="CIP88" s="996"/>
      <c r="CIQ88" s="996"/>
      <c r="CIR88" s="996"/>
      <c r="CIS88" s="996"/>
      <c r="CIT88" s="996"/>
      <c r="CIU88" s="996"/>
      <c r="CIV88" s="996"/>
      <c r="CIW88" s="996"/>
      <c r="CIX88" s="996"/>
      <c r="CIY88" s="996"/>
      <c r="CIZ88" s="996"/>
      <c r="CJA88" s="996"/>
      <c r="CJB88" s="996"/>
      <c r="CJC88" s="996"/>
      <c r="CJD88" s="996"/>
      <c r="CJE88" s="996"/>
      <c r="CJF88" s="996"/>
      <c r="CJG88" s="996"/>
      <c r="CJH88" s="996"/>
      <c r="CJI88" s="996"/>
      <c r="CJJ88" s="996"/>
      <c r="CJK88" s="996"/>
      <c r="CJL88" s="996"/>
      <c r="CJM88" s="996"/>
      <c r="CJN88" s="996"/>
      <c r="CJO88" s="996"/>
      <c r="CJP88" s="996"/>
      <c r="CJQ88" s="996"/>
      <c r="CJR88" s="996"/>
      <c r="CJS88" s="996"/>
      <c r="CJT88" s="996"/>
      <c r="CJU88" s="996"/>
      <c r="CJV88" s="996"/>
      <c r="CJW88" s="996"/>
      <c r="CJX88" s="996"/>
      <c r="CJY88" s="996"/>
      <c r="CJZ88" s="996"/>
      <c r="CKA88" s="996"/>
      <c r="CKB88" s="996"/>
      <c r="CKC88" s="996"/>
      <c r="CKD88" s="996"/>
      <c r="CKE88" s="996"/>
      <c r="CKF88" s="996"/>
      <c r="CKG88" s="996"/>
      <c r="CKH88" s="996"/>
      <c r="CKI88" s="996"/>
      <c r="CKJ88" s="996"/>
      <c r="CKK88" s="996"/>
      <c r="CKL88" s="996"/>
      <c r="CKM88" s="996"/>
      <c r="CKN88" s="996"/>
      <c r="CKO88" s="996"/>
      <c r="CKP88" s="996"/>
      <c r="CKQ88" s="996"/>
      <c r="CKR88" s="996"/>
      <c r="CKS88" s="996"/>
      <c r="CKT88" s="996"/>
      <c r="CKU88" s="996"/>
      <c r="CKV88" s="996"/>
      <c r="CKW88" s="996"/>
      <c r="CKX88" s="996"/>
      <c r="CKY88" s="996"/>
      <c r="CKZ88" s="996"/>
      <c r="CLA88" s="996"/>
      <c r="CLB88" s="996"/>
      <c r="CLC88" s="996"/>
      <c r="CLD88" s="996"/>
      <c r="CLE88" s="996"/>
      <c r="CLF88" s="996"/>
      <c r="CLG88" s="996"/>
      <c r="CLH88" s="996"/>
      <c r="CLI88" s="996"/>
      <c r="CLJ88" s="996"/>
      <c r="CLK88" s="996"/>
      <c r="CLL88" s="996"/>
      <c r="CLM88" s="996"/>
      <c r="CLN88" s="996"/>
      <c r="CLO88" s="996"/>
      <c r="CLP88" s="996"/>
      <c r="CLQ88" s="996"/>
      <c r="CLR88" s="996"/>
      <c r="CLS88" s="996"/>
      <c r="CLT88" s="996"/>
      <c r="CLU88" s="996"/>
      <c r="CLV88" s="996"/>
      <c r="CLW88" s="996"/>
      <c r="CLX88" s="996"/>
      <c r="CLY88" s="996"/>
      <c r="CLZ88" s="996"/>
      <c r="CMA88" s="996"/>
      <c r="CMB88" s="996"/>
      <c r="CMC88" s="996"/>
      <c r="CMD88" s="996"/>
      <c r="CME88" s="996"/>
      <c r="CMF88" s="996"/>
      <c r="CMG88" s="996"/>
      <c r="CMH88" s="996"/>
      <c r="CMI88" s="996"/>
      <c r="CMJ88" s="996"/>
      <c r="CMK88" s="996"/>
      <c r="CML88" s="996"/>
      <c r="CMM88" s="996"/>
      <c r="CMN88" s="996"/>
      <c r="CMO88" s="996"/>
      <c r="CMP88" s="996"/>
      <c r="CMQ88" s="996"/>
      <c r="CMR88" s="996"/>
      <c r="CMS88" s="996"/>
      <c r="CMT88" s="996"/>
      <c r="CMU88" s="996"/>
      <c r="CMV88" s="996"/>
      <c r="CMW88" s="996"/>
      <c r="CMX88" s="996"/>
      <c r="CMY88" s="996"/>
      <c r="CMZ88" s="996"/>
      <c r="CNA88" s="996"/>
      <c r="CNB88" s="996"/>
      <c r="CNC88" s="996"/>
      <c r="CND88" s="996"/>
      <c r="CNE88" s="996"/>
      <c r="CNF88" s="996"/>
      <c r="CNG88" s="996"/>
      <c r="CNH88" s="996"/>
      <c r="CNI88" s="996"/>
      <c r="CNJ88" s="996"/>
      <c r="CNK88" s="996"/>
      <c r="CNL88" s="996"/>
      <c r="CNM88" s="996"/>
      <c r="CNN88" s="996"/>
      <c r="CNO88" s="996"/>
      <c r="CNP88" s="996"/>
      <c r="CNQ88" s="996"/>
      <c r="CNR88" s="996"/>
      <c r="CNS88" s="996"/>
      <c r="CNT88" s="996"/>
      <c r="CNU88" s="996"/>
      <c r="CNV88" s="996"/>
      <c r="CNW88" s="996"/>
      <c r="CNX88" s="996"/>
      <c r="CNY88" s="996"/>
      <c r="CNZ88" s="996"/>
      <c r="COA88" s="996"/>
      <c r="COB88" s="996"/>
      <c r="COC88" s="996"/>
      <c r="COD88" s="996"/>
      <c r="COE88" s="996"/>
      <c r="COF88" s="996"/>
      <c r="COG88" s="996"/>
      <c r="COH88" s="996"/>
      <c r="COI88" s="996"/>
      <c r="COJ88" s="996"/>
      <c r="COK88" s="996"/>
      <c r="COL88" s="996"/>
      <c r="COM88" s="996"/>
      <c r="CON88" s="996"/>
      <c r="COO88" s="996"/>
      <c r="COP88" s="996"/>
      <c r="COQ88" s="996"/>
      <c r="COR88" s="996"/>
      <c r="COS88" s="996"/>
      <c r="COT88" s="996"/>
      <c r="COU88" s="996"/>
      <c r="COV88" s="996"/>
      <c r="COW88" s="996"/>
      <c r="COX88" s="996"/>
      <c r="COY88" s="996"/>
      <c r="COZ88" s="996"/>
      <c r="CPA88" s="996"/>
      <c r="CPB88" s="996"/>
      <c r="CPC88" s="996"/>
      <c r="CPD88" s="996"/>
      <c r="CPE88" s="996"/>
      <c r="CPF88" s="996"/>
      <c r="CPG88" s="996"/>
      <c r="CPH88" s="996"/>
      <c r="CPI88" s="996"/>
      <c r="CPJ88" s="996"/>
      <c r="CPK88" s="996"/>
      <c r="CPL88" s="996"/>
      <c r="CPM88" s="996"/>
      <c r="CPN88" s="996"/>
      <c r="CPO88" s="996"/>
      <c r="CPP88" s="996"/>
      <c r="CPQ88" s="996"/>
      <c r="CPR88" s="996"/>
      <c r="CPS88" s="996"/>
      <c r="CPT88" s="996"/>
      <c r="CPU88" s="996"/>
      <c r="CPV88" s="996"/>
      <c r="CPW88" s="996"/>
      <c r="CPX88" s="996"/>
      <c r="CPY88" s="996"/>
      <c r="CPZ88" s="996"/>
      <c r="CQA88" s="996"/>
      <c r="CQB88" s="996"/>
      <c r="CQC88" s="996"/>
      <c r="CQD88" s="996"/>
      <c r="CQE88" s="996"/>
      <c r="CQF88" s="996"/>
      <c r="CQG88" s="996"/>
      <c r="CQH88" s="996"/>
      <c r="CQI88" s="996"/>
      <c r="CQJ88" s="996"/>
      <c r="CQK88" s="996"/>
      <c r="CQL88" s="996"/>
      <c r="CQM88" s="996"/>
      <c r="CQN88" s="996"/>
      <c r="CQO88" s="996"/>
      <c r="CQP88" s="996"/>
      <c r="CQQ88" s="996"/>
      <c r="CQR88" s="996"/>
      <c r="CQS88" s="996"/>
      <c r="CQT88" s="996"/>
      <c r="CQU88" s="996"/>
      <c r="CQV88" s="996"/>
      <c r="CQW88" s="996"/>
      <c r="CQX88" s="996"/>
      <c r="CQY88" s="996"/>
      <c r="CQZ88" s="996"/>
      <c r="CRA88" s="996"/>
      <c r="CRB88" s="996"/>
      <c r="CRC88" s="996"/>
      <c r="CRD88" s="996"/>
      <c r="CRE88" s="996"/>
      <c r="CRF88" s="996"/>
      <c r="CRG88" s="996"/>
      <c r="CRH88" s="996"/>
      <c r="CRI88" s="996"/>
      <c r="CRJ88" s="996"/>
      <c r="CRK88" s="996"/>
      <c r="CRL88" s="996"/>
      <c r="CRM88" s="996"/>
      <c r="CRN88" s="996"/>
      <c r="CRO88" s="996"/>
      <c r="CRP88" s="996"/>
      <c r="CRQ88" s="996"/>
      <c r="CRR88" s="996"/>
      <c r="CRS88" s="996"/>
      <c r="CRT88" s="996"/>
      <c r="CRU88" s="996"/>
      <c r="CRV88" s="996"/>
      <c r="CRW88" s="996"/>
      <c r="CRX88" s="996"/>
      <c r="CRY88" s="996"/>
      <c r="CRZ88" s="996"/>
      <c r="CSA88" s="996"/>
      <c r="CSB88" s="996"/>
      <c r="CSC88" s="996"/>
      <c r="CSD88" s="996"/>
      <c r="CSE88" s="996"/>
      <c r="CSF88" s="996"/>
      <c r="CSG88" s="996"/>
      <c r="CSH88" s="996"/>
      <c r="CSI88" s="996"/>
      <c r="CSJ88" s="996"/>
      <c r="CSK88" s="996"/>
      <c r="CSL88" s="996"/>
      <c r="CSM88" s="996"/>
      <c r="CSN88" s="996"/>
      <c r="CSO88" s="996"/>
      <c r="CSP88" s="996"/>
      <c r="CSQ88" s="996"/>
      <c r="CSR88" s="996"/>
      <c r="CSS88" s="996"/>
      <c r="CST88" s="996"/>
      <c r="CSU88" s="996"/>
      <c r="CSV88" s="996"/>
      <c r="CSW88" s="996"/>
      <c r="CSX88" s="996"/>
      <c r="CSY88" s="996"/>
      <c r="CSZ88" s="996"/>
      <c r="CTA88" s="996"/>
      <c r="CTB88" s="996"/>
      <c r="CTC88" s="996"/>
      <c r="CTD88" s="996"/>
      <c r="CTE88" s="996"/>
      <c r="CTF88" s="996"/>
      <c r="CTG88" s="996"/>
      <c r="CTH88" s="996"/>
      <c r="CTI88" s="996"/>
      <c r="CTJ88" s="996"/>
      <c r="CTK88" s="996"/>
      <c r="CTL88" s="996"/>
      <c r="CTM88" s="996"/>
      <c r="CTN88" s="996"/>
      <c r="CTO88" s="996"/>
      <c r="CTP88" s="996"/>
      <c r="CTQ88" s="996"/>
      <c r="CTR88" s="996"/>
      <c r="CTS88" s="996"/>
      <c r="CTT88" s="996"/>
      <c r="CTU88" s="996"/>
      <c r="CTV88" s="996"/>
      <c r="CTW88" s="996"/>
      <c r="CTX88" s="996"/>
      <c r="CTY88" s="996"/>
      <c r="CTZ88" s="996"/>
      <c r="CUA88" s="996"/>
      <c r="CUB88" s="996"/>
      <c r="CUC88" s="996"/>
      <c r="CUD88" s="996"/>
      <c r="CUE88" s="996"/>
      <c r="CUF88" s="996"/>
      <c r="CUG88" s="996"/>
      <c r="CUH88" s="996"/>
      <c r="CUI88" s="996"/>
      <c r="CUJ88" s="996"/>
      <c r="CUK88" s="996"/>
      <c r="CUL88" s="996"/>
      <c r="CUM88" s="996"/>
      <c r="CUN88" s="996"/>
      <c r="CUO88" s="996"/>
      <c r="CUP88" s="996"/>
      <c r="CUQ88" s="996"/>
      <c r="CUR88" s="996"/>
      <c r="CUS88" s="996"/>
      <c r="CUT88" s="996"/>
      <c r="CUU88" s="996"/>
      <c r="CUV88" s="996"/>
      <c r="CUW88" s="996"/>
      <c r="CUX88" s="996"/>
      <c r="CUY88" s="996"/>
      <c r="CUZ88" s="996"/>
      <c r="CVA88" s="996"/>
      <c r="CVB88" s="996"/>
      <c r="CVC88" s="996"/>
      <c r="CVD88" s="996"/>
      <c r="CVE88" s="996"/>
      <c r="CVF88" s="996"/>
      <c r="CVG88" s="996"/>
      <c r="CVH88" s="996"/>
      <c r="CVI88" s="996"/>
      <c r="CVJ88" s="996"/>
      <c r="CVK88" s="996"/>
      <c r="CVL88" s="996"/>
      <c r="CVM88" s="996"/>
      <c r="CVN88" s="996"/>
      <c r="CVO88" s="996"/>
      <c r="CVP88" s="996"/>
      <c r="CVQ88" s="996"/>
      <c r="CVR88" s="996"/>
      <c r="CVS88" s="996"/>
      <c r="CVT88" s="996"/>
      <c r="CVU88" s="996"/>
      <c r="CVV88" s="996"/>
      <c r="CVW88" s="996"/>
      <c r="CVX88" s="996"/>
      <c r="CVY88" s="996"/>
      <c r="CVZ88" s="996"/>
      <c r="CWA88" s="996"/>
      <c r="CWB88" s="996"/>
      <c r="CWC88" s="996"/>
      <c r="CWD88" s="996"/>
      <c r="CWE88" s="996"/>
      <c r="CWF88" s="996"/>
      <c r="CWG88" s="996"/>
      <c r="CWH88" s="996"/>
      <c r="CWI88" s="996"/>
      <c r="CWJ88" s="996"/>
      <c r="CWK88" s="996"/>
      <c r="CWL88" s="996"/>
      <c r="CWM88" s="996"/>
      <c r="CWN88" s="996"/>
      <c r="CWO88" s="996"/>
      <c r="CWP88" s="996"/>
      <c r="CWQ88" s="996"/>
      <c r="CWR88" s="996"/>
      <c r="CWS88" s="996"/>
      <c r="CWT88" s="996"/>
      <c r="CWU88" s="996"/>
      <c r="CWV88" s="996"/>
      <c r="CWW88" s="996"/>
      <c r="CWX88" s="996"/>
      <c r="CWY88" s="996"/>
      <c r="CWZ88" s="996"/>
      <c r="CXA88" s="996"/>
      <c r="CXB88" s="996"/>
      <c r="CXC88" s="996"/>
      <c r="CXD88" s="996"/>
      <c r="CXE88" s="996"/>
      <c r="CXF88" s="996"/>
      <c r="CXG88" s="996"/>
      <c r="CXH88" s="996"/>
      <c r="CXI88" s="996"/>
      <c r="CXJ88" s="996"/>
      <c r="CXK88" s="996"/>
      <c r="CXL88" s="996"/>
      <c r="CXM88" s="996"/>
      <c r="CXN88" s="996"/>
      <c r="CXO88" s="996"/>
      <c r="CXP88" s="996"/>
      <c r="CXQ88" s="996"/>
      <c r="CXR88" s="996"/>
      <c r="CXS88" s="996"/>
      <c r="CXT88" s="996"/>
      <c r="CXU88" s="996"/>
      <c r="CXV88" s="996"/>
      <c r="CXW88" s="996"/>
      <c r="CXX88" s="996"/>
      <c r="CXY88" s="996"/>
      <c r="CXZ88" s="996"/>
      <c r="CYA88" s="996"/>
      <c r="CYB88" s="996"/>
      <c r="CYC88" s="996"/>
      <c r="CYD88" s="996"/>
      <c r="CYE88" s="996"/>
      <c r="CYF88" s="996"/>
      <c r="CYG88" s="996"/>
      <c r="CYH88" s="996"/>
      <c r="CYI88" s="996"/>
      <c r="CYJ88" s="996"/>
      <c r="CYK88" s="996"/>
      <c r="CYL88" s="996"/>
      <c r="CYM88" s="996"/>
      <c r="CYN88" s="996"/>
      <c r="CYO88" s="996"/>
      <c r="CYP88" s="996"/>
      <c r="CYQ88" s="996"/>
      <c r="CYR88" s="996"/>
      <c r="CYS88" s="996"/>
      <c r="CYT88" s="996"/>
      <c r="CYU88" s="996"/>
      <c r="CYV88" s="996"/>
      <c r="CYW88" s="996"/>
      <c r="CYX88" s="996"/>
      <c r="CYY88" s="996"/>
      <c r="CYZ88" s="996"/>
      <c r="CZA88" s="996"/>
      <c r="CZB88" s="996"/>
      <c r="CZC88" s="996"/>
      <c r="CZD88" s="996"/>
      <c r="CZE88" s="996"/>
      <c r="CZF88" s="996"/>
      <c r="CZG88" s="996"/>
      <c r="CZH88" s="996"/>
      <c r="CZI88" s="996"/>
      <c r="CZJ88" s="996"/>
      <c r="CZK88" s="996"/>
      <c r="CZL88" s="996"/>
      <c r="CZM88" s="996"/>
      <c r="CZN88" s="996"/>
      <c r="CZO88" s="996"/>
      <c r="CZP88" s="996"/>
      <c r="CZQ88" s="996"/>
      <c r="CZR88" s="996"/>
      <c r="CZS88" s="996"/>
      <c r="CZT88" s="996"/>
      <c r="CZU88" s="996"/>
      <c r="CZV88" s="996"/>
      <c r="CZW88" s="996"/>
      <c r="CZX88" s="996"/>
      <c r="CZY88" s="996"/>
      <c r="CZZ88" s="996"/>
      <c r="DAA88" s="996"/>
      <c r="DAB88" s="996"/>
      <c r="DAC88" s="996"/>
      <c r="DAD88" s="996"/>
      <c r="DAE88" s="996"/>
      <c r="DAF88" s="996"/>
      <c r="DAG88" s="996"/>
      <c r="DAH88" s="996"/>
      <c r="DAI88" s="996"/>
      <c r="DAJ88" s="996"/>
      <c r="DAK88" s="996"/>
      <c r="DAL88" s="996"/>
      <c r="DAM88" s="996"/>
      <c r="DAN88" s="996"/>
      <c r="DAO88" s="996"/>
      <c r="DAP88" s="996"/>
      <c r="DAQ88" s="996"/>
      <c r="DAR88" s="996"/>
      <c r="DAS88" s="996"/>
      <c r="DAT88" s="996"/>
      <c r="DAU88" s="996"/>
      <c r="DAV88" s="996"/>
      <c r="DAW88" s="996"/>
      <c r="DAX88" s="996"/>
      <c r="DAY88" s="996"/>
      <c r="DAZ88" s="996"/>
      <c r="DBA88" s="996"/>
      <c r="DBB88" s="996"/>
      <c r="DBC88" s="996"/>
      <c r="DBD88" s="996"/>
      <c r="DBE88" s="996"/>
      <c r="DBF88" s="996"/>
      <c r="DBG88" s="996"/>
      <c r="DBH88" s="996"/>
      <c r="DBI88" s="996"/>
      <c r="DBJ88" s="996"/>
      <c r="DBK88" s="996"/>
      <c r="DBL88" s="996"/>
      <c r="DBM88" s="996"/>
      <c r="DBN88" s="996"/>
      <c r="DBO88" s="996"/>
      <c r="DBP88" s="996"/>
      <c r="DBQ88" s="996"/>
      <c r="DBR88" s="996"/>
      <c r="DBS88" s="996"/>
      <c r="DBT88" s="996"/>
      <c r="DBU88" s="996"/>
      <c r="DBV88" s="996"/>
      <c r="DBW88" s="996"/>
      <c r="DBX88" s="996"/>
      <c r="DBY88" s="996"/>
      <c r="DBZ88" s="996"/>
      <c r="DCA88" s="996"/>
      <c r="DCB88" s="996"/>
      <c r="DCC88" s="996"/>
      <c r="DCD88" s="996"/>
      <c r="DCE88" s="996"/>
      <c r="DCF88" s="996"/>
      <c r="DCG88" s="996"/>
      <c r="DCH88" s="996"/>
      <c r="DCI88" s="996"/>
      <c r="DCJ88" s="996"/>
      <c r="DCK88" s="996"/>
      <c r="DCL88" s="996"/>
      <c r="DCM88" s="996"/>
      <c r="DCN88" s="996"/>
      <c r="DCO88" s="996"/>
      <c r="DCP88" s="996"/>
      <c r="DCQ88" s="996"/>
      <c r="DCR88" s="996"/>
      <c r="DCS88" s="996"/>
      <c r="DCT88" s="996"/>
      <c r="DCU88" s="996"/>
      <c r="DCV88" s="996"/>
      <c r="DCW88" s="996"/>
      <c r="DCX88" s="996"/>
      <c r="DCY88" s="996"/>
      <c r="DCZ88" s="996"/>
      <c r="DDA88" s="996"/>
      <c r="DDB88" s="996"/>
      <c r="DDC88" s="996"/>
      <c r="DDD88" s="996"/>
      <c r="DDE88" s="996"/>
      <c r="DDF88" s="996"/>
      <c r="DDG88" s="996"/>
      <c r="DDH88" s="996"/>
      <c r="DDI88" s="996"/>
      <c r="DDJ88" s="996"/>
      <c r="DDK88" s="996"/>
      <c r="DDL88" s="996"/>
      <c r="DDM88" s="996"/>
      <c r="DDN88" s="996"/>
      <c r="DDO88" s="996"/>
      <c r="DDP88" s="996"/>
      <c r="DDQ88" s="996"/>
      <c r="DDR88" s="996"/>
      <c r="DDS88" s="996"/>
      <c r="DDT88" s="996"/>
      <c r="DDU88" s="996"/>
      <c r="DDV88" s="996"/>
      <c r="DDW88" s="996"/>
      <c r="DDX88" s="996"/>
      <c r="DDY88" s="996"/>
      <c r="DDZ88" s="996"/>
      <c r="DEA88" s="996"/>
      <c r="DEB88" s="996"/>
      <c r="DEC88" s="996"/>
      <c r="DED88" s="996"/>
      <c r="DEE88" s="996"/>
      <c r="DEF88" s="996"/>
      <c r="DEG88" s="996"/>
      <c r="DEH88" s="996"/>
      <c r="DEI88" s="996"/>
      <c r="DEJ88" s="996"/>
      <c r="DEK88" s="996"/>
      <c r="DEL88" s="996"/>
      <c r="DEM88" s="996"/>
      <c r="DEN88" s="996"/>
      <c r="DEO88" s="996"/>
      <c r="DEP88" s="996"/>
      <c r="DEQ88" s="996"/>
      <c r="DER88" s="996"/>
      <c r="DES88" s="996"/>
      <c r="DET88" s="996"/>
      <c r="DEU88" s="996"/>
      <c r="DEV88" s="996"/>
      <c r="DEW88" s="996"/>
      <c r="DEX88" s="996"/>
      <c r="DEY88" s="996"/>
      <c r="DEZ88" s="996"/>
      <c r="DFA88" s="996"/>
      <c r="DFB88" s="996"/>
      <c r="DFC88" s="996"/>
      <c r="DFD88" s="996"/>
      <c r="DFE88" s="996"/>
      <c r="DFF88" s="996"/>
      <c r="DFG88" s="996"/>
      <c r="DFH88" s="996"/>
      <c r="DFI88" s="996"/>
      <c r="DFJ88" s="996"/>
      <c r="DFK88" s="996"/>
      <c r="DFL88" s="996"/>
      <c r="DFM88" s="996"/>
      <c r="DFN88" s="996"/>
      <c r="DFO88" s="996"/>
      <c r="DFP88" s="996"/>
      <c r="DFQ88" s="996"/>
      <c r="DFR88" s="996"/>
      <c r="DFS88" s="996"/>
      <c r="DFT88" s="996"/>
      <c r="DFU88" s="996"/>
      <c r="DFV88" s="996"/>
      <c r="DFW88" s="996"/>
      <c r="DFX88" s="996"/>
      <c r="DFY88" s="996"/>
      <c r="DFZ88" s="996"/>
      <c r="DGA88" s="996"/>
      <c r="DGB88" s="996"/>
      <c r="DGC88" s="996"/>
      <c r="DGD88" s="996"/>
      <c r="DGE88" s="996"/>
      <c r="DGF88" s="996"/>
      <c r="DGG88" s="996"/>
      <c r="DGH88" s="996"/>
      <c r="DGI88" s="996"/>
      <c r="DGJ88" s="996"/>
      <c r="DGK88" s="996"/>
      <c r="DGL88" s="996"/>
      <c r="DGM88" s="996"/>
      <c r="DGN88" s="996"/>
      <c r="DGO88" s="996"/>
      <c r="DGP88" s="996"/>
      <c r="DGQ88" s="996"/>
      <c r="DGR88" s="996"/>
      <c r="DGS88" s="996"/>
      <c r="DGT88" s="996"/>
      <c r="DGU88" s="996"/>
      <c r="DGV88" s="996"/>
      <c r="DGW88" s="996"/>
      <c r="DGX88" s="996"/>
      <c r="DGY88" s="996"/>
      <c r="DGZ88" s="996"/>
      <c r="DHA88" s="996"/>
      <c r="DHB88" s="996"/>
      <c r="DHC88" s="996"/>
      <c r="DHD88" s="996"/>
      <c r="DHE88" s="996"/>
      <c r="DHF88" s="996"/>
      <c r="DHG88" s="996"/>
      <c r="DHH88" s="996"/>
      <c r="DHI88" s="996"/>
      <c r="DHJ88" s="996"/>
      <c r="DHK88" s="996"/>
      <c r="DHL88" s="996"/>
      <c r="DHM88" s="996"/>
      <c r="DHN88" s="996"/>
      <c r="DHO88" s="996"/>
      <c r="DHP88" s="996"/>
      <c r="DHQ88" s="996"/>
      <c r="DHR88" s="996"/>
      <c r="DHS88" s="996"/>
      <c r="DHT88" s="996"/>
      <c r="DHU88" s="996"/>
      <c r="DHV88" s="996"/>
      <c r="DHW88" s="996"/>
      <c r="DHX88" s="996"/>
      <c r="DHY88" s="996"/>
      <c r="DHZ88" s="996"/>
      <c r="DIA88" s="996"/>
      <c r="DIB88" s="996"/>
      <c r="DIC88" s="996"/>
      <c r="DID88" s="996"/>
      <c r="DIE88" s="996"/>
      <c r="DIF88" s="996"/>
      <c r="DIG88" s="996"/>
      <c r="DIH88" s="996"/>
      <c r="DII88" s="996"/>
      <c r="DIJ88" s="996"/>
      <c r="DIK88" s="996"/>
      <c r="DIL88" s="996"/>
      <c r="DIM88" s="996"/>
      <c r="DIN88" s="996"/>
      <c r="DIO88" s="996"/>
      <c r="DIP88" s="996"/>
      <c r="DIQ88" s="996"/>
      <c r="DIR88" s="996"/>
      <c r="DIS88" s="996"/>
      <c r="DIT88" s="996"/>
      <c r="DIU88" s="996"/>
      <c r="DIV88" s="996"/>
      <c r="DIW88" s="996"/>
      <c r="DIX88" s="996"/>
      <c r="DIY88" s="996"/>
      <c r="DIZ88" s="996"/>
      <c r="DJA88" s="996"/>
      <c r="DJB88" s="996"/>
      <c r="DJC88" s="996"/>
      <c r="DJD88" s="996"/>
      <c r="DJE88" s="996"/>
      <c r="DJF88" s="996"/>
      <c r="DJG88" s="996"/>
      <c r="DJH88" s="996"/>
      <c r="DJI88" s="996"/>
      <c r="DJJ88" s="996"/>
      <c r="DJK88" s="996"/>
      <c r="DJL88" s="996"/>
      <c r="DJM88" s="996"/>
      <c r="DJN88" s="996"/>
      <c r="DJO88" s="996"/>
      <c r="DJP88" s="996"/>
      <c r="DJQ88" s="996"/>
      <c r="DJR88" s="996"/>
      <c r="DJS88" s="996"/>
      <c r="DJT88" s="996"/>
      <c r="DJU88" s="996"/>
      <c r="DJV88" s="996"/>
      <c r="DJW88" s="996"/>
      <c r="DJX88" s="996"/>
      <c r="DJY88" s="996"/>
      <c r="DJZ88" s="996"/>
      <c r="DKA88" s="996"/>
      <c r="DKB88" s="996"/>
      <c r="DKC88" s="996"/>
      <c r="DKD88" s="996"/>
      <c r="DKE88" s="996"/>
      <c r="DKF88" s="996"/>
      <c r="DKG88" s="996"/>
      <c r="DKH88" s="996"/>
      <c r="DKI88" s="996"/>
      <c r="DKJ88" s="996"/>
      <c r="DKK88" s="996"/>
      <c r="DKL88" s="996"/>
      <c r="DKM88" s="996"/>
      <c r="DKN88" s="996"/>
      <c r="DKO88" s="996"/>
      <c r="DKP88" s="996"/>
      <c r="DKQ88" s="996"/>
      <c r="DKR88" s="996"/>
      <c r="DKS88" s="996"/>
      <c r="DKT88" s="996"/>
      <c r="DKU88" s="996"/>
      <c r="DKV88" s="996"/>
      <c r="DKW88" s="996"/>
      <c r="DKX88" s="996"/>
      <c r="DKY88" s="996"/>
      <c r="DKZ88" s="996"/>
      <c r="DLA88" s="996"/>
      <c r="DLB88" s="996"/>
      <c r="DLC88" s="996"/>
      <c r="DLD88" s="996"/>
      <c r="DLE88" s="996"/>
      <c r="DLF88" s="996"/>
      <c r="DLG88" s="996"/>
      <c r="DLH88" s="996"/>
      <c r="DLI88" s="996"/>
      <c r="DLJ88" s="996"/>
      <c r="DLK88" s="996"/>
      <c r="DLL88" s="996"/>
      <c r="DLM88" s="996"/>
      <c r="DLN88" s="996"/>
      <c r="DLO88" s="996"/>
      <c r="DLP88" s="996"/>
      <c r="DLQ88" s="996"/>
      <c r="DLR88" s="996"/>
      <c r="DLS88" s="996"/>
      <c r="DLT88" s="996"/>
      <c r="DLU88" s="996"/>
      <c r="DLV88" s="996"/>
      <c r="DLW88" s="996"/>
      <c r="DLX88" s="996"/>
      <c r="DLY88" s="996"/>
      <c r="DLZ88" s="996"/>
      <c r="DMA88" s="996"/>
      <c r="DMB88" s="996"/>
      <c r="DMC88" s="996"/>
      <c r="DMD88" s="996"/>
      <c r="DME88" s="996"/>
      <c r="DMF88" s="996"/>
      <c r="DMG88" s="996"/>
      <c r="DMH88" s="996"/>
      <c r="DMI88" s="996"/>
      <c r="DMJ88" s="996"/>
      <c r="DMK88" s="996"/>
      <c r="DML88" s="996"/>
      <c r="DMM88" s="996"/>
      <c r="DMN88" s="996"/>
      <c r="DMO88" s="996"/>
      <c r="DMP88" s="996"/>
      <c r="DMQ88" s="996"/>
      <c r="DMR88" s="996"/>
      <c r="DMS88" s="996"/>
      <c r="DMT88" s="996"/>
      <c r="DMU88" s="996"/>
      <c r="DMV88" s="996"/>
      <c r="DMW88" s="996"/>
      <c r="DMX88" s="996"/>
      <c r="DMY88" s="996"/>
      <c r="DMZ88" s="996"/>
      <c r="DNA88" s="996"/>
      <c r="DNB88" s="996"/>
      <c r="DNC88" s="996"/>
      <c r="DND88" s="996"/>
      <c r="DNE88" s="996"/>
      <c r="DNF88" s="996"/>
      <c r="DNG88" s="996"/>
      <c r="DNH88" s="996"/>
      <c r="DNI88" s="996"/>
      <c r="DNJ88" s="996"/>
      <c r="DNK88" s="996"/>
      <c r="DNL88" s="996"/>
      <c r="DNM88" s="996"/>
      <c r="DNN88" s="996"/>
      <c r="DNO88" s="996"/>
      <c r="DNP88" s="996"/>
      <c r="DNQ88" s="996"/>
      <c r="DNR88" s="996"/>
      <c r="DNS88" s="996"/>
      <c r="DNT88" s="996"/>
      <c r="DNU88" s="996"/>
      <c r="DNV88" s="996"/>
      <c r="DNW88" s="996"/>
      <c r="DNX88" s="996"/>
      <c r="DNY88" s="996"/>
      <c r="DNZ88" s="996"/>
      <c r="DOA88" s="996"/>
      <c r="DOB88" s="996"/>
      <c r="DOC88" s="996"/>
      <c r="DOD88" s="996"/>
      <c r="DOE88" s="996"/>
      <c r="DOF88" s="996"/>
      <c r="DOG88" s="996"/>
      <c r="DOH88" s="996"/>
      <c r="DOI88" s="996"/>
      <c r="DOJ88" s="996"/>
      <c r="DOK88" s="996"/>
      <c r="DOL88" s="996"/>
      <c r="DOM88" s="996"/>
      <c r="DON88" s="996"/>
      <c r="DOO88" s="996"/>
      <c r="DOP88" s="996"/>
      <c r="DOQ88" s="996"/>
      <c r="DOR88" s="996"/>
      <c r="DOS88" s="996"/>
      <c r="DOT88" s="996"/>
      <c r="DOU88" s="996"/>
      <c r="DOV88" s="996"/>
      <c r="DOW88" s="996"/>
      <c r="DOX88" s="996"/>
      <c r="DOY88" s="996"/>
      <c r="DOZ88" s="996"/>
      <c r="DPA88" s="996"/>
      <c r="DPB88" s="996"/>
      <c r="DPC88" s="996"/>
      <c r="DPD88" s="996"/>
      <c r="DPE88" s="996"/>
      <c r="DPF88" s="996"/>
      <c r="DPG88" s="996"/>
      <c r="DPH88" s="996"/>
      <c r="DPI88" s="996"/>
      <c r="DPJ88" s="996"/>
      <c r="DPK88" s="996"/>
      <c r="DPL88" s="996"/>
      <c r="DPM88" s="996"/>
      <c r="DPN88" s="996"/>
      <c r="DPO88" s="996"/>
      <c r="DPP88" s="996"/>
      <c r="DPQ88" s="996"/>
      <c r="DPR88" s="996"/>
      <c r="DPS88" s="996"/>
      <c r="DPT88" s="996"/>
      <c r="DPU88" s="996"/>
      <c r="DPV88" s="996"/>
      <c r="DPW88" s="996"/>
      <c r="DPX88" s="996"/>
      <c r="DPY88" s="996"/>
      <c r="DPZ88" s="996"/>
      <c r="DQA88" s="996"/>
      <c r="DQB88" s="996"/>
      <c r="DQC88" s="996"/>
      <c r="DQD88" s="996"/>
      <c r="DQE88" s="996"/>
      <c r="DQF88" s="996"/>
      <c r="DQG88" s="996"/>
      <c r="DQH88" s="996"/>
      <c r="DQI88" s="996"/>
      <c r="DQJ88" s="996"/>
      <c r="DQK88" s="996"/>
      <c r="DQL88" s="996"/>
      <c r="DQM88" s="996"/>
      <c r="DQN88" s="996"/>
      <c r="DQO88" s="996"/>
      <c r="DQP88" s="996"/>
      <c r="DQQ88" s="996"/>
      <c r="DQR88" s="996"/>
      <c r="DQS88" s="996"/>
      <c r="DQT88" s="996"/>
      <c r="DQU88" s="996"/>
      <c r="DQV88" s="996"/>
      <c r="DQW88" s="996"/>
      <c r="DQX88" s="996"/>
      <c r="DQY88" s="996"/>
      <c r="DQZ88" s="996"/>
      <c r="DRA88" s="996"/>
      <c r="DRB88" s="996"/>
      <c r="DRC88" s="996"/>
      <c r="DRD88" s="996"/>
      <c r="DRE88" s="996"/>
      <c r="DRF88" s="996"/>
      <c r="DRG88" s="996"/>
      <c r="DRH88" s="996"/>
      <c r="DRI88" s="996"/>
      <c r="DRJ88" s="996"/>
      <c r="DRK88" s="996"/>
      <c r="DRL88" s="996"/>
      <c r="DRM88" s="996"/>
      <c r="DRN88" s="996"/>
      <c r="DRO88" s="996"/>
      <c r="DRP88" s="996"/>
      <c r="DRQ88" s="996"/>
      <c r="DRR88" s="996"/>
      <c r="DRS88" s="996"/>
      <c r="DRT88" s="996"/>
      <c r="DRU88" s="996"/>
      <c r="DRV88" s="996"/>
      <c r="DRW88" s="996"/>
      <c r="DRX88" s="996"/>
      <c r="DRY88" s="996"/>
      <c r="DRZ88" s="996"/>
      <c r="DSA88" s="996"/>
      <c r="DSB88" s="996"/>
      <c r="DSC88" s="996"/>
      <c r="DSD88" s="996"/>
      <c r="DSE88" s="996"/>
      <c r="DSF88" s="996"/>
      <c r="DSG88" s="996"/>
      <c r="DSH88" s="996"/>
      <c r="DSI88" s="996"/>
      <c r="DSJ88" s="996"/>
      <c r="DSK88" s="996"/>
      <c r="DSL88" s="996"/>
      <c r="DSM88" s="996"/>
      <c r="DSN88" s="996"/>
      <c r="DSO88" s="996"/>
      <c r="DSP88" s="996"/>
      <c r="DSQ88" s="996"/>
      <c r="DSR88" s="996"/>
      <c r="DSS88" s="996"/>
      <c r="DST88" s="996"/>
      <c r="DSU88" s="996"/>
      <c r="DSV88" s="996"/>
      <c r="DSW88" s="996"/>
      <c r="DSX88" s="996"/>
      <c r="DSY88" s="996"/>
      <c r="DSZ88" s="996"/>
      <c r="DTA88" s="996"/>
      <c r="DTB88" s="996"/>
      <c r="DTC88" s="996"/>
      <c r="DTD88" s="996"/>
      <c r="DTE88" s="996"/>
      <c r="DTF88" s="996"/>
      <c r="DTG88" s="996"/>
      <c r="DTH88" s="996"/>
      <c r="DTI88" s="996"/>
      <c r="DTJ88" s="996"/>
      <c r="DTK88" s="996"/>
      <c r="DTL88" s="996"/>
      <c r="DTM88" s="996"/>
      <c r="DTN88" s="996"/>
      <c r="DTO88" s="996"/>
      <c r="DTP88" s="996"/>
      <c r="DTQ88" s="996"/>
      <c r="DTR88" s="996"/>
      <c r="DTS88" s="996"/>
      <c r="DTT88" s="996"/>
      <c r="DTU88" s="996"/>
      <c r="DTV88" s="996"/>
      <c r="DTW88" s="996"/>
      <c r="DTX88" s="996"/>
      <c r="DTY88" s="996"/>
      <c r="DTZ88" s="996"/>
      <c r="DUA88" s="996"/>
      <c r="DUB88" s="996"/>
      <c r="DUC88" s="996"/>
      <c r="DUD88" s="996"/>
      <c r="DUE88" s="996"/>
      <c r="DUF88" s="996"/>
      <c r="DUG88" s="996"/>
      <c r="DUH88" s="996"/>
      <c r="DUI88" s="996"/>
      <c r="DUJ88" s="996"/>
      <c r="DUK88" s="996"/>
      <c r="DUL88" s="996"/>
      <c r="DUM88" s="996"/>
      <c r="DUN88" s="996"/>
      <c r="DUO88" s="996"/>
      <c r="DUP88" s="996"/>
      <c r="DUQ88" s="996"/>
      <c r="DUR88" s="996"/>
      <c r="DUS88" s="996"/>
      <c r="DUT88" s="996"/>
      <c r="DUU88" s="996"/>
      <c r="DUV88" s="996"/>
      <c r="DUW88" s="996"/>
      <c r="DUX88" s="996"/>
      <c r="DUY88" s="996"/>
      <c r="DUZ88" s="996"/>
      <c r="DVA88" s="996"/>
      <c r="DVB88" s="996"/>
      <c r="DVC88" s="996"/>
      <c r="DVD88" s="996"/>
      <c r="DVE88" s="996"/>
      <c r="DVF88" s="996"/>
      <c r="DVG88" s="996"/>
      <c r="DVH88" s="996"/>
      <c r="DVI88" s="996"/>
      <c r="DVJ88" s="996"/>
      <c r="DVK88" s="996"/>
      <c r="DVL88" s="996"/>
      <c r="DVM88" s="996"/>
      <c r="DVN88" s="996"/>
      <c r="DVO88" s="996"/>
      <c r="DVP88" s="996"/>
      <c r="DVQ88" s="996"/>
      <c r="DVR88" s="996"/>
      <c r="DVS88" s="996"/>
      <c r="DVT88" s="996"/>
      <c r="DVU88" s="996"/>
      <c r="DVV88" s="996"/>
      <c r="DVW88" s="996"/>
      <c r="DVX88" s="996"/>
      <c r="DVY88" s="996"/>
      <c r="DVZ88" s="996"/>
      <c r="DWA88" s="996"/>
      <c r="DWB88" s="996"/>
      <c r="DWC88" s="996"/>
      <c r="DWD88" s="996"/>
      <c r="DWE88" s="996"/>
      <c r="DWF88" s="996"/>
      <c r="DWG88" s="996"/>
      <c r="DWH88" s="996"/>
      <c r="DWI88" s="996"/>
      <c r="DWJ88" s="996"/>
      <c r="DWK88" s="996"/>
      <c r="DWL88" s="996"/>
      <c r="DWM88" s="996"/>
      <c r="DWN88" s="996"/>
      <c r="DWO88" s="996"/>
      <c r="DWP88" s="996"/>
      <c r="DWQ88" s="996"/>
      <c r="DWR88" s="996"/>
      <c r="DWS88" s="996"/>
      <c r="DWT88" s="996"/>
      <c r="DWU88" s="996"/>
      <c r="DWV88" s="996"/>
      <c r="DWW88" s="996"/>
      <c r="DWX88" s="996"/>
      <c r="DWY88" s="996"/>
      <c r="DWZ88" s="996"/>
      <c r="DXA88" s="996"/>
      <c r="DXB88" s="996"/>
      <c r="DXC88" s="996"/>
      <c r="DXD88" s="996"/>
      <c r="DXE88" s="996"/>
      <c r="DXF88" s="996"/>
      <c r="DXG88" s="996"/>
      <c r="DXH88" s="996"/>
      <c r="DXI88" s="996"/>
      <c r="DXJ88" s="996"/>
      <c r="DXK88" s="996"/>
      <c r="DXL88" s="996"/>
      <c r="DXM88" s="996"/>
      <c r="DXN88" s="996"/>
      <c r="DXO88" s="996"/>
      <c r="DXP88" s="996"/>
      <c r="DXQ88" s="996"/>
      <c r="DXR88" s="996"/>
      <c r="DXS88" s="996"/>
      <c r="DXT88" s="996"/>
      <c r="DXU88" s="996"/>
      <c r="DXV88" s="996"/>
      <c r="DXW88" s="996"/>
      <c r="DXX88" s="996"/>
      <c r="DXY88" s="996"/>
      <c r="DXZ88" s="996"/>
      <c r="DYA88" s="996"/>
      <c r="DYB88" s="996"/>
      <c r="DYC88" s="996"/>
      <c r="DYD88" s="996"/>
      <c r="DYE88" s="996"/>
      <c r="DYF88" s="996"/>
      <c r="DYG88" s="996"/>
      <c r="DYH88" s="996"/>
      <c r="DYI88" s="996"/>
      <c r="DYJ88" s="996"/>
      <c r="DYK88" s="996"/>
      <c r="DYL88" s="996"/>
      <c r="DYM88" s="996"/>
      <c r="DYN88" s="996"/>
      <c r="DYO88" s="996"/>
      <c r="DYP88" s="996"/>
      <c r="DYQ88" s="996"/>
      <c r="DYR88" s="996"/>
      <c r="DYS88" s="996"/>
      <c r="DYT88" s="996"/>
      <c r="DYU88" s="996"/>
      <c r="DYV88" s="996"/>
      <c r="DYW88" s="996"/>
      <c r="DYX88" s="996"/>
      <c r="DYY88" s="996"/>
      <c r="DYZ88" s="996"/>
      <c r="DZA88" s="996"/>
      <c r="DZB88" s="996"/>
      <c r="DZC88" s="996"/>
      <c r="DZD88" s="996"/>
      <c r="DZE88" s="996"/>
      <c r="DZF88" s="996"/>
      <c r="DZG88" s="996"/>
      <c r="DZH88" s="996"/>
      <c r="DZI88" s="996"/>
      <c r="DZJ88" s="996"/>
      <c r="DZK88" s="996"/>
      <c r="DZL88" s="996"/>
      <c r="DZM88" s="996"/>
      <c r="DZN88" s="996"/>
      <c r="DZO88" s="996"/>
      <c r="DZP88" s="996"/>
      <c r="DZQ88" s="996"/>
      <c r="DZR88" s="996"/>
      <c r="DZS88" s="996"/>
      <c r="DZT88" s="996"/>
      <c r="DZU88" s="996"/>
      <c r="DZV88" s="996"/>
      <c r="DZW88" s="996"/>
      <c r="DZX88" s="996"/>
      <c r="DZY88" s="996"/>
      <c r="DZZ88" s="996"/>
      <c r="EAA88" s="996"/>
      <c r="EAB88" s="996"/>
      <c r="EAC88" s="996"/>
      <c r="EAD88" s="996"/>
      <c r="EAE88" s="996"/>
      <c r="EAF88" s="996"/>
      <c r="EAG88" s="996"/>
      <c r="EAH88" s="996"/>
      <c r="EAI88" s="996"/>
      <c r="EAJ88" s="996"/>
      <c r="EAK88" s="996"/>
      <c r="EAL88" s="996"/>
      <c r="EAM88" s="996"/>
      <c r="EAN88" s="996"/>
      <c r="EAO88" s="996"/>
      <c r="EAP88" s="996"/>
      <c r="EAQ88" s="996"/>
      <c r="EAR88" s="996"/>
      <c r="EAS88" s="996"/>
      <c r="EAT88" s="996"/>
      <c r="EAU88" s="996"/>
      <c r="EAV88" s="996"/>
      <c r="EAW88" s="996"/>
      <c r="EAX88" s="996"/>
      <c r="EAY88" s="996"/>
      <c r="EAZ88" s="996"/>
      <c r="EBA88" s="996"/>
      <c r="EBB88" s="996"/>
      <c r="EBC88" s="996"/>
      <c r="EBD88" s="996"/>
      <c r="EBE88" s="996"/>
      <c r="EBF88" s="996"/>
      <c r="EBG88" s="996"/>
      <c r="EBH88" s="996"/>
      <c r="EBI88" s="996"/>
      <c r="EBJ88" s="996"/>
      <c r="EBK88" s="996"/>
      <c r="EBL88" s="996"/>
      <c r="EBM88" s="996"/>
      <c r="EBN88" s="996"/>
      <c r="EBO88" s="996"/>
      <c r="EBP88" s="996"/>
      <c r="EBQ88" s="996"/>
      <c r="EBR88" s="996"/>
      <c r="EBS88" s="996"/>
      <c r="EBT88" s="996"/>
      <c r="EBU88" s="996"/>
      <c r="EBV88" s="996"/>
      <c r="EBW88" s="996"/>
      <c r="EBX88" s="996"/>
      <c r="EBY88" s="996"/>
      <c r="EBZ88" s="996"/>
      <c r="ECA88" s="996"/>
      <c r="ECB88" s="996"/>
      <c r="ECC88" s="996"/>
      <c r="ECD88" s="996"/>
      <c r="ECE88" s="996"/>
      <c r="ECF88" s="996"/>
      <c r="ECG88" s="996"/>
      <c r="ECH88" s="996"/>
      <c r="ECI88" s="996"/>
      <c r="ECJ88" s="996"/>
      <c r="ECK88" s="996"/>
      <c r="ECL88" s="996"/>
      <c r="ECM88" s="996"/>
      <c r="ECN88" s="996"/>
      <c r="ECO88" s="996"/>
      <c r="ECP88" s="996"/>
      <c r="ECQ88" s="996"/>
      <c r="ECR88" s="996"/>
      <c r="ECS88" s="996"/>
      <c r="ECT88" s="996"/>
      <c r="ECU88" s="996"/>
      <c r="ECV88" s="996"/>
      <c r="ECW88" s="996"/>
      <c r="ECX88" s="996"/>
      <c r="ECY88" s="996"/>
      <c r="ECZ88" s="996"/>
      <c r="EDA88" s="996"/>
      <c r="EDB88" s="996"/>
      <c r="EDC88" s="996"/>
      <c r="EDD88" s="996"/>
      <c r="EDE88" s="996"/>
      <c r="EDF88" s="996"/>
      <c r="EDG88" s="996"/>
      <c r="EDH88" s="996"/>
      <c r="EDI88" s="996"/>
      <c r="EDJ88" s="996"/>
      <c r="EDK88" s="996"/>
      <c r="EDL88" s="996"/>
      <c r="EDM88" s="996"/>
      <c r="EDN88" s="996"/>
      <c r="EDO88" s="996"/>
      <c r="EDP88" s="996"/>
      <c r="EDQ88" s="996"/>
      <c r="EDR88" s="996"/>
      <c r="EDS88" s="996"/>
      <c r="EDT88" s="996"/>
      <c r="EDU88" s="996"/>
      <c r="EDV88" s="996"/>
      <c r="EDW88" s="996"/>
      <c r="EDX88" s="996"/>
      <c r="EDY88" s="996"/>
      <c r="EDZ88" s="996"/>
      <c r="EEA88" s="996"/>
      <c r="EEB88" s="996"/>
      <c r="EEC88" s="996"/>
      <c r="EED88" s="996"/>
      <c r="EEE88" s="996"/>
      <c r="EEF88" s="996"/>
      <c r="EEG88" s="996"/>
      <c r="EEH88" s="996"/>
      <c r="EEI88" s="996"/>
      <c r="EEJ88" s="996"/>
      <c r="EEK88" s="996"/>
      <c r="EEL88" s="996"/>
      <c r="EEM88" s="996"/>
      <c r="EEN88" s="996"/>
      <c r="EEO88" s="996"/>
      <c r="EEP88" s="996"/>
      <c r="EEQ88" s="996"/>
      <c r="EER88" s="996"/>
      <c r="EES88" s="996"/>
      <c r="EET88" s="996"/>
      <c r="EEU88" s="996"/>
      <c r="EEV88" s="996"/>
      <c r="EEW88" s="996"/>
      <c r="EEX88" s="996"/>
      <c r="EEY88" s="996"/>
      <c r="EEZ88" s="996"/>
      <c r="EFA88" s="996"/>
      <c r="EFB88" s="996"/>
      <c r="EFC88" s="996"/>
      <c r="EFD88" s="996"/>
      <c r="EFE88" s="996"/>
      <c r="EFF88" s="996"/>
      <c r="EFG88" s="996"/>
      <c r="EFH88" s="996"/>
      <c r="EFI88" s="996"/>
      <c r="EFJ88" s="996"/>
      <c r="EFK88" s="996"/>
      <c r="EFL88" s="996"/>
      <c r="EFM88" s="996"/>
      <c r="EFN88" s="996"/>
      <c r="EFO88" s="996"/>
      <c r="EFP88" s="996"/>
      <c r="EFQ88" s="996"/>
      <c r="EFR88" s="996"/>
      <c r="EFS88" s="996"/>
      <c r="EFT88" s="996"/>
      <c r="EFU88" s="996"/>
      <c r="EFV88" s="996"/>
      <c r="EFW88" s="996"/>
      <c r="EFX88" s="996"/>
      <c r="EFY88" s="996"/>
      <c r="EFZ88" s="996"/>
      <c r="EGA88" s="996"/>
      <c r="EGB88" s="996"/>
      <c r="EGC88" s="996"/>
      <c r="EGD88" s="996"/>
      <c r="EGE88" s="996"/>
      <c r="EGF88" s="996"/>
      <c r="EGG88" s="996"/>
      <c r="EGH88" s="996"/>
      <c r="EGI88" s="996"/>
      <c r="EGJ88" s="996"/>
      <c r="EGK88" s="996"/>
      <c r="EGL88" s="996"/>
      <c r="EGM88" s="996"/>
      <c r="EGN88" s="996"/>
      <c r="EGO88" s="996"/>
      <c r="EGP88" s="996"/>
      <c r="EGQ88" s="996"/>
      <c r="EGR88" s="996"/>
      <c r="EGS88" s="996"/>
      <c r="EGT88" s="996"/>
      <c r="EGU88" s="996"/>
      <c r="EGV88" s="996"/>
      <c r="EGW88" s="996"/>
      <c r="EGX88" s="996"/>
      <c r="EGY88" s="996"/>
      <c r="EGZ88" s="996"/>
      <c r="EHA88" s="996"/>
      <c r="EHB88" s="996"/>
      <c r="EHC88" s="996"/>
      <c r="EHD88" s="996"/>
      <c r="EHE88" s="996"/>
      <c r="EHF88" s="996"/>
      <c r="EHG88" s="996"/>
      <c r="EHH88" s="996"/>
      <c r="EHI88" s="996"/>
      <c r="EHJ88" s="996"/>
      <c r="EHK88" s="996"/>
      <c r="EHL88" s="996"/>
      <c r="EHM88" s="996"/>
      <c r="EHN88" s="996"/>
      <c r="EHO88" s="996"/>
      <c r="EHP88" s="996"/>
      <c r="EHQ88" s="996"/>
      <c r="EHR88" s="996"/>
      <c r="EHS88" s="996"/>
      <c r="EHT88" s="996"/>
      <c r="EHU88" s="996"/>
      <c r="EHV88" s="996"/>
      <c r="EHW88" s="996"/>
      <c r="EHX88" s="996"/>
      <c r="EHY88" s="996"/>
      <c r="EHZ88" s="996"/>
      <c r="EIA88" s="996"/>
      <c r="EIB88" s="996"/>
      <c r="EIC88" s="996"/>
      <c r="EID88" s="996"/>
      <c r="EIE88" s="996"/>
      <c r="EIF88" s="996"/>
      <c r="EIG88" s="996"/>
      <c r="EIH88" s="996"/>
      <c r="EII88" s="996"/>
      <c r="EIJ88" s="996"/>
      <c r="EIK88" s="996"/>
      <c r="EIL88" s="996"/>
      <c r="EIM88" s="996"/>
      <c r="EIN88" s="996"/>
      <c r="EIO88" s="996"/>
      <c r="EIP88" s="996"/>
      <c r="EIQ88" s="996"/>
      <c r="EIR88" s="996"/>
      <c r="EIS88" s="996"/>
      <c r="EIT88" s="996"/>
      <c r="EIU88" s="996"/>
      <c r="EIV88" s="996"/>
      <c r="EIW88" s="996"/>
      <c r="EIX88" s="996"/>
      <c r="EIY88" s="996"/>
      <c r="EIZ88" s="996"/>
      <c r="EJA88" s="996"/>
      <c r="EJB88" s="996"/>
      <c r="EJC88" s="996"/>
      <c r="EJD88" s="996"/>
      <c r="EJE88" s="996"/>
      <c r="EJF88" s="996"/>
      <c r="EJG88" s="996"/>
      <c r="EJH88" s="996"/>
      <c r="EJI88" s="996"/>
      <c r="EJJ88" s="996"/>
      <c r="EJK88" s="996"/>
      <c r="EJL88" s="996"/>
      <c r="EJM88" s="996"/>
      <c r="EJN88" s="996"/>
      <c r="EJO88" s="996"/>
      <c r="EJP88" s="996"/>
      <c r="EJQ88" s="996"/>
      <c r="EJR88" s="996"/>
      <c r="EJS88" s="996"/>
      <c r="EJT88" s="996"/>
      <c r="EJU88" s="996"/>
      <c r="EJV88" s="996"/>
      <c r="EJW88" s="996"/>
      <c r="EJX88" s="996"/>
      <c r="EJY88" s="996"/>
      <c r="EJZ88" s="996"/>
      <c r="EKA88" s="996"/>
      <c r="EKB88" s="996"/>
      <c r="EKC88" s="996"/>
      <c r="EKD88" s="996"/>
      <c r="EKE88" s="996"/>
      <c r="EKF88" s="996"/>
      <c r="EKG88" s="996"/>
      <c r="EKH88" s="996"/>
      <c r="EKI88" s="996"/>
      <c r="EKJ88" s="996"/>
      <c r="EKK88" s="996"/>
      <c r="EKL88" s="996"/>
      <c r="EKM88" s="996"/>
      <c r="EKN88" s="996"/>
      <c r="EKO88" s="996"/>
      <c r="EKP88" s="996"/>
      <c r="EKQ88" s="996"/>
      <c r="EKR88" s="996"/>
      <c r="EKS88" s="996"/>
      <c r="EKT88" s="996"/>
      <c r="EKU88" s="996"/>
      <c r="EKV88" s="996"/>
      <c r="EKW88" s="996"/>
      <c r="EKX88" s="996"/>
      <c r="EKY88" s="996"/>
      <c r="EKZ88" s="996"/>
      <c r="ELA88" s="996"/>
      <c r="ELB88" s="996"/>
      <c r="ELC88" s="996"/>
      <c r="ELD88" s="996"/>
      <c r="ELE88" s="996"/>
      <c r="ELF88" s="996"/>
      <c r="ELG88" s="996"/>
      <c r="ELH88" s="996"/>
      <c r="ELI88" s="996"/>
      <c r="ELJ88" s="996"/>
      <c r="ELK88" s="996"/>
      <c r="ELL88" s="996"/>
      <c r="ELM88" s="996"/>
      <c r="ELN88" s="996"/>
      <c r="ELO88" s="996"/>
      <c r="ELP88" s="996"/>
      <c r="ELQ88" s="996"/>
      <c r="ELR88" s="996"/>
      <c r="ELS88" s="996"/>
      <c r="ELT88" s="996"/>
      <c r="ELU88" s="996"/>
      <c r="ELV88" s="996"/>
      <c r="ELW88" s="996"/>
      <c r="ELX88" s="996"/>
      <c r="ELY88" s="996"/>
      <c r="ELZ88" s="996"/>
      <c r="EMA88" s="996"/>
      <c r="EMB88" s="996"/>
      <c r="EMC88" s="996"/>
      <c r="EMD88" s="996"/>
      <c r="EME88" s="996"/>
      <c r="EMF88" s="996"/>
      <c r="EMG88" s="996"/>
      <c r="EMH88" s="996"/>
      <c r="EMI88" s="996"/>
      <c r="EMJ88" s="996"/>
      <c r="EMK88" s="996"/>
      <c r="EML88" s="996"/>
      <c r="EMM88" s="996"/>
      <c r="EMN88" s="996"/>
      <c r="EMO88" s="996"/>
      <c r="EMP88" s="996"/>
      <c r="EMQ88" s="996"/>
      <c r="EMR88" s="996"/>
      <c r="EMS88" s="996"/>
      <c r="EMT88" s="996"/>
      <c r="EMU88" s="996"/>
      <c r="EMV88" s="996"/>
      <c r="EMW88" s="996"/>
      <c r="EMX88" s="996"/>
      <c r="EMY88" s="996"/>
      <c r="EMZ88" s="996"/>
      <c r="ENA88" s="996"/>
      <c r="ENB88" s="996"/>
      <c r="ENC88" s="996"/>
      <c r="END88" s="996"/>
      <c r="ENE88" s="996"/>
      <c r="ENF88" s="996"/>
      <c r="ENG88" s="996"/>
      <c r="ENH88" s="996"/>
      <c r="ENI88" s="996"/>
      <c r="ENJ88" s="996"/>
      <c r="ENK88" s="996"/>
      <c r="ENL88" s="996"/>
      <c r="ENM88" s="996"/>
      <c r="ENN88" s="996"/>
      <c r="ENO88" s="996"/>
      <c r="ENP88" s="996"/>
      <c r="ENQ88" s="996"/>
      <c r="ENR88" s="996"/>
      <c r="ENS88" s="996"/>
      <c r="ENT88" s="996"/>
      <c r="ENU88" s="996"/>
      <c r="ENV88" s="996"/>
      <c r="ENW88" s="996"/>
      <c r="ENX88" s="996"/>
      <c r="ENY88" s="996"/>
      <c r="ENZ88" s="996"/>
      <c r="EOA88" s="996"/>
      <c r="EOB88" s="996"/>
      <c r="EOC88" s="996"/>
      <c r="EOD88" s="996"/>
      <c r="EOE88" s="996"/>
      <c r="EOF88" s="996"/>
      <c r="EOG88" s="996"/>
      <c r="EOH88" s="996"/>
      <c r="EOI88" s="996"/>
      <c r="EOJ88" s="996"/>
      <c r="EOK88" s="996"/>
      <c r="EOL88" s="996"/>
      <c r="EOM88" s="996"/>
      <c r="EON88" s="996"/>
      <c r="EOO88" s="996"/>
      <c r="EOP88" s="996"/>
      <c r="EOQ88" s="996"/>
      <c r="EOR88" s="996"/>
      <c r="EOS88" s="996"/>
      <c r="EOT88" s="996"/>
      <c r="EOU88" s="996"/>
      <c r="EOV88" s="996"/>
      <c r="EOW88" s="996"/>
      <c r="EOX88" s="996"/>
      <c r="EOY88" s="996"/>
      <c r="EOZ88" s="996"/>
      <c r="EPA88" s="996"/>
      <c r="EPB88" s="996"/>
      <c r="EPC88" s="996"/>
      <c r="EPD88" s="996"/>
      <c r="EPE88" s="996"/>
      <c r="EPF88" s="996"/>
      <c r="EPG88" s="996"/>
      <c r="EPH88" s="996"/>
      <c r="EPI88" s="996"/>
      <c r="EPJ88" s="996"/>
      <c r="EPK88" s="996"/>
      <c r="EPL88" s="996"/>
      <c r="EPM88" s="996"/>
      <c r="EPN88" s="996"/>
      <c r="EPO88" s="996"/>
      <c r="EPP88" s="996"/>
      <c r="EPQ88" s="996"/>
      <c r="EPR88" s="996"/>
      <c r="EPS88" s="996"/>
      <c r="EPT88" s="996"/>
      <c r="EPU88" s="996"/>
      <c r="EPV88" s="996"/>
      <c r="EPW88" s="996"/>
      <c r="EPX88" s="996"/>
      <c r="EPY88" s="996"/>
      <c r="EPZ88" s="996"/>
      <c r="EQA88" s="996"/>
      <c r="EQB88" s="996"/>
      <c r="EQC88" s="996"/>
      <c r="EQD88" s="996"/>
      <c r="EQE88" s="996"/>
      <c r="EQF88" s="996"/>
      <c r="EQG88" s="996"/>
      <c r="EQH88" s="996"/>
      <c r="EQI88" s="996"/>
      <c r="EQJ88" s="996"/>
      <c r="EQK88" s="996"/>
      <c r="EQL88" s="996"/>
      <c r="EQM88" s="996"/>
      <c r="EQN88" s="996"/>
      <c r="EQO88" s="996"/>
      <c r="EQP88" s="996"/>
      <c r="EQQ88" s="996"/>
      <c r="EQR88" s="996"/>
      <c r="EQS88" s="996"/>
      <c r="EQT88" s="996"/>
      <c r="EQU88" s="996"/>
      <c r="EQV88" s="996"/>
      <c r="EQW88" s="996"/>
      <c r="EQX88" s="996"/>
      <c r="EQY88" s="996"/>
      <c r="EQZ88" s="996"/>
      <c r="ERA88" s="996"/>
      <c r="ERB88" s="996"/>
      <c r="ERC88" s="996"/>
      <c r="ERD88" s="996"/>
      <c r="ERE88" s="996"/>
      <c r="ERF88" s="996"/>
      <c r="ERG88" s="996"/>
      <c r="ERH88" s="996"/>
      <c r="ERI88" s="996"/>
      <c r="ERJ88" s="996"/>
      <c r="ERK88" s="996"/>
      <c r="ERL88" s="996"/>
      <c r="ERM88" s="996"/>
      <c r="ERN88" s="996"/>
      <c r="ERO88" s="996"/>
      <c r="ERP88" s="996"/>
      <c r="ERQ88" s="996"/>
      <c r="ERR88" s="996"/>
      <c r="ERS88" s="996"/>
      <c r="ERT88" s="996"/>
      <c r="ERU88" s="996"/>
      <c r="ERV88" s="996"/>
      <c r="ERW88" s="996"/>
      <c r="ERX88" s="996"/>
      <c r="ERY88" s="996"/>
      <c r="ERZ88" s="996"/>
      <c r="ESA88" s="996"/>
      <c r="ESB88" s="996"/>
      <c r="ESC88" s="996"/>
      <c r="ESD88" s="996"/>
      <c r="ESE88" s="996"/>
      <c r="ESF88" s="996"/>
      <c r="ESG88" s="996"/>
      <c r="ESH88" s="996"/>
      <c r="ESI88" s="996"/>
      <c r="ESJ88" s="996"/>
      <c r="ESK88" s="996"/>
      <c r="ESL88" s="996"/>
      <c r="ESM88" s="996"/>
      <c r="ESN88" s="996"/>
      <c r="ESO88" s="996"/>
      <c r="ESP88" s="996"/>
      <c r="ESQ88" s="996"/>
      <c r="ESR88" s="996"/>
      <c r="ESS88" s="996"/>
      <c r="EST88" s="996"/>
      <c r="ESU88" s="996"/>
      <c r="ESV88" s="996"/>
      <c r="ESW88" s="996"/>
      <c r="ESX88" s="996"/>
      <c r="ESY88" s="996"/>
      <c r="ESZ88" s="996"/>
      <c r="ETA88" s="996"/>
      <c r="ETB88" s="996"/>
      <c r="ETC88" s="996"/>
      <c r="ETD88" s="996"/>
      <c r="ETE88" s="996"/>
      <c r="ETF88" s="996"/>
      <c r="ETG88" s="996"/>
      <c r="ETH88" s="996"/>
      <c r="ETI88" s="996"/>
      <c r="ETJ88" s="996"/>
      <c r="ETK88" s="996"/>
      <c r="ETL88" s="996"/>
      <c r="ETM88" s="996"/>
      <c r="ETN88" s="996"/>
      <c r="ETO88" s="996"/>
      <c r="ETP88" s="996"/>
      <c r="ETQ88" s="996"/>
      <c r="ETR88" s="996"/>
      <c r="ETS88" s="996"/>
      <c r="ETT88" s="996"/>
      <c r="ETU88" s="996"/>
      <c r="ETV88" s="996"/>
      <c r="ETW88" s="996"/>
      <c r="ETX88" s="996"/>
      <c r="ETY88" s="996"/>
      <c r="ETZ88" s="996"/>
      <c r="EUA88" s="996"/>
      <c r="EUB88" s="996"/>
      <c r="EUC88" s="996"/>
      <c r="EUD88" s="996"/>
      <c r="EUE88" s="996"/>
      <c r="EUF88" s="996"/>
      <c r="EUG88" s="996"/>
      <c r="EUH88" s="996"/>
      <c r="EUI88" s="996"/>
      <c r="EUJ88" s="996"/>
      <c r="EUK88" s="996"/>
      <c r="EUL88" s="996"/>
      <c r="EUM88" s="996"/>
      <c r="EUN88" s="996"/>
      <c r="EUO88" s="996"/>
      <c r="EUP88" s="996"/>
      <c r="EUQ88" s="996"/>
      <c r="EUR88" s="996"/>
      <c r="EUS88" s="996"/>
      <c r="EUT88" s="996"/>
      <c r="EUU88" s="996"/>
      <c r="EUV88" s="996"/>
      <c r="EUW88" s="996"/>
      <c r="EUX88" s="996"/>
      <c r="EUY88" s="996"/>
      <c r="EUZ88" s="996"/>
      <c r="EVA88" s="996"/>
      <c r="EVB88" s="996"/>
      <c r="EVC88" s="996"/>
      <c r="EVD88" s="996"/>
      <c r="EVE88" s="996"/>
      <c r="EVF88" s="996"/>
      <c r="EVG88" s="996"/>
      <c r="EVH88" s="996"/>
      <c r="EVI88" s="996"/>
      <c r="EVJ88" s="996"/>
      <c r="EVK88" s="996"/>
      <c r="EVL88" s="996"/>
      <c r="EVM88" s="996"/>
      <c r="EVN88" s="996"/>
      <c r="EVO88" s="996"/>
      <c r="EVP88" s="996"/>
      <c r="EVQ88" s="996"/>
      <c r="EVR88" s="996"/>
      <c r="EVS88" s="996"/>
      <c r="EVT88" s="996"/>
      <c r="EVU88" s="996"/>
      <c r="EVV88" s="996"/>
      <c r="EVW88" s="996"/>
      <c r="EVX88" s="996"/>
      <c r="EVY88" s="996"/>
      <c r="EVZ88" s="996"/>
      <c r="EWA88" s="996"/>
      <c r="EWB88" s="996"/>
      <c r="EWC88" s="996"/>
      <c r="EWD88" s="996"/>
      <c r="EWE88" s="996"/>
      <c r="EWF88" s="996"/>
      <c r="EWG88" s="996"/>
      <c r="EWH88" s="996"/>
      <c r="EWI88" s="996"/>
      <c r="EWJ88" s="996"/>
      <c r="EWK88" s="996"/>
      <c r="EWL88" s="996"/>
      <c r="EWM88" s="996"/>
      <c r="EWN88" s="996"/>
      <c r="EWO88" s="996"/>
      <c r="EWP88" s="996"/>
      <c r="EWQ88" s="996"/>
      <c r="EWR88" s="996"/>
      <c r="EWS88" s="996"/>
      <c r="EWT88" s="996"/>
      <c r="EWU88" s="996"/>
      <c r="EWV88" s="996"/>
      <c r="EWW88" s="996"/>
      <c r="EWX88" s="996"/>
      <c r="EWY88" s="996"/>
      <c r="EWZ88" s="996"/>
      <c r="EXA88" s="996"/>
      <c r="EXB88" s="996"/>
      <c r="EXC88" s="996"/>
      <c r="EXD88" s="996"/>
      <c r="EXE88" s="996"/>
      <c r="EXF88" s="996"/>
      <c r="EXG88" s="996"/>
      <c r="EXH88" s="996"/>
      <c r="EXI88" s="996"/>
      <c r="EXJ88" s="996"/>
      <c r="EXK88" s="996"/>
      <c r="EXL88" s="996"/>
      <c r="EXM88" s="996"/>
      <c r="EXN88" s="996"/>
      <c r="EXO88" s="996"/>
      <c r="EXP88" s="996"/>
      <c r="EXQ88" s="996"/>
      <c r="EXR88" s="996"/>
      <c r="EXS88" s="996"/>
      <c r="EXT88" s="996"/>
      <c r="EXU88" s="996"/>
      <c r="EXV88" s="996"/>
      <c r="EXW88" s="996"/>
      <c r="EXX88" s="996"/>
      <c r="EXY88" s="996"/>
      <c r="EXZ88" s="996"/>
      <c r="EYA88" s="996"/>
      <c r="EYB88" s="996"/>
      <c r="EYC88" s="996"/>
      <c r="EYD88" s="996"/>
      <c r="EYE88" s="996"/>
      <c r="EYF88" s="996"/>
      <c r="EYG88" s="996"/>
      <c r="EYH88" s="996"/>
      <c r="EYI88" s="996"/>
      <c r="EYJ88" s="996"/>
      <c r="EYK88" s="996"/>
      <c r="EYL88" s="996"/>
      <c r="EYM88" s="996"/>
      <c r="EYN88" s="996"/>
      <c r="EYO88" s="996"/>
      <c r="EYP88" s="996"/>
      <c r="EYQ88" s="996"/>
      <c r="EYR88" s="996"/>
      <c r="EYS88" s="996"/>
      <c r="EYT88" s="996"/>
      <c r="EYU88" s="996"/>
      <c r="EYV88" s="996"/>
      <c r="EYW88" s="996"/>
      <c r="EYX88" s="996"/>
      <c r="EYY88" s="996"/>
      <c r="EYZ88" s="996"/>
      <c r="EZA88" s="996"/>
      <c r="EZB88" s="996"/>
      <c r="EZC88" s="996"/>
      <c r="EZD88" s="996"/>
      <c r="EZE88" s="996"/>
      <c r="EZF88" s="996"/>
      <c r="EZG88" s="996"/>
      <c r="EZH88" s="996"/>
      <c r="EZI88" s="996"/>
      <c r="EZJ88" s="996"/>
      <c r="EZK88" s="996"/>
      <c r="EZL88" s="996"/>
      <c r="EZM88" s="996"/>
      <c r="EZN88" s="996"/>
      <c r="EZO88" s="996"/>
      <c r="EZP88" s="996"/>
      <c r="EZQ88" s="996"/>
      <c r="EZR88" s="996"/>
      <c r="EZS88" s="996"/>
      <c r="EZT88" s="996"/>
      <c r="EZU88" s="996"/>
      <c r="EZV88" s="996"/>
      <c r="EZW88" s="996"/>
      <c r="EZX88" s="996"/>
      <c r="EZY88" s="996"/>
      <c r="EZZ88" s="996"/>
      <c r="FAA88" s="996"/>
      <c r="FAB88" s="996"/>
      <c r="FAC88" s="996"/>
      <c r="FAD88" s="996"/>
      <c r="FAE88" s="996"/>
      <c r="FAF88" s="996"/>
      <c r="FAG88" s="996"/>
      <c r="FAH88" s="996"/>
      <c r="FAI88" s="996"/>
      <c r="FAJ88" s="996"/>
      <c r="FAK88" s="996"/>
      <c r="FAL88" s="996"/>
      <c r="FAM88" s="996"/>
      <c r="FAN88" s="996"/>
      <c r="FAO88" s="996"/>
      <c r="FAP88" s="996"/>
      <c r="FAQ88" s="996"/>
      <c r="FAR88" s="996"/>
      <c r="FAS88" s="996"/>
      <c r="FAT88" s="996"/>
      <c r="FAU88" s="996"/>
      <c r="FAV88" s="996"/>
      <c r="FAW88" s="996"/>
      <c r="FAX88" s="996"/>
      <c r="FAY88" s="996"/>
      <c r="FAZ88" s="996"/>
      <c r="FBA88" s="996"/>
      <c r="FBB88" s="996"/>
      <c r="FBC88" s="996"/>
      <c r="FBD88" s="996"/>
      <c r="FBE88" s="996"/>
      <c r="FBF88" s="996"/>
      <c r="FBG88" s="996"/>
      <c r="FBH88" s="996"/>
      <c r="FBI88" s="996"/>
      <c r="FBJ88" s="996"/>
      <c r="FBK88" s="996"/>
      <c r="FBL88" s="996"/>
      <c r="FBM88" s="996"/>
      <c r="FBN88" s="996"/>
      <c r="FBO88" s="996"/>
      <c r="FBP88" s="996"/>
      <c r="FBQ88" s="996"/>
      <c r="FBR88" s="996"/>
      <c r="FBS88" s="996"/>
      <c r="FBT88" s="996"/>
      <c r="FBU88" s="996"/>
      <c r="FBV88" s="996"/>
      <c r="FBW88" s="996"/>
      <c r="FBX88" s="996"/>
      <c r="FBY88" s="996"/>
      <c r="FBZ88" s="996"/>
      <c r="FCA88" s="996"/>
      <c r="FCB88" s="996"/>
      <c r="FCC88" s="996"/>
      <c r="FCD88" s="996"/>
      <c r="FCE88" s="996"/>
      <c r="FCF88" s="996"/>
      <c r="FCG88" s="996"/>
      <c r="FCH88" s="996"/>
      <c r="FCI88" s="996"/>
      <c r="FCJ88" s="996"/>
      <c r="FCK88" s="996"/>
      <c r="FCL88" s="996"/>
      <c r="FCM88" s="996"/>
      <c r="FCN88" s="996"/>
      <c r="FCO88" s="996"/>
      <c r="FCP88" s="996"/>
      <c r="FCQ88" s="996"/>
      <c r="FCR88" s="996"/>
      <c r="FCS88" s="996"/>
      <c r="FCT88" s="996"/>
      <c r="FCU88" s="996"/>
      <c r="FCV88" s="996"/>
      <c r="FCW88" s="996"/>
      <c r="FCX88" s="996"/>
      <c r="FCY88" s="996"/>
      <c r="FCZ88" s="996"/>
      <c r="FDA88" s="996"/>
      <c r="FDB88" s="996"/>
      <c r="FDC88" s="996"/>
      <c r="FDD88" s="996"/>
      <c r="FDE88" s="996"/>
      <c r="FDF88" s="996"/>
      <c r="FDG88" s="996"/>
      <c r="FDH88" s="996"/>
      <c r="FDI88" s="996"/>
      <c r="FDJ88" s="996"/>
      <c r="FDK88" s="996"/>
      <c r="FDL88" s="996"/>
      <c r="FDM88" s="996"/>
      <c r="FDN88" s="996"/>
      <c r="FDO88" s="996"/>
      <c r="FDP88" s="996"/>
      <c r="FDQ88" s="996"/>
      <c r="FDR88" s="996"/>
      <c r="FDS88" s="996"/>
      <c r="FDT88" s="996"/>
      <c r="FDU88" s="996"/>
      <c r="FDV88" s="996"/>
      <c r="FDW88" s="996"/>
      <c r="FDX88" s="996"/>
      <c r="FDY88" s="996"/>
      <c r="FDZ88" s="996"/>
      <c r="FEA88" s="996"/>
      <c r="FEB88" s="996"/>
      <c r="FEC88" s="996"/>
      <c r="FED88" s="996"/>
      <c r="FEE88" s="996"/>
      <c r="FEF88" s="996"/>
      <c r="FEG88" s="996"/>
      <c r="FEH88" s="996"/>
      <c r="FEI88" s="996"/>
      <c r="FEJ88" s="996"/>
      <c r="FEK88" s="996"/>
      <c r="FEL88" s="996"/>
      <c r="FEM88" s="996"/>
      <c r="FEN88" s="996"/>
      <c r="FEO88" s="996"/>
      <c r="FEP88" s="996"/>
      <c r="FEQ88" s="996"/>
      <c r="FER88" s="996"/>
      <c r="FES88" s="996"/>
      <c r="FET88" s="996"/>
      <c r="FEU88" s="996"/>
      <c r="FEV88" s="996"/>
      <c r="FEW88" s="996"/>
      <c r="FEX88" s="996"/>
      <c r="FEY88" s="996"/>
      <c r="FEZ88" s="996"/>
      <c r="FFA88" s="996"/>
      <c r="FFB88" s="996"/>
      <c r="FFC88" s="996"/>
      <c r="FFD88" s="996"/>
      <c r="FFE88" s="996"/>
      <c r="FFF88" s="996"/>
      <c r="FFG88" s="996"/>
      <c r="FFH88" s="996"/>
      <c r="FFI88" s="996"/>
      <c r="FFJ88" s="996"/>
      <c r="FFK88" s="996"/>
      <c r="FFL88" s="996"/>
      <c r="FFM88" s="996"/>
      <c r="FFN88" s="996"/>
      <c r="FFO88" s="996"/>
      <c r="FFP88" s="996"/>
      <c r="FFQ88" s="996"/>
      <c r="FFR88" s="996"/>
      <c r="FFS88" s="996"/>
      <c r="FFT88" s="996"/>
      <c r="FFU88" s="996"/>
      <c r="FFV88" s="996"/>
      <c r="FFW88" s="996"/>
      <c r="FFX88" s="996"/>
      <c r="FFY88" s="996"/>
      <c r="FFZ88" s="996"/>
      <c r="FGA88" s="996"/>
      <c r="FGB88" s="996"/>
      <c r="FGC88" s="996"/>
      <c r="FGD88" s="996"/>
      <c r="FGE88" s="996"/>
      <c r="FGF88" s="996"/>
      <c r="FGG88" s="996"/>
      <c r="FGH88" s="996"/>
      <c r="FGI88" s="996"/>
      <c r="FGJ88" s="996"/>
      <c r="FGK88" s="996"/>
      <c r="FGL88" s="996"/>
      <c r="FGM88" s="996"/>
      <c r="FGN88" s="996"/>
      <c r="FGO88" s="996"/>
      <c r="FGP88" s="996"/>
      <c r="FGQ88" s="996"/>
      <c r="FGR88" s="996"/>
      <c r="FGS88" s="996"/>
      <c r="FGT88" s="996"/>
      <c r="FGU88" s="996"/>
      <c r="FGV88" s="996"/>
      <c r="FGW88" s="996"/>
      <c r="FGX88" s="996"/>
      <c r="FGY88" s="996"/>
      <c r="FGZ88" s="996"/>
      <c r="FHA88" s="996"/>
      <c r="FHB88" s="996"/>
      <c r="FHC88" s="996"/>
      <c r="FHD88" s="996"/>
      <c r="FHE88" s="996"/>
      <c r="FHF88" s="996"/>
      <c r="FHG88" s="996"/>
      <c r="FHH88" s="996"/>
      <c r="FHI88" s="996"/>
      <c r="FHJ88" s="996"/>
      <c r="FHK88" s="996"/>
      <c r="FHL88" s="996"/>
      <c r="FHM88" s="996"/>
      <c r="FHN88" s="996"/>
      <c r="FHO88" s="996"/>
      <c r="FHP88" s="996"/>
      <c r="FHQ88" s="996"/>
      <c r="FHR88" s="996"/>
      <c r="FHS88" s="996"/>
      <c r="FHT88" s="996"/>
      <c r="FHU88" s="996"/>
      <c r="FHV88" s="996"/>
      <c r="FHW88" s="996"/>
      <c r="FHX88" s="996"/>
      <c r="FHY88" s="996"/>
      <c r="FHZ88" s="996"/>
      <c r="FIA88" s="996"/>
      <c r="FIB88" s="996"/>
      <c r="FIC88" s="996"/>
      <c r="FID88" s="996"/>
      <c r="FIE88" s="996"/>
      <c r="FIF88" s="996"/>
      <c r="FIG88" s="996"/>
      <c r="FIH88" s="996"/>
      <c r="FII88" s="996"/>
      <c r="FIJ88" s="996"/>
      <c r="FIK88" s="996"/>
      <c r="FIL88" s="996"/>
      <c r="FIM88" s="996"/>
      <c r="FIN88" s="996"/>
      <c r="FIO88" s="996"/>
      <c r="FIP88" s="996"/>
      <c r="FIQ88" s="996"/>
      <c r="FIR88" s="996"/>
      <c r="FIS88" s="996"/>
      <c r="FIT88" s="996"/>
      <c r="FIU88" s="996"/>
      <c r="FIV88" s="996"/>
      <c r="FIW88" s="996"/>
      <c r="FIX88" s="996"/>
      <c r="FIY88" s="996"/>
      <c r="FIZ88" s="996"/>
      <c r="FJA88" s="996"/>
      <c r="FJB88" s="996"/>
      <c r="FJC88" s="996"/>
      <c r="FJD88" s="996"/>
      <c r="FJE88" s="996"/>
      <c r="FJF88" s="996"/>
      <c r="FJG88" s="996"/>
      <c r="FJH88" s="996"/>
      <c r="FJI88" s="996"/>
      <c r="FJJ88" s="996"/>
      <c r="FJK88" s="996"/>
      <c r="FJL88" s="996"/>
      <c r="FJM88" s="996"/>
      <c r="FJN88" s="996"/>
      <c r="FJO88" s="996"/>
      <c r="FJP88" s="996"/>
      <c r="FJQ88" s="996"/>
      <c r="FJR88" s="996"/>
      <c r="FJS88" s="996"/>
      <c r="FJT88" s="996"/>
      <c r="FJU88" s="996"/>
      <c r="FJV88" s="996"/>
      <c r="FJW88" s="996"/>
      <c r="FJX88" s="996"/>
      <c r="FJY88" s="996"/>
      <c r="FJZ88" s="996"/>
      <c r="FKA88" s="996"/>
      <c r="FKB88" s="996"/>
      <c r="FKC88" s="996"/>
      <c r="FKD88" s="996"/>
      <c r="FKE88" s="996"/>
      <c r="FKF88" s="996"/>
      <c r="FKG88" s="996"/>
      <c r="FKH88" s="996"/>
      <c r="FKI88" s="996"/>
      <c r="FKJ88" s="996"/>
      <c r="FKK88" s="996"/>
      <c r="FKL88" s="996"/>
      <c r="FKM88" s="996"/>
      <c r="FKN88" s="996"/>
      <c r="FKO88" s="996"/>
      <c r="FKP88" s="996"/>
      <c r="FKQ88" s="996"/>
      <c r="FKR88" s="996"/>
      <c r="FKS88" s="996"/>
      <c r="FKT88" s="996"/>
      <c r="FKU88" s="996"/>
      <c r="FKV88" s="996"/>
      <c r="FKW88" s="996"/>
      <c r="FKX88" s="996"/>
      <c r="FKY88" s="996"/>
      <c r="FKZ88" s="996"/>
      <c r="FLA88" s="996"/>
      <c r="FLB88" s="996"/>
      <c r="FLC88" s="996"/>
      <c r="FLD88" s="996"/>
      <c r="FLE88" s="996"/>
      <c r="FLF88" s="996"/>
      <c r="FLG88" s="996"/>
      <c r="FLH88" s="996"/>
      <c r="FLI88" s="996"/>
      <c r="FLJ88" s="996"/>
      <c r="FLK88" s="996"/>
      <c r="FLL88" s="996"/>
      <c r="FLM88" s="996"/>
      <c r="FLN88" s="996"/>
      <c r="FLO88" s="996"/>
      <c r="FLP88" s="996"/>
      <c r="FLQ88" s="996"/>
      <c r="FLR88" s="996"/>
      <c r="FLS88" s="996"/>
      <c r="FLT88" s="996"/>
      <c r="FLU88" s="996"/>
      <c r="FLV88" s="996"/>
      <c r="FLW88" s="996"/>
      <c r="FLX88" s="996"/>
      <c r="FLY88" s="996"/>
      <c r="FLZ88" s="996"/>
      <c r="FMA88" s="996"/>
      <c r="FMB88" s="996"/>
      <c r="FMC88" s="996"/>
      <c r="FMD88" s="996"/>
      <c r="FME88" s="996"/>
      <c r="FMF88" s="996"/>
      <c r="FMG88" s="996"/>
      <c r="FMH88" s="996"/>
      <c r="FMI88" s="996"/>
      <c r="FMJ88" s="996"/>
      <c r="FMK88" s="996"/>
      <c r="FML88" s="996"/>
      <c r="FMM88" s="996"/>
      <c r="FMN88" s="996"/>
      <c r="FMO88" s="996"/>
      <c r="FMP88" s="996"/>
      <c r="FMQ88" s="996"/>
      <c r="FMR88" s="996"/>
      <c r="FMS88" s="996"/>
      <c r="FMT88" s="996"/>
      <c r="FMU88" s="996"/>
      <c r="FMV88" s="996"/>
      <c r="FMW88" s="996"/>
      <c r="FMX88" s="996"/>
      <c r="FMY88" s="996"/>
      <c r="FMZ88" s="996"/>
      <c r="FNA88" s="996"/>
      <c r="FNB88" s="996"/>
      <c r="FNC88" s="996"/>
      <c r="FND88" s="996"/>
      <c r="FNE88" s="996"/>
      <c r="FNF88" s="996"/>
      <c r="FNG88" s="996"/>
      <c r="FNH88" s="996"/>
      <c r="FNI88" s="996"/>
      <c r="FNJ88" s="996"/>
      <c r="FNK88" s="996"/>
      <c r="FNL88" s="996"/>
      <c r="FNM88" s="996"/>
      <c r="FNN88" s="996"/>
      <c r="FNO88" s="996"/>
      <c r="FNP88" s="996"/>
      <c r="FNQ88" s="996"/>
      <c r="FNR88" s="996"/>
      <c r="FNS88" s="996"/>
      <c r="FNT88" s="996"/>
      <c r="FNU88" s="996"/>
      <c r="FNV88" s="996"/>
      <c r="FNW88" s="996"/>
      <c r="FNX88" s="996"/>
      <c r="FNY88" s="996"/>
      <c r="FNZ88" s="996"/>
      <c r="FOA88" s="996"/>
      <c r="FOB88" s="996"/>
      <c r="FOC88" s="996"/>
      <c r="FOD88" s="996"/>
      <c r="FOE88" s="996"/>
      <c r="FOF88" s="996"/>
      <c r="FOG88" s="996"/>
      <c r="FOH88" s="996"/>
      <c r="FOI88" s="996"/>
      <c r="FOJ88" s="996"/>
      <c r="FOK88" s="996"/>
      <c r="FOL88" s="996"/>
      <c r="FOM88" s="996"/>
      <c r="FON88" s="996"/>
      <c r="FOO88" s="996"/>
      <c r="FOP88" s="996"/>
      <c r="FOQ88" s="996"/>
      <c r="FOR88" s="996"/>
      <c r="FOS88" s="996"/>
      <c r="FOT88" s="996"/>
      <c r="FOU88" s="996"/>
      <c r="FOV88" s="996"/>
      <c r="FOW88" s="996"/>
      <c r="FOX88" s="996"/>
      <c r="FOY88" s="996"/>
      <c r="FOZ88" s="996"/>
      <c r="FPA88" s="996"/>
      <c r="FPB88" s="996"/>
      <c r="FPC88" s="996"/>
      <c r="FPD88" s="996"/>
      <c r="FPE88" s="996"/>
      <c r="FPF88" s="996"/>
      <c r="FPG88" s="996"/>
      <c r="FPH88" s="996"/>
      <c r="FPI88" s="996"/>
      <c r="FPJ88" s="996"/>
      <c r="FPK88" s="996"/>
      <c r="FPL88" s="996"/>
      <c r="FPM88" s="996"/>
      <c r="FPN88" s="996"/>
      <c r="FPO88" s="996"/>
      <c r="FPP88" s="996"/>
      <c r="FPQ88" s="996"/>
      <c r="FPR88" s="996"/>
      <c r="FPS88" s="996"/>
      <c r="FPT88" s="996"/>
      <c r="FPU88" s="996"/>
      <c r="FPV88" s="996"/>
      <c r="FPW88" s="996"/>
      <c r="FPX88" s="996"/>
      <c r="FPY88" s="996"/>
      <c r="FPZ88" s="996"/>
      <c r="FQA88" s="996"/>
      <c r="FQB88" s="996"/>
      <c r="FQC88" s="996"/>
      <c r="FQD88" s="996"/>
      <c r="FQE88" s="996"/>
      <c r="FQF88" s="996"/>
      <c r="FQG88" s="996"/>
      <c r="FQH88" s="996"/>
      <c r="FQI88" s="996"/>
      <c r="FQJ88" s="996"/>
      <c r="FQK88" s="996"/>
      <c r="FQL88" s="996"/>
      <c r="FQM88" s="996"/>
      <c r="FQN88" s="996"/>
      <c r="FQO88" s="996"/>
      <c r="FQP88" s="996"/>
      <c r="FQQ88" s="996"/>
      <c r="FQR88" s="996"/>
      <c r="FQS88" s="996"/>
      <c r="FQT88" s="996"/>
      <c r="FQU88" s="996"/>
      <c r="FQV88" s="996"/>
      <c r="FQW88" s="996"/>
      <c r="FQX88" s="996"/>
      <c r="FQY88" s="996"/>
      <c r="FQZ88" s="996"/>
      <c r="FRA88" s="996"/>
      <c r="FRB88" s="996"/>
      <c r="FRC88" s="996"/>
      <c r="FRD88" s="996"/>
      <c r="FRE88" s="996"/>
      <c r="FRF88" s="996"/>
      <c r="FRG88" s="996"/>
      <c r="FRH88" s="996"/>
      <c r="FRI88" s="996"/>
      <c r="FRJ88" s="996"/>
      <c r="FRK88" s="996"/>
      <c r="FRL88" s="996"/>
      <c r="FRM88" s="996"/>
      <c r="FRN88" s="996"/>
      <c r="FRO88" s="996"/>
      <c r="FRP88" s="996"/>
      <c r="FRQ88" s="996"/>
      <c r="FRR88" s="996"/>
      <c r="FRS88" s="996"/>
      <c r="FRT88" s="996"/>
      <c r="FRU88" s="996"/>
      <c r="FRV88" s="996"/>
      <c r="FRW88" s="996"/>
      <c r="FRX88" s="996"/>
      <c r="FRY88" s="996"/>
      <c r="FRZ88" s="996"/>
      <c r="FSA88" s="996"/>
      <c r="FSB88" s="996"/>
      <c r="FSC88" s="996"/>
      <c r="FSD88" s="996"/>
      <c r="FSE88" s="996"/>
      <c r="FSF88" s="996"/>
      <c r="FSG88" s="996"/>
      <c r="FSH88" s="996"/>
      <c r="FSI88" s="996"/>
      <c r="FSJ88" s="996"/>
      <c r="FSK88" s="996"/>
      <c r="FSL88" s="996"/>
      <c r="FSM88" s="996"/>
      <c r="FSN88" s="996"/>
      <c r="FSO88" s="996"/>
      <c r="FSP88" s="996"/>
      <c r="FSQ88" s="996"/>
      <c r="FSR88" s="996"/>
      <c r="FSS88" s="996"/>
      <c r="FST88" s="996"/>
      <c r="FSU88" s="996"/>
      <c r="FSV88" s="996"/>
      <c r="FSW88" s="996"/>
      <c r="FSX88" s="996"/>
      <c r="FSY88" s="996"/>
      <c r="FSZ88" s="996"/>
      <c r="FTA88" s="996"/>
      <c r="FTB88" s="996"/>
      <c r="FTC88" s="996"/>
      <c r="FTD88" s="996"/>
      <c r="FTE88" s="996"/>
      <c r="FTF88" s="996"/>
      <c r="FTG88" s="996"/>
      <c r="FTH88" s="996"/>
      <c r="FTI88" s="996"/>
      <c r="FTJ88" s="996"/>
      <c r="FTK88" s="996"/>
      <c r="FTL88" s="996"/>
      <c r="FTM88" s="996"/>
      <c r="FTN88" s="996"/>
      <c r="FTO88" s="996"/>
      <c r="FTP88" s="996"/>
      <c r="FTQ88" s="996"/>
      <c r="FTR88" s="996"/>
      <c r="FTS88" s="996"/>
      <c r="FTT88" s="996"/>
      <c r="FTU88" s="996"/>
      <c r="FTV88" s="996"/>
      <c r="FTW88" s="996"/>
      <c r="FTX88" s="996"/>
      <c r="FTY88" s="996"/>
      <c r="FTZ88" s="996"/>
      <c r="FUA88" s="996"/>
      <c r="FUB88" s="996"/>
      <c r="FUC88" s="996"/>
      <c r="FUD88" s="996"/>
      <c r="FUE88" s="996"/>
      <c r="FUF88" s="996"/>
      <c r="FUG88" s="996"/>
      <c r="FUH88" s="996"/>
      <c r="FUI88" s="996"/>
      <c r="FUJ88" s="996"/>
      <c r="FUK88" s="996"/>
      <c r="FUL88" s="996"/>
      <c r="FUM88" s="996"/>
      <c r="FUN88" s="996"/>
      <c r="FUO88" s="996"/>
      <c r="FUP88" s="996"/>
      <c r="FUQ88" s="996"/>
      <c r="FUR88" s="996"/>
      <c r="FUS88" s="996"/>
      <c r="FUT88" s="996"/>
      <c r="FUU88" s="996"/>
      <c r="FUV88" s="996"/>
      <c r="FUW88" s="996"/>
      <c r="FUX88" s="996"/>
      <c r="FUY88" s="996"/>
      <c r="FUZ88" s="996"/>
      <c r="FVA88" s="996"/>
      <c r="FVB88" s="996"/>
      <c r="FVC88" s="996"/>
      <c r="FVD88" s="996"/>
      <c r="FVE88" s="996"/>
      <c r="FVF88" s="996"/>
      <c r="FVG88" s="996"/>
      <c r="FVH88" s="996"/>
      <c r="FVI88" s="996"/>
      <c r="FVJ88" s="996"/>
      <c r="FVK88" s="996"/>
      <c r="FVL88" s="996"/>
      <c r="FVM88" s="996"/>
      <c r="FVN88" s="996"/>
      <c r="FVO88" s="996"/>
      <c r="FVP88" s="996"/>
      <c r="FVQ88" s="996"/>
      <c r="FVR88" s="996"/>
      <c r="FVS88" s="996"/>
      <c r="FVT88" s="996"/>
      <c r="FVU88" s="996"/>
      <c r="FVV88" s="996"/>
      <c r="FVW88" s="996"/>
      <c r="FVX88" s="996"/>
      <c r="FVY88" s="996"/>
      <c r="FVZ88" s="996"/>
      <c r="FWA88" s="996"/>
      <c r="FWB88" s="996"/>
      <c r="FWC88" s="996"/>
      <c r="FWD88" s="996"/>
      <c r="FWE88" s="996"/>
      <c r="FWF88" s="996"/>
      <c r="FWG88" s="996"/>
      <c r="FWH88" s="996"/>
      <c r="FWI88" s="996"/>
      <c r="FWJ88" s="996"/>
      <c r="FWK88" s="996"/>
      <c r="FWL88" s="996"/>
      <c r="FWM88" s="996"/>
      <c r="FWN88" s="996"/>
      <c r="FWO88" s="996"/>
      <c r="FWP88" s="996"/>
      <c r="FWQ88" s="996"/>
      <c r="FWR88" s="996"/>
      <c r="FWS88" s="996"/>
      <c r="FWT88" s="996"/>
      <c r="FWU88" s="996"/>
      <c r="FWV88" s="996"/>
      <c r="FWW88" s="996"/>
      <c r="FWX88" s="996"/>
      <c r="FWY88" s="996"/>
      <c r="FWZ88" s="996"/>
      <c r="FXA88" s="996"/>
      <c r="FXB88" s="996"/>
      <c r="FXC88" s="996"/>
      <c r="FXD88" s="996"/>
      <c r="FXE88" s="996"/>
      <c r="FXF88" s="996"/>
      <c r="FXG88" s="996"/>
      <c r="FXH88" s="996"/>
      <c r="FXI88" s="996"/>
      <c r="FXJ88" s="996"/>
      <c r="FXK88" s="996"/>
      <c r="FXL88" s="996"/>
      <c r="FXM88" s="996"/>
      <c r="FXN88" s="996"/>
      <c r="FXO88" s="996"/>
      <c r="FXP88" s="996"/>
      <c r="FXQ88" s="996"/>
      <c r="FXR88" s="996"/>
      <c r="FXS88" s="996"/>
      <c r="FXT88" s="996"/>
      <c r="FXU88" s="996"/>
      <c r="FXV88" s="996"/>
      <c r="FXW88" s="996"/>
      <c r="FXX88" s="996"/>
      <c r="FXY88" s="996"/>
      <c r="FXZ88" s="996"/>
      <c r="FYA88" s="996"/>
      <c r="FYB88" s="996"/>
      <c r="FYC88" s="996"/>
      <c r="FYD88" s="996"/>
      <c r="FYE88" s="996"/>
      <c r="FYF88" s="996"/>
      <c r="FYG88" s="996"/>
      <c r="FYH88" s="996"/>
      <c r="FYI88" s="996"/>
      <c r="FYJ88" s="996"/>
      <c r="FYK88" s="996"/>
      <c r="FYL88" s="996"/>
      <c r="FYM88" s="996"/>
      <c r="FYN88" s="996"/>
      <c r="FYO88" s="996"/>
      <c r="FYP88" s="996"/>
      <c r="FYQ88" s="996"/>
      <c r="FYR88" s="996"/>
      <c r="FYS88" s="996"/>
      <c r="FYT88" s="996"/>
      <c r="FYU88" s="996"/>
      <c r="FYV88" s="996"/>
      <c r="FYW88" s="996"/>
      <c r="FYX88" s="996"/>
      <c r="FYY88" s="996"/>
      <c r="FYZ88" s="996"/>
      <c r="FZA88" s="996"/>
      <c r="FZB88" s="996"/>
      <c r="FZC88" s="996"/>
      <c r="FZD88" s="996"/>
      <c r="FZE88" s="996"/>
      <c r="FZF88" s="996"/>
      <c r="FZG88" s="996"/>
      <c r="FZH88" s="996"/>
      <c r="FZI88" s="996"/>
      <c r="FZJ88" s="996"/>
      <c r="FZK88" s="996"/>
      <c r="FZL88" s="996"/>
      <c r="FZM88" s="996"/>
      <c r="FZN88" s="996"/>
      <c r="FZO88" s="996"/>
      <c r="FZP88" s="996"/>
      <c r="FZQ88" s="996"/>
      <c r="FZR88" s="996"/>
      <c r="FZS88" s="996"/>
      <c r="FZT88" s="996"/>
      <c r="FZU88" s="996"/>
      <c r="FZV88" s="996"/>
      <c r="FZW88" s="996"/>
      <c r="FZX88" s="996"/>
      <c r="FZY88" s="996"/>
      <c r="FZZ88" s="996"/>
      <c r="GAA88" s="996"/>
      <c r="GAB88" s="996"/>
      <c r="GAC88" s="996"/>
      <c r="GAD88" s="996"/>
      <c r="GAE88" s="996"/>
      <c r="GAF88" s="996"/>
      <c r="GAG88" s="996"/>
      <c r="GAH88" s="996"/>
      <c r="GAI88" s="996"/>
      <c r="GAJ88" s="996"/>
      <c r="GAK88" s="996"/>
      <c r="GAL88" s="996"/>
      <c r="GAM88" s="996"/>
      <c r="GAN88" s="996"/>
      <c r="GAO88" s="996"/>
      <c r="GAP88" s="996"/>
      <c r="GAQ88" s="996"/>
      <c r="GAR88" s="996"/>
      <c r="GAS88" s="996"/>
      <c r="GAT88" s="996"/>
      <c r="GAU88" s="996"/>
      <c r="GAV88" s="996"/>
      <c r="GAW88" s="996"/>
      <c r="GAX88" s="996"/>
      <c r="GAY88" s="996"/>
      <c r="GAZ88" s="996"/>
      <c r="GBA88" s="996"/>
      <c r="GBB88" s="996"/>
      <c r="GBC88" s="996"/>
      <c r="GBD88" s="996"/>
      <c r="GBE88" s="996"/>
      <c r="GBF88" s="996"/>
      <c r="GBG88" s="996"/>
      <c r="GBH88" s="996"/>
      <c r="GBI88" s="996"/>
      <c r="GBJ88" s="996"/>
      <c r="GBK88" s="996"/>
      <c r="GBL88" s="996"/>
      <c r="GBM88" s="996"/>
      <c r="GBN88" s="996"/>
      <c r="GBO88" s="996"/>
      <c r="GBP88" s="996"/>
      <c r="GBQ88" s="996"/>
      <c r="GBR88" s="996"/>
      <c r="GBS88" s="996"/>
      <c r="GBT88" s="996"/>
      <c r="GBU88" s="996"/>
      <c r="GBV88" s="996"/>
      <c r="GBW88" s="996"/>
      <c r="GBX88" s="996"/>
      <c r="GBY88" s="996"/>
      <c r="GBZ88" s="996"/>
      <c r="GCA88" s="996"/>
      <c r="GCB88" s="996"/>
      <c r="GCC88" s="996"/>
      <c r="GCD88" s="996"/>
      <c r="GCE88" s="996"/>
      <c r="GCF88" s="996"/>
      <c r="GCG88" s="996"/>
      <c r="GCH88" s="996"/>
      <c r="GCI88" s="996"/>
      <c r="GCJ88" s="996"/>
      <c r="GCK88" s="996"/>
      <c r="GCL88" s="996"/>
      <c r="GCM88" s="996"/>
      <c r="GCN88" s="996"/>
      <c r="GCO88" s="996"/>
      <c r="GCP88" s="996"/>
      <c r="GCQ88" s="996"/>
      <c r="GCR88" s="996"/>
      <c r="GCS88" s="996"/>
      <c r="GCT88" s="996"/>
      <c r="GCU88" s="996"/>
      <c r="GCV88" s="996"/>
      <c r="GCW88" s="996"/>
      <c r="GCX88" s="996"/>
      <c r="GCY88" s="996"/>
      <c r="GCZ88" s="996"/>
      <c r="GDA88" s="996"/>
      <c r="GDB88" s="996"/>
      <c r="GDC88" s="996"/>
      <c r="GDD88" s="996"/>
      <c r="GDE88" s="996"/>
      <c r="GDF88" s="996"/>
      <c r="GDG88" s="996"/>
      <c r="GDH88" s="996"/>
      <c r="GDI88" s="996"/>
      <c r="GDJ88" s="996"/>
      <c r="GDK88" s="996"/>
      <c r="GDL88" s="996"/>
      <c r="GDM88" s="996"/>
      <c r="GDN88" s="996"/>
      <c r="GDO88" s="996"/>
      <c r="GDP88" s="996"/>
      <c r="GDQ88" s="996"/>
      <c r="GDR88" s="996"/>
      <c r="GDS88" s="996"/>
      <c r="GDT88" s="996"/>
      <c r="GDU88" s="996"/>
      <c r="GDV88" s="996"/>
      <c r="GDW88" s="996"/>
      <c r="GDX88" s="996"/>
      <c r="GDY88" s="996"/>
      <c r="GDZ88" s="996"/>
      <c r="GEA88" s="996"/>
      <c r="GEB88" s="996"/>
      <c r="GEC88" s="996"/>
      <c r="GED88" s="996"/>
      <c r="GEE88" s="996"/>
      <c r="GEF88" s="996"/>
      <c r="GEG88" s="996"/>
      <c r="GEH88" s="996"/>
      <c r="GEI88" s="996"/>
      <c r="GEJ88" s="996"/>
      <c r="GEK88" s="996"/>
      <c r="GEL88" s="996"/>
      <c r="GEM88" s="996"/>
      <c r="GEN88" s="996"/>
      <c r="GEO88" s="996"/>
      <c r="GEP88" s="996"/>
      <c r="GEQ88" s="996"/>
      <c r="GER88" s="996"/>
      <c r="GES88" s="996"/>
      <c r="GET88" s="996"/>
      <c r="GEU88" s="996"/>
      <c r="GEV88" s="996"/>
      <c r="GEW88" s="996"/>
      <c r="GEX88" s="996"/>
      <c r="GEY88" s="996"/>
      <c r="GEZ88" s="996"/>
      <c r="GFA88" s="996"/>
      <c r="GFB88" s="996"/>
      <c r="GFC88" s="996"/>
      <c r="GFD88" s="996"/>
      <c r="GFE88" s="996"/>
      <c r="GFF88" s="996"/>
      <c r="GFG88" s="996"/>
      <c r="GFH88" s="996"/>
      <c r="GFI88" s="996"/>
      <c r="GFJ88" s="996"/>
      <c r="GFK88" s="996"/>
      <c r="GFL88" s="996"/>
      <c r="GFM88" s="996"/>
      <c r="GFN88" s="996"/>
      <c r="GFO88" s="996"/>
      <c r="GFP88" s="996"/>
      <c r="GFQ88" s="996"/>
      <c r="GFR88" s="996"/>
      <c r="GFS88" s="996"/>
      <c r="GFT88" s="996"/>
      <c r="GFU88" s="996"/>
      <c r="GFV88" s="996"/>
      <c r="GFW88" s="996"/>
      <c r="GFX88" s="996"/>
      <c r="GFY88" s="996"/>
      <c r="GFZ88" s="996"/>
      <c r="GGA88" s="996"/>
      <c r="GGB88" s="996"/>
      <c r="GGC88" s="996"/>
      <c r="GGD88" s="996"/>
      <c r="GGE88" s="996"/>
      <c r="GGF88" s="996"/>
      <c r="GGG88" s="996"/>
      <c r="GGH88" s="996"/>
      <c r="GGI88" s="996"/>
      <c r="GGJ88" s="996"/>
      <c r="GGK88" s="996"/>
      <c r="GGL88" s="996"/>
      <c r="GGM88" s="996"/>
      <c r="GGN88" s="996"/>
      <c r="GGO88" s="996"/>
      <c r="GGP88" s="996"/>
      <c r="GGQ88" s="996"/>
      <c r="GGR88" s="996"/>
      <c r="GGS88" s="996"/>
      <c r="GGT88" s="996"/>
      <c r="GGU88" s="996"/>
      <c r="GGV88" s="996"/>
      <c r="GGW88" s="996"/>
      <c r="GGX88" s="996"/>
      <c r="GGY88" s="996"/>
      <c r="GGZ88" s="996"/>
      <c r="GHA88" s="996"/>
      <c r="GHB88" s="996"/>
      <c r="GHC88" s="996"/>
      <c r="GHD88" s="996"/>
      <c r="GHE88" s="996"/>
      <c r="GHF88" s="996"/>
      <c r="GHG88" s="996"/>
      <c r="GHH88" s="996"/>
      <c r="GHI88" s="996"/>
      <c r="GHJ88" s="996"/>
      <c r="GHK88" s="996"/>
      <c r="GHL88" s="996"/>
      <c r="GHM88" s="996"/>
      <c r="GHN88" s="996"/>
      <c r="GHO88" s="996"/>
      <c r="GHP88" s="996"/>
      <c r="GHQ88" s="996"/>
      <c r="GHR88" s="996"/>
      <c r="GHS88" s="996"/>
      <c r="GHT88" s="996"/>
      <c r="GHU88" s="996"/>
      <c r="GHV88" s="996"/>
      <c r="GHW88" s="996"/>
      <c r="GHX88" s="996"/>
      <c r="GHY88" s="996"/>
      <c r="GHZ88" s="996"/>
      <c r="GIA88" s="996"/>
      <c r="GIB88" s="996"/>
      <c r="GIC88" s="996"/>
      <c r="GID88" s="996"/>
      <c r="GIE88" s="996"/>
      <c r="GIF88" s="996"/>
      <c r="GIG88" s="996"/>
      <c r="GIH88" s="996"/>
      <c r="GII88" s="996"/>
      <c r="GIJ88" s="996"/>
      <c r="GIK88" s="996"/>
      <c r="GIL88" s="996"/>
      <c r="GIM88" s="996"/>
      <c r="GIN88" s="996"/>
      <c r="GIO88" s="996"/>
      <c r="GIP88" s="996"/>
      <c r="GIQ88" s="996"/>
      <c r="GIR88" s="996"/>
      <c r="GIS88" s="996"/>
      <c r="GIT88" s="996"/>
      <c r="GIU88" s="996"/>
      <c r="GIV88" s="996"/>
      <c r="GIW88" s="996"/>
      <c r="GIX88" s="996"/>
      <c r="GIY88" s="996"/>
      <c r="GIZ88" s="996"/>
      <c r="GJA88" s="996"/>
      <c r="GJB88" s="996"/>
      <c r="GJC88" s="996"/>
      <c r="GJD88" s="996"/>
      <c r="GJE88" s="996"/>
      <c r="GJF88" s="996"/>
      <c r="GJG88" s="996"/>
      <c r="GJH88" s="996"/>
      <c r="GJI88" s="996"/>
      <c r="GJJ88" s="996"/>
      <c r="GJK88" s="996"/>
      <c r="GJL88" s="996"/>
      <c r="GJM88" s="996"/>
      <c r="GJN88" s="996"/>
      <c r="GJO88" s="996"/>
      <c r="GJP88" s="996"/>
      <c r="GJQ88" s="996"/>
      <c r="GJR88" s="996"/>
      <c r="GJS88" s="996"/>
      <c r="GJT88" s="996"/>
      <c r="GJU88" s="996"/>
      <c r="GJV88" s="996"/>
      <c r="GJW88" s="996"/>
      <c r="GJX88" s="996"/>
      <c r="GJY88" s="996"/>
      <c r="GJZ88" s="996"/>
      <c r="GKA88" s="996"/>
      <c r="GKB88" s="996"/>
      <c r="GKC88" s="996"/>
      <c r="GKD88" s="996"/>
      <c r="GKE88" s="996"/>
      <c r="GKF88" s="996"/>
      <c r="GKG88" s="996"/>
      <c r="GKH88" s="996"/>
      <c r="GKI88" s="996"/>
      <c r="GKJ88" s="996"/>
      <c r="GKK88" s="996"/>
      <c r="GKL88" s="996"/>
      <c r="GKM88" s="996"/>
      <c r="GKN88" s="996"/>
      <c r="GKO88" s="996"/>
      <c r="GKP88" s="996"/>
      <c r="GKQ88" s="996"/>
      <c r="GKR88" s="996"/>
      <c r="GKS88" s="996"/>
      <c r="GKT88" s="996"/>
      <c r="GKU88" s="996"/>
      <c r="GKV88" s="996"/>
      <c r="GKW88" s="996"/>
      <c r="GKX88" s="996"/>
      <c r="GKY88" s="996"/>
      <c r="GKZ88" s="996"/>
      <c r="GLA88" s="996"/>
      <c r="GLB88" s="996"/>
      <c r="GLC88" s="996"/>
      <c r="GLD88" s="996"/>
      <c r="GLE88" s="996"/>
      <c r="GLF88" s="996"/>
      <c r="GLG88" s="996"/>
      <c r="GLH88" s="996"/>
      <c r="GLI88" s="996"/>
      <c r="GLJ88" s="996"/>
      <c r="GLK88" s="996"/>
      <c r="GLL88" s="996"/>
      <c r="GLM88" s="996"/>
      <c r="GLN88" s="996"/>
      <c r="GLO88" s="996"/>
      <c r="GLP88" s="996"/>
      <c r="GLQ88" s="996"/>
      <c r="GLR88" s="996"/>
      <c r="GLS88" s="996"/>
      <c r="GLT88" s="996"/>
      <c r="GLU88" s="996"/>
      <c r="GLV88" s="996"/>
      <c r="GLW88" s="996"/>
      <c r="GLX88" s="996"/>
      <c r="GLY88" s="996"/>
      <c r="GLZ88" s="996"/>
      <c r="GMA88" s="996"/>
      <c r="GMB88" s="996"/>
      <c r="GMC88" s="996"/>
      <c r="GMD88" s="996"/>
      <c r="GME88" s="996"/>
      <c r="GMF88" s="996"/>
      <c r="GMG88" s="996"/>
      <c r="GMH88" s="996"/>
      <c r="GMI88" s="996"/>
      <c r="GMJ88" s="996"/>
      <c r="GMK88" s="996"/>
      <c r="GML88" s="996"/>
      <c r="GMM88" s="996"/>
      <c r="GMN88" s="996"/>
      <c r="GMO88" s="996"/>
      <c r="GMP88" s="996"/>
      <c r="GMQ88" s="996"/>
      <c r="GMR88" s="996"/>
      <c r="GMS88" s="996"/>
      <c r="GMT88" s="996"/>
      <c r="GMU88" s="996"/>
      <c r="GMV88" s="996"/>
      <c r="GMW88" s="996"/>
      <c r="GMX88" s="996"/>
      <c r="GMY88" s="996"/>
      <c r="GMZ88" s="996"/>
      <c r="GNA88" s="996"/>
      <c r="GNB88" s="996"/>
      <c r="GNC88" s="996"/>
      <c r="GND88" s="996"/>
      <c r="GNE88" s="996"/>
      <c r="GNF88" s="996"/>
      <c r="GNG88" s="996"/>
      <c r="GNH88" s="996"/>
      <c r="GNI88" s="996"/>
      <c r="GNJ88" s="996"/>
      <c r="GNK88" s="996"/>
      <c r="GNL88" s="996"/>
      <c r="GNM88" s="996"/>
      <c r="GNN88" s="996"/>
      <c r="GNO88" s="996"/>
      <c r="GNP88" s="996"/>
      <c r="GNQ88" s="996"/>
      <c r="GNR88" s="996"/>
      <c r="GNS88" s="996"/>
      <c r="GNT88" s="996"/>
      <c r="GNU88" s="996"/>
      <c r="GNV88" s="996"/>
      <c r="GNW88" s="996"/>
      <c r="GNX88" s="996"/>
      <c r="GNY88" s="996"/>
      <c r="GNZ88" s="996"/>
      <c r="GOA88" s="996"/>
      <c r="GOB88" s="996"/>
      <c r="GOC88" s="996"/>
      <c r="GOD88" s="996"/>
      <c r="GOE88" s="996"/>
      <c r="GOF88" s="996"/>
      <c r="GOG88" s="996"/>
      <c r="GOH88" s="996"/>
      <c r="GOI88" s="996"/>
      <c r="GOJ88" s="996"/>
      <c r="GOK88" s="996"/>
      <c r="GOL88" s="996"/>
      <c r="GOM88" s="996"/>
      <c r="GON88" s="996"/>
      <c r="GOO88" s="996"/>
      <c r="GOP88" s="996"/>
      <c r="GOQ88" s="996"/>
      <c r="GOR88" s="996"/>
      <c r="GOS88" s="996"/>
      <c r="GOT88" s="996"/>
      <c r="GOU88" s="996"/>
      <c r="GOV88" s="996"/>
      <c r="GOW88" s="996"/>
      <c r="GOX88" s="996"/>
      <c r="GOY88" s="996"/>
      <c r="GOZ88" s="996"/>
      <c r="GPA88" s="996"/>
      <c r="GPB88" s="996"/>
      <c r="GPC88" s="996"/>
      <c r="GPD88" s="996"/>
      <c r="GPE88" s="996"/>
      <c r="GPF88" s="996"/>
      <c r="GPG88" s="996"/>
      <c r="GPH88" s="996"/>
      <c r="GPI88" s="996"/>
      <c r="GPJ88" s="996"/>
      <c r="GPK88" s="996"/>
      <c r="GPL88" s="996"/>
      <c r="GPM88" s="996"/>
      <c r="GPN88" s="996"/>
      <c r="GPO88" s="996"/>
      <c r="GPP88" s="996"/>
      <c r="GPQ88" s="996"/>
      <c r="GPR88" s="996"/>
      <c r="GPS88" s="996"/>
      <c r="GPT88" s="996"/>
      <c r="GPU88" s="996"/>
      <c r="GPV88" s="996"/>
      <c r="GPW88" s="996"/>
      <c r="GPX88" s="996"/>
      <c r="GPY88" s="996"/>
      <c r="GPZ88" s="996"/>
      <c r="GQA88" s="996"/>
      <c r="GQB88" s="996"/>
      <c r="GQC88" s="996"/>
      <c r="GQD88" s="996"/>
      <c r="GQE88" s="996"/>
      <c r="GQF88" s="996"/>
      <c r="GQG88" s="996"/>
      <c r="GQH88" s="996"/>
      <c r="GQI88" s="996"/>
      <c r="GQJ88" s="996"/>
      <c r="GQK88" s="996"/>
      <c r="GQL88" s="996"/>
      <c r="GQM88" s="996"/>
      <c r="GQN88" s="996"/>
      <c r="GQO88" s="996"/>
      <c r="GQP88" s="996"/>
      <c r="GQQ88" s="996"/>
      <c r="GQR88" s="996"/>
      <c r="GQS88" s="996"/>
      <c r="GQT88" s="996"/>
      <c r="GQU88" s="996"/>
      <c r="GQV88" s="996"/>
      <c r="GQW88" s="996"/>
      <c r="GQX88" s="996"/>
      <c r="GQY88" s="996"/>
      <c r="GQZ88" s="996"/>
      <c r="GRA88" s="996"/>
      <c r="GRB88" s="996"/>
      <c r="GRC88" s="996"/>
      <c r="GRD88" s="996"/>
      <c r="GRE88" s="996"/>
      <c r="GRF88" s="996"/>
      <c r="GRG88" s="996"/>
      <c r="GRH88" s="996"/>
      <c r="GRI88" s="996"/>
      <c r="GRJ88" s="996"/>
      <c r="GRK88" s="996"/>
      <c r="GRL88" s="996"/>
      <c r="GRM88" s="996"/>
      <c r="GRN88" s="996"/>
      <c r="GRO88" s="996"/>
      <c r="GRP88" s="996"/>
      <c r="GRQ88" s="996"/>
      <c r="GRR88" s="996"/>
      <c r="GRS88" s="996"/>
      <c r="GRT88" s="996"/>
      <c r="GRU88" s="996"/>
      <c r="GRV88" s="996"/>
      <c r="GRW88" s="996"/>
      <c r="GRX88" s="996"/>
      <c r="GRY88" s="996"/>
      <c r="GRZ88" s="996"/>
      <c r="GSA88" s="996"/>
      <c r="GSB88" s="996"/>
      <c r="GSC88" s="996"/>
      <c r="GSD88" s="996"/>
      <c r="GSE88" s="996"/>
      <c r="GSF88" s="996"/>
      <c r="GSG88" s="996"/>
      <c r="GSH88" s="996"/>
      <c r="GSI88" s="996"/>
      <c r="GSJ88" s="996"/>
      <c r="GSK88" s="996"/>
      <c r="GSL88" s="996"/>
      <c r="GSM88" s="996"/>
      <c r="GSN88" s="996"/>
      <c r="GSO88" s="996"/>
      <c r="GSP88" s="996"/>
      <c r="GSQ88" s="996"/>
      <c r="GSR88" s="996"/>
      <c r="GSS88" s="996"/>
      <c r="GST88" s="996"/>
      <c r="GSU88" s="996"/>
      <c r="GSV88" s="996"/>
      <c r="GSW88" s="996"/>
      <c r="GSX88" s="996"/>
      <c r="GSY88" s="996"/>
      <c r="GSZ88" s="996"/>
      <c r="GTA88" s="996"/>
      <c r="GTB88" s="996"/>
      <c r="GTC88" s="996"/>
      <c r="GTD88" s="996"/>
      <c r="GTE88" s="996"/>
      <c r="GTF88" s="996"/>
      <c r="GTG88" s="996"/>
      <c r="GTH88" s="996"/>
      <c r="GTI88" s="996"/>
      <c r="GTJ88" s="996"/>
      <c r="GTK88" s="996"/>
      <c r="GTL88" s="996"/>
      <c r="GTM88" s="996"/>
      <c r="GTN88" s="996"/>
      <c r="GTO88" s="996"/>
      <c r="GTP88" s="996"/>
      <c r="GTQ88" s="996"/>
      <c r="GTR88" s="996"/>
      <c r="GTS88" s="996"/>
      <c r="GTT88" s="996"/>
      <c r="GTU88" s="996"/>
      <c r="GTV88" s="996"/>
      <c r="GTW88" s="996"/>
      <c r="GTX88" s="996"/>
      <c r="GTY88" s="996"/>
      <c r="GTZ88" s="996"/>
      <c r="GUA88" s="996"/>
      <c r="GUB88" s="996"/>
      <c r="GUC88" s="996"/>
      <c r="GUD88" s="996"/>
      <c r="GUE88" s="996"/>
      <c r="GUF88" s="996"/>
      <c r="GUG88" s="996"/>
      <c r="GUH88" s="996"/>
      <c r="GUI88" s="996"/>
      <c r="GUJ88" s="996"/>
      <c r="GUK88" s="996"/>
      <c r="GUL88" s="996"/>
      <c r="GUM88" s="996"/>
      <c r="GUN88" s="996"/>
      <c r="GUO88" s="996"/>
      <c r="GUP88" s="996"/>
      <c r="GUQ88" s="996"/>
      <c r="GUR88" s="996"/>
      <c r="GUS88" s="996"/>
      <c r="GUT88" s="996"/>
      <c r="GUU88" s="996"/>
      <c r="GUV88" s="996"/>
      <c r="GUW88" s="996"/>
      <c r="GUX88" s="996"/>
      <c r="GUY88" s="996"/>
      <c r="GUZ88" s="996"/>
      <c r="GVA88" s="996"/>
      <c r="GVB88" s="996"/>
      <c r="GVC88" s="996"/>
      <c r="GVD88" s="996"/>
      <c r="GVE88" s="996"/>
      <c r="GVF88" s="996"/>
      <c r="GVG88" s="996"/>
      <c r="GVH88" s="996"/>
      <c r="GVI88" s="996"/>
      <c r="GVJ88" s="996"/>
      <c r="GVK88" s="996"/>
      <c r="GVL88" s="996"/>
      <c r="GVM88" s="996"/>
      <c r="GVN88" s="996"/>
      <c r="GVO88" s="996"/>
      <c r="GVP88" s="996"/>
      <c r="GVQ88" s="996"/>
      <c r="GVR88" s="996"/>
      <c r="GVS88" s="996"/>
      <c r="GVT88" s="996"/>
      <c r="GVU88" s="996"/>
      <c r="GVV88" s="996"/>
      <c r="GVW88" s="996"/>
      <c r="GVX88" s="996"/>
      <c r="GVY88" s="996"/>
      <c r="GVZ88" s="996"/>
      <c r="GWA88" s="996"/>
      <c r="GWB88" s="996"/>
      <c r="GWC88" s="996"/>
      <c r="GWD88" s="996"/>
      <c r="GWE88" s="996"/>
      <c r="GWF88" s="996"/>
      <c r="GWG88" s="996"/>
      <c r="GWH88" s="996"/>
      <c r="GWI88" s="996"/>
      <c r="GWJ88" s="996"/>
      <c r="GWK88" s="996"/>
      <c r="GWL88" s="996"/>
      <c r="GWM88" s="996"/>
      <c r="GWN88" s="996"/>
      <c r="GWO88" s="996"/>
      <c r="GWP88" s="996"/>
      <c r="GWQ88" s="996"/>
      <c r="GWR88" s="996"/>
      <c r="GWS88" s="996"/>
      <c r="GWT88" s="996"/>
      <c r="GWU88" s="996"/>
      <c r="GWV88" s="996"/>
      <c r="GWW88" s="996"/>
      <c r="GWX88" s="996"/>
      <c r="GWY88" s="996"/>
      <c r="GWZ88" s="996"/>
      <c r="GXA88" s="996"/>
      <c r="GXB88" s="996"/>
      <c r="GXC88" s="996"/>
      <c r="GXD88" s="996"/>
      <c r="GXE88" s="996"/>
      <c r="GXF88" s="996"/>
      <c r="GXG88" s="996"/>
      <c r="GXH88" s="996"/>
      <c r="GXI88" s="996"/>
      <c r="GXJ88" s="996"/>
      <c r="GXK88" s="996"/>
      <c r="GXL88" s="996"/>
      <c r="GXM88" s="996"/>
      <c r="GXN88" s="996"/>
      <c r="GXO88" s="996"/>
      <c r="GXP88" s="996"/>
      <c r="GXQ88" s="996"/>
      <c r="GXR88" s="996"/>
      <c r="GXS88" s="996"/>
      <c r="GXT88" s="996"/>
      <c r="GXU88" s="996"/>
      <c r="GXV88" s="996"/>
      <c r="GXW88" s="996"/>
      <c r="GXX88" s="996"/>
      <c r="GXY88" s="996"/>
      <c r="GXZ88" s="996"/>
      <c r="GYA88" s="996"/>
      <c r="GYB88" s="996"/>
      <c r="GYC88" s="996"/>
      <c r="GYD88" s="996"/>
      <c r="GYE88" s="996"/>
      <c r="GYF88" s="996"/>
      <c r="GYG88" s="996"/>
      <c r="GYH88" s="996"/>
      <c r="GYI88" s="996"/>
      <c r="GYJ88" s="996"/>
      <c r="GYK88" s="996"/>
      <c r="GYL88" s="996"/>
      <c r="GYM88" s="996"/>
      <c r="GYN88" s="996"/>
      <c r="GYO88" s="996"/>
      <c r="GYP88" s="996"/>
      <c r="GYQ88" s="996"/>
      <c r="GYR88" s="996"/>
      <c r="GYS88" s="996"/>
      <c r="GYT88" s="996"/>
      <c r="GYU88" s="996"/>
      <c r="GYV88" s="996"/>
      <c r="GYW88" s="996"/>
      <c r="GYX88" s="996"/>
      <c r="GYY88" s="996"/>
      <c r="GYZ88" s="996"/>
      <c r="GZA88" s="996"/>
      <c r="GZB88" s="996"/>
      <c r="GZC88" s="996"/>
      <c r="GZD88" s="996"/>
      <c r="GZE88" s="996"/>
      <c r="GZF88" s="996"/>
      <c r="GZG88" s="996"/>
      <c r="GZH88" s="996"/>
      <c r="GZI88" s="996"/>
      <c r="GZJ88" s="996"/>
      <c r="GZK88" s="996"/>
      <c r="GZL88" s="996"/>
      <c r="GZM88" s="996"/>
      <c r="GZN88" s="996"/>
      <c r="GZO88" s="996"/>
      <c r="GZP88" s="996"/>
      <c r="GZQ88" s="996"/>
      <c r="GZR88" s="996"/>
      <c r="GZS88" s="996"/>
      <c r="GZT88" s="996"/>
      <c r="GZU88" s="996"/>
      <c r="GZV88" s="996"/>
      <c r="GZW88" s="996"/>
      <c r="GZX88" s="996"/>
      <c r="GZY88" s="996"/>
      <c r="GZZ88" s="996"/>
      <c r="HAA88" s="996"/>
      <c r="HAB88" s="996"/>
      <c r="HAC88" s="996"/>
      <c r="HAD88" s="996"/>
      <c r="HAE88" s="996"/>
      <c r="HAF88" s="996"/>
      <c r="HAG88" s="996"/>
      <c r="HAH88" s="996"/>
      <c r="HAI88" s="996"/>
      <c r="HAJ88" s="996"/>
      <c r="HAK88" s="996"/>
      <c r="HAL88" s="996"/>
      <c r="HAM88" s="996"/>
      <c r="HAN88" s="996"/>
      <c r="HAO88" s="996"/>
      <c r="HAP88" s="996"/>
      <c r="HAQ88" s="996"/>
      <c r="HAR88" s="996"/>
      <c r="HAS88" s="996"/>
      <c r="HAT88" s="996"/>
      <c r="HAU88" s="996"/>
      <c r="HAV88" s="996"/>
      <c r="HAW88" s="996"/>
      <c r="HAX88" s="996"/>
      <c r="HAY88" s="996"/>
      <c r="HAZ88" s="996"/>
      <c r="HBA88" s="996"/>
      <c r="HBB88" s="996"/>
      <c r="HBC88" s="996"/>
      <c r="HBD88" s="996"/>
      <c r="HBE88" s="996"/>
      <c r="HBF88" s="996"/>
      <c r="HBG88" s="996"/>
      <c r="HBH88" s="996"/>
      <c r="HBI88" s="996"/>
      <c r="HBJ88" s="996"/>
      <c r="HBK88" s="996"/>
      <c r="HBL88" s="996"/>
      <c r="HBM88" s="996"/>
      <c r="HBN88" s="996"/>
      <c r="HBO88" s="996"/>
      <c r="HBP88" s="996"/>
      <c r="HBQ88" s="996"/>
      <c r="HBR88" s="996"/>
      <c r="HBS88" s="996"/>
      <c r="HBT88" s="996"/>
      <c r="HBU88" s="996"/>
      <c r="HBV88" s="996"/>
      <c r="HBW88" s="996"/>
      <c r="HBX88" s="996"/>
      <c r="HBY88" s="996"/>
      <c r="HBZ88" s="996"/>
      <c r="HCA88" s="996"/>
      <c r="HCB88" s="996"/>
      <c r="HCC88" s="996"/>
      <c r="HCD88" s="996"/>
      <c r="HCE88" s="996"/>
      <c r="HCF88" s="996"/>
      <c r="HCG88" s="996"/>
      <c r="HCH88" s="996"/>
      <c r="HCI88" s="996"/>
      <c r="HCJ88" s="996"/>
      <c r="HCK88" s="996"/>
      <c r="HCL88" s="996"/>
      <c r="HCM88" s="996"/>
      <c r="HCN88" s="996"/>
      <c r="HCO88" s="996"/>
      <c r="HCP88" s="996"/>
      <c r="HCQ88" s="996"/>
      <c r="HCR88" s="996"/>
      <c r="HCS88" s="996"/>
      <c r="HCT88" s="996"/>
      <c r="HCU88" s="996"/>
      <c r="HCV88" s="996"/>
      <c r="HCW88" s="996"/>
      <c r="HCX88" s="996"/>
      <c r="HCY88" s="996"/>
      <c r="HCZ88" s="996"/>
      <c r="HDA88" s="996"/>
      <c r="HDB88" s="996"/>
      <c r="HDC88" s="996"/>
      <c r="HDD88" s="996"/>
      <c r="HDE88" s="996"/>
      <c r="HDF88" s="996"/>
      <c r="HDG88" s="996"/>
      <c r="HDH88" s="996"/>
      <c r="HDI88" s="996"/>
      <c r="HDJ88" s="996"/>
      <c r="HDK88" s="996"/>
      <c r="HDL88" s="996"/>
      <c r="HDM88" s="996"/>
      <c r="HDN88" s="996"/>
      <c r="HDO88" s="996"/>
      <c r="HDP88" s="996"/>
      <c r="HDQ88" s="996"/>
      <c r="HDR88" s="996"/>
      <c r="HDS88" s="996"/>
      <c r="HDT88" s="996"/>
      <c r="HDU88" s="996"/>
      <c r="HDV88" s="996"/>
      <c r="HDW88" s="996"/>
      <c r="HDX88" s="996"/>
      <c r="HDY88" s="996"/>
      <c r="HDZ88" s="996"/>
      <c r="HEA88" s="996"/>
      <c r="HEB88" s="996"/>
      <c r="HEC88" s="996"/>
      <c r="HED88" s="996"/>
      <c r="HEE88" s="996"/>
      <c r="HEF88" s="996"/>
      <c r="HEG88" s="996"/>
      <c r="HEH88" s="996"/>
      <c r="HEI88" s="996"/>
      <c r="HEJ88" s="996"/>
      <c r="HEK88" s="996"/>
      <c r="HEL88" s="996"/>
      <c r="HEM88" s="996"/>
      <c r="HEN88" s="996"/>
      <c r="HEO88" s="996"/>
      <c r="HEP88" s="996"/>
      <c r="HEQ88" s="996"/>
      <c r="HER88" s="996"/>
      <c r="HES88" s="996"/>
      <c r="HET88" s="996"/>
      <c r="HEU88" s="996"/>
      <c r="HEV88" s="996"/>
      <c r="HEW88" s="996"/>
      <c r="HEX88" s="996"/>
      <c r="HEY88" s="996"/>
      <c r="HEZ88" s="996"/>
      <c r="HFA88" s="996"/>
      <c r="HFB88" s="996"/>
      <c r="HFC88" s="996"/>
      <c r="HFD88" s="996"/>
      <c r="HFE88" s="996"/>
      <c r="HFF88" s="996"/>
      <c r="HFG88" s="996"/>
      <c r="HFH88" s="996"/>
      <c r="HFI88" s="996"/>
      <c r="HFJ88" s="996"/>
      <c r="HFK88" s="996"/>
      <c r="HFL88" s="996"/>
      <c r="HFM88" s="996"/>
      <c r="HFN88" s="996"/>
      <c r="HFO88" s="996"/>
      <c r="HFP88" s="996"/>
      <c r="HFQ88" s="996"/>
      <c r="HFR88" s="996"/>
      <c r="HFS88" s="996"/>
      <c r="HFT88" s="996"/>
      <c r="HFU88" s="996"/>
      <c r="HFV88" s="996"/>
      <c r="HFW88" s="996"/>
      <c r="HFX88" s="996"/>
      <c r="HFY88" s="996"/>
      <c r="HFZ88" s="996"/>
      <c r="HGA88" s="996"/>
      <c r="HGB88" s="996"/>
      <c r="HGC88" s="996"/>
      <c r="HGD88" s="996"/>
      <c r="HGE88" s="996"/>
      <c r="HGF88" s="996"/>
      <c r="HGG88" s="996"/>
      <c r="HGH88" s="996"/>
      <c r="HGI88" s="996"/>
      <c r="HGJ88" s="996"/>
      <c r="HGK88" s="996"/>
      <c r="HGL88" s="996"/>
      <c r="HGM88" s="996"/>
      <c r="HGN88" s="996"/>
      <c r="HGO88" s="996"/>
      <c r="HGP88" s="996"/>
      <c r="HGQ88" s="996"/>
      <c r="HGR88" s="996"/>
      <c r="HGS88" s="996"/>
      <c r="HGT88" s="996"/>
      <c r="HGU88" s="996"/>
      <c r="HGV88" s="996"/>
      <c r="HGW88" s="996"/>
      <c r="HGX88" s="996"/>
      <c r="HGY88" s="996"/>
      <c r="HGZ88" s="996"/>
      <c r="HHA88" s="996"/>
      <c r="HHB88" s="996"/>
      <c r="HHC88" s="996"/>
      <c r="HHD88" s="996"/>
      <c r="HHE88" s="996"/>
      <c r="HHF88" s="996"/>
      <c r="HHG88" s="996"/>
      <c r="HHH88" s="996"/>
      <c r="HHI88" s="996"/>
      <c r="HHJ88" s="996"/>
      <c r="HHK88" s="996"/>
      <c r="HHL88" s="996"/>
      <c r="HHM88" s="996"/>
      <c r="HHN88" s="996"/>
      <c r="HHO88" s="996"/>
      <c r="HHP88" s="996"/>
      <c r="HHQ88" s="996"/>
      <c r="HHR88" s="996"/>
      <c r="HHS88" s="996"/>
      <c r="HHT88" s="996"/>
      <c r="HHU88" s="996"/>
      <c r="HHV88" s="996"/>
      <c r="HHW88" s="996"/>
      <c r="HHX88" s="996"/>
      <c r="HHY88" s="996"/>
      <c r="HHZ88" s="996"/>
      <c r="HIA88" s="996"/>
      <c r="HIB88" s="996"/>
      <c r="HIC88" s="996"/>
      <c r="HID88" s="996"/>
      <c r="HIE88" s="996"/>
      <c r="HIF88" s="996"/>
      <c r="HIG88" s="996"/>
      <c r="HIH88" s="996"/>
      <c r="HII88" s="996"/>
      <c r="HIJ88" s="996"/>
      <c r="HIK88" s="996"/>
      <c r="HIL88" s="996"/>
      <c r="HIM88" s="996"/>
      <c r="HIN88" s="996"/>
      <c r="HIO88" s="996"/>
      <c r="HIP88" s="996"/>
      <c r="HIQ88" s="996"/>
      <c r="HIR88" s="996"/>
      <c r="HIS88" s="996"/>
      <c r="HIT88" s="996"/>
      <c r="HIU88" s="996"/>
      <c r="HIV88" s="996"/>
      <c r="HIW88" s="996"/>
      <c r="HIX88" s="996"/>
      <c r="HIY88" s="996"/>
      <c r="HIZ88" s="996"/>
      <c r="HJA88" s="996"/>
      <c r="HJB88" s="996"/>
      <c r="HJC88" s="996"/>
      <c r="HJD88" s="996"/>
      <c r="HJE88" s="996"/>
      <c r="HJF88" s="996"/>
      <c r="HJG88" s="996"/>
      <c r="HJH88" s="996"/>
      <c r="HJI88" s="996"/>
      <c r="HJJ88" s="996"/>
      <c r="HJK88" s="996"/>
      <c r="HJL88" s="996"/>
      <c r="HJM88" s="996"/>
      <c r="HJN88" s="996"/>
      <c r="HJO88" s="996"/>
      <c r="HJP88" s="996"/>
      <c r="HJQ88" s="996"/>
      <c r="HJR88" s="996"/>
      <c r="HJS88" s="996"/>
      <c r="HJT88" s="996"/>
      <c r="HJU88" s="996"/>
      <c r="HJV88" s="996"/>
      <c r="HJW88" s="996"/>
      <c r="HJX88" s="996"/>
      <c r="HJY88" s="996"/>
      <c r="HJZ88" s="996"/>
      <c r="HKA88" s="996"/>
      <c r="HKB88" s="996"/>
      <c r="HKC88" s="996"/>
      <c r="HKD88" s="996"/>
      <c r="HKE88" s="996"/>
      <c r="HKF88" s="996"/>
      <c r="HKG88" s="996"/>
      <c r="HKH88" s="996"/>
      <c r="HKI88" s="996"/>
      <c r="HKJ88" s="996"/>
      <c r="HKK88" s="996"/>
      <c r="HKL88" s="996"/>
      <c r="HKM88" s="996"/>
      <c r="HKN88" s="996"/>
      <c r="HKO88" s="996"/>
      <c r="HKP88" s="996"/>
      <c r="HKQ88" s="996"/>
      <c r="HKR88" s="996"/>
      <c r="HKS88" s="996"/>
      <c r="HKT88" s="996"/>
      <c r="HKU88" s="996"/>
      <c r="HKV88" s="996"/>
      <c r="HKW88" s="996"/>
      <c r="HKX88" s="996"/>
      <c r="HKY88" s="996"/>
      <c r="HKZ88" s="996"/>
      <c r="HLA88" s="996"/>
      <c r="HLB88" s="996"/>
      <c r="HLC88" s="996"/>
      <c r="HLD88" s="996"/>
      <c r="HLE88" s="996"/>
      <c r="HLF88" s="996"/>
      <c r="HLG88" s="996"/>
      <c r="HLH88" s="996"/>
      <c r="HLI88" s="996"/>
      <c r="HLJ88" s="996"/>
      <c r="HLK88" s="996"/>
      <c r="HLL88" s="996"/>
      <c r="HLM88" s="996"/>
      <c r="HLN88" s="996"/>
      <c r="HLO88" s="996"/>
      <c r="HLP88" s="996"/>
      <c r="HLQ88" s="996"/>
      <c r="HLR88" s="996"/>
      <c r="HLS88" s="996"/>
      <c r="HLT88" s="996"/>
      <c r="HLU88" s="996"/>
      <c r="HLV88" s="996"/>
      <c r="HLW88" s="996"/>
      <c r="HLX88" s="996"/>
      <c r="HLY88" s="996"/>
      <c r="HLZ88" s="996"/>
      <c r="HMA88" s="996"/>
      <c r="HMB88" s="996"/>
      <c r="HMC88" s="996"/>
      <c r="HMD88" s="996"/>
      <c r="HME88" s="996"/>
      <c r="HMF88" s="996"/>
      <c r="HMG88" s="996"/>
      <c r="HMH88" s="996"/>
      <c r="HMI88" s="996"/>
      <c r="HMJ88" s="996"/>
      <c r="HMK88" s="996"/>
      <c r="HML88" s="996"/>
      <c r="HMM88" s="996"/>
      <c r="HMN88" s="996"/>
      <c r="HMO88" s="996"/>
      <c r="HMP88" s="996"/>
      <c r="HMQ88" s="996"/>
      <c r="HMR88" s="996"/>
      <c r="HMS88" s="996"/>
      <c r="HMT88" s="996"/>
      <c r="HMU88" s="996"/>
      <c r="HMV88" s="996"/>
      <c r="HMW88" s="996"/>
      <c r="HMX88" s="996"/>
      <c r="HMY88" s="996"/>
      <c r="HMZ88" s="996"/>
      <c r="HNA88" s="996"/>
      <c r="HNB88" s="996"/>
      <c r="HNC88" s="996"/>
      <c r="HND88" s="996"/>
      <c r="HNE88" s="996"/>
      <c r="HNF88" s="996"/>
      <c r="HNG88" s="996"/>
      <c r="HNH88" s="996"/>
      <c r="HNI88" s="996"/>
      <c r="HNJ88" s="996"/>
      <c r="HNK88" s="996"/>
      <c r="HNL88" s="996"/>
      <c r="HNM88" s="996"/>
      <c r="HNN88" s="996"/>
      <c r="HNO88" s="996"/>
      <c r="HNP88" s="996"/>
      <c r="HNQ88" s="996"/>
      <c r="HNR88" s="996"/>
      <c r="HNS88" s="996"/>
      <c r="HNT88" s="996"/>
      <c r="HNU88" s="996"/>
      <c r="HNV88" s="996"/>
      <c r="HNW88" s="996"/>
      <c r="HNX88" s="996"/>
      <c r="HNY88" s="996"/>
      <c r="HNZ88" s="996"/>
      <c r="HOA88" s="996"/>
      <c r="HOB88" s="996"/>
      <c r="HOC88" s="996"/>
      <c r="HOD88" s="996"/>
      <c r="HOE88" s="996"/>
      <c r="HOF88" s="996"/>
      <c r="HOG88" s="996"/>
      <c r="HOH88" s="996"/>
      <c r="HOI88" s="996"/>
      <c r="HOJ88" s="996"/>
      <c r="HOK88" s="996"/>
      <c r="HOL88" s="996"/>
      <c r="HOM88" s="996"/>
      <c r="HON88" s="996"/>
      <c r="HOO88" s="996"/>
      <c r="HOP88" s="996"/>
      <c r="HOQ88" s="996"/>
      <c r="HOR88" s="996"/>
      <c r="HOS88" s="996"/>
      <c r="HOT88" s="996"/>
      <c r="HOU88" s="996"/>
      <c r="HOV88" s="996"/>
      <c r="HOW88" s="996"/>
      <c r="HOX88" s="996"/>
      <c r="HOY88" s="996"/>
      <c r="HOZ88" s="996"/>
      <c r="HPA88" s="996"/>
      <c r="HPB88" s="996"/>
      <c r="HPC88" s="996"/>
      <c r="HPD88" s="996"/>
      <c r="HPE88" s="996"/>
      <c r="HPF88" s="996"/>
      <c r="HPG88" s="996"/>
      <c r="HPH88" s="996"/>
      <c r="HPI88" s="996"/>
      <c r="HPJ88" s="996"/>
      <c r="HPK88" s="996"/>
      <c r="HPL88" s="996"/>
      <c r="HPM88" s="996"/>
      <c r="HPN88" s="996"/>
      <c r="HPO88" s="996"/>
      <c r="HPP88" s="996"/>
      <c r="HPQ88" s="996"/>
      <c r="HPR88" s="996"/>
      <c r="HPS88" s="996"/>
      <c r="HPT88" s="996"/>
      <c r="HPU88" s="996"/>
      <c r="HPV88" s="996"/>
      <c r="HPW88" s="996"/>
      <c r="HPX88" s="996"/>
      <c r="HPY88" s="996"/>
      <c r="HPZ88" s="996"/>
      <c r="HQA88" s="996"/>
      <c r="HQB88" s="996"/>
      <c r="HQC88" s="996"/>
      <c r="HQD88" s="996"/>
      <c r="HQE88" s="996"/>
      <c r="HQF88" s="996"/>
      <c r="HQG88" s="996"/>
      <c r="HQH88" s="996"/>
      <c r="HQI88" s="996"/>
      <c r="HQJ88" s="996"/>
      <c r="HQK88" s="996"/>
      <c r="HQL88" s="996"/>
      <c r="HQM88" s="996"/>
      <c r="HQN88" s="996"/>
      <c r="HQO88" s="996"/>
      <c r="HQP88" s="996"/>
      <c r="HQQ88" s="996"/>
      <c r="HQR88" s="996"/>
      <c r="HQS88" s="996"/>
      <c r="HQT88" s="996"/>
      <c r="HQU88" s="996"/>
      <c r="HQV88" s="996"/>
      <c r="HQW88" s="996"/>
      <c r="HQX88" s="996"/>
      <c r="HQY88" s="996"/>
      <c r="HQZ88" s="996"/>
      <c r="HRA88" s="996"/>
      <c r="HRB88" s="996"/>
      <c r="HRC88" s="996"/>
      <c r="HRD88" s="996"/>
      <c r="HRE88" s="996"/>
      <c r="HRF88" s="996"/>
      <c r="HRG88" s="996"/>
      <c r="HRH88" s="996"/>
      <c r="HRI88" s="996"/>
      <c r="HRJ88" s="996"/>
      <c r="HRK88" s="996"/>
      <c r="HRL88" s="996"/>
      <c r="HRM88" s="996"/>
      <c r="HRN88" s="996"/>
      <c r="HRO88" s="996"/>
      <c r="HRP88" s="996"/>
      <c r="HRQ88" s="996"/>
      <c r="HRR88" s="996"/>
      <c r="HRS88" s="996"/>
      <c r="HRT88" s="996"/>
      <c r="HRU88" s="996"/>
      <c r="HRV88" s="996"/>
      <c r="HRW88" s="996"/>
      <c r="HRX88" s="996"/>
      <c r="HRY88" s="996"/>
      <c r="HRZ88" s="996"/>
      <c r="HSA88" s="996"/>
      <c r="HSB88" s="996"/>
      <c r="HSC88" s="996"/>
      <c r="HSD88" s="996"/>
      <c r="HSE88" s="996"/>
      <c r="HSF88" s="996"/>
      <c r="HSG88" s="996"/>
      <c r="HSH88" s="996"/>
      <c r="HSI88" s="996"/>
      <c r="HSJ88" s="996"/>
      <c r="HSK88" s="996"/>
      <c r="HSL88" s="996"/>
      <c r="HSM88" s="996"/>
      <c r="HSN88" s="996"/>
      <c r="HSO88" s="996"/>
      <c r="HSP88" s="996"/>
      <c r="HSQ88" s="996"/>
      <c r="HSR88" s="996"/>
      <c r="HSS88" s="996"/>
      <c r="HST88" s="996"/>
      <c r="HSU88" s="996"/>
      <c r="HSV88" s="996"/>
      <c r="HSW88" s="996"/>
      <c r="HSX88" s="996"/>
      <c r="HSY88" s="996"/>
      <c r="HSZ88" s="996"/>
      <c r="HTA88" s="996"/>
      <c r="HTB88" s="996"/>
      <c r="HTC88" s="996"/>
      <c r="HTD88" s="996"/>
      <c r="HTE88" s="996"/>
      <c r="HTF88" s="996"/>
      <c r="HTG88" s="996"/>
      <c r="HTH88" s="996"/>
      <c r="HTI88" s="996"/>
      <c r="HTJ88" s="996"/>
      <c r="HTK88" s="996"/>
      <c r="HTL88" s="996"/>
      <c r="HTM88" s="996"/>
      <c r="HTN88" s="996"/>
      <c r="HTO88" s="996"/>
      <c r="HTP88" s="996"/>
      <c r="HTQ88" s="996"/>
      <c r="HTR88" s="996"/>
      <c r="HTS88" s="996"/>
      <c r="HTT88" s="996"/>
      <c r="HTU88" s="996"/>
      <c r="HTV88" s="996"/>
      <c r="HTW88" s="996"/>
      <c r="HTX88" s="996"/>
      <c r="HTY88" s="996"/>
      <c r="HTZ88" s="996"/>
      <c r="HUA88" s="996"/>
      <c r="HUB88" s="996"/>
      <c r="HUC88" s="996"/>
      <c r="HUD88" s="996"/>
      <c r="HUE88" s="996"/>
      <c r="HUF88" s="996"/>
      <c r="HUG88" s="996"/>
      <c r="HUH88" s="996"/>
      <c r="HUI88" s="996"/>
      <c r="HUJ88" s="996"/>
      <c r="HUK88" s="996"/>
      <c r="HUL88" s="996"/>
      <c r="HUM88" s="996"/>
      <c r="HUN88" s="996"/>
      <c r="HUO88" s="996"/>
      <c r="HUP88" s="996"/>
      <c r="HUQ88" s="996"/>
      <c r="HUR88" s="996"/>
      <c r="HUS88" s="996"/>
      <c r="HUT88" s="996"/>
      <c r="HUU88" s="996"/>
      <c r="HUV88" s="996"/>
      <c r="HUW88" s="996"/>
      <c r="HUX88" s="996"/>
      <c r="HUY88" s="996"/>
      <c r="HUZ88" s="996"/>
      <c r="HVA88" s="996"/>
      <c r="HVB88" s="996"/>
      <c r="HVC88" s="996"/>
      <c r="HVD88" s="996"/>
      <c r="HVE88" s="996"/>
      <c r="HVF88" s="996"/>
      <c r="HVG88" s="996"/>
      <c r="HVH88" s="996"/>
      <c r="HVI88" s="996"/>
      <c r="HVJ88" s="996"/>
      <c r="HVK88" s="996"/>
      <c r="HVL88" s="996"/>
      <c r="HVM88" s="996"/>
      <c r="HVN88" s="996"/>
      <c r="HVO88" s="996"/>
      <c r="HVP88" s="996"/>
      <c r="HVQ88" s="996"/>
      <c r="HVR88" s="996"/>
      <c r="HVS88" s="996"/>
      <c r="HVT88" s="996"/>
      <c r="HVU88" s="996"/>
      <c r="HVV88" s="996"/>
      <c r="HVW88" s="996"/>
      <c r="HVX88" s="996"/>
      <c r="HVY88" s="996"/>
      <c r="HVZ88" s="996"/>
      <c r="HWA88" s="996"/>
      <c r="HWB88" s="996"/>
      <c r="HWC88" s="996"/>
      <c r="HWD88" s="996"/>
      <c r="HWE88" s="996"/>
      <c r="HWF88" s="996"/>
      <c r="HWG88" s="996"/>
      <c r="HWH88" s="996"/>
      <c r="HWI88" s="996"/>
      <c r="HWJ88" s="996"/>
      <c r="HWK88" s="996"/>
      <c r="HWL88" s="996"/>
      <c r="HWM88" s="996"/>
      <c r="HWN88" s="996"/>
      <c r="HWO88" s="996"/>
      <c r="HWP88" s="996"/>
      <c r="HWQ88" s="996"/>
      <c r="HWR88" s="996"/>
      <c r="HWS88" s="996"/>
      <c r="HWT88" s="996"/>
      <c r="HWU88" s="996"/>
      <c r="HWV88" s="996"/>
      <c r="HWW88" s="996"/>
      <c r="HWX88" s="996"/>
      <c r="HWY88" s="996"/>
      <c r="HWZ88" s="996"/>
      <c r="HXA88" s="996"/>
      <c r="HXB88" s="996"/>
      <c r="HXC88" s="996"/>
      <c r="HXD88" s="996"/>
      <c r="HXE88" s="996"/>
      <c r="HXF88" s="996"/>
      <c r="HXG88" s="996"/>
      <c r="HXH88" s="996"/>
      <c r="HXI88" s="996"/>
      <c r="HXJ88" s="996"/>
      <c r="HXK88" s="996"/>
      <c r="HXL88" s="996"/>
      <c r="HXM88" s="996"/>
      <c r="HXN88" s="996"/>
      <c r="HXO88" s="996"/>
      <c r="HXP88" s="996"/>
      <c r="HXQ88" s="996"/>
      <c r="HXR88" s="996"/>
      <c r="HXS88" s="996"/>
      <c r="HXT88" s="996"/>
      <c r="HXU88" s="996"/>
      <c r="HXV88" s="996"/>
      <c r="HXW88" s="996"/>
      <c r="HXX88" s="996"/>
      <c r="HXY88" s="996"/>
      <c r="HXZ88" s="996"/>
      <c r="HYA88" s="996"/>
      <c r="HYB88" s="996"/>
      <c r="HYC88" s="996"/>
      <c r="HYD88" s="996"/>
      <c r="HYE88" s="996"/>
      <c r="HYF88" s="996"/>
      <c r="HYG88" s="996"/>
      <c r="HYH88" s="996"/>
      <c r="HYI88" s="996"/>
      <c r="HYJ88" s="996"/>
      <c r="HYK88" s="996"/>
      <c r="HYL88" s="996"/>
      <c r="HYM88" s="996"/>
      <c r="HYN88" s="996"/>
      <c r="HYO88" s="996"/>
      <c r="HYP88" s="996"/>
      <c r="HYQ88" s="996"/>
      <c r="HYR88" s="996"/>
      <c r="HYS88" s="996"/>
      <c r="HYT88" s="996"/>
      <c r="HYU88" s="996"/>
      <c r="HYV88" s="996"/>
      <c r="HYW88" s="996"/>
      <c r="HYX88" s="996"/>
      <c r="HYY88" s="996"/>
      <c r="HYZ88" s="996"/>
      <c r="HZA88" s="996"/>
      <c r="HZB88" s="996"/>
      <c r="HZC88" s="996"/>
      <c r="HZD88" s="996"/>
      <c r="HZE88" s="996"/>
      <c r="HZF88" s="996"/>
      <c r="HZG88" s="996"/>
      <c r="HZH88" s="996"/>
      <c r="HZI88" s="996"/>
      <c r="HZJ88" s="996"/>
      <c r="HZK88" s="996"/>
      <c r="HZL88" s="996"/>
      <c r="HZM88" s="996"/>
      <c r="HZN88" s="996"/>
      <c r="HZO88" s="996"/>
      <c r="HZP88" s="996"/>
      <c r="HZQ88" s="996"/>
      <c r="HZR88" s="996"/>
      <c r="HZS88" s="996"/>
      <c r="HZT88" s="996"/>
      <c r="HZU88" s="996"/>
      <c r="HZV88" s="996"/>
      <c r="HZW88" s="996"/>
      <c r="HZX88" s="996"/>
      <c r="HZY88" s="996"/>
      <c r="HZZ88" s="996"/>
      <c r="IAA88" s="996"/>
      <c r="IAB88" s="996"/>
      <c r="IAC88" s="996"/>
      <c r="IAD88" s="996"/>
      <c r="IAE88" s="996"/>
      <c r="IAF88" s="996"/>
      <c r="IAG88" s="996"/>
      <c r="IAH88" s="996"/>
      <c r="IAI88" s="996"/>
      <c r="IAJ88" s="996"/>
      <c r="IAK88" s="996"/>
      <c r="IAL88" s="996"/>
      <c r="IAM88" s="996"/>
      <c r="IAN88" s="996"/>
      <c r="IAO88" s="996"/>
      <c r="IAP88" s="996"/>
      <c r="IAQ88" s="996"/>
      <c r="IAR88" s="996"/>
      <c r="IAS88" s="996"/>
      <c r="IAT88" s="996"/>
      <c r="IAU88" s="996"/>
      <c r="IAV88" s="996"/>
      <c r="IAW88" s="996"/>
      <c r="IAX88" s="996"/>
      <c r="IAY88" s="996"/>
      <c r="IAZ88" s="996"/>
      <c r="IBA88" s="996"/>
      <c r="IBB88" s="996"/>
      <c r="IBC88" s="996"/>
      <c r="IBD88" s="996"/>
      <c r="IBE88" s="996"/>
      <c r="IBF88" s="996"/>
      <c r="IBG88" s="996"/>
      <c r="IBH88" s="996"/>
      <c r="IBI88" s="996"/>
      <c r="IBJ88" s="996"/>
      <c r="IBK88" s="996"/>
      <c r="IBL88" s="996"/>
      <c r="IBM88" s="996"/>
      <c r="IBN88" s="996"/>
      <c r="IBO88" s="996"/>
      <c r="IBP88" s="996"/>
      <c r="IBQ88" s="996"/>
      <c r="IBR88" s="996"/>
      <c r="IBS88" s="996"/>
      <c r="IBT88" s="996"/>
      <c r="IBU88" s="996"/>
      <c r="IBV88" s="996"/>
      <c r="IBW88" s="996"/>
      <c r="IBX88" s="996"/>
      <c r="IBY88" s="996"/>
      <c r="IBZ88" s="996"/>
      <c r="ICA88" s="996"/>
      <c r="ICB88" s="996"/>
      <c r="ICC88" s="996"/>
      <c r="ICD88" s="996"/>
      <c r="ICE88" s="996"/>
      <c r="ICF88" s="996"/>
      <c r="ICG88" s="996"/>
      <c r="ICH88" s="996"/>
      <c r="ICI88" s="996"/>
      <c r="ICJ88" s="996"/>
      <c r="ICK88" s="996"/>
      <c r="ICL88" s="996"/>
      <c r="ICM88" s="996"/>
      <c r="ICN88" s="996"/>
      <c r="ICO88" s="996"/>
      <c r="ICP88" s="996"/>
      <c r="ICQ88" s="996"/>
      <c r="ICR88" s="996"/>
      <c r="ICS88" s="996"/>
      <c r="ICT88" s="996"/>
      <c r="ICU88" s="996"/>
      <c r="ICV88" s="996"/>
      <c r="ICW88" s="996"/>
      <c r="ICX88" s="996"/>
      <c r="ICY88" s="996"/>
      <c r="ICZ88" s="996"/>
      <c r="IDA88" s="996"/>
      <c r="IDB88" s="996"/>
      <c r="IDC88" s="996"/>
      <c r="IDD88" s="996"/>
      <c r="IDE88" s="996"/>
      <c r="IDF88" s="996"/>
      <c r="IDG88" s="996"/>
      <c r="IDH88" s="996"/>
      <c r="IDI88" s="996"/>
      <c r="IDJ88" s="996"/>
      <c r="IDK88" s="996"/>
      <c r="IDL88" s="996"/>
      <c r="IDM88" s="996"/>
      <c r="IDN88" s="996"/>
      <c r="IDO88" s="996"/>
      <c r="IDP88" s="996"/>
      <c r="IDQ88" s="996"/>
      <c r="IDR88" s="996"/>
      <c r="IDS88" s="996"/>
      <c r="IDT88" s="996"/>
      <c r="IDU88" s="996"/>
      <c r="IDV88" s="996"/>
      <c r="IDW88" s="996"/>
      <c r="IDX88" s="996"/>
      <c r="IDY88" s="996"/>
      <c r="IDZ88" s="996"/>
      <c r="IEA88" s="996"/>
      <c r="IEB88" s="996"/>
      <c r="IEC88" s="996"/>
      <c r="IED88" s="996"/>
      <c r="IEE88" s="996"/>
      <c r="IEF88" s="996"/>
      <c r="IEG88" s="996"/>
      <c r="IEH88" s="996"/>
      <c r="IEI88" s="996"/>
      <c r="IEJ88" s="996"/>
      <c r="IEK88" s="996"/>
      <c r="IEL88" s="996"/>
      <c r="IEM88" s="996"/>
      <c r="IEN88" s="996"/>
      <c r="IEO88" s="996"/>
      <c r="IEP88" s="996"/>
      <c r="IEQ88" s="996"/>
      <c r="IER88" s="996"/>
      <c r="IES88" s="996"/>
      <c r="IET88" s="996"/>
      <c r="IEU88" s="996"/>
      <c r="IEV88" s="996"/>
      <c r="IEW88" s="996"/>
      <c r="IEX88" s="996"/>
      <c r="IEY88" s="996"/>
      <c r="IEZ88" s="996"/>
      <c r="IFA88" s="996"/>
      <c r="IFB88" s="996"/>
      <c r="IFC88" s="996"/>
      <c r="IFD88" s="996"/>
      <c r="IFE88" s="996"/>
      <c r="IFF88" s="996"/>
      <c r="IFG88" s="996"/>
      <c r="IFH88" s="996"/>
      <c r="IFI88" s="996"/>
      <c r="IFJ88" s="996"/>
      <c r="IFK88" s="996"/>
      <c r="IFL88" s="996"/>
      <c r="IFM88" s="996"/>
      <c r="IFN88" s="996"/>
      <c r="IFO88" s="996"/>
      <c r="IFP88" s="996"/>
      <c r="IFQ88" s="996"/>
      <c r="IFR88" s="996"/>
      <c r="IFS88" s="996"/>
      <c r="IFT88" s="996"/>
      <c r="IFU88" s="996"/>
      <c r="IFV88" s="996"/>
      <c r="IFW88" s="996"/>
      <c r="IFX88" s="996"/>
      <c r="IFY88" s="996"/>
      <c r="IFZ88" s="996"/>
      <c r="IGA88" s="996"/>
      <c r="IGB88" s="996"/>
      <c r="IGC88" s="996"/>
      <c r="IGD88" s="996"/>
      <c r="IGE88" s="996"/>
      <c r="IGF88" s="996"/>
      <c r="IGG88" s="996"/>
      <c r="IGH88" s="996"/>
      <c r="IGI88" s="996"/>
      <c r="IGJ88" s="996"/>
      <c r="IGK88" s="996"/>
      <c r="IGL88" s="996"/>
      <c r="IGM88" s="996"/>
      <c r="IGN88" s="996"/>
      <c r="IGO88" s="996"/>
      <c r="IGP88" s="996"/>
      <c r="IGQ88" s="996"/>
      <c r="IGR88" s="996"/>
      <c r="IGS88" s="996"/>
      <c r="IGT88" s="996"/>
      <c r="IGU88" s="996"/>
      <c r="IGV88" s="996"/>
      <c r="IGW88" s="996"/>
      <c r="IGX88" s="996"/>
      <c r="IGY88" s="996"/>
      <c r="IGZ88" s="996"/>
      <c r="IHA88" s="996"/>
      <c r="IHB88" s="996"/>
      <c r="IHC88" s="996"/>
      <c r="IHD88" s="996"/>
      <c r="IHE88" s="996"/>
      <c r="IHF88" s="996"/>
      <c r="IHG88" s="996"/>
      <c r="IHH88" s="996"/>
      <c r="IHI88" s="996"/>
      <c r="IHJ88" s="996"/>
      <c r="IHK88" s="996"/>
      <c r="IHL88" s="996"/>
      <c r="IHM88" s="996"/>
      <c r="IHN88" s="996"/>
      <c r="IHO88" s="996"/>
      <c r="IHP88" s="996"/>
      <c r="IHQ88" s="996"/>
      <c r="IHR88" s="996"/>
      <c r="IHS88" s="996"/>
      <c r="IHT88" s="996"/>
      <c r="IHU88" s="996"/>
      <c r="IHV88" s="996"/>
      <c r="IHW88" s="996"/>
      <c r="IHX88" s="996"/>
      <c r="IHY88" s="996"/>
      <c r="IHZ88" s="996"/>
      <c r="IIA88" s="996"/>
      <c r="IIB88" s="996"/>
      <c r="IIC88" s="996"/>
      <c r="IID88" s="996"/>
      <c r="IIE88" s="996"/>
      <c r="IIF88" s="996"/>
      <c r="IIG88" s="996"/>
      <c r="IIH88" s="996"/>
      <c r="III88" s="996"/>
      <c r="IIJ88" s="996"/>
      <c r="IIK88" s="996"/>
      <c r="IIL88" s="996"/>
      <c r="IIM88" s="996"/>
      <c r="IIN88" s="996"/>
      <c r="IIO88" s="996"/>
      <c r="IIP88" s="996"/>
      <c r="IIQ88" s="996"/>
      <c r="IIR88" s="996"/>
      <c r="IIS88" s="996"/>
      <c r="IIT88" s="996"/>
      <c r="IIU88" s="996"/>
      <c r="IIV88" s="996"/>
      <c r="IIW88" s="996"/>
      <c r="IIX88" s="996"/>
      <c r="IIY88" s="996"/>
      <c r="IIZ88" s="996"/>
      <c r="IJA88" s="996"/>
      <c r="IJB88" s="996"/>
      <c r="IJC88" s="996"/>
      <c r="IJD88" s="996"/>
      <c r="IJE88" s="996"/>
      <c r="IJF88" s="996"/>
      <c r="IJG88" s="996"/>
      <c r="IJH88" s="996"/>
      <c r="IJI88" s="996"/>
      <c r="IJJ88" s="996"/>
      <c r="IJK88" s="996"/>
      <c r="IJL88" s="996"/>
      <c r="IJM88" s="996"/>
      <c r="IJN88" s="996"/>
      <c r="IJO88" s="996"/>
      <c r="IJP88" s="996"/>
      <c r="IJQ88" s="996"/>
      <c r="IJR88" s="996"/>
      <c r="IJS88" s="996"/>
      <c r="IJT88" s="996"/>
      <c r="IJU88" s="996"/>
      <c r="IJV88" s="996"/>
      <c r="IJW88" s="996"/>
      <c r="IJX88" s="996"/>
      <c r="IJY88" s="996"/>
      <c r="IJZ88" s="996"/>
      <c r="IKA88" s="996"/>
      <c r="IKB88" s="996"/>
      <c r="IKC88" s="996"/>
      <c r="IKD88" s="996"/>
      <c r="IKE88" s="996"/>
      <c r="IKF88" s="996"/>
      <c r="IKG88" s="996"/>
      <c r="IKH88" s="996"/>
      <c r="IKI88" s="996"/>
      <c r="IKJ88" s="996"/>
      <c r="IKK88" s="996"/>
      <c r="IKL88" s="996"/>
      <c r="IKM88" s="996"/>
      <c r="IKN88" s="996"/>
      <c r="IKO88" s="996"/>
      <c r="IKP88" s="996"/>
      <c r="IKQ88" s="996"/>
      <c r="IKR88" s="996"/>
      <c r="IKS88" s="996"/>
      <c r="IKT88" s="996"/>
      <c r="IKU88" s="996"/>
      <c r="IKV88" s="996"/>
      <c r="IKW88" s="996"/>
      <c r="IKX88" s="996"/>
      <c r="IKY88" s="996"/>
      <c r="IKZ88" s="996"/>
      <c r="ILA88" s="996"/>
      <c r="ILB88" s="996"/>
      <c r="ILC88" s="996"/>
      <c r="ILD88" s="996"/>
      <c r="ILE88" s="996"/>
      <c r="ILF88" s="996"/>
      <c r="ILG88" s="996"/>
      <c r="ILH88" s="996"/>
      <c r="ILI88" s="996"/>
      <c r="ILJ88" s="996"/>
      <c r="ILK88" s="996"/>
      <c r="ILL88" s="996"/>
      <c r="ILM88" s="996"/>
      <c r="ILN88" s="996"/>
      <c r="ILO88" s="996"/>
      <c r="ILP88" s="996"/>
      <c r="ILQ88" s="996"/>
      <c r="ILR88" s="996"/>
      <c r="ILS88" s="996"/>
      <c r="ILT88" s="996"/>
      <c r="ILU88" s="996"/>
      <c r="ILV88" s="996"/>
      <c r="ILW88" s="996"/>
      <c r="ILX88" s="996"/>
      <c r="ILY88" s="996"/>
      <c r="ILZ88" s="996"/>
      <c r="IMA88" s="996"/>
      <c r="IMB88" s="996"/>
      <c r="IMC88" s="996"/>
      <c r="IMD88" s="996"/>
      <c r="IME88" s="996"/>
      <c r="IMF88" s="996"/>
      <c r="IMG88" s="996"/>
      <c r="IMH88" s="996"/>
      <c r="IMI88" s="996"/>
      <c r="IMJ88" s="996"/>
      <c r="IMK88" s="996"/>
      <c r="IML88" s="996"/>
      <c r="IMM88" s="996"/>
      <c r="IMN88" s="996"/>
      <c r="IMO88" s="996"/>
      <c r="IMP88" s="996"/>
      <c r="IMQ88" s="996"/>
      <c r="IMR88" s="996"/>
      <c r="IMS88" s="996"/>
      <c r="IMT88" s="996"/>
      <c r="IMU88" s="996"/>
      <c r="IMV88" s="996"/>
      <c r="IMW88" s="996"/>
      <c r="IMX88" s="996"/>
      <c r="IMY88" s="996"/>
      <c r="IMZ88" s="996"/>
      <c r="INA88" s="996"/>
      <c r="INB88" s="996"/>
      <c r="INC88" s="996"/>
      <c r="IND88" s="996"/>
      <c r="INE88" s="996"/>
      <c r="INF88" s="996"/>
      <c r="ING88" s="996"/>
      <c r="INH88" s="996"/>
      <c r="INI88" s="996"/>
      <c r="INJ88" s="996"/>
      <c r="INK88" s="996"/>
      <c r="INL88" s="996"/>
      <c r="INM88" s="996"/>
      <c r="INN88" s="996"/>
      <c r="INO88" s="996"/>
      <c r="INP88" s="996"/>
      <c r="INQ88" s="996"/>
      <c r="INR88" s="996"/>
      <c r="INS88" s="996"/>
      <c r="INT88" s="996"/>
      <c r="INU88" s="996"/>
      <c r="INV88" s="996"/>
      <c r="INW88" s="996"/>
      <c r="INX88" s="996"/>
      <c r="INY88" s="996"/>
      <c r="INZ88" s="996"/>
      <c r="IOA88" s="996"/>
      <c r="IOB88" s="996"/>
      <c r="IOC88" s="996"/>
      <c r="IOD88" s="996"/>
      <c r="IOE88" s="996"/>
      <c r="IOF88" s="996"/>
      <c r="IOG88" s="996"/>
      <c r="IOH88" s="996"/>
      <c r="IOI88" s="996"/>
      <c r="IOJ88" s="996"/>
      <c r="IOK88" s="996"/>
      <c r="IOL88" s="996"/>
      <c r="IOM88" s="996"/>
      <c r="ION88" s="996"/>
      <c r="IOO88" s="996"/>
      <c r="IOP88" s="996"/>
      <c r="IOQ88" s="996"/>
      <c r="IOR88" s="996"/>
      <c r="IOS88" s="996"/>
      <c r="IOT88" s="996"/>
      <c r="IOU88" s="996"/>
      <c r="IOV88" s="996"/>
      <c r="IOW88" s="996"/>
      <c r="IOX88" s="996"/>
      <c r="IOY88" s="996"/>
      <c r="IOZ88" s="996"/>
      <c r="IPA88" s="996"/>
      <c r="IPB88" s="996"/>
      <c r="IPC88" s="996"/>
      <c r="IPD88" s="996"/>
      <c r="IPE88" s="996"/>
      <c r="IPF88" s="996"/>
      <c r="IPG88" s="996"/>
      <c r="IPH88" s="996"/>
      <c r="IPI88" s="996"/>
      <c r="IPJ88" s="996"/>
      <c r="IPK88" s="996"/>
      <c r="IPL88" s="996"/>
      <c r="IPM88" s="996"/>
      <c r="IPN88" s="996"/>
      <c r="IPO88" s="996"/>
      <c r="IPP88" s="996"/>
      <c r="IPQ88" s="996"/>
      <c r="IPR88" s="996"/>
      <c r="IPS88" s="996"/>
      <c r="IPT88" s="996"/>
      <c r="IPU88" s="996"/>
      <c r="IPV88" s="996"/>
      <c r="IPW88" s="996"/>
      <c r="IPX88" s="996"/>
      <c r="IPY88" s="996"/>
      <c r="IPZ88" s="996"/>
      <c r="IQA88" s="996"/>
      <c r="IQB88" s="996"/>
      <c r="IQC88" s="996"/>
      <c r="IQD88" s="996"/>
      <c r="IQE88" s="996"/>
      <c r="IQF88" s="996"/>
      <c r="IQG88" s="996"/>
      <c r="IQH88" s="996"/>
      <c r="IQI88" s="996"/>
      <c r="IQJ88" s="996"/>
      <c r="IQK88" s="996"/>
      <c r="IQL88" s="996"/>
      <c r="IQM88" s="996"/>
      <c r="IQN88" s="996"/>
      <c r="IQO88" s="996"/>
      <c r="IQP88" s="996"/>
      <c r="IQQ88" s="996"/>
      <c r="IQR88" s="996"/>
      <c r="IQS88" s="996"/>
      <c r="IQT88" s="996"/>
      <c r="IQU88" s="996"/>
      <c r="IQV88" s="996"/>
      <c r="IQW88" s="996"/>
      <c r="IQX88" s="996"/>
      <c r="IQY88" s="996"/>
      <c r="IQZ88" s="996"/>
      <c r="IRA88" s="996"/>
      <c r="IRB88" s="996"/>
      <c r="IRC88" s="996"/>
      <c r="IRD88" s="996"/>
      <c r="IRE88" s="996"/>
      <c r="IRF88" s="996"/>
      <c r="IRG88" s="996"/>
      <c r="IRH88" s="996"/>
      <c r="IRI88" s="996"/>
      <c r="IRJ88" s="996"/>
      <c r="IRK88" s="996"/>
      <c r="IRL88" s="996"/>
      <c r="IRM88" s="996"/>
      <c r="IRN88" s="996"/>
      <c r="IRO88" s="996"/>
      <c r="IRP88" s="996"/>
      <c r="IRQ88" s="996"/>
      <c r="IRR88" s="996"/>
      <c r="IRS88" s="996"/>
      <c r="IRT88" s="996"/>
      <c r="IRU88" s="996"/>
      <c r="IRV88" s="996"/>
      <c r="IRW88" s="996"/>
      <c r="IRX88" s="996"/>
      <c r="IRY88" s="996"/>
      <c r="IRZ88" s="996"/>
      <c r="ISA88" s="996"/>
      <c r="ISB88" s="996"/>
      <c r="ISC88" s="996"/>
      <c r="ISD88" s="996"/>
      <c r="ISE88" s="996"/>
      <c r="ISF88" s="996"/>
      <c r="ISG88" s="996"/>
      <c r="ISH88" s="996"/>
      <c r="ISI88" s="996"/>
      <c r="ISJ88" s="996"/>
      <c r="ISK88" s="996"/>
      <c r="ISL88" s="996"/>
      <c r="ISM88" s="996"/>
      <c r="ISN88" s="996"/>
      <c r="ISO88" s="996"/>
      <c r="ISP88" s="996"/>
      <c r="ISQ88" s="996"/>
      <c r="ISR88" s="996"/>
      <c r="ISS88" s="996"/>
      <c r="IST88" s="996"/>
      <c r="ISU88" s="996"/>
      <c r="ISV88" s="996"/>
      <c r="ISW88" s="996"/>
      <c r="ISX88" s="996"/>
      <c r="ISY88" s="996"/>
      <c r="ISZ88" s="996"/>
      <c r="ITA88" s="996"/>
      <c r="ITB88" s="996"/>
      <c r="ITC88" s="996"/>
      <c r="ITD88" s="996"/>
      <c r="ITE88" s="996"/>
      <c r="ITF88" s="996"/>
      <c r="ITG88" s="996"/>
      <c r="ITH88" s="996"/>
      <c r="ITI88" s="996"/>
      <c r="ITJ88" s="996"/>
      <c r="ITK88" s="996"/>
      <c r="ITL88" s="996"/>
      <c r="ITM88" s="996"/>
      <c r="ITN88" s="996"/>
      <c r="ITO88" s="996"/>
      <c r="ITP88" s="996"/>
      <c r="ITQ88" s="996"/>
      <c r="ITR88" s="996"/>
      <c r="ITS88" s="996"/>
      <c r="ITT88" s="996"/>
      <c r="ITU88" s="996"/>
      <c r="ITV88" s="996"/>
      <c r="ITW88" s="996"/>
      <c r="ITX88" s="996"/>
      <c r="ITY88" s="996"/>
      <c r="ITZ88" s="996"/>
      <c r="IUA88" s="996"/>
      <c r="IUB88" s="996"/>
      <c r="IUC88" s="996"/>
      <c r="IUD88" s="996"/>
      <c r="IUE88" s="996"/>
      <c r="IUF88" s="996"/>
      <c r="IUG88" s="996"/>
      <c r="IUH88" s="996"/>
      <c r="IUI88" s="996"/>
      <c r="IUJ88" s="996"/>
      <c r="IUK88" s="996"/>
      <c r="IUL88" s="996"/>
      <c r="IUM88" s="996"/>
      <c r="IUN88" s="996"/>
      <c r="IUO88" s="996"/>
      <c r="IUP88" s="996"/>
      <c r="IUQ88" s="996"/>
      <c r="IUR88" s="996"/>
      <c r="IUS88" s="996"/>
      <c r="IUT88" s="996"/>
      <c r="IUU88" s="996"/>
      <c r="IUV88" s="996"/>
      <c r="IUW88" s="996"/>
      <c r="IUX88" s="996"/>
      <c r="IUY88" s="996"/>
      <c r="IUZ88" s="996"/>
      <c r="IVA88" s="996"/>
      <c r="IVB88" s="996"/>
      <c r="IVC88" s="996"/>
      <c r="IVD88" s="996"/>
      <c r="IVE88" s="996"/>
      <c r="IVF88" s="996"/>
      <c r="IVG88" s="996"/>
      <c r="IVH88" s="996"/>
      <c r="IVI88" s="996"/>
      <c r="IVJ88" s="996"/>
      <c r="IVK88" s="996"/>
      <c r="IVL88" s="996"/>
      <c r="IVM88" s="996"/>
      <c r="IVN88" s="996"/>
      <c r="IVO88" s="996"/>
      <c r="IVP88" s="996"/>
      <c r="IVQ88" s="996"/>
      <c r="IVR88" s="996"/>
      <c r="IVS88" s="996"/>
      <c r="IVT88" s="996"/>
      <c r="IVU88" s="996"/>
      <c r="IVV88" s="996"/>
      <c r="IVW88" s="996"/>
      <c r="IVX88" s="996"/>
      <c r="IVY88" s="996"/>
      <c r="IVZ88" s="996"/>
      <c r="IWA88" s="996"/>
      <c r="IWB88" s="996"/>
      <c r="IWC88" s="996"/>
      <c r="IWD88" s="996"/>
      <c r="IWE88" s="996"/>
      <c r="IWF88" s="996"/>
      <c r="IWG88" s="996"/>
      <c r="IWH88" s="996"/>
      <c r="IWI88" s="996"/>
      <c r="IWJ88" s="996"/>
      <c r="IWK88" s="996"/>
      <c r="IWL88" s="996"/>
      <c r="IWM88" s="996"/>
      <c r="IWN88" s="996"/>
      <c r="IWO88" s="996"/>
      <c r="IWP88" s="996"/>
      <c r="IWQ88" s="996"/>
      <c r="IWR88" s="996"/>
      <c r="IWS88" s="996"/>
      <c r="IWT88" s="996"/>
      <c r="IWU88" s="996"/>
      <c r="IWV88" s="996"/>
      <c r="IWW88" s="996"/>
      <c r="IWX88" s="996"/>
      <c r="IWY88" s="996"/>
      <c r="IWZ88" s="996"/>
      <c r="IXA88" s="996"/>
      <c r="IXB88" s="996"/>
      <c r="IXC88" s="996"/>
      <c r="IXD88" s="996"/>
      <c r="IXE88" s="996"/>
      <c r="IXF88" s="996"/>
      <c r="IXG88" s="996"/>
      <c r="IXH88" s="996"/>
      <c r="IXI88" s="996"/>
      <c r="IXJ88" s="996"/>
      <c r="IXK88" s="996"/>
      <c r="IXL88" s="996"/>
      <c r="IXM88" s="996"/>
      <c r="IXN88" s="996"/>
      <c r="IXO88" s="996"/>
      <c r="IXP88" s="996"/>
      <c r="IXQ88" s="996"/>
      <c r="IXR88" s="996"/>
      <c r="IXS88" s="996"/>
      <c r="IXT88" s="996"/>
      <c r="IXU88" s="996"/>
      <c r="IXV88" s="996"/>
      <c r="IXW88" s="996"/>
      <c r="IXX88" s="996"/>
      <c r="IXY88" s="996"/>
      <c r="IXZ88" s="996"/>
      <c r="IYA88" s="996"/>
      <c r="IYB88" s="996"/>
      <c r="IYC88" s="996"/>
      <c r="IYD88" s="996"/>
      <c r="IYE88" s="996"/>
      <c r="IYF88" s="996"/>
      <c r="IYG88" s="996"/>
      <c r="IYH88" s="996"/>
      <c r="IYI88" s="996"/>
      <c r="IYJ88" s="996"/>
      <c r="IYK88" s="996"/>
      <c r="IYL88" s="996"/>
      <c r="IYM88" s="996"/>
      <c r="IYN88" s="996"/>
      <c r="IYO88" s="996"/>
      <c r="IYP88" s="996"/>
      <c r="IYQ88" s="996"/>
      <c r="IYR88" s="996"/>
      <c r="IYS88" s="996"/>
      <c r="IYT88" s="996"/>
      <c r="IYU88" s="996"/>
      <c r="IYV88" s="996"/>
      <c r="IYW88" s="996"/>
      <c r="IYX88" s="996"/>
      <c r="IYY88" s="996"/>
      <c r="IYZ88" s="996"/>
      <c r="IZA88" s="996"/>
      <c r="IZB88" s="996"/>
      <c r="IZC88" s="996"/>
      <c r="IZD88" s="996"/>
      <c r="IZE88" s="996"/>
      <c r="IZF88" s="996"/>
      <c r="IZG88" s="996"/>
      <c r="IZH88" s="996"/>
      <c r="IZI88" s="996"/>
      <c r="IZJ88" s="996"/>
      <c r="IZK88" s="996"/>
      <c r="IZL88" s="996"/>
      <c r="IZM88" s="996"/>
      <c r="IZN88" s="996"/>
      <c r="IZO88" s="996"/>
      <c r="IZP88" s="996"/>
      <c r="IZQ88" s="996"/>
      <c r="IZR88" s="996"/>
      <c r="IZS88" s="996"/>
      <c r="IZT88" s="996"/>
      <c r="IZU88" s="996"/>
      <c r="IZV88" s="996"/>
      <c r="IZW88" s="996"/>
      <c r="IZX88" s="996"/>
      <c r="IZY88" s="996"/>
      <c r="IZZ88" s="996"/>
      <c r="JAA88" s="996"/>
      <c r="JAB88" s="996"/>
      <c r="JAC88" s="996"/>
      <c r="JAD88" s="996"/>
      <c r="JAE88" s="996"/>
      <c r="JAF88" s="996"/>
      <c r="JAG88" s="996"/>
      <c r="JAH88" s="996"/>
      <c r="JAI88" s="996"/>
      <c r="JAJ88" s="996"/>
      <c r="JAK88" s="996"/>
      <c r="JAL88" s="996"/>
      <c r="JAM88" s="996"/>
      <c r="JAN88" s="996"/>
      <c r="JAO88" s="996"/>
      <c r="JAP88" s="996"/>
      <c r="JAQ88" s="996"/>
      <c r="JAR88" s="996"/>
      <c r="JAS88" s="996"/>
      <c r="JAT88" s="996"/>
      <c r="JAU88" s="996"/>
      <c r="JAV88" s="996"/>
      <c r="JAW88" s="996"/>
      <c r="JAX88" s="996"/>
      <c r="JAY88" s="996"/>
      <c r="JAZ88" s="996"/>
      <c r="JBA88" s="996"/>
      <c r="JBB88" s="996"/>
      <c r="JBC88" s="996"/>
      <c r="JBD88" s="996"/>
      <c r="JBE88" s="996"/>
      <c r="JBF88" s="996"/>
      <c r="JBG88" s="996"/>
      <c r="JBH88" s="996"/>
      <c r="JBI88" s="996"/>
      <c r="JBJ88" s="996"/>
      <c r="JBK88" s="996"/>
      <c r="JBL88" s="996"/>
      <c r="JBM88" s="996"/>
      <c r="JBN88" s="996"/>
      <c r="JBO88" s="996"/>
      <c r="JBP88" s="996"/>
      <c r="JBQ88" s="996"/>
      <c r="JBR88" s="996"/>
      <c r="JBS88" s="996"/>
      <c r="JBT88" s="996"/>
      <c r="JBU88" s="996"/>
      <c r="JBV88" s="996"/>
      <c r="JBW88" s="996"/>
      <c r="JBX88" s="996"/>
      <c r="JBY88" s="996"/>
      <c r="JBZ88" s="996"/>
      <c r="JCA88" s="996"/>
      <c r="JCB88" s="996"/>
      <c r="JCC88" s="996"/>
      <c r="JCD88" s="996"/>
      <c r="JCE88" s="996"/>
      <c r="JCF88" s="996"/>
      <c r="JCG88" s="996"/>
      <c r="JCH88" s="996"/>
      <c r="JCI88" s="996"/>
      <c r="JCJ88" s="996"/>
      <c r="JCK88" s="996"/>
      <c r="JCL88" s="996"/>
      <c r="JCM88" s="996"/>
      <c r="JCN88" s="996"/>
      <c r="JCO88" s="996"/>
      <c r="JCP88" s="996"/>
      <c r="JCQ88" s="996"/>
      <c r="JCR88" s="996"/>
      <c r="JCS88" s="996"/>
      <c r="JCT88" s="996"/>
      <c r="JCU88" s="996"/>
      <c r="JCV88" s="996"/>
      <c r="JCW88" s="996"/>
      <c r="JCX88" s="996"/>
      <c r="JCY88" s="996"/>
      <c r="JCZ88" s="996"/>
      <c r="JDA88" s="996"/>
      <c r="JDB88" s="996"/>
      <c r="JDC88" s="996"/>
      <c r="JDD88" s="996"/>
      <c r="JDE88" s="996"/>
      <c r="JDF88" s="996"/>
      <c r="JDG88" s="996"/>
      <c r="JDH88" s="996"/>
      <c r="JDI88" s="996"/>
      <c r="JDJ88" s="996"/>
      <c r="JDK88" s="996"/>
      <c r="JDL88" s="996"/>
      <c r="JDM88" s="996"/>
      <c r="JDN88" s="996"/>
      <c r="JDO88" s="996"/>
      <c r="JDP88" s="996"/>
      <c r="JDQ88" s="996"/>
      <c r="JDR88" s="996"/>
      <c r="JDS88" s="996"/>
      <c r="JDT88" s="996"/>
      <c r="JDU88" s="996"/>
      <c r="JDV88" s="996"/>
      <c r="JDW88" s="996"/>
      <c r="JDX88" s="996"/>
      <c r="JDY88" s="996"/>
      <c r="JDZ88" s="996"/>
      <c r="JEA88" s="996"/>
      <c r="JEB88" s="996"/>
      <c r="JEC88" s="996"/>
      <c r="JED88" s="996"/>
      <c r="JEE88" s="996"/>
      <c r="JEF88" s="996"/>
      <c r="JEG88" s="996"/>
      <c r="JEH88" s="996"/>
      <c r="JEI88" s="996"/>
      <c r="JEJ88" s="996"/>
      <c r="JEK88" s="996"/>
      <c r="JEL88" s="996"/>
      <c r="JEM88" s="996"/>
      <c r="JEN88" s="996"/>
      <c r="JEO88" s="996"/>
      <c r="JEP88" s="996"/>
      <c r="JEQ88" s="996"/>
      <c r="JER88" s="996"/>
      <c r="JES88" s="996"/>
      <c r="JET88" s="996"/>
      <c r="JEU88" s="996"/>
      <c r="JEV88" s="996"/>
      <c r="JEW88" s="996"/>
      <c r="JEX88" s="996"/>
      <c r="JEY88" s="996"/>
      <c r="JEZ88" s="996"/>
      <c r="JFA88" s="996"/>
      <c r="JFB88" s="996"/>
      <c r="JFC88" s="996"/>
      <c r="JFD88" s="996"/>
      <c r="JFE88" s="996"/>
      <c r="JFF88" s="996"/>
      <c r="JFG88" s="996"/>
      <c r="JFH88" s="996"/>
      <c r="JFI88" s="996"/>
      <c r="JFJ88" s="996"/>
      <c r="JFK88" s="996"/>
      <c r="JFL88" s="996"/>
      <c r="JFM88" s="996"/>
      <c r="JFN88" s="996"/>
      <c r="JFO88" s="996"/>
      <c r="JFP88" s="996"/>
      <c r="JFQ88" s="996"/>
      <c r="JFR88" s="996"/>
      <c r="JFS88" s="996"/>
      <c r="JFT88" s="996"/>
      <c r="JFU88" s="996"/>
      <c r="JFV88" s="996"/>
      <c r="JFW88" s="996"/>
      <c r="JFX88" s="996"/>
      <c r="JFY88" s="996"/>
      <c r="JFZ88" s="996"/>
      <c r="JGA88" s="996"/>
      <c r="JGB88" s="996"/>
      <c r="JGC88" s="996"/>
      <c r="JGD88" s="996"/>
      <c r="JGE88" s="996"/>
      <c r="JGF88" s="996"/>
      <c r="JGG88" s="996"/>
      <c r="JGH88" s="996"/>
      <c r="JGI88" s="996"/>
      <c r="JGJ88" s="996"/>
      <c r="JGK88" s="996"/>
      <c r="JGL88" s="996"/>
      <c r="JGM88" s="996"/>
      <c r="JGN88" s="996"/>
      <c r="JGO88" s="996"/>
      <c r="JGP88" s="996"/>
      <c r="JGQ88" s="996"/>
      <c r="JGR88" s="996"/>
      <c r="JGS88" s="996"/>
      <c r="JGT88" s="996"/>
      <c r="JGU88" s="996"/>
      <c r="JGV88" s="996"/>
      <c r="JGW88" s="996"/>
      <c r="JGX88" s="996"/>
      <c r="JGY88" s="996"/>
      <c r="JGZ88" s="996"/>
      <c r="JHA88" s="996"/>
      <c r="JHB88" s="996"/>
      <c r="JHC88" s="996"/>
      <c r="JHD88" s="996"/>
      <c r="JHE88" s="996"/>
      <c r="JHF88" s="996"/>
      <c r="JHG88" s="996"/>
      <c r="JHH88" s="996"/>
      <c r="JHI88" s="996"/>
      <c r="JHJ88" s="996"/>
      <c r="JHK88" s="996"/>
      <c r="JHL88" s="996"/>
      <c r="JHM88" s="996"/>
      <c r="JHN88" s="996"/>
      <c r="JHO88" s="996"/>
      <c r="JHP88" s="996"/>
      <c r="JHQ88" s="996"/>
      <c r="JHR88" s="996"/>
      <c r="JHS88" s="996"/>
      <c r="JHT88" s="996"/>
      <c r="JHU88" s="996"/>
      <c r="JHV88" s="996"/>
      <c r="JHW88" s="996"/>
      <c r="JHX88" s="996"/>
      <c r="JHY88" s="996"/>
      <c r="JHZ88" s="996"/>
      <c r="JIA88" s="996"/>
      <c r="JIB88" s="996"/>
      <c r="JIC88" s="996"/>
      <c r="JID88" s="996"/>
      <c r="JIE88" s="996"/>
      <c r="JIF88" s="996"/>
      <c r="JIG88" s="996"/>
      <c r="JIH88" s="996"/>
      <c r="JII88" s="996"/>
      <c r="JIJ88" s="996"/>
      <c r="JIK88" s="996"/>
      <c r="JIL88" s="996"/>
      <c r="JIM88" s="996"/>
      <c r="JIN88" s="996"/>
      <c r="JIO88" s="996"/>
      <c r="JIP88" s="996"/>
      <c r="JIQ88" s="996"/>
      <c r="JIR88" s="996"/>
      <c r="JIS88" s="996"/>
      <c r="JIT88" s="996"/>
      <c r="JIU88" s="996"/>
      <c r="JIV88" s="996"/>
      <c r="JIW88" s="996"/>
      <c r="JIX88" s="996"/>
      <c r="JIY88" s="996"/>
      <c r="JIZ88" s="996"/>
      <c r="JJA88" s="996"/>
      <c r="JJB88" s="996"/>
      <c r="JJC88" s="996"/>
      <c r="JJD88" s="996"/>
      <c r="JJE88" s="996"/>
      <c r="JJF88" s="996"/>
      <c r="JJG88" s="996"/>
      <c r="JJH88" s="996"/>
      <c r="JJI88" s="996"/>
      <c r="JJJ88" s="996"/>
      <c r="JJK88" s="996"/>
      <c r="JJL88" s="996"/>
      <c r="JJM88" s="996"/>
      <c r="JJN88" s="996"/>
      <c r="JJO88" s="996"/>
      <c r="JJP88" s="996"/>
      <c r="JJQ88" s="996"/>
      <c r="JJR88" s="996"/>
      <c r="JJS88" s="996"/>
      <c r="JJT88" s="996"/>
      <c r="JJU88" s="996"/>
      <c r="JJV88" s="996"/>
      <c r="JJW88" s="996"/>
      <c r="JJX88" s="996"/>
      <c r="JJY88" s="996"/>
      <c r="JJZ88" s="996"/>
      <c r="JKA88" s="996"/>
      <c r="JKB88" s="996"/>
      <c r="JKC88" s="996"/>
      <c r="JKD88" s="996"/>
      <c r="JKE88" s="996"/>
      <c r="JKF88" s="996"/>
      <c r="JKG88" s="996"/>
      <c r="JKH88" s="996"/>
      <c r="JKI88" s="996"/>
      <c r="JKJ88" s="996"/>
      <c r="JKK88" s="996"/>
      <c r="JKL88" s="996"/>
      <c r="JKM88" s="996"/>
      <c r="JKN88" s="996"/>
      <c r="JKO88" s="996"/>
      <c r="JKP88" s="996"/>
      <c r="JKQ88" s="996"/>
      <c r="JKR88" s="996"/>
      <c r="JKS88" s="996"/>
      <c r="JKT88" s="996"/>
      <c r="JKU88" s="996"/>
      <c r="JKV88" s="996"/>
      <c r="JKW88" s="996"/>
      <c r="JKX88" s="996"/>
      <c r="JKY88" s="996"/>
      <c r="JKZ88" s="996"/>
      <c r="JLA88" s="996"/>
      <c r="JLB88" s="996"/>
      <c r="JLC88" s="996"/>
      <c r="JLD88" s="996"/>
      <c r="JLE88" s="996"/>
      <c r="JLF88" s="996"/>
      <c r="JLG88" s="996"/>
      <c r="JLH88" s="996"/>
      <c r="JLI88" s="996"/>
      <c r="JLJ88" s="996"/>
      <c r="JLK88" s="996"/>
      <c r="JLL88" s="996"/>
      <c r="JLM88" s="996"/>
      <c r="JLN88" s="996"/>
      <c r="JLO88" s="996"/>
      <c r="JLP88" s="996"/>
      <c r="JLQ88" s="996"/>
      <c r="JLR88" s="996"/>
      <c r="JLS88" s="996"/>
      <c r="JLT88" s="996"/>
      <c r="JLU88" s="996"/>
      <c r="JLV88" s="996"/>
      <c r="JLW88" s="996"/>
      <c r="JLX88" s="996"/>
      <c r="JLY88" s="996"/>
      <c r="JLZ88" s="996"/>
      <c r="JMA88" s="996"/>
      <c r="JMB88" s="996"/>
      <c r="JMC88" s="996"/>
      <c r="JMD88" s="996"/>
      <c r="JME88" s="996"/>
      <c r="JMF88" s="996"/>
      <c r="JMG88" s="996"/>
      <c r="JMH88" s="996"/>
      <c r="JMI88" s="996"/>
      <c r="JMJ88" s="996"/>
      <c r="JMK88" s="996"/>
      <c r="JML88" s="996"/>
      <c r="JMM88" s="996"/>
      <c r="JMN88" s="996"/>
      <c r="JMO88" s="996"/>
      <c r="JMP88" s="996"/>
      <c r="JMQ88" s="996"/>
      <c r="JMR88" s="996"/>
      <c r="JMS88" s="996"/>
      <c r="JMT88" s="996"/>
      <c r="JMU88" s="996"/>
      <c r="JMV88" s="996"/>
      <c r="JMW88" s="996"/>
      <c r="JMX88" s="996"/>
      <c r="JMY88" s="996"/>
      <c r="JMZ88" s="996"/>
      <c r="JNA88" s="996"/>
      <c r="JNB88" s="996"/>
      <c r="JNC88" s="996"/>
      <c r="JND88" s="996"/>
      <c r="JNE88" s="996"/>
      <c r="JNF88" s="996"/>
      <c r="JNG88" s="996"/>
      <c r="JNH88" s="996"/>
      <c r="JNI88" s="996"/>
      <c r="JNJ88" s="996"/>
      <c r="JNK88" s="996"/>
      <c r="JNL88" s="996"/>
      <c r="JNM88" s="996"/>
      <c r="JNN88" s="996"/>
      <c r="JNO88" s="996"/>
      <c r="JNP88" s="996"/>
      <c r="JNQ88" s="996"/>
      <c r="JNR88" s="996"/>
      <c r="JNS88" s="996"/>
      <c r="JNT88" s="996"/>
      <c r="JNU88" s="996"/>
      <c r="JNV88" s="996"/>
      <c r="JNW88" s="996"/>
      <c r="JNX88" s="996"/>
      <c r="JNY88" s="996"/>
      <c r="JNZ88" s="996"/>
      <c r="JOA88" s="996"/>
      <c r="JOB88" s="996"/>
      <c r="JOC88" s="996"/>
      <c r="JOD88" s="996"/>
      <c r="JOE88" s="996"/>
      <c r="JOF88" s="996"/>
      <c r="JOG88" s="996"/>
      <c r="JOH88" s="996"/>
      <c r="JOI88" s="996"/>
      <c r="JOJ88" s="996"/>
      <c r="JOK88" s="996"/>
      <c r="JOL88" s="996"/>
      <c r="JOM88" s="996"/>
      <c r="JON88" s="996"/>
      <c r="JOO88" s="996"/>
      <c r="JOP88" s="996"/>
      <c r="JOQ88" s="996"/>
      <c r="JOR88" s="996"/>
      <c r="JOS88" s="996"/>
      <c r="JOT88" s="996"/>
      <c r="JOU88" s="996"/>
      <c r="JOV88" s="996"/>
      <c r="JOW88" s="996"/>
      <c r="JOX88" s="996"/>
      <c r="JOY88" s="996"/>
      <c r="JOZ88" s="996"/>
      <c r="JPA88" s="996"/>
      <c r="JPB88" s="996"/>
      <c r="JPC88" s="996"/>
      <c r="JPD88" s="996"/>
      <c r="JPE88" s="996"/>
      <c r="JPF88" s="996"/>
      <c r="JPG88" s="996"/>
      <c r="JPH88" s="996"/>
      <c r="JPI88" s="996"/>
      <c r="JPJ88" s="996"/>
      <c r="JPK88" s="996"/>
      <c r="JPL88" s="996"/>
      <c r="JPM88" s="996"/>
      <c r="JPN88" s="996"/>
      <c r="JPO88" s="996"/>
      <c r="JPP88" s="996"/>
      <c r="JPQ88" s="996"/>
      <c r="JPR88" s="996"/>
      <c r="JPS88" s="996"/>
      <c r="JPT88" s="996"/>
      <c r="JPU88" s="996"/>
      <c r="JPV88" s="996"/>
      <c r="JPW88" s="996"/>
      <c r="JPX88" s="996"/>
      <c r="JPY88" s="996"/>
      <c r="JPZ88" s="996"/>
      <c r="JQA88" s="996"/>
      <c r="JQB88" s="996"/>
      <c r="JQC88" s="996"/>
      <c r="JQD88" s="996"/>
      <c r="JQE88" s="996"/>
      <c r="JQF88" s="996"/>
      <c r="JQG88" s="996"/>
      <c r="JQH88" s="996"/>
      <c r="JQI88" s="996"/>
      <c r="JQJ88" s="996"/>
      <c r="JQK88" s="996"/>
      <c r="JQL88" s="996"/>
      <c r="JQM88" s="996"/>
      <c r="JQN88" s="996"/>
      <c r="JQO88" s="996"/>
      <c r="JQP88" s="996"/>
      <c r="JQQ88" s="996"/>
      <c r="JQR88" s="996"/>
      <c r="JQS88" s="996"/>
      <c r="JQT88" s="996"/>
      <c r="JQU88" s="996"/>
      <c r="JQV88" s="996"/>
      <c r="JQW88" s="996"/>
      <c r="JQX88" s="996"/>
      <c r="JQY88" s="996"/>
      <c r="JQZ88" s="996"/>
      <c r="JRA88" s="996"/>
      <c r="JRB88" s="996"/>
      <c r="JRC88" s="996"/>
      <c r="JRD88" s="996"/>
      <c r="JRE88" s="996"/>
      <c r="JRF88" s="996"/>
      <c r="JRG88" s="996"/>
      <c r="JRH88" s="996"/>
      <c r="JRI88" s="996"/>
      <c r="JRJ88" s="996"/>
      <c r="JRK88" s="996"/>
      <c r="JRL88" s="996"/>
      <c r="JRM88" s="996"/>
      <c r="JRN88" s="996"/>
      <c r="JRO88" s="996"/>
      <c r="JRP88" s="996"/>
      <c r="JRQ88" s="996"/>
      <c r="JRR88" s="996"/>
      <c r="JRS88" s="996"/>
      <c r="JRT88" s="996"/>
      <c r="JRU88" s="996"/>
      <c r="JRV88" s="996"/>
      <c r="JRW88" s="996"/>
      <c r="JRX88" s="996"/>
      <c r="JRY88" s="996"/>
      <c r="JRZ88" s="996"/>
      <c r="JSA88" s="996"/>
      <c r="JSB88" s="996"/>
      <c r="JSC88" s="996"/>
      <c r="JSD88" s="996"/>
      <c r="JSE88" s="996"/>
      <c r="JSF88" s="996"/>
      <c r="JSG88" s="996"/>
      <c r="JSH88" s="996"/>
      <c r="JSI88" s="996"/>
      <c r="JSJ88" s="996"/>
      <c r="JSK88" s="996"/>
      <c r="JSL88" s="996"/>
      <c r="JSM88" s="996"/>
      <c r="JSN88" s="996"/>
      <c r="JSO88" s="996"/>
      <c r="JSP88" s="996"/>
      <c r="JSQ88" s="996"/>
      <c r="JSR88" s="996"/>
      <c r="JSS88" s="996"/>
      <c r="JST88" s="996"/>
      <c r="JSU88" s="996"/>
      <c r="JSV88" s="996"/>
      <c r="JSW88" s="996"/>
      <c r="JSX88" s="996"/>
      <c r="JSY88" s="996"/>
      <c r="JSZ88" s="996"/>
      <c r="JTA88" s="996"/>
      <c r="JTB88" s="996"/>
      <c r="JTC88" s="996"/>
      <c r="JTD88" s="996"/>
      <c r="JTE88" s="996"/>
      <c r="JTF88" s="996"/>
      <c r="JTG88" s="996"/>
      <c r="JTH88" s="996"/>
      <c r="JTI88" s="996"/>
      <c r="JTJ88" s="996"/>
      <c r="JTK88" s="996"/>
      <c r="JTL88" s="996"/>
      <c r="JTM88" s="996"/>
      <c r="JTN88" s="996"/>
      <c r="JTO88" s="996"/>
      <c r="JTP88" s="996"/>
      <c r="JTQ88" s="996"/>
      <c r="JTR88" s="996"/>
      <c r="JTS88" s="996"/>
      <c r="JTT88" s="996"/>
      <c r="JTU88" s="996"/>
      <c r="JTV88" s="996"/>
      <c r="JTW88" s="996"/>
      <c r="JTX88" s="996"/>
      <c r="JTY88" s="996"/>
      <c r="JTZ88" s="996"/>
      <c r="JUA88" s="996"/>
      <c r="JUB88" s="996"/>
      <c r="JUC88" s="996"/>
      <c r="JUD88" s="996"/>
      <c r="JUE88" s="996"/>
      <c r="JUF88" s="996"/>
      <c r="JUG88" s="996"/>
      <c r="JUH88" s="996"/>
      <c r="JUI88" s="996"/>
      <c r="JUJ88" s="996"/>
      <c r="JUK88" s="996"/>
      <c r="JUL88" s="996"/>
      <c r="JUM88" s="996"/>
      <c r="JUN88" s="996"/>
      <c r="JUO88" s="996"/>
      <c r="JUP88" s="996"/>
      <c r="JUQ88" s="996"/>
      <c r="JUR88" s="996"/>
      <c r="JUS88" s="996"/>
      <c r="JUT88" s="996"/>
      <c r="JUU88" s="996"/>
      <c r="JUV88" s="996"/>
      <c r="JUW88" s="996"/>
      <c r="JUX88" s="996"/>
      <c r="JUY88" s="996"/>
      <c r="JUZ88" s="996"/>
      <c r="JVA88" s="996"/>
      <c r="JVB88" s="996"/>
      <c r="JVC88" s="996"/>
      <c r="JVD88" s="996"/>
      <c r="JVE88" s="996"/>
      <c r="JVF88" s="996"/>
      <c r="JVG88" s="996"/>
      <c r="JVH88" s="996"/>
      <c r="JVI88" s="996"/>
      <c r="JVJ88" s="996"/>
      <c r="JVK88" s="996"/>
      <c r="JVL88" s="996"/>
      <c r="JVM88" s="996"/>
      <c r="JVN88" s="996"/>
      <c r="JVO88" s="996"/>
      <c r="JVP88" s="996"/>
      <c r="JVQ88" s="996"/>
      <c r="JVR88" s="996"/>
      <c r="JVS88" s="996"/>
      <c r="JVT88" s="996"/>
      <c r="JVU88" s="996"/>
      <c r="JVV88" s="996"/>
      <c r="JVW88" s="996"/>
      <c r="JVX88" s="996"/>
      <c r="JVY88" s="996"/>
      <c r="JVZ88" s="996"/>
      <c r="JWA88" s="996"/>
      <c r="JWB88" s="996"/>
      <c r="JWC88" s="996"/>
      <c r="JWD88" s="996"/>
      <c r="JWE88" s="996"/>
      <c r="JWF88" s="996"/>
      <c r="JWG88" s="996"/>
      <c r="JWH88" s="996"/>
      <c r="JWI88" s="996"/>
      <c r="JWJ88" s="996"/>
      <c r="JWK88" s="996"/>
      <c r="JWL88" s="996"/>
      <c r="JWM88" s="996"/>
      <c r="JWN88" s="996"/>
      <c r="JWO88" s="996"/>
      <c r="JWP88" s="996"/>
      <c r="JWQ88" s="996"/>
      <c r="JWR88" s="996"/>
      <c r="JWS88" s="996"/>
      <c r="JWT88" s="996"/>
      <c r="JWU88" s="996"/>
      <c r="JWV88" s="996"/>
      <c r="JWW88" s="996"/>
      <c r="JWX88" s="996"/>
      <c r="JWY88" s="996"/>
      <c r="JWZ88" s="996"/>
      <c r="JXA88" s="996"/>
      <c r="JXB88" s="996"/>
      <c r="JXC88" s="996"/>
      <c r="JXD88" s="996"/>
      <c r="JXE88" s="996"/>
      <c r="JXF88" s="996"/>
      <c r="JXG88" s="996"/>
      <c r="JXH88" s="996"/>
      <c r="JXI88" s="996"/>
      <c r="JXJ88" s="996"/>
      <c r="JXK88" s="996"/>
      <c r="JXL88" s="996"/>
      <c r="JXM88" s="996"/>
      <c r="JXN88" s="996"/>
      <c r="JXO88" s="996"/>
      <c r="JXP88" s="996"/>
      <c r="JXQ88" s="996"/>
      <c r="JXR88" s="996"/>
      <c r="JXS88" s="996"/>
      <c r="JXT88" s="996"/>
      <c r="JXU88" s="996"/>
      <c r="JXV88" s="996"/>
      <c r="JXW88" s="996"/>
      <c r="JXX88" s="996"/>
      <c r="JXY88" s="996"/>
      <c r="JXZ88" s="996"/>
      <c r="JYA88" s="996"/>
      <c r="JYB88" s="996"/>
      <c r="JYC88" s="996"/>
      <c r="JYD88" s="996"/>
      <c r="JYE88" s="996"/>
      <c r="JYF88" s="996"/>
      <c r="JYG88" s="996"/>
      <c r="JYH88" s="996"/>
      <c r="JYI88" s="996"/>
      <c r="JYJ88" s="996"/>
      <c r="JYK88" s="996"/>
      <c r="JYL88" s="996"/>
      <c r="JYM88" s="996"/>
      <c r="JYN88" s="996"/>
      <c r="JYO88" s="996"/>
      <c r="JYP88" s="996"/>
      <c r="JYQ88" s="996"/>
      <c r="JYR88" s="996"/>
      <c r="JYS88" s="996"/>
      <c r="JYT88" s="996"/>
      <c r="JYU88" s="996"/>
      <c r="JYV88" s="996"/>
      <c r="JYW88" s="996"/>
      <c r="JYX88" s="996"/>
      <c r="JYY88" s="996"/>
      <c r="JYZ88" s="996"/>
      <c r="JZA88" s="996"/>
      <c r="JZB88" s="996"/>
      <c r="JZC88" s="996"/>
      <c r="JZD88" s="996"/>
      <c r="JZE88" s="996"/>
      <c r="JZF88" s="996"/>
      <c r="JZG88" s="996"/>
      <c r="JZH88" s="996"/>
      <c r="JZI88" s="996"/>
      <c r="JZJ88" s="996"/>
      <c r="JZK88" s="996"/>
      <c r="JZL88" s="996"/>
      <c r="JZM88" s="996"/>
      <c r="JZN88" s="996"/>
      <c r="JZO88" s="996"/>
      <c r="JZP88" s="996"/>
      <c r="JZQ88" s="996"/>
      <c r="JZR88" s="996"/>
      <c r="JZS88" s="996"/>
      <c r="JZT88" s="996"/>
      <c r="JZU88" s="996"/>
      <c r="JZV88" s="996"/>
      <c r="JZW88" s="996"/>
      <c r="JZX88" s="996"/>
      <c r="JZY88" s="996"/>
      <c r="JZZ88" s="996"/>
      <c r="KAA88" s="996"/>
      <c r="KAB88" s="996"/>
      <c r="KAC88" s="996"/>
      <c r="KAD88" s="996"/>
      <c r="KAE88" s="996"/>
      <c r="KAF88" s="996"/>
      <c r="KAG88" s="996"/>
      <c r="KAH88" s="996"/>
      <c r="KAI88" s="996"/>
      <c r="KAJ88" s="996"/>
      <c r="KAK88" s="996"/>
      <c r="KAL88" s="996"/>
      <c r="KAM88" s="996"/>
      <c r="KAN88" s="996"/>
      <c r="KAO88" s="996"/>
      <c r="KAP88" s="996"/>
      <c r="KAQ88" s="996"/>
      <c r="KAR88" s="996"/>
      <c r="KAS88" s="996"/>
      <c r="KAT88" s="996"/>
      <c r="KAU88" s="996"/>
      <c r="KAV88" s="996"/>
      <c r="KAW88" s="996"/>
      <c r="KAX88" s="996"/>
      <c r="KAY88" s="996"/>
      <c r="KAZ88" s="996"/>
      <c r="KBA88" s="996"/>
      <c r="KBB88" s="996"/>
      <c r="KBC88" s="996"/>
      <c r="KBD88" s="996"/>
      <c r="KBE88" s="996"/>
      <c r="KBF88" s="996"/>
      <c r="KBG88" s="996"/>
      <c r="KBH88" s="996"/>
      <c r="KBI88" s="996"/>
      <c r="KBJ88" s="996"/>
      <c r="KBK88" s="996"/>
      <c r="KBL88" s="996"/>
      <c r="KBM88" s="996"/>
      <c r="KBN88" s="996"/>
      <c r="KBO88" s="996"/>
      <c r="KBP88" s="996"/>
      <c r="KBQ88" s="996"/>
      <c r="KBR88" s="996"/>
      <c r="KBS88" s="996"/>
      <c r="KBT88" s="996"/>
      <c r="KBU88" s="996"/>
      <c r="KBV88" s="996"/>
      <c r="KBW88" s="996"/>
      <c r="KBX88" s="996"/>
      <c r="KBY88" s="996"/>
      <c r="KBZ88" s="996"/>
      <c r="KCA88" s="996"/>
      <c r="KCB88" s="996"/>
      <c r="KCC88" s="996"/>
      <c r="KCD88" s="996"/>
      <c r="KCE88" s="996"/>
      <c r="KCF88" s="996"/>
      <c r="KCG88" s="996"/>
      <c r="KCH88" s="996"/>
      <c r="KCI88" s="996"/>
      <c r="KCJ88" s="996"/>
      <c r="KCK88" s="996"/>
      <c r="KCL88" s="996"/>
      <c r="KCM88" s="996"/>
      <c r="KCN88" s="996"/>
      <c r="KCO88" s="996"/>
      <c r="KCP88" s="996"/>
      <c r="KCQ88" s="996"/>
      <c r="KCR88" s="996"/>
      <c r="KCS88" s="996"/>
      <c r="KCT88" s="996"/>
      <c r="KCU88" s="996"/>
      <c r="KCV88" s="996"/>
      <c r="KCW88" s="996"/>
      <c r="KCX88" s="996"/>
      <c r="KCY88" s="996"/>
      <c r="KCZ88" s="996"/>
      <c r="KDA88" s="996"/>
      <c r="KDB88" s="996"/>
      <c r="KDC88" s="996"/>
      <c r="KDD88" s="996"/>
      <c r="KDE88" s="996"/>
      <c r="KDF88" s="996"/>
      <c r="KDG88" s="996"/>
      <c r="KDH88" s="996"/>
      <c r="KDI88" s="996"/>
      <c r="KDJ88" s="996"/>
      <c r="KDK88" s="996"/>
      <c r="KDL88" s="996"/>
      <c r="KDM88" s="996"/>
      <c r="KDN88" s="996"/>
      <c r="KDO88" s="996"/>
      <c r="KDP88" s="996"/>
      <c r="KDQ88" s="996"/>
      <c r="KDR88" s="996"/>
      <c r="KDS88" s="996"/>
      <c r="KDT88" s="996"/>
      <c r="KDU88" s="996"/>
      <c r="KDV88" s="996"/>
      <c r="KDW88" s="996"/>
      <c r="KDX88" s="996"/>
      <c r="KDY88" s="996"/>
      <c r="KDZ88" s="996"/>
      <c r="KEA88" s="996"/>
      <c r="KEB88" s="996"/>
      <c r="KEC88" s="996"/>
      <c r="KED88" s="996"/>
      <c r="KEE88" s="996"/>
      <c r="KEF88" s="996"/>
      <c r="KEG88" s="996"/>
      <c r="KEH88" s="996"/>
      <c r="KEI88" s="996"/>
      <c r="KEJ88" s="996"/>
      <c r="KEK88" s="996"/>
      <c r="KEL88" s="996"/>
      <c r="KEM88" s="996"/>
      <c r="KEN88" s="996"/>
      <c r="KEO88" s="996"/>
      <c r="KEP88" s="996"/>
      <c r="KEQ88" s="996"/>
      <c r="KER88" s="996"/>
      <c r="KES88" s="996"/>
      <c r="KET88" s="996"/>
      <c r="KEU88" s="996"/>
      <c r="KEV88" s="996"/>
      <c r="KEW88" s="996"/>
      <c r="KEX88" s="996"/>
      <c r="KEY88" s="996"/>
      <c r="KEZ88" s="996"/>
      <c r="KFA88" s="996"/>
      <c r="KFB88" s="996"/>
      <c r="KFC88" s="996"/>
      <c r="KFD88" s="996"/>
      <c r="KFE88" s="996"/>
      <c r="KFF88" s="996"/>
      <c r="KFG88" s="996"/>
      <c r="KFH88" s="996"/>
      <c r="KFI88" s="996"/>
      <c r="KFJ88" s="996"/>
      <c r="KFK88" s="996"/>
      <c r="KFL88" s="996"/>
      <c r="KFM88" s="996"/>
      <c r="KFN88" s="996"/>
      <c r="KFO88" s="996"/>
      <c r="KFP88" s="996"/>
      <c r="KFQ88" s="996"/>
      <c r="KFR88" s="996"/>
      <c r="KFS88" s="996"/>
      <c r="KFT88" s="996"/>
      <c r="KFU88" s="996"/>
      <c r="KFV88" s="996"/>
      <c r="KFW88" s="996"/>
      <c r="KFX88" s="996"/>
      <c r="KFY88" s="996"/>
      <c r="KFZ88" s="996"/>
      <c r="KGA88" s="996"/>
      <c r="KGB88" s="996"/>
      <c r="KGC88" s="996"/>
      <c r="KGD88" s="996"/>
      <c r="KGE88" s="996"/>
      <c r="KGF88" s="996"/>
      <c r="KGG88" s="996"/>
      <c r="KGH88" s="996"/>
      <c r="KGI88" s="996"/>
      <c r="KGJ88" s="996"/>
      <c r="KGK88" s="996"/>
      <c r="KGL88" s="996"/>
      <c r="KGM88" s="996"/>
      <c r="KGN88" s="996"/>
      <c r="KGO88" s="996"/>
      <c r="KGP88" s="996"/>
      <c r="KGQ88" s="996"/>
      <c r="KGR88" s="996"/>
      <c r="KGS88" s="996"/>
      <c r="KGT88" s="996"/>
      <c r="KGU88" s="996"/>
      <c r="KGV88" s="996"/>
      <c r="KGW88" s="996"/>
      <c r="KGX88" s="996"/>
      <c r="KGY88" s="996"/>
      <c r="KGZ88" s="996"/>
      <c r="KHA88" s="996"/>
      <c r="KHB88" s="996"/>
      <c r="KHC88" s="996"/>
      <c r="KHD88" s="996"/>
      <c r="KHE88" s="996"/>
      <c r="KHF88" s="996"/>
      <c r="KHG88" s="996"/>
      <c r="KHH88" s="996"/>
      <c r="KHI88" s="996"/>
      <c r="KHJ88" s="996"/>
      <c r="KHK88" s="996"/>
      <c r="KHL88" s="996"/>
      <c r="KHM88" s="996"/>
      <c r="KHN88" s="996"/>
      <c r="KHO88" s="996"/>
      <c r="KHP88" s="996"/>
      <c r="KHQ88" s="996"/>
      <c r="KHR88" s="996"/>
      <c r="KHS88" s="996"/>
      <c r="KHT88" s="996"/>
      <c r="KHU88" s="996"/>
      <c r="KHV88" s="996"/>
      <c r="KHW88" s="996"/>
      <c r="KHX88" s="996"/>
      <c r="KHY88" s="996"/>
      <c r="KHZ88" s="996"/>
      <c r="KIA88" s="996"/>
      <c r="KIB88" s="996"/>
      <c r="KIC88" s="996"/>
      <c r="KID88" s="996"/>
      <c r="KIE88" s="996"/>
      <c r="KIF88" s="996"/>
      <c r="KIG88" s="996"/>
      <c r="KIH88" s="996"/>
      <c r="KII88" s="996"/>
      <c r="KIJ88" s="996"/>
      <c r="KIK88" s="996"/>
      <c r="KIL88" s="996"/>
      <c r="KIM88" s="996"/>
      <c r="KIN88" s="996"/>
      <c r="KIO88" s="996"/>
      <c r="KIP88" s="996"/>
      <c r="KIQ88" s="996"/>
      <c r="KIR88" s="996"/>
      <c r="KIS88" s="996"/>
      <c r="KIT88" s="996"/>
      <c r="KIU88" s="996"/>
      <c r="KIV88" s="996"/>
      <c r="KIW88" s="996"/>
      <c r="KIX88" s="996"/>
      <c r="KIY88" s="996"/>
      <c r="KIZ88" s="996"/>
      <c r="KJA88" s="996"/>
      <c r="KJB88" s="996"/>
      <c r="KJC88" s="996"/>
      <c r="KJD88" s="996"/>
      <c r="KJE88" s="996"/>
      <c r="KJF88" s="996"/>
      <c r="KJG88" s="996"/>
      <c r="KJH88" s="996"/>
      <c r="KJI88" s="996"/>
      <c r="KJJ88" s="996"/>
      <c r="KJK88" s="996"/>
      <c r="KJL88" s="996"/>
      <c r="KJM88" s="996"/>
      <c r="KJN88" s="996"/>
      <c r="KJO88" s="996"/>
      <c r="KJP88" s="996"/>
      <c r="KJQ88" s="996"/>
      <c r="KJR88" s="996"/>
      <c r="KJS88" s="996"/>
      <c r="KJT88" s="996"/>
      <c r="KJU88" s="996"/>
      <c r="KJV88" s="996"/>
      <c r="KJW88" s="996"/>
      <c r="KJX88" s="996"/>
      <c r="KJY88" s="996"/>
      <c r="KJZ88" s="996"/>
      <c r="KKA88" s="996"/>
      <c r="KKB88" s="996"/>
      <c r="KKC88" s="996"/>
      <c r="KKD88" s="996"/>
      <c r="KKE88" s="996"/>
      <c r="KKF88" s="996"/>
      <c r="KKG88" s="996"/>
      <c r="KKH88" s="996"/>
      <c r="KKI88" s="996"/>
      <c r="KKJ88" s="996"/>
      <c r="KKK88" s="996"/>
      <c r="KKL88" s="996"/>
      <c r="KKM88" s="996"/>
      <c r="KKN88" s="996"/>
      <c r="KKO88" s="996"/>
      <c r="KKP88" s="996"/>
      <c r="KKQ88" s="996"/>
      <c r="KKR88" s="996"/>
      <c r="KKS88" s="996"/>
      <c r="KKT88" s="996"/>
      <c r="KKU88" s="996"/>
      <c r="KKV88" s="996"/>
      <c r="KKW88" s="996"/>
      <c r="KKX88" s="996"/>
      <c r="KKY88" s="996"/>
      <c r="KKZ88" s="996"/>
      <c r="KLA88" s="996"/>
      <c r="KLB88" s="996"/>
      <c r="KLC88" s="996"/>
      <c r="KLD88" s="996"/>
      <c r="KLE88" s="996"/>
      <c r="KLF88" s="996"/>
      <c r="KLG88" s="996"/>
      <c r="KLH88" s="996"/>
      <c r="KLI88" s="996"/>
      <c r="KLJ88" s="996"/>
      <c r="KLK88" s="996"/>
      <c r="KLL88" s="996"/>
      <c r="KLM88" s="996"/>
      <c r="KLN88" s="996"/>
      <c r="KLO88" s="996"/>
      <c r="KLP88" s="996"/>
      <c r="KLQ88" s="996"/>
      <c r="KLR88" s="996"/>
      <c r="KLS88" s="996"/>
      <c r="KLT88" s="996"/>
      <c r="KLU88" s="996"/>
      <c r="KLV88" s="996"/>
      <c r="KLW88" s="996"/>
      <c r="KLX88" s="996"/>
      <c r="KLY88" s="996"/>
      <c r="KLZ88" s="996"/>
      <c r="KMA88" s="996"/>
      <c r="KMB88" s="996"/>
      <c r="KMC88" s="996"/>
      <c r="KMD88" s="996"/>
      <c r="KME88" s="996"/>
      <c r="KMF88" s="996"/>
      <c r="KMG88" s="996"/>
      <c r="KMH88" s="996"/>
      <c r="KMI88" s="996"/>
      <c r="KMJ88" s="996"/>
      <c r="KMK88" s="996"/>
      <c r="KML88" s="996"/>
      <c r="KMM88" s="996"/>
      <c r="KMN88" s="996"/>
      <c r="KMO88" s="996"/>
      <c r="KMP88" s="996"/>
      <c r="KMQ88" s="996"/>
      <c r="KMR88" s="996"/>
      <c r="KMS88" s="996"/>
      <c r="KMT88" s="996"/>
      <c r="KMU88" s="996"/>
      <c r="KMV88" s="996"/>
      <c r="KMW88" s="996"/>
      <c r="KMX88" s="996"/>
      <c r="KMY88" s="996"/>
      <c r="KMZ88" s="996"/>
      <c r="KNA88" s="996"/>
      <c r="KNB88" s="996"/>
      <c r="KNC88" s="996"/>
      <c r="KND88" s="996"/>
      <c r="KNE88" s="996"/>
      <c r="KNF88" s="996"/>
      <c r="KNG88" s="996"/>
      <c r="KNH88" s="996"/>
      <c r="KNI88" s="996"/>
      <c r="KNJ88" s="996"/>
      <c r="KNK88" s="996"/>
      <c r="KNL88" s="996"/>
      <c r="KNM88" s="996"/>
      <c r="KNN88" s="996"/>
      <c r="KNO88" s="996"/>
      <c r="KNP88" s="996"/>
      <c r="KNQ88" s="996"/>
      <c r="KNR88" s="996"/>
      <c r="KNS88" s="996"/>
      <c r="KNT88" s="996"/>
      <c r="KNU88" s="996"/>
      <c r="KNV88" s="996"/>
      <c r="KNW88" s="996"/>
      <c r="KNX88" s="996"/>
      <c r="KNY88" s="996"/>
      <c r="KNZ88" s="996"/>
      <c r="KOA88" s="996"/>
      <c r="KOB88" s="996"/>
      <c r="KOC88" s="996"/>
      <c r="KOD88" s="996"/>
      <c r="KOE88" s="996"/>
      <c r="KOF88" s="996"/>
      <c r="KOG88" s="996"/>
      <c r="KOH88" s="996"/>
      <c r="KOI88" s="996"/>
      <c r="KOJ88" s="996"/>
      <c r="KOK88" s="996"/>
      <c r="KOL88" s="996"/>
      <c r="KOM88" s="996"/>
      <c r="KON88" s="996"/>
      <c r="KOO88" s="996"/>
      <c r="KOP88" s="996"/>
      <c r="KOQ88" s="996"/>
      <c r="KOR88" s="996"/>
      <c r="KOS88" s="996"/>
      <c r="KOT88" s="996"/>
      <c r="KOU88" s="996"/>
      <c r="KOV88" s="996"/>
      <c r="KOW88" s="996"/>
      <c r="KOX88" s="996"/>
      <c r="KOY88" s="996"/>
      <c r="KOZ88" s="996"/>
      <c r="KPA88" s="996"/>
      <c r="KPB88" s="996"/>
      <c r="KPC88" s="996"/>
      <c r="KPD88" s="996"/>
      <c r="KPE88" s="996"/>
      <c r="KPF88" s="996"/>
      <c r="KPG88" s="996"/>
      <c r="KPH88" s="996"/>
      <c r="KPI88" s="996"/>
      <c r="KPJ88" s="996"/>
      <c r="KPK88" s="996"/>
      <c r="KPL88" s="996"/>
      <c r="KPM88" s="996"/>
      <c r="KPN88" s="996"/>
      <c r="KPO88" s="996"/>
      <c r="KPP88" s="996"/>
      <c r="KPQ88" s="996"/>
      <c r="KPR88" s="996"/>
      <c r="KPS88" s="996"/>
      <c r="KPT88" s="996"/>
      <c r="KPU88" s="996"/>
      <c r="KPV88" s="996"/>
      <c r="KPW88" s="996"/>
      <c r="KPX88" s="996"/>
      <c r="KPY88" s="996"/>
      <c r="KPZ88" s="996"/>
      <c r="KQA88" s="996"/>
      <c r="KQB88" s="996"/>
      <c r="KQC88" s="996"/>
      <c r="KQD88" s="996"/>
      <c r="KQE88" s="996"/>
      <c r="KQF88" s="996"/>
      <c r="KQG88" s="996"/>
      <c r="KQH88" s="996"/>
      <c r="KQI88" s="996"/>
      <c r="KQJ88" s="996"/>
      <c r="KQK88" s="996"/>
      <c r="KQL88" s="996"/>
      <c r="KQM88" s="996"/>
      <c r="KQN88" s="996"/>
      <c r="KQO88" s="996"/>
      <c r="KQP88" s="996"/>
      <c r="KQQ88" s="996"/>
      <c r="KQR88" s="996"/>
      <c r="KQS88" s="996"/>
      <c r="KQT88" s="996"/>
      <c r="KQU88" s="996"/>
      <c r="KQV88" s="996"/>
      <c r="KQW88" s="996"/>
      <c r="KQX88" s="996"/>
      <c r="KQY88" s="996"/>
      <c r="KQZ88" s="996"/>
      <c r="KRA88" s="996"/>
      <c r="KRB88" s="996"/>
      <c r="KRC88" s="996"/>
      <c r="KRD88" s="996"/>
      <c r="KRE88" s="996"/>
      <c r="KRF88" s="996"/>
      <c r="KRG88" s="996"/>
      <c r="KRH88" s="996"/>
      <c r="KRI88" s="996"/>
      <c r="KRJ88" s="996"/>
      <c r="KRK88" s="996"/>
      <c r="KRL88" s="996"/>
      <c r="KRM88" s="996"/>
      <c r="KRN88" s="996"/>
      <c r="KRO88" s="996"/>
      <c r="KRP88" s="996"/>
      <c r="KRQ88" s="996"/>
      <c r="KRR88" s="996"/>
      <c r="KRS88" s="996"/>
      <c r="KRT88" s="996"/>
      <c r="KRU88" s="996"/>
      <c r="KRV88" s="996"/>
      <c r="KRW88" s="996"/>
      <c r="KRX88" s="996"/>
      <c r="KRY88" s="996"/>
      <c r="KRZ88" s="996"/>
      <c r="KSA88" s="996"/>
      <c r="KSB88" s="996"/>
      <c r="KSC88" s="996"/>
      <c r="KSD88" s="996"/>
      <c r="KSE88" s="996"/>
      <c r="KSF88" s="996"/>
      <c r="KSG88" s="996"/>
      <c r="KSH88" s="996"/>
      <c r="KSI88" s="996"/>
      <c r="KSJ88" s="996"/>
      <c r="KSK88" s="996"/>
      <c r="KSL88" s="996"/>
      <c r="KSM88" s="996"/>
      <c r="KSN88" s="996"/>
      <c r="KSO88" s="996"/>
      <c r="KSP88" s="996"/>
      <c r="KSQ88" s="996"/>
      <c r="KSR88" s="996"/>
      <c r="KSS88" s="996"/>
      <c r="KST88" s="996"/>
      <c r="KSU88" s="996"/>
      <c r="KSV88" s="996"/>
      <c r="KSW88" s="996"/>
      <c r="KSX88" s="996"/>
      <c r="KSY88" s="996"/>
      <c r="KSZ88" s="996"/>
      <c r="KTA88" s="996"/>
      <c r="KTB88" s="996"/>
      <c r="KTC88" s="996"/>
      <c r="KTD88" s="996"/>
      <c r="KTE88" s="996"/>
      <c r="KTF88" s="996"/>
      <c r="KTG88" s="996"/>
      <c r="KTH88" s="996"/>
      <c r="KTI88" s="996"/>
      <c r="KTJ88" s="996"/>
      <c r="KTK88" s="996"/>
      <c r="KTL88" s="996"/>
      <c r="KTM88" s="996"/>
      <c r="KTN88" s="996"/>
      <c r="KTO88" s="996"/>
      <c r="KTP88" s="996"/>
      <c r="KTQ88" s="996"/>
      <c r="KTR88" s="996"/>
      <c r="KTS88" s="996"/>
      <c r="KTT88" s="996"/>
      <c r="KTU88" s="996"/>
      <c r="KTV88" s="996"/>
      <c r="KTW88" s="996"/>
      <c r="KTX88" s="996"/>
      <c r="KTY88" s="996"/>
      <c r="KTZ88" s="996"/>
      <c r="KUA88" s="996"/>
      <c r="KUB88" s="996"/>
      <c r="KUC88" s="996"/>
      <c r="KUD88" s="996"/>
      <c r="KUE88" s="996"/>
      <c r="KUF88" s="996"/>
      <c r="KUG88" s="996"/>
      <c r="KUH88" s="996"/>
      <c r="KUI88" s="996"/>
      <c r="KUJ88" s="996"/>
      <c r="KUK88" s="996"/>
      <c r="KUL88" s="996"/>
      <c r="KUM88" s="996"/>
      <c r="KUN88" s="996"/>
      <c r="KUO88" s="996"/>
      <c r="KUP88" s="996"/>
      <c r="KUQ88" s="996"/>
      <c r="KUR88" s="996"/>
      <c r="KUS88" s="996"/>
      <c r="KUT88" s="996"/>
      <c r="KUU88" s="996"/>
      <c r="KUV88" s="996"/>
      <c r="KUW88" s="996"/>
      <c r="KUX88" s="996"/>
      <c r="KUY88" s="996"/>
      <c r="KUZ88" s="996"/>
      <c r="KVA88" s="996"/>
      <c r="KVB88" s="996"/>
      <c r="KVC88" s="996"/>
      <c r="KVD88" s="996"/>
      <c r="KVE88" s="996"/>
      <c r="KVF88" s="996"/>
      <c r="KVG88" s="996"/>
      <c r="KVH88" s="996"/>
      <c r="KVI88" s="996"/>
      <c r="KVJ88" s="996"/>
      <c r="KVK88" s="996"/>
      <c r="KVL88" s="996"/>
      <c r="KVM88" s="996"/>
      <c r="KVN88" s="996"/>
      <c r="KVO88" s="996"/>
      <c r="KVP88" s="996"/>
      <c r="KVQ88" s="996"/>
      <c r="KVR88" s="996"/>
      <c r="KVS88" s="996"/>
      <c r="KVT88" s="996"/>
      <c r="KVU88" s="996"/>
      <c r="KVV88" s="996"/>
      <c r="KVW88" s="996"/>
      <c r="KVX88" s="996"/>
      <c r="KVY88" s="996"/>
      <c r="KVZ88" s="996"/>
      <c r="KWA88" s="996"/>
      <c r="KWB88" s="996"/>
      <c r="KWC88" s="996"/>
      <c r="KWD88" s="996"/>
      <c r="KWE88" s="996"/>
      <c r="KWF88" s="996"/>
      <c r="KWG88" s="996"/>
      <c r="KWH88" s="996"/>
      <c r="KWI88" s="996"/>
      <c r="KWJ88" s="996"/>
      <c r="KWK88" s="996"/>
      <c r="KWL88" s="996"/>
      <c r="KWM88" s="996"/>
      <c r="KWN88" s="996"/>
      <c r="KWO88" s="996"/>
      <c r="KWP88" s="996"/>
      <c r="KWQ88" s="996"/>
      <c r="KWR88" s="996"/>
      <c r="KWS88" s="996"/>
      <c r="KWT88" s="996"/>
      <c r="KWU88" s="996"/>
      <c r="KWV88" s="996"/>
      <c r="KWW88" s="996"/>
      <c r="KWX88" s="996"/>
      <c r="KWY88" s="996"/>
      <c r="KWZ88" s="996"/>
      <c r="KXA88" s="996"/>
      <c r="KXB88" s="996"/>
      <c r="KXC88" s="996"/>
      <c r="KXD88" s="996"/>
      <c r="KXE88" s="996"/>
      <c r="KXF88" s="996"/>
      <c r="KXG88" s="996"/>
      <c r="KXH88" s="996"/>
      <c r="KXI88" s="996"/>
      <c r="KXJ88" s="996"/>
      <c r="KXK88" s="996"/>
      <c r="KXL88" s="996"/>
      <c r="KXM88" s="996"/>
      <c r="KXN88" s="996"/>
      <c r="KXO88" s="996"/>
      <c r="KXP88" s="996"/>
      <c r="KXQ88" s="996"/>
      <c r="KXR88" s="996"/>
      <c r="KXS88" s="996"/>
      <c r="KXT88" s="996"/>
      <c r="KXU88" s="996"/>
      <c r="KXV88" s="996"/>
      <c r="KXW88" s="996"/>
      <c r="KXX88" s="996"/>
      <c r="KXY88" s="996"/>
      <c r="KXZ88" s="996"/>
      <c r="KYA88" s="996"/>
      <c r="KYB88" s="996"/>
      <c r="KYC88" s="996"/>
      <c r="KYD88" s="996"/>
      <c r="KYE88" s="996"/>
      <c r="KYF88" s="996"/>
      <c r="KYG88" s="996"/>
      <c r="KYH88" s="996"/>
      <c r="KYI88" s="996"/>
      <c r="KYJ88" s="996"/>
      <c r="KYK88" s="996"/>
      <c r="KYL88" s="996"/>
      <c r="KYM88" s="996"/>
      <c r="KYN88" s="996"/>
      <c r="KYO88" s="996"/>
      <c r="KYP88" s="996"/>
      <c r="KYQ88" s="996"/>
      <c r="KYR88" s="996"/>
      <c r="KYS88" s="996"/>
      <c r="KYT88" s="996"/>
      <c r="KYU88" s="996"/>
      <c r="KYV88" s="996"/>
      <c r="KYW88" s="996"/>
      <c r="KYX88" s="996"/>
      <c r="KYY88" s="996"/>
      <c r="KYZ88" s="996"/>
      <c r="KZA88" s="996"/>
      <c r="KZB88" s="996"/>
      <c r="KZC88" s="996"/>
      <c r="KZD88" s="996"/>
      <c r="KZE88" s="996"/>
      <c r="KZF88" s="996"/>
      <c r="KZG88" s="996"/>
      <c r="KZH88" s="996"/>
      <c r="KZI88" s="996"/>
      <c r="KZJ88" s="996"/>
      <c r="KZK88" s="996"/>
      <c r="KZL88" s="996"/>
      <c r="KZM88" s="996"/>
      <c r="KZN88" s="996"/>
      <c r="KZO88" s="996"/>
      <c r="KZP88" s="996"/>
      <c r="KZQ88" s="996"/>
      <c r="KZR88" s="996"/>
      <c r="KZS88" s="996"/>
      <c r="KZT88" s="996"/>
      <c r="KZU88" s="996"/>
      <c r="KZV88" s="996"/>
      <c r="KZW88" s="996"/>
      <c r="KZX88" s="996"/>
      <c r="KZY88" s="996"/>
      <c r="KZZ88" s="996"/>
      <c r="LAA88" s="996"/>
      <c r="LAB88" s="996"/>
      <c r="LAC88" s="996"/>
      <c r="LAD88" s="996"/>
      <c r="LAE88" s="996"/>
      <c r="LAF88" s="996"/>
      <c r="LAG88" s="996"/>
      <c r="LAH88" s="996"/>
      <c r="LAI88" s="996"/>
      <c r="LAJ88" s="996"/>
      <c r="LAK88" s="996"/>
      <c r="LAL88" s="996"/>
      <c r="LAM88" s="996"/>
      <c r="LAN88" s="996"/>
      <c r="LAO88" s="996"/>
      <c r="LAP88" s="996"/>
      <c r="LAQ88" s="996"/>
      <c r="LAR88" s="996"/>
      <c r="LAS88" s="996"/>
      <c r="LAT88" s="996"/>
      <c r="LAU88" s="996"/>
      <c r="LAV88" s="996"/>
      <c r="LAW88" s="996"/>
      <c r="LAX88" s="996"/>
      <c r="LAY88" s="996"/>
      <c r="LAZ88" s="996"/>
      <c r="LBA88" s="996"/>
      <c r="LBB88" s="996"/>
      <c r="LBC88" s="996"/>
      <c r="LBD88" s="996"/>
      <c r="LBE88" s="996"/>
      <c r="LBF88" s="996"/>
      <c r="LBG88" s="996"/>
      <c r="LBH88" s="996"/>
      <c r="LBI88" s="996"/>
      <c r="LBJ88" s="996"/>
      <c r="LBK88" s="996"/>
      <c r="LBL88" s="996"/>
      <c r="LBM88" s="996"/>
      <c r="LBN88" s="996"/>
      <c r="LBO88" s="996"/>
      <c r="LBP88" s="996"/>
      <c r="LBQ88" s="996"/>
      <c r="LBR88" s="996"/>
      <c r="LBS88" s="996"/>
      <c r="LBT88" s="996"/>
      <c r="LBU88" s="996"/>
      <c r="LBV88" s="996"/>
      <c r="LBW88" s="996"/>
      <c r="LBX88" s="996"/>
      <c r="LBY88" s="996"/>
      <c r="LBZ88" s="996"/>
      <c r="LCA88" s="996"/>
      <c r="LCB88" s="996"/>
      <c r="LCC88" s="996"/>
      <c r="LCD88" s="996"/>
      <c r="LCE88" s="996"/>
      <c r="LCF88" s="996"/>
      <c r="LCG88" s="996"/>
      <c r="LCH88" s="996"/>
      <c r="LCI88" s="996"/>
      <c r="LCJ88" s="996"/>
      <c r="LCK88" s="996"/>
      <c r="LCL88" s="996"/>
      <c r="LCM88" s="996"/>
      <c r="LCN88" s="996"/>
      <c r="LCO88" s="996"/>
      <c r="LCP88" s="996"/>
      <c r="LCQ88" s="996"/>
      <c r="LCR88" s="996"/>
      <c r="LCS88" s="996"/>
      <c r="LCT88" s="996"/>
      <c r="LCU88" s="996"/>
      <c r="LCV88" s="996"/>
      <c r="LCW88" s="996"/>
      <c r="LCX88" s="996"/>
      <c r="LCY88" s="996"/>
      <c r="LCZ88" s="996"/>
      <c r="LDA88" s="996"/>
      <c r="LDB88" s="996"/>
      <c r="LDC88" s="996"/>
      <c r="LDD88" s="996"/>
      <c r="LDE88" s="996"/>
      <c r="LDF88" s="996"/>
      <c r="LDG88" s="996"/>
      <c r="LDH88" s="996"/>
      <c r="LDI88" s="996"/>
      <c r="LDJ88" s="996"/>
      <c r="LDK88" s="996"/>
      <c r="LDL88" s="996"/>
      <c r="LDM88" s="996"/>
      <c r="LDN88" s="996"/>
      <c r="LDO88" s="996"/>
      <c r="LDP88" s="996"/>
      <c r="LDQ88" s="996"/>
      <c r="LDR88" s="996"/>
      <c r="LDS88" s="996"/>
      <c r="LDT88" s="996"/>
      <c r="LDU88" s="996"/>
      <c r="LDV88" s="996"/>
      <c r="LDW88" s="996"/>
      <c r="LDX88" s="996"/>
      <c r="LDY88" s="996"/>
      <c r="LDZ88" s="996"/>
      <c r="LEA88" s="996"/>
      <c r="LEB88" s="996"/>
      <c r="LEC88" s="996"/>
      <c r="LED88" s="996"/>
      <c r="LEE88" s="996"/>
      <c r="LEF88" s="996"/>
      <c r="LEG88" s="996"/>
      <c r="LEH88" s="996"/>
      <c r="LEI88" s="996"/>
      <c r="LEJ88" s="996"/>
      <c r="LEK88" s="996"/>
      <c r="LEL88" s="996"/>
      <c r="LEM88" s="996"/>
      <c r="LEN88" s="996"/>
      <c r="LEO88" s="996"/>
      <c r="LEP88" s="996"/>
      <c r="LEQ88" s="996"/>
      <c r="LER88" s="996"/>
      <c r="LES88" s="996"/>
      <c r="LET88" s="996"/>
      <c r="LEU88" s="996"/>
      <c r="LEV88" s="996"/>
      <c r="LEW88" s="996"/>
      <c r="LEX88" s="996"/>
      <c r="LEY88" s="996"/>
      <c r="LEZ88" s="996"/>
      <c r="LFA88" s="996"/>
      <c r="LFB88" s="996"/>
      <c r="LFC88" s="996"/>
      <c r="LFD88" s="996"/>
      <c r="LFE88" s="996"/>
      <c r="LFF88" s="996"/>
      <c r="LFG88" s="996"/>
      <c r="LFH88" s="996"/>
      <c r="LFI88" s="996"/>
      <c r="LFJ88" s="996"/>
      <c r="LFK88" s="996"/>
      <c r="LFL88" s="996"/>
      <c r="LFM88" s="996"/>
      <c r="LFN88" s="996"/>
      <c r="LFO88" s="996"/>
      <c r="LFP88" s="996"/>
      <c r="LFQ88" s="996"/>
      <c r="LFR88" s="996"/>
      <c r="LFS88" s="996"/>
      <c r="LFT88" s="996"/>
      <c r="LFU88" s="996"/>
      <c r="LFV88" s="996"/>
      <c r="LFW88" s="996"/>
      <c r="LFX88" s="996"/>
      <c r="LFY88" s="996"/>
      <c r="LFZ88" s="996"/>
      <c r="LGA88" s="996"/>
      <c r="LGB88" s="996"/>
      <c r="LGC88" s="996"/>
      <c r="LGD88" s="996"/>
      <c r="LGE88" s="996"/>
      <c r="LGF88" s="996"/>
      <c r="LGG88" s="996"/>
      <c r="LGH88" s="996"/>
      <c r="LGI88" s="996"/>
      <c r="LGJ88" s="996"/>
      <c r="LGK88" s="996"/>
      <c r="LGL88" s="996"/>
      <c r="LGM88" s="996"/>
      <c r="LGN88" s="996"/>
      <c r="LGO88" s="996"/>
      <c r="LGP88" s="996"/>
      <c r="LGQ88" s="996"/>
      <c r="LGR88" s="996"/>
      <c r="LGS88" s="996"/>
      <c r="LGT88" s="996"/>
      <c r="LGU88" s="996"/>
      <c r="LGV88" s="996"/>
      <c r="LGW88" s="996"/>
      <c r="LGX88" s="996"/>
      <c r="LGY88" s="996"/>
      <c r="LGZ88" s="996"/>
      <c r="LHA88" s="996"/>
      <c r="LHB88" s="996"/>
      <c r="LHC88" s="996"/>
      <c r="LHD88" s="996"/>
      <c r="LHE88" s="996"/>
      <c r="LHF88" s="996"/>
      <c r="LHG88" s="996"/>
      <c r="LHH88" s="996"/>
      <c r="LHI88" s="996"/>
      <c r="LHJ88" s="996"/>
      <c r="LHK88" s="996"/>
      <c r="LHL88" s="996"/>
      <c r="LHM88" s="996"/>
      <c r="LHN88" s="996"/>
      <c r="LHO88" s="996"/>
      <c r="LHP88" s="996"/>
      <c r="LHQ88" s="996"/>
      <c r="LHR88" s="996"/>
      <c r="LHS88" s="996"/>
      <c r="LHT88" s="996"/>
      <c r="LHU88" s="996"/>
      <c r="LHV88" s="996"/>
      <c r="LHW88" s="996"/>
      <c r="LHX88" s="996"/>
      <c r="LHY88" s="996"/>
      <c r="LHZ88" s="996"/>
      <c r="LIA88" s="996"/>
      <c r="LIB88" s="996"/>
      <c r="LIC88" s="996"/>
      <c r="LID88" s="996"/>
      <c r="LIE88" s="996"/>
      <c r="LIF88" s="996"/>
      <c r="LIG88" s="996"/>
      <c r="LIH88" s="996"/>
      <c r="LII88" s="996"/>
      <c r="LIJ88" s="996"/>
      <c r="LIK88" s="996"/>
      <c r="LIL88" s="996"/>
      <c r="LIM88" s="996"/>
      <c r="LIN88" s="996"/>
      <c r="LIO88" s="996"/>
      <c r="LIP88" s="996"/>
      <c r="LIQ88" s="996"/>
      <c r="LIR88" s="996"/>
      <c r="LIS88" s="996"/>
      <c r="LIT88" s="996"/>
      <c r="LIU88" s="996"/>
      <c r="LIV88" s="996"/>
      <c r="LIW88" s="996"/>
      <c r="LIX88" s="996"/>
      <c r="LIY88" s="996"/>
      <c r="LIZ88" s="996"/>
      <c r="LJA88" s="996"/>
      <c r="LJB88" s="996"/>
      <c r="LJC88" s="996"/>
      <c r="LJD88" s="996"/>
      <c r="LJE88" s="996"/>
      <c r="LJF88" s="996"/>
      <c r="LJG88" s="996"/>
      <c r="LJH88" s="996"/>
      <c r="LJI88" s="996"/>
      <c r="LJJ88" s="996"/>
      <c r="LJK88" s="996"/>
      <c r="LJL88" s="996"/>
      <c r="LJM88" s="996"/>
      <c r="LJN88" s="996"/>
      <c r="LJO88" s="996"/>
      <c r="LJP88" s="996"/>
      <c r="LJQ88" s="996"/>
      <c r="LJR88" s="996"/>
      <c r="LJS88" s="996"/>
      <c r="LJT88" s="996"/>
      <c r="LJU88" s="996"/>
      <c r="LJV88" s="996"/>
      <c r="LJW88" s="996"/>
      <c r="LJX88" s="996"/>
      <c r="LJY88" s="996"/>
      <c r="LJZ88" s="996"/>
      <c r="LKA88" s="996"/>
      <c r="LKB88" s="996"/>
      <c r="LKC88" s="996"/>
      <c r="LKD88" s="996"/>
      <c r="LKE88" s="996"/>
      <c r="LKF88" s="996"/>
      <c r="LKG88" s="996"/>
      <c r="LKH88" s="996"/>
      <c r="LKI88" s="996"/>
      <c r="LKJ88" s="996"/>
      <c r="LKK88" s="996"/>
      <c r="LKL88" s="996"/>
      <c r="LKM88" s="996"/>
      <c r="LKN88" s="996"/>
      <c r="LKO88" s="996"/>
      <c r="LKP88" s="996"/>
      <c r="LKQ88" s="996"/>
      <c r="LKR88" s="996"/>
      <c r="LKS88" s="996"/>
      <c r="LKT88" s="996"/>
      <c r="LKU88" s="996"/>
      <c r="LKV88" s="996"/>
      <c r="LKW88" s="996"/>
      <c r="LKX88" s="996"/>
      <c r="LKY88" s="996"/>
      <c r="LKZ88" s="996"/>
      <c r="LLA88" s="996"/>
      <c r="LLB88" s="996"/>
      <c r="LLC88" s="996"/>
      <c r="LLD88" s="996"/>
      <c r="LLE88" s="996"/>
      <c r="LLF88" s="996"/>
      <c r="LLG88" s="996"/>
      <c r="LLH88" s="996"/>
      <c r="LLI88" s="996"/>
      <c r="LLJ88" s="996"/>
      <c r="LLK88" s="996"/>
      <c r="LLL88" s="996"/>
      <c r="LLM88" s="996"/>
      <c r="LLN88" s="996"/>
      <c r="LLO88" s="996"/>
      <c r="LLP88" s="996"/>
      <c r="LLQ88" s="996"/>
      <c r="LLR88" s="996"/>
      <c r="LLS88" s="996"/>
      <c r="LLT88" s="996"/>
      <c r="LLU88" s="996"/>
      <c r="LLV88" s="996"/>
      <c r="LLW88" s="996"/>
      <c r="LLX88" s="996"/>
      <c r="LLY88" s="996"/>
      <c r="LLZ88" s="996"/>
      <c r="LMA88" s="996"/>
      <c r="LMB88" s="996"/>
      <c r="LMC88" s="996"/>
      <c r="LMD88" s="996"/>
      <c r="LME88" s="996"/>
      <c r="LMF88" s="996"/>
      <c r="LMG88" s="996"/>
      <c r="LMH88" s="996"/>
      <c r="LMI88" s="996"/>
      <c r="LMJ88" s="996"/>
      <c r="LMK88" s="996"/>
      <c r="LML88" s="996"/>
      <c r="LMM88" s="996"/>
      <c r="LMN88" s="996"/>
      <c r="LMO88" s="996"/>
      <c r="LMP88" s="996"/>
      <c r="LMQ88" s="996"/>
      <c r="LMR88" s="996"/>
      <c r="LMS88" s="996"/>
      <c r="LMT88" s="996"/>
      <c r="LMU88" s="996"/>
      <c r="LMV88" s="996"/>
      <c r="LMW88" s="996"/>
      <c r="LMX88" s="996"/>
      <c r="LMY88" s="996"/>
      <c r="LMZ88" s="996"/>
      <c r="LNA88" s="996"/>
      <c r="LNB88" s="996"/>
      <c r="LNC88" s="996"/>
      <c r="LND88" s="996"/>
      <c r="LNE88" s="996"/>
      <c r="LNF88" s="996"/>
      <c r="LNG88" s="996"/>
      <c r="LNH88" s="996"/>
      <c r="LNI88" s="996"/>
      <c r="LNJ88" s="996"/>
      <c r="LNK88" s="996"/>
      <c r="LNL88" s="996"/>
      <c r="LNM88" s="996"/>
      <c r="LNN88" s="996"/>
      <c r="LNO88" s="996"/>
      <c r="LNP88" s="996"/>
      <c r="LNQ88" s="996"/>
      <c r="LNR88" s="996"/>
      <c r="LNS88" s="996"/>
      <c r="LNT88" s="996"/>
      <c r="LNU88" s="996"/>
      <c r="LNV88" s="996"/>
      <c r="LNW88" s="996"/>
      <c r="LNX88" s="996"/>
      <c r="LNY88" s="996"/>
      <c r="LNZ88" s="996"/>
      <c r="LOA88" s="996"/>
      <c r="LOB88" s="996"/>
      <c r="LOC88" s="996"/>
      <c r="LOD88" s="996"/>
      <c r="LOE88" s="996"/>
      <c r="LOF88" s="996"/>
      <c r="LOG88" s="996"/>
      <c r="LOH88" s="996"/>
      <c r="LOI88" s="996"/>
      <c r="LOJ88" s="996"/>
      <c r="LOK88" s="996"/>
      <c r="LOL88" s="996"/>
      <c r="LOM88" s="996"/>
      <c r="LON88" s="996"/>
      <c r="LOO88" s="996"/>
      <c r="LOP88" s="996"/>
      <c r="LOQ88" s="996"/>
      <c r="LOR88" s="996"/>
      <c r="LOS88" s="996"/>
      <c r="LOT88" s="996"/>
      <c r="LOU88" s="996"/>
      <c r="LOV88" s="996"/>
      <c r="LOW88" s="996"/>
      <c r="LOX88" s="996"/>
      <c r="LOY88" s="996"/>
      <c r="LOZ88" s="996"/>
      <c r="LPA88" s="996"/>
      <c r="LPB88" s="996"/>
      <c r="LPC88" s="996"/>
      <c r="LPD88" s="996"/>
      <c r="LPE88" s="996"/>
      <c r="LPF88" s="996"/>
      <c r="LPG88" s="996"/>
      <c r="LPH88" s="996"/>
      <c r="LPI88" s="996"/>
      <c r="LPJ88" s="996"/>
      <c r="LPK88" s="996"/>
      <c r="LPL88" s="996"/>
      <c r="LPM88" s="996"/>
      <c r="LPN88" s="996"/>
      <c r="LPO88" s="996"/>
      <c r="LPP88" s="996"/>
      <c r="LPQ88" s="996"/>
      <c r="LPR88" s="996"/>
      <c r="LPS88" s="996"/>
      <c r="LPT88" s="996"/>
      <c r="LPU88" s="996"/>
      <c r="LPV88" s="996"/>
      <c r="LPW88" s="996"/>
      <c r="LPX88" s="996"/>
      <c r="LPY88" s="996"/>
      <c r="LPZ88" s="996"/>
      <c r="LQA88" s="996"/>
      <c r="LQB88" s="996"/>
      <c r="LQC88" s="996"/>
      <c r="LQD88" s="996"/>
      <c r="LQE88" s="996"/>
      <c r="LQF88" s="996"/>
      <c r="LQG88" s="996"/>
      <c r="LQH88" s="996"/>
      <c r="LQI88" s="996"/>
      <c r="LQJ88" s="996"/>
      <c r="LQK88" s="996"/>
      <c r="LQL88" s="996"/>
      <c r="LQM88" s="996"/>
      <c r="LQN88" s="996"/>
      <c r="LQO88" s="996"/>
      <c r="LQP88" s="996"/>
      <c r="LQQ88" s="996"/>
      <c r="LQR88" s="996"/>
      <c r="LQS88" s="996"/>
      <c r="LQT88" s="996"/>
      <c r="LQU88" s="996"/>
      <c r="LQV88" s="996"/>
      <c r="LQW88" s="996"/>
      <c r="LQX88" s="996"/>
      <c r="LQY88" s="996"/>
      <c r="LQZ88" s="996"/>
      <c r="LRA88" s="996"/>
      <c r="LRB88" s="996"/>
      <c r="LRC88" s="996"/>
      <c r="LRD88" s="996"/>
      <c r="LRE88" s="996"/>
      <c r="LRF88" s="996"/>
      <c r="LRG88" s="996"/>
      <c r="LRH88" s="996"/>
      <c r="LRI88" s="996"/>
      <c r="LRJ88" s="996"/>
      <c r="LRK88" s="996"/>
      <c r="LRL88" s="996"/>
      <c r="LRM88" s="996"/>
      <c r="LRN88" s="996"/>
      <c r="LRO88" s="996"/>
      <c r="LRP88" s="996"/>
      <c r="LRQ88" s="996"/>
      <c r="LRR88" s="996"/>
      <c r="LRS88" s="996"/>
      <c r="LRT88" s="996"/>
      <c r="LRU88" s="996"/>
      <c r="LRV88" s="996"/>
      <c r="LRW88" s="996"/>
      <c r="LRX88" s="996"/>
      <c r="LRY88" s="996"/>
      <c r="LRZ88" s="996"/>
      <c r="LSA88" s="996"/>
      <c r="LSB88" s="996"/>
      <c r="LSC88" s="996"/>
      <c r="LSD88" s="996"/>
      <c r="LSE88" s="996"/>
      <c r="LSF88" s="996"/>
      <c r="LSG88" s="996"/>
      <c r="LSH88" s="996"/>
      <c r="LSI88" s="996"/>
      <c r="LSJ88" s="996"/>
      <c r="LSK88" s="996"/>
      <c r="LSL88" s="996"/>
      <c r="LSM88" s="996"/>
      <c r="LSN88" s="996"/>
      <c r="LSO88" s="996"/>
      <c r="LSP88" s="996"/>
      <c r="LSQ88" s="996"/>
      <c r="LSR88" s="996"/>
      <c r="LSS88" s="996"/>
      <c r="LST88" s="996"/>
      <c r="LSU88" s="996"/>
      <c r="LSV88" s="996"/>
      <c r="LSW88" s="996"/>
      <c r="LSX88" s="996"/>
      <c r="LSY88" s="996"/>
      <c r="LSZ88" s="996"/>
      <c r="LTA88" s="996"/>
      <c r="LTB88" s="996"/>
      <c r="LTC88" s="996"/>
      <c r="LTD88" s="996"/>
      <c r="LTE88" s="996"/>
      <c r="LTF88" s="996"/>
      <c r="LTG88" s="996"/>
      <c r="LTH88" s="996"/>
      <c r="LTI88" s="996"/>
      <c r="LTJ88" s="996"/>
      <c r="LTK88" s="996"/>
      <c r="LTL88" s="996"/>
      <c r="LTM88" s="996"/>
      <c r="LTN88" s="996"/>
      <c r="LTO88" s="996"/>
      <c r="LTP88" s="996"/>
      <c r="LTQ88" s="996"/>
      <c r="LTR88" s="996"/>
      <c r="LTS88" s="996"/>
      <c r="LTT88" s="996"/>
      <c r="LTU88" s="996"/>
      <c r="LTV88" s="996"/>
      <c r="LTW88" s="996"/>
      <c r="LTX88" s="996"/>
      <c r="LTY88" s="996"/>
      <c r="LTZ88" s="996"/>
      <c r="LUA88" s="996"/>
      <c r="LUB88" s="996"/>
      <c r="LUC88" s="996"/>
      <c r="LUD88" s="996"/>
      <c r="LUE88" s="996"/>
      <c r="LUF88" s="996"/>
      <c r="LUG88" s="996"/>
      <c r="LUH88" s="996"/>
      <c r="LUI88" s="996"/>
      <c r="LUJ88" s="996"/>
      <c r="LUK88" s="996"/>
      <c r="LUL88" s="996"/>
      <c r="LUM88" s="996"/>
      <c r="LUN88" s="996"/>
      <c r="LUO88" s="996"/>
      <c r="LUP88" s="996"/>
      <c r="LUQ88" s="996"/>
      <c r="LUR88" s="996"/>
      <c r="LUS88" s="996"/>
      <c r="LUT88" s="996"/>
      <c r="LUU88" s="996"/>
      <c r="LUV88" s="996"/>
      <c r="LUW88" s="996"/>
      <c r="LUX88" s="996"/>
      <c r="LUY88" s="996"/>
      <c r="LUZ88" s="996"/>
      <c r="LVA88" s="996"/>
      <c r="LVB88" s="996"/>
      <c r="LVC88" s="996"/>
      <c r="LVD88" s="996"/>
      <c r="LVE88" s="996"/>
      <c r="LVF88" s="996"/>
      <c r="LVG88" s="996"/>
      <c r="LVH88" s="996"/>
      <c r="LVI88" s="996"/>
      <c r="LVJ88" s="996"/>
      <c r="LVK88" s="996"/>
      <c r="LVL88" s="996"/>
      <c r="LVM88" s="996"/>
      <c r="LVN88" s="996"/>
      <c r="LVO88" s="996"/>
      <c r="LVP88" s="996"/>
      <c r="LVQ88" s="996"/>
      <c r="LVR88" s="996"/>
      <c r="LVS88" s="996"/>
      <c r="LVT88" s="996"/>
      <c r="LVU88" s="996"/>
      <c r="LVV88" s="996"/>
      <c r="LVW88" s="996"/>
      <c r="LVX88" s="996"/>
      <c r="LVY88" s="996"/>
      <c r="LVZ88" s="996"/>
      <c r="LWA88" s="996"/>
      <c r="LWB88" s="996"/>
      <c r="LWC88" s="996"/>
      <c r="LWD88" s="996"/>
      <c r="LWE88" s="996"/>
      <c r="LWF88" s="996"/>
      <c r="LWG88" s="996"/>
      <c r="LWH88" s="996"/>
      <c r="LWI88" s="996"/>
      <c r="LWJ88" s="996"/>
      <c r="LWK88" s="996"/>
      <c r="LWL88" s="996"/>
      <c r="LWM88" s="996"/>
      <c r="LWN88" s="996"/>
      <c r="LWO88" s="996"/>
      <c r="LWP88" s="996"/>
      <c r="LWQ88" s="996"/>
      <c r="LWR88" s="996"/>
      <c r="LWS88" s="996"/>
      <c r="LWT88" s="996"/>
      <c r="LWU88" s="996"/>
      <c r="LWV88" s="996"/>
      <c r="LWW88" s="996"/>
      <c r="LWX88" s="996"/>
      <c r="LWY88" s="996"/>
      <c r="LWZ88" s="996"/>
      <c r="LXA88" s="996"/>
      <c r="LXB88" s="996"/>
      <c r="LXC88" s="996"/>
      <c r="LXD88" s="996"/>
      <c r="LXE88" s="996"/>
      <c r="LXF88" s="996"/>
      <c r="LXG88" s="996"/>
      <c r="LXH88" s="996"/>
      <c r="LXI88" s="996"/>
      <c r="LXJ88" s="996"/>
      <c r="LXK88" s="996"/>
      <c r="LXL88" s="996"/>
      <c r="LXM88" s="996"/>
      <c r="LXN88" s="996"/>
      <c r="LXO88" s="996"/>
      <c r="LXP88" s="996"/>
      <c r="LXQ88" s="996"/>
      <c r="LXR88" s="996"/>
      <c r="LXS88" s="996"/>
      <c r="LXT88" s="996"/>
      <c r="LXU88" s="996"/>
      <c r="LXV88" s="996"/>
      <c r="LXW88" s="996"/>
      <c r="LXX88" s="996"/>
      <c r="LXY88" s="996"/>
      <c r="LXZ88" s="996"/>
      <c r="LYA88" s="996"/>
      <c r="LYB88" s="996"/>
      <c r="LYC88" s="996"/>
      <c r="LYD88" s="996"/>
      <c r="LYE88" s="996"/>
      <c r="LYF88" s="996"/>
      <c r="LYG88" s="996"/>
      <c r="LYH88" s="996"/>
      <c r="LYI88" s="996"/>
      <c r="LYJ88" s="996"/>
      <c r="LYK88" s="996"/>
      <c r="LYL88" s="996"/>
      <c r="LYM88" s="996"/>
      <c r="LYN88" s="996"/>
      <c r="LYO88" s="996"/>
      <c r="LYP88" s="996"/>
      <c r="LYQ88" s="996"/>
      <c r="LYR88" s="996"/>
      <c r="LYS88" s="996"/>
      <c r="LYT88" s="996"/>
      <c r="LYU88" s="996"/>
      <c r="LYV88" s="996"/>
      <c r="LYW88" s="996"/>
      <c r="LYX88" s="996"/>
      <c r="LYY88" s="996"/>
      <c r="LYZ88" s="996"/>
      <c r="LZA88" s="996"/>
      <c r="LZB88" s="996"/>
      <c r="LZC88" s="996"/>
      <c r="LZD88" s="996"/>
      <c r="LZE88" s="996"/>
      <c r="LZF88" s="996"/>
      <c r="LZG88" s="996"/>
      <c r="LZH88" s="996"/>
      <c r="LZI88" s="996"/>
      <c r="LZJ88" s="996"/>
      <c r="LZK88" s="996"/>
      <c r="LZL88" s="996"/>
      <c r="LZM88" s="996"/>
      <c r="LZN88" s="996"/>
      <c r="LZO88" s="996"/>
      <c r="LZP88" s="996"/>
      <c r="LZQ88" s="996"/>
      <c r="LZR88" s="996"/>
      <c r="LZS88" s="996"/>
      <c r="LZT88" s="996"/>
      <c r="LZU88" s="996"/>
      <c r="LZV88" s="996"/>
      <c r="LZW88" s="996"/>
      <c r="LZX88" s="996"/>
      <c r="LZY88" s="996"/>
      <c r="LZZ88" s="996"/>
      <c r="MAA88" s="996"/>
      <c r="MAB88" s="996"/>
      <c r="MAC88" s="996"/>
      <c r="MAD88" s="996"/>
      <c r="MAE88" s="996"/>
      <c r="MAF88" s="996"/>
      <c r="MAG88" s="996"/>
      <c r="MAH88" s="996"/>
      <c r="MAI88" s="996"/>
      <c r="MAJ88" s="996"/>
      <c r="MAK88" s="996"/>
      <c r="MAL88" s="996"/>
      <c r="MAM88" s="996"/>
      <c r="MAN88" s="996"/>
      <c r="MAO88" s="996"/>
      <c r="MAP88" s="996"/>
      <c r="MAQ88" s="996"/>
      <c r="MAR88" s="996"/>
      <c r="MAS88" s="996"/>
      <c r="MAT88" s="996"/>
      <c r="MAU88" s="996"/>
      <c r="MAV88" s="996"/>
      <c r="MAW88" s="996"/>
      <c r="MAX88" s="996"/>
      <c r="MAY88" s="996"/>
      <c r="MAZ88" s="996"/>
      <c r="MBA88" s="996"/>
      <c r="MBB88" s="996"/>
      <c r="MBC88" s="996"/>
      <c r="MBD88" s="996"/>
      <c r="MBE88" s="996"/>
      <c r="MBF88" s="996"/>
      <c r="MBG88" s="996"/>
      <c r="MBH88" s="996"/>
      <c r="MBI88" s="996"/>
      <c r="MBJ88" s="996"/>
      <c r="MBK88" s="996"/>
      <c r="MBL88" s="996"/>
      <c r="MBM88" s="996"/>
      <c r="MBN88" s="996"/>
      <c r="MBO88" s="996"/>
      <c r="MBP88" s="996"/>
      <c r="MBQ88" s="996"/>
      <c r="MBR88" s="996"/>
      <c r="MBS88" s="996"/>
      <c r="MBT88" s="996"/>
      <c r="MBU88" s="996"/>
      <c r="MBV88" s="996"/>
      <c r="MBW88" s="996"/>
      <c r="MBX88" s="996"/>
      <c r="MBY88" s="996"/>
      <c r="MBZ88" s="996"/>
      <c r="MCA88" s="996"/>
      <c r="MCB88" s="996"/>
      <c r="MCC88" s="996"/>
      <c r="MCD88" s="996"/>
      <c r="MCE88" s="996"/>
      <c r="MCF88" s="996"/>
      <c r="MCG88" s="996"/>
      <c r="MCH88" s="996"/>
      <c r="MCI88" s="996"/>
      <c r="MCJ88" s="996"/>
      <c r="MCK88" s="996"/>
      <c r="MCL88" s="996"/>
      <c r="MCM88" s="996"/>
      <c r="MCN88" s="996"/>
      <c r="MCO88" s="996"/>
      <c r="MCP88" s="996"/>
      <c r="MCQ88" s="996"/>
      <c r="MCR88" s="996"/>
      <c r="MCS88" s="996"/>
      <c r="MCT88" s="996"/>
      <c r="MCU88" s="996"/>
      <c r="MCV88" s="996"/>
      <c r="MCW88" s="996"/>
      <c r="MCX88" s="996"/>
      <c r="MCY88" s="996"/>
      <c r="MCZ88" s="996"/>
      <c r="MDA88" s="996"/>
      <c r="MDB88" s="996"/>
      <c r="MDC88" s="996"/>
      <c r="MDD88" s="996"/>
      <c r="MDE88" s="996"/>
      <c r="MDF88" s="996"/>
      <c r="MDG88" s="996"/>
      <c r="MDH88" s="996"/>
      <c r="MDI88" s="996"/>
      <c r="MDJ88" s="996"/>
      <c r="MDK88" s="996"/>
      <c r="MDL88" s="996"/>
      <c r="MDM88" s="996"/>
      <c r="MDN88" s="996"/>
      <c r="MDO88" s="996"/>
      <c r="MDP88" s="996"/>
      <c r="MDQ88" s="996"/>
      <c r="MDR88" s="996"/>
      <c r="MDS88" s="996"/>
      <c r="MDT88" s="996"/>
      <c r="MDU88" s="996"/>
      <c r="MDV88" s="996"/>
      <c r="MDW88" s="996"/>
      <c r="MDX88" s="996"/>
      <c r="MDY88" s="996"/>
      <c r="MDZ88" s="996"/>
      <c r="MEA88" s="996"/>
      <c r="MEB88" s="996"/>
      <c r="MEC88" s="996"/>
      <c r="MED88" s="996"/>
      <c r="MEE88" s="996"/>
      <c r="MEF88" s="996"/>
      <c r="MEG88" s="996"/>
      <c r="MEH88" s="996"/>
      <c r="MEI88" s="996"/>
      <c r="MEJ88" s="996"/>
      <c r="MEK88" s="996"/>
      <c r="MEL88" s="996"/>
      <c r="MEM88" s="996"/>
      <c r="MEN88" s="996"/>
      <c r="MEO88" s="996"/>
      <c r="MEP88" s="996"/>
      <c r="MEQ88" s="996"/>
      <c r="MER88" s="996"/>
      <c r="MES88" s="996"/>
      <c r="MET88" s="996"/>
      <c r="MEU88" s="996"/>
      <c r="MEV88" s="996"/>
      <c r="MEW88" s="996"/>
      <c r="MEX88" s="996"/>
      <c r="MEY88" s="996"/>
      <c r="MEZ88" s="996"/>
      <c r="MFA88" s="996"/>
      <c r="MFB88" s="996"/>
      <c r="MFC88" s="996"/>
      <c r="MFD88" s="996"/>
      <c r="MFE88" s="996"/>
      <c r="MFF88" s="996"/>
      <c r="MFG88" s="996"/>
      <c r="MFH88" s="996"/>
      <c r="MFI88" s="996"/>
      <c r="MFJ88" s="996"/>
      <c r="MFK88" s="996"/>
      <c r="MFL88" s="996"/>
      <c r="MFM88" s="996"/>
      <c r="MFN88" s="996"/>
      <c r="MFO88" s="996"/>
      <c r="MFP88" s="996"/>
      <c r="MFQ88" s="996"/>
      <c r="MFR88" s="996"/>
      <c r="MFS88" s="996"/>
      <c r="MFT88" s="996"/>
      <c r="MFU88" s="996"/>
      <c r="MFV88" s="996"/>
      <c r="MFW88" s="996"/>
      <c r="MFX88" s="996"/>
      <c r="MFY88" s="996"/>
      <c r="MFZ88" s="996"/>
      <c r="MGA88" s="996"/>
      <c r="MGB88" s="996"/>
      <c r="MGC88" s="996"/>
      <c r="MGD88" s="996"/>
      <c r="MGE88" s="996"/>
      <c r="MGF88" s="996"/>
      <c r="MGG88" s="996"/>
      <c r="MGH88" s="996"/>
      <c r="MGI88" s="996"/>
      <c r="MGJ88" s="996"/>
      <c r="MGK88" s="996"/>
      <c r="MGL88" s="996"/>
      <c r="MGM88" s="996"/>
      <c r="MGN88" s="996"/>
      <c r="MGO88" s="996"/>
      <c r="MGP88" s="996"/>
      <c r="MGQ88" s="996"/>
      <c r="MGR88" s="996"/>
      <c r="MGS88" s="996"/>
      <c r="MGT88" s="996"/>
      <c r="MGU88" s="996"/>
      <c r="MGV88" s="996"/>
      <c r="MGW88" s="996"/>
      <c r="MGX88" s="996"/>
      <c r="MGY88" s="996"/>
      <c r="MGZ88" s="996"/>
      <c r="MHA88" s="996"/>
      <c r="MHB88" s="996"/>
      <c r="MHC88" s="996"/>
      <c r="MHD88" s="996"/>
      <c r="MHE88" s="996"/>
      <c r="MHF88" s="996"/>
      <c r="MHG88" s="996"/>
      <c r="MHH88" s="996"/>
      <c r="MHI88" s="996"/>
      <c r="MHJ88" s="996"/>
      <c r="MHK88" s="996"/>
      <c r="MHL88" s="996"/>
      <c r="MHM88" s="996"/>
      <c r="MHN88" s="996"/>
      <c r="MHO88" s="996"/>
      <c r="MHP88" s="996"/>
      <c r="MHQ88" s="996"/>
      <c r="MHR88" s="996"/>
      <c r="MHS88" s="996"/>
      <c r="MHT88" s="996"/>
      <c r="MHU88" s="996"/>
      <c r="MHV88" s="996"/>
      <c r="MHW88" s="996"/>
      <c r="MHX88" s="996"/>
      <c r="MHY88" s="996"/>
      <c r="MHZ88" s="996"/>
      <c r="MIA88" s="996"/>
      <c r="MIB88" s="996"/>
      <c r="MIC88" s="996"/>
      <c r="MID88" s="996"/>
      <c r="MIE88" s="996"/>
      <c r="MIF88" s="996"/>
      <c r="MIG88" s="996"/>
      <c r="MIH88" s="996"/>
      <c r="MII88" s="996"/>
      <c r="MIJ88" s="996"/>
      <c r="MIK88" s="996"/>
      <c r="MIL88" s="996"/>
      <c r="MIM88" s="996"/>
      <c r="MIN88" s="996"/>
      <c r="MIO88" s="996"/>
      <c r="MIP88" s="996"/>
      <c r="MIQ88" s="996"/>
      <c r="MIR88" s="996"/>
      <c r="MIS88" s="996"/>
      <c r="MIT88" s="996"/>
      <c r="MIU88" s="996"/>
      <c r="MIV88" s="996"/>
      <c r="MIW88" s="996"/>
      <c r="MIX88" s="996"/>
      <c r="MIY88" s="996"/>
      <c r="MIZ88" s="996"/>
      <c r="MJA88" s="996"/>
      <c r="MJB88" s="996"/>
      <c r="MJC88" s="996"/>
      <c r="MJD88" s="996"/>
      <c r="MJE88" s="996"/>
      <c r="MJF88" s="996"/>
      <c r="MJG88" s="996"/>
      <c r="MJH88" s="996"/>
      <c r="MJI88" s="996"/>
      <c r="MJJ88" s="996"/>
      <c r="MJK88" s="996"/>
      <c r="MJL88" s="996"/>
      <c r="MJM88" s="996"/>
      <c r="MJN88" s="996"/>
      <c r="MJO88" s="996"/>
      <c r="MJP88" s="996"/>
      <c r="MJQ88" s="996"/>
      <c r="MJR88" s="996"/>
      <c r="MJS88" s="996"/>
      <c r="MJT88" s="996"/>
      <c r="MJU88" s="996"/>
      <c r="MJV88" s="996"/>
      <c r="MJW88" s="996"/>
      <c r="MJX88" s="996"/>
      <c r="MJY88" s="996"/>
      <c r="MJZ88" s="996"/>
      <c r="MKA88" s="996"/>
      <c r="MKB88" s="996"/>
      <c r="MKC88" s="996"/>
      <c r="MKD88" s="996"/>
      <c r="MKE88" s="996"/>
      <c r="MKF88" s="996"/>
      <c r="MKG88" s="996"/>
      <c r="MKH88" s="996"/>
      <c r="MKI88" s="996"/>
      <c r="MKJ88" s="996"/>
      <c r="MKK88" s="996"/>
      <c r="MKL88" s="996"/>
      <c r="MKM88" s="996"/>
      <c r="MKN88" s="996"/>
      <c r="MKO88" s="996"/>
      <c r="MKP88" s="996"/>
      <c r="MKQ88" s="996"/>
      <c r="MKR88" s="996"/>
      <c r="MKS88" s="996"/>
      <c r="MKT88" s="996"/>
      <c r="MKU88" s="996"/>
      <c r="MKV88" s="996"/>
      <c r="MKW88" s="996"/>
      <c r="MKX88" s="996"/>
      <c r="MKY88" s="996"/>
      <c r="MKZ88" s="996"/>
      <c r="MLA88" s="996"/>
      <c r="MLB88" s="996"/>
      <c r="MLC88" s="996"/>
      <c r="MLD88" s="996"/>
      <c r="MLE88" s="996"/>
      <c r="MLF88" s="996"/>
      <c r="MLG88" s="996"/>
      <c r="MLH88" s="996"/>
      <c r="MLI88" s="996"/>
      <c r="MLJ88" s="996"/>
      <c r="MLK88" s="996"/>
      <c r="MLL88" s="996"/>
      <c r="MLM88" s="996"/>
      <c r="MLN88" s="996"/>
      <c r="MLO88" s="996"/>
      <c r="MLP88" s="996"/>
      <c r="MLQ88" s="996"/>
      <c r="MLR88" s="996"/>
      <c r="MLS88" s="996"/>
      <c r="MLT88" s="996"/>
      <c r="MLU88" s="996"/>
      <c r="MLV88" s="996"/>
      <c r="MLW88" s="996"/>
      <c r="MLX88" s="996"/>
      <c r="MLY88" s="996"/>
      <c r="MLZ88" s="996"/>
      <c r="MMA88" s="996"/>
      <c r="MMB88" s="996"/>
      <c r="MMC88" s="996"/>
      <c r="MMD88" s="996"/>
      <c r="MME88" s="996"/>
      <c r="MMF88" s="996"/>
      <c r="MMG88" s="996"/>
      <c r="MMH88" s="996"/>
      <c r="MMI88" s="996"/>
      <c r="MMJ88" s="996"/>
      <c r="MMK88" s="996"/>
      <c r="MML88" s="996"/>
      <c r="MMM88" s="996"/>
      <c r="MMN88" s="996"/>
      <c r="MMO88" s="996"/>
      <c r="MMP88" s="996"/>
      <c r="MMQ88" s="996"/>
      <c r="MMR88" s="996"/>
      <c r="MMS88" s="996"/>
      <c r="MMT88" s="996"/>
      <c r="MMU88" s="996"/>
      <c r="MMV88" s="996"/>
      <c r="MMW88" s="996"/>
      <c r="MMX88" s="996"/>
      <c r="MMY88" s="996"/>
      <c r="MMZ88" s="996"/>
      <c r="MNA88" s="996"/>
      <c r="MNB88" s="996"/>
      <c r="MNC88" s="996"/>
      <c r="MND88" s="996"/>
      <c r="MNE88" s="996"/>
      <c r="MNF88" s="996"/>
      <c r="MNG88" s="996"/>
      <c r="MNH88" s="996"/>
      <c r="MNI88" s="996"/>
      <c r="MNJ88" s="996"/>
      <c r="MNK88" s="996"/>
      <c r="MNL88" s="996"/>
      <c r="MNM88" s="996"/>
      <c r="MNN88" s="996"/>
      <c r="MNO88" s="996"/>
      <c r="MNP88" s="996"/>
      <c r="MNQ88" s="996"/>
      <c r="MNR88" s="996"/>
      <c r="MNS88" s="996"/>
      <c r="MNT88" s="996"/>
      <c r="MNU88" s="996"/>
      <c r="MNV88" s="996"/>
      <c r="MNW88" s="996"/>
      <c r="MNX88" s="996"/>
      <c r="MNY88" s="996"/>
      <c r="MNZ88" s="996"/>
      <c r="MOA88" s="996"/>
      <c r="MOB88" s="996"/>
      <c r="MOC88" s="996"/>
      <c r="MOD88" s="996"/>
      <c r="MOE88" s="996"/>
      <c r="MOF88" s="996"/>
      <c r="MOG88" s="996"/>
      <c r="MOH88" s="996"/>
      <c r="MOI88" s="996"/>
      <c r="MOJ88" s="996"/>
      <c r="MOK88" s="996"/>
      <c r="MOL88" s="996"/>
      <c r="MOM88" s="996"/>
      <c r="MON88" s="996"/>
      <c r="MOO88" s="996"/>
      <c r="MOP88" s="996"/>
      <c r="MOQ88" s="996"/>
      <c r="MOR88" s="996"/>
      <c r="MOS88" s="996"/>
      <c r="MOT88" s="996"/>
      <c r="MOU88" s="996"/>
      <c r="MOV88" s="996"/>
      <c r="MOW88" s="996"/>
      <c r="MOX88" s="996"/>
      <c r="MOY88" s="996"/>
      <c r="MOZ88" s="996"/>
      <c r="MPA88" s="996"/>
      <c r="MPB88" s="996"/>
      <c r="MPC88" s="996"/>
      <c r="MPD88" s="996"/>
      <c r="MPE88" s="996"/>
      <c r="MPF88" s="996"/>
      <c r="MPG88" s="996"/>
      <c r="MPH88" s="996"/>
      <c r="MPI88" s="996"/>
      <c r="MPJ88" s="996"/>
      <c r="MPK88" s="996"/>
      <c r="MPL88" s="996"/>
      <c r="MPM88" s="996"/>
      <c r="MPN88" s="996"/>
      <c r="MPO88" s="996"/>
      <c r="MPP88" s="996"/>
      <c r="MPQ88" s="996"/>
      <c r="MPR88" s="996"/>
      <c r="MPS88" s="996"/>
      <c r="MPT88" s="996"/>
      <c r="MPU88" s="996"/>
      <c r="MPV88" s="996"/>
      <c r="MPW88" s="996"/>
      <c r="MPX88" s="996"/>
      <c r="MPY88" s="996"/>
      <c r="MPZ88" s="996"/>
      <c r="MQA88" s="996"/>
      <c r="MQB88" s="996"/>
      <c r="MQC88" s="996"/>
      <c r="MQD88" s="996"/>
      <c r="MQE88" s="996"/>
      <c r="MQF88" s="996"/>
      <c r="MQG88" s="996"/>
      <c r="MQH88" s="996"/>
      <c r="MQI88" s="996"/>
      <c r="MQJ88" s="996"/>
      <c r="MQK88" s="996"/>
      <c r="MQL88" s="996"/>
      <c r="MQM88" s="996"/>
      <c r="MQN88" s="996"/>
      <c r="MQO88" s="996"/>
      <c r="MQP88" s="996"/>
      <c r="MQQ88" s="996"/>
      <c r="MQR88" s="996"/>
      <c r="MQS88" s="996"/>
      <c r="MQT88" s="996"/>
      <c r="MQU88" s="996"/>
      <c r="MQV88" s="996"/>
      <c r="MQW88" s="996"/>
      <c r="MQX88" s="996"/>
      <c r="MQY88" s="996"/>
      <c r="MQZ88" s="996"/>
      <c r="MRA88" s="996"/>
      <c r="MRB88" s="996"/>
      <c r="MRC88" s="996"/>
      <c r="MRD88" s="996"/>
      <c r="MRE88" s="996"/>
      <c r="MRF88" s="996"/>
      <c r="MRG88" s="996"/>
      <c r="MRH88" s="996"/>
      <c r="MRI88" s="996"/>
      <c r="MRJ88" s="996"/>
      <c r="MRK88" s="996"/>
      <c r="MRL88" s="996"/>
      <c r="MRM88" s="996"/>
      <c r="MRN88" s="996"/>
      <c r="MRO88" s="996"/>
      <c r="MRP88" s="996"/>
      <c r="MRQ88" s="996"/>
      <c r="MRR88" s="996"/>
      <c r="MRS88" s="996"/>
      <c r="MRT88" s="996"/>
      <c r="MRU88" s="996"/>
      <c r="MRV88" s="996"/>
      <c r="MRW88" s="996"/>
      <c r="MRX88" s="996"/>
      <c r="MRY88" s="996"/>
      <c r="MRZ88" s="996"/>
      <c r="MSA88" s="996"/>
      <c r="MSB88" s="996"/>
      <c r="MSC88" s="996"/>
      <c r="MSD88" s="996"/>
      <c r="MSE88" s="996"/>
      <c r="MSF88" s="996"/>
      <c r="MSG88" s="996"/>
      <c r="MSH88" s="996"/>
      <c r="MSI88" s="996"/>
      <c r="MSJ88" s="996"/>
      <c r="MSK88" s="996"/>
      <c r="MSL88" s="996"/>
      <c r="MSM88" s="996"/>
      <c r="MSN88" s="996"/>
      <c r="MSO88" s="996"/>
      <c r="MSP88" s="996"/>
      <c r="MSQ88" s="996"/>
      <c r="MSR88" s="996"/>
      <c r="MSS88" s="996"/>
      <c r="MST88" s="996"/>
      <c r="MSU88" s="996"/>
      <c r="MSV88" s="996"/>
      <c r="MSW88" s="996"/>
      <c r="MSX88" s="996"/>
      <c r="MSY88" s="996"/>
      <c r="MSZ88" s="996"/>
      <c r="MTA88" s="996"/>
      <c r="MTB88" s="996"/>
      <c r="MTC88" s="996"/>
      <c r="MTD88" s="996"/>
      <c r="MTE88" s="996"/>
      <c r="MTF88" s="996"/>
      <c r="MTG88" s="996"/>
      <c r="MTH88" s="996"/>
      <c r="MTI88" s="996"/>
      <c r="MTJ88" s="996"/>
      <c r="MTK88" s="996"/>
      <c r="MTL88" s="996"/>
      <c r="MTM88" s="996"/>
      <c r="MTN88" s="996"/>
      <c r="MTO88" s="996"/>
      <c r="MTP88" s="996"/>
      <c r="MTQ88" s="996"/>
      <c r="MTR88" s="996"/>
      <c r="MTS88" s="996"/>
      <c r="MTT88" s="996"/>
      <c r="MTU88" s="996"/>
      <c r="MTV88" s="996"/>
      <c r="MTW88" s="996"/>
      <c r="MTX88" s="996"/>
      <c r="MTY88" s="996"/>
      <c r="MTZ88" s="996"/>
      <c r="MUA88" s="996"/>
      <c r="MUB88" s="996"/>
      <c r="MUC88" s="996"/>
      <c r="MUD88" s="996"/>
      <c r="MUE88" s="996"/>
      <c r="MUF88" s="996"/>
      <c r="MUG88" s="996"/>
      <c r="MUH88" s="996"/>
      <c r="MUI88" s="996"/>
      <c r="MUJ88" s="996"/>
      <c r="MUK88" s="996"/>
      <c r="MUL88" s="996"/>
      <c r="MUM88" s="996"/>
      <c r="MUN88" s="996"/>
      <c r="MUO88" s="996"/>
      <c r="MUP88" s="996"/>
      <c r="MUQ88" s="996"/>
      <c r="MUR88" s="996"/>
      <c r="MUS88" s="996"/>
      <c r="MUT88" s="996"/>
      <c r="MUU88" s="996"/>
      <c r="MUV88" s="996"/>
      <c r="MUW88" s="996"/>
      <c r="MUX88" s="996"/>
      <c r="MUY88" s="996"/>
      <c r="MUZ88" s="996"/>
      <c r="MVA88" s="996"/>
      <c r="MVB88" s="996"/>
      <c r="MVC88" s="996"/>
      <c r="MVD88" s="996"/>
      <c r="MVE88" s="996"/>
      <c r="MVF88" s="996"/>
      <c r="MVG88" s="996"/>
      <c r="MVH88" s="996"/>
      <c r="MVI88" s="996"/>
      <c r="MVJ88" s="996"/>
      <c r="MVK88" s="996"/>
      <c r="MVL88" s="996"/>
      <c r="MVM88" s="996"/>
      <c r="MVN88" s="996"/>
      <c r="MVO88" s="996"/>
      <c r="MVP88" s="996"/>
      <c r="MVQ88" s="996"/>
      <c r="MVR88" s="996"/>
      <c r="MVS88" s="996"/>
      <c r="MVT88" s="996"/>
      <c r="MVU88" s="996"/>
      <c r="MVV88" s="996"/>
      <c r="MVW88" s="996"/>
      <c r="MVX88" s="996"/>
      <c r="MVY88" s="996"/>
      <c r="MVZ88" s="996"/>
      <c r="MWA88" s="996"/>
      <c r="MWB88" s="996"/>
      <c r="MWC88" s="996"/>
      <c r="MWD88" s="996"/>
      <c r="MWE88" s="996"/>
      <c r="MWF88" s="996"/>
      <c r="MWG88" s="996"/>
      <c r="MWH88" s="996"/>
      <c r="MWI88" s="996"/>
      <c r="MWJ88" s="996"/>
      <c r="MWK88" s="996"/>
      <c r="MWL88" s="996"/>
      <c r="MWM88" s="996"/>
      <c r="MWN88" s="996"/>
      <c r="MWO88" s="996"/>
      <c r="MWP88" s="996"/>
      <c r="MWQ88" s="996"/>
      <c r="MWR88" s="996"/>
      <c r="MWS88" s="996"/>
      <c r="MWT88" s="996"/>
      <c r="MWU88" s="996"/>
      <c r="MWV88" s="996"/>
      <c r="MWW88" s="996"/>
      <c r="MWX88" s="996"/>
      <c r="MWY88" s="996"/>
      <c r="MWZ88" s="996"/>
      <c r="MXA88" s="996"/>
      <c r="MXB88" s="996"/>
      <c r="MXC88" s="996"/>
      <c r="MXD88" s="996"/>
      <c r="MXE88" s="996"/>
      <c r="MXF88" s="996"/>
      <c r="MXG88" s="996"/>
      <c r="MXH88" s="996"/>
      <c r="MXI88" s="996"/>
      <c r="MXJ88" s="996"/>
      <c r="MXK88" s="996"/>
      <c r="MXL88" s="996"/>
      <c r="MXM88" s="996"/>
      <c r="MXN88" s="996"/>
      <c r="MXO88" s="996"/>
      <c r="MXP88" s="996"/>
      <c r="MXQ88" s="996"/>
      <c r="MXR88" s="996"/>
      <c r="MXS88" s="996"/>
      <c r="MXT88" s="996"/>
      <c r="MXU88" s="996"/>
      <c r="MXV88" s="996"/>
      <c r="MXW88" s="996"/>
      <c r="MXX88" s="996"/>
      <c r="MXY88" s="996"/>
      <c r="MXZ88" s="996"/>
      <c r="MYA88" s="996"/>
      <c r="MYB88" s="996"/>
      <c r="MYC88" s="996"/>
      <c r="MYD88" s="996"/>
      <c r="MYE88" s="996"/>
      <c r="MYF88" s="996"/>
      <c r="MYG88" s="996"/>
      <c r="MYH88" s="996"/>
      <c r="MYI88" s="996"/>
      <c r="MYJ88" s="996"/>
      <c r="MYK88" s="996"/>
      <c r="MYL88" s="996"/>
      <c r="MYM88" s="996"/>
      <c r="MYN88" s="996"/>
      <c r="MYO88" s="996"/>
      <c r="MYP88" s="996"/>
      <c r="MYQ88" s="996"/>
      <c r="MYR88" s="996"/>
      <c r="MYS88" s="996"/>
      <c r="MYT88" s="996"/>
      <c r="MYU88" s="996"/>
      <c r="MYV88" s="996"/>
      <c r="MYW88" s="996"/>
      <c r="MYX88" s="996"/>
      <c r="MYY88" s="996"/>
      <c r="MYZ88" s="996"/>
      <c r="MZA88" s="996"/>
      <c r="MZB88" s="996"/>
      <c r="MZC88" s="996"/>
      <c r="MZD88" s="996"/>
      <c r="MZE88" s="996"/>
      <c r="MZF88" s="996"/>
      <c r="MZG88" s="996"/>
      <c r="MZH88" s="996"/>
      <c r="MZI88" s="996"/>
      <c r="MZJ88" s="996"/>
      <c r="MZK88" s="996"/>
      <c r="MZL88" s="996"/>
      <c r="MZM88" s="996"/>
      <c r="MZN88" s="996"/>
      <c r="MZO88" s="996"/>
      <c r="MZP88" s="996"/>
      <c r="MZQ88" s="996"/>
      <c r="MZR88" s="996"/>
      <c r="MZS88" s="996"/>
      <c r="MZT88" s="996"/>
      <c r="MZU88" s="996"/>
      <c r="MZV88" s="996"/>
      <c r="MZW88" s="996"/>
      <c r="MZX88" s="996"/>
      <c r="MZY88" s="996"/>
      <c r="MZZ88" s="996"/>
      <c r="NAA88" s="996"/>
      <c r="NAB88" s="996"/>
      <c r="NAC88" s="996"/>
      <c r="NAD88" s="996"/>
      <c r="NAE88" s="996"/>
      <c r="NAF88" s="996"/>
      <c r="NAG88" s="996"/>
      <c r="NAH88" s="996"/>
      <c r="NAI88" s="996"/>
      <c r="NAJ88" s="996"/>
      <c r="NAK88" s="996"/>
      <c r="NAL88" s="996"/>
      <c r="NAM88" s="996"/>
      <c r="NAN88" s="996"/>
      <c r="NAO88" s="996"/>
      <c r="NAP88" s="996"/>
      <c r="NAQ88" s="996"/>
      <c r="NAR88" s="996"/>
      <c r="NAS88" s="996"/>
      <c r="NAT88" s="996"/>
      <c r="NAU88" s="996"/>
      <c r="NAV88" s="996"/>
      <c r="NAW88" s="996"/>
      <c r="NAX88" s="996"/>
      <c r="NAY88" s="996"/>
      <c r="NAZ88" s="996"/>
      <c r="NBA88" s="996"/>
      <c r="NBB88" s="996"/>
      <c r="NBC88" s="996"/>
      <c r="NBD88" s="996"/>
      <c r="NBE88" s="996"/>
      <c r="NBF88" s="996"/>
      <c r="NBG88" s="996"/>
      <c r="NBH88" s="996"/>
      <c r="NBI88" s="996"/>
      <c r="NBJ88" s="996"/>
      <c r="NBK88" s="996"/>
      <c r="NBL88" s="996"/>
      <c r="NBM88" s="996"/>
      <c r="NBN88" s="996"/>
      <c r="NBO88" s="996"/>
      <c r="NBP88" s="996"/>
      <c r="NBQ88" s="996"/>
      <c r="NBR88" s="996"/>
      <c r="NBS88" s="996"/>
      <c r="NBT88" s="996"/>
      <c r="NBU88" s="996"/>
      <c r="NBV88" s="996"/>
      <c r="NBW88" s="996"/>
      <c r="NBX88" s="996"/>
      <c r="NBY88" s="996"/>
      <c r="NBZ88" s="996"/>
      <c r="NCA88" s="996"/>
      <c r="NCB88" s="996"/>
      <c r="NCC88" s="996"/>
      <c r="NCD88" s="996"/>
      <c r="NCE88" s="996"/>
      <c r="NCF88" s="996"/>
      <c r="NCG88" s="996"/>
      <c r="NCH88" s="996"/>
      <c r="NCI88" s="996"/>
      <c r="NCJ88" s="996"/>
      <c r="NCK88" s="996"/>
      <c r="NCL88" s="996"/>
      <c r="NCM88" s="996"/>
      <c r="NCN88" s="996"/>
      <c r="NCO88" s="996"/>
      <c r="NCP88" s="996"/>
      <c r="NCQ88" s="996"/>
      <c r="NCR88" s="996"/>
      <c r="NCS88" s="996"/>
      <c r="NCT88" s="996"/>
      <c r="NCU88" s="996"/>
      <c r="NCV88" s="996"/>
      <c r="NCW88" s="996"/>
      <c r="NCX88" s="996"/>
      <c r="NCY88" s="996"/>
      <c r="NCZ88" s="996"/>
      <c r="NDA88" s="996"/>
      <c r="NDB88" s="996"/>
      <c r="NDC88" s="996"/>
      <c r="NDD88" s="996"/>
      <c r="NDE88" s="996"/>
      <c r="NDF88" s="996"/>
      <c r="NDG88" s="996"/>
      <c r="NDH88" s="996"/>
      <c r="NDI88" s="996"/>
      <c r="NDJ88" s="996"/>
      <c r="NDK88" s="996"/>
      <c r="NDL88" s="996"/>
      <c r="NDM88" s="996"/>
      <c r="NDN88" s="996"/>
      <c r="NDO88" s="996"/>
      <c r="NDP88" s="996"/>
      <c r="NDQ88" s="996"/>
      <c r="NDR88" s="996"/>
      <c r="NDS88" s="996"/>
      <c r="NDT88" s="996"/>
      <c r="NDU88" s="996"/>
      <c r="NDV88" s="996"/>
      <c r="NDW88" s="996"/>
      <c r="NDX88" s="996"/>
      <c r="NDY88" s="996"/>
      <c r="NDZ88" s="996"/>
      <c r="NEA88" s="996"/>
      <c r="NEB88" s="996"/>
      <c r="NEC88" s="996"/>
      <c r="NED88" s="996"/>
      <c r="NEE88" s="996"/>
      <c r="NEF88" s="996"/>
      <c r="NEG88" s="996"/>
      <c r="NEH88" s="996"/>
      <c r="NEI88" s="996"/>
      <c r="NEJ88" s="996"/>
      <c r="NEK88" s="996"/>
      <c r="NEL88" s="996"/>
      <c r="NEM88" s="996"/>
      <c r="NEN88" s="996"/>
      <c r="NEO88" s="996"/>
      <c r="NEP88" s="996"/>
      <c r="NEQ88" s="996"/>
      <c r="NER88" s="996"/>
      <c r="NES88" s="996"/>
      <c r="NET88" s="996"/>
      <c r="NEU88" s="996"/>
      <c r="NEV88" s="996"/>
      <c r="NEW88" s="996"/>
      <c r="NEX88" s="996"/>
      <c r="NEY88" s="996"/>
      <c r="NEZ88" s="996"/>
      <c r="NFA88" s="996"/>
      <c r="NFB88" s="996"/>
      <c r="NFC88" s="996"/>
      <c r="NFD88" s="996"/>
      <c r="NFE88" s="996"/>
      <c r="NFF88" s="996"/>
      <c r="NFG88" s="996"/>
      <c r="NFH88" s="996"/>
      <c r="NFI88" s="996"/>
      <c r="NFJ88" s="996"/>
      <c r="NFK88" s="996"/>
      <c r="NFL88" s="996"/>
      <c r="NFM88" s="996"/>
      <c r="NFN88" s="996"/>
      <c r="NFO88" s="996"/>
      <c r="NFP88" s="996"/>
      <c r="NFQ88" s="996"/>
      <c r="NFR88" s="996"/>
      <c r="NFS88" s="996"/>
      <c r="NFT88" s="996"/>
      <c r="NFU88" s="996"/>
      <c r="NFV88" s="996"/>
      <c r="NFW88" s="996"/>
      <c r="NFX88" s="996"/>
      <c r="NFY88" s="996"/>
      <c r="NFZ88" s="996"/>
      <c r="NGA88" s="996"/>
      <c r="NGB88" s="996"/>
      <c r="NGC88" s="996"/>
      <c r="NGD88" s="996"/>
      <c r="NGE88" s="996"/>
      <c r="NGF88" s="996"/>
      <c r="NGG88" s="996"/>
      <c r="NGH88" s="996"/>
      <c r="NGI88" s="996"/>
      <c r="NGJ88" s="996"/>
      <c r="NGK88" s="996"/>
      <c r="NGL88" s="996"/>
      <c r="NGM88" s="996"/>
      <c r="NGN88" s="996"/>
      <c r="NGO88" s="996"/>
      <c r="NGP88" s="996"/>
      <c r="NGQ88" s="996"/>
      <c r="NGR88" s="996"/>
      <c r="NGS88" s="996"/>
      <c r="NGT88" s="996"/>
      <c r="NGU88" s="996"/>
      <c r="NGV88" s="996"/>
      <c r="NGW88" s="996"/>
      <c r="NGX88" s="996"/>
      <c r="NGY88" s="996"/>
      <c r="NGZ88" s="996"/>
      <c r="NHA88" s="996"/>
      <c r="NHB88" s="996"/>
      <c r="NHC88" s="996"/>
      <c r="NHD88" s="996"/>
      <c r="NHE88" s="996"/>
      <c r="NHF88" s="996"/>
      <c r="NHG88" s="996"/>
      <c r="NHH88" s="996"/>
      <c r="NHI88" s="996"/>
      <c r="NHJ88" s="996"/>
      <c r="NHK88" s="996"/>
      <c r="NHL88" s="996"/>
      <c r="NHM88" s="996"/>
      <c r="NHN88" s="996"/>
      <c r="NHO88" s="996"/>
      <c r="NHP88" s="996"/>
      <c r="NHQ88" s="996"/>
      <c r="NHR88" s="996"/>
      <c r="NHS88" s="996"/>
      <c r="NHT88" s="996"/>
      <c r="NHU88" s="996"/>
      <c r="NHV88" s="996"/>
      <c r="NHW88" s="996"/>
      <c r="NHX88" s="996"/>
      <c r="NHY88" s="996"/>
      <c r="NHZ88" s="996"/>
      <c r="NIA88" s="996"/>
      <c r="NIB88" s="996"/>
      <c r="NIC88" s="996"/>
      <c r="NID88" s="996"/>
      <c r="NIE88" s="996"/>
      <c r="NIF88" s="996"/>
      <c r="NIG88" s="996"/>
      <c r="NIH88" s="996"/>
      <c r="NII88" s="996"/>
      <c r="NIJ88" s="996"/>
      <c r="NIK88" s="996"/>
      <c r="NIL88" s="996"/>
      <c r="NIM88" s="996"/>
      <c r="NIN88" s="996"/>
      <c r="NIO88" s="996"/>
      <c r="NIP88" s="996"/>
      <c r="NIQ88" s="996"/>
      <c r="NIR88" s="996"/>
      <c r="NIS88" s="996"/>
      <c r="NIT88" s="996"/>
      <c r="NIU88" s="996"/>
      <c r="NIV88" s="996"/>
      <c r="NIW88" s="996"/>
      <c r="NIX88" s="996"/>
      <c r="NIY88" s="996"/>
      <c r="NIZ88" s="996"/>
      <c r="NJA88" s="996"/>
      <c r="NJB88" s="996"/>
      <c r="NJC88" s="996"/>
      <c r="NJD88" s="996"/>
      <c r="NJE88" s="996"/>
      <c r="NJF88" s="996"/>
      <c r="NJG88" s="996"/>
      <c r="NJH88" s="996"/>
      <c r="NJI88" s="996"/>
      <c r="NJJ88" s="996"/>
      <c r="NJK88" s="996"/>
      <c r="NJL88" s="996"/>
      <c r="NJM88" s="996"/>
      <c r="NJN88" s="996"/>
      <c r="NJO88" s="996"/>
      <c r="NJP88" s="996"/>
      <c r="NJQ88" s="996"/>
      <c r="NJR88" s="996"/>
      <c r="NJS88" s="996"/>
      <c r="NJT88" s="996"/>
      <c r="NJU88" s="996"/>
      <c r="NJV88" s="996"/>
      <c r="NJW88" s="996"/>
      <c r="NJX88" s="996"/>
      <c r="NJY88" s="996"/>
      <c r="NJZ88" s="996"/>
      <c r="NKA88" s="996"/>
      <c r="NKB88" s="996"/>
      <c r="NKC88" s="996"/>
      <c r="NKD88" s="996"/>
      <c r="NKE88" s="996"/>
      <c r="NKF88" s="996"/>
      <c r="NKG88" s="996"/>
      <c r="NKH88" s="996"/>
      <c r="NKI88" s="996"/>
      <c r="NKJ88" s="996"/>
      <c r="NKK88" s="996"/>
      <c r="NKL88" s="996"/>
      <c r="NKM88" s="996"/>
      <c r="NKN88" s="996"/>
      <c r="NKO88" s="996"/>
      <c r="NKP88" s="996"/>
      <c r="NKQ88" s="996"/>
      <c r="NKR88" s="996"/>
      <c r="NKS88" s="996"/>
      <c r="NKT88" s="996"/>
      <c r="NKU88" s="996"/>
      <c r="NKV88" s="996"/>
      <c r="NKW88" s="996"/>
      <c r="NKX88" s="996"/>
      <c r="NKY88" s="996"/>
      <c r="NKZ88" s="996"/>
      <c r="NLA88" s="996"/>
      <c r="NLB88" s="996"/>
      <c r="NLC88" s="996"/>
      <c r="NLD88" s="996"/>
      <c r="NLE88" s="996"/>
      <c r="NLF88" s="996"/>
      <c r="NLG88" s="996"/>
      <c r="NLH88" s="996"/>
      <c r="NLI88" s="996"/>
      <c r="NLJ88" s="996"/>
      <c r="NLK88" s="996"/>
      <c r="NLL88" s="996"/>
      <c r="NLM88" s="996"/>
      <c r="NLN88" s="996"/>
      <c r="NLO88" s="996"/>
      <c r="NLP88" s="996"/>
      <c r="NLQ88" s="996"/>
      <c r="NLR88" s="996"/>
      <c r="NLS88" s="996"/>
      <c r="NLT88" s="996"/>
      <c r="NLU88" s="996"/>
      <c r="NLV88" s="996"/>
      <c r="NLW88" s="996"/>
      <c r="NLX88" s="996"/>
      <c r="NLY88" s="996"/>
      <c r="NLZ88" s="996"/>
      <c r="NMA88" s="996"/>
      <c r="NMB88" s="996"/>
      <c r="NMC88" s="996"/>
      <c r="NMD88" s="996"/>
      <c r="NME88" s="996"/>
      <c r="NMF88" s="996"/>
      <c r="NMG88" s="996"/>
      <c r="NMH88" s="996"/>
      <c r="NMI88" s="996"/>
      <c r="NMJ88" s="996"/>
      <c r="NMK88" s="996"/>
      <c r="NML88" s="996"/>
      <c r="NMM88" s="996"/>
      <c r="NMN88" s="996"/>
      <c r="NMO88" s="996"/>
      <c r="NMP88" s="996"/>
      <c r="NMQ88" s="996"/>
      <c r="NMR88" s="996"/>
      <c r="NMS88" s="996"/>
      <c r="NMT88" s="996"/>
      <c r="NMU88" s="996"/>
      <c r="NMV88" s="996"/>
      <c r="NMW88" s="996"/>
      <c r="NMX88" s="996"/>
      <c r="NMY88" s="996"/>
      <c r="NMZ88" s="996"/>
      <c r="NNA88" s="996"/>
      <c r="NNB88" s="996"/>
      <c r="NNC88" s="996"/>
      <c r="NND88" s="996"/>
      <c r="NNE88" s="996"/>
      <c r="NNF88" s="996"/>
      <c r="NNG88" s="996"/>
      <c r="NNH88" s="996"/>
      <c r="NNI88" s="996"/>
      <c r="NNJ88" s="996"/>
      <c r="NNK88" s="996"/>
      <c r="NNL88" s="996"/>
      <c r="NNM88" s="996"/>
      <c r="NNN88" s="996"/>
      <c r="NNO88" s="996"/>
      <c r="NNP88" s="996"/>
      <c r="NNQ88" s="996"/>
      <c r="NNR88" s="996"/>
      <c r="NNS88" s="996"/>
      <c r="NNT88" s="996"/>
      <c r="NNU88" s="996"/>
      <c r="NNV88" s="996"/>
      <c r="NNW88" s="996"/>
      <c r="NNX88" s="996"/>
      <c r="NNY88" s="996"/>
      <c r="NNZ88" s="996"/>
      <c r="NOA88" s="996"/>
      <c r="NOB88" s="996"/>
      <c r="NOC88" s="996"/>
      <c r="NOD88" s="996"/>
      <c r="NOE88" s="996"/>
      <c r="NOF88" s="996"/>
      <c r="NOG88" s="996"/>
      <c r="NOH88" s="996"/>
      <c r="NOI88" s="996"/>
      <c r="NOJ88" s="996"/>
      <c r="NOK88" s="996"/>
      <c r="NOL88" s="996"/>
      <c r="NOM88" s="996"/>
      <c r="NON88" s="996"/>
      <c r="NOO88" s="996"/>
      <c r="NOP88" s="996"/>
      <c r="NOQ88" s="996"/>
      <c r="NOR88" s="996"/>
      <c r="NOS88" s="996"/>
      <c r="NOT88" s="996"/>
      <c r="NOU88" s="996"/>
      <c r="NOV88" s="996"/>
      <c r="NOW88" s="996"/>
      <c r="NOX88" s="996"/>
      <c r="NOY88" s="996"/>
      <c r="NOZ88" s="996"/>
      <c r="NPA88" s="996"/>
      <c r="NPB88" s="996"/>
      <c r="NPC88" s="996"/>
      <c r="NPD88" s="996"/>
      <c r="NPE88" s="996"/>
      <c r="NPF88" s="996"/>
      <c r="NPG88" s="996"/>
      <c r="NPH88" s="996"/>
      <c r="NPI88" s="996"/>
      <c r="NPJ88" s="996"/>
      <c r="NPK88" s="996"/>
      <c r="NPL88" s="996"/>
      <c r="NPM88" s="996"/>
      <c r="NPN88" s="996"/>
      <c r="NPO88" s="996"/>
      <c r="NPP88" s="996"/>
      <c r="NPQ88" s="996"/>
      <c r="NPR88" s="996"/>
      <c r="NPS88" s="996"/>
      <c r="NPT88" s="996"/>
      <c r="NPU88" s="996"/>
      <c r="NPV88" s="996"/>
      <c r="NPW88" s="996"/>
      <c r="NPX88" s="996"/>
      <c r="NPY88" s="996"/>
      <c r="NPZ88" s="996"/>
      <c r="NQA88" s="996"/>
      <c r="NQB88" s="996"/>
      <c r="NQC88" s="996"/>
      <c r="NQD88" s="996"/>
      <c r="NQE88" s="996"/>
      <c r="NQF88" s="996"/>
      <c r="NQG88" s="996"/>
      <c r="NQH88" s="996"/>
      <c r="NQI88" s="996"/>
      <c r="NQJ88" s="996"/>
      <c r="NQK88" s="996"/>
      <c r="NQL88" s="996"/>
      <c r="NQM88" s="996"/>
      <c r="NQN88" s="996"/>
      <c r="NQO88" s="996"/>
      <c r="NQP88" s="996"/>
      <c r="NQQ88" s="996"/>
      <c r="NQR88" s="996"/>
      <c r="NQS88" s="996"/>
      <c r="NQT88" s="996"/>
      <c r="NQU88" s="996"/>
      <c r="NQV88" s="996"/>
      <c r="NQW88" s="996"/>
      <c r="NQX88" s="996"/>
      <c r="NQY88" s="996"/>
      <c r="NQZ88" s="996"/>
      <c r="NRA88" s="996"/>
      <c r="NRB88" s="996"/>
      <c r="NRC88" s="996"/>
      <c r="NRD88" s="996"/>
      <c r="NRE88" s="996"/>
      <c r="NRF88" s="996"/>
      <c r="NRG88" s="996"/>
      <c r="NRH88" s="996"/>
      <c r="NRI88" s="996"/>
      <c r="NRJ88" s="996"/>
      <c r="NRK88" s="996"/>
      <c r="NRL88" s="996"/>
      <c r="NRM88" s="996"/>
      <c r="NRN88" s="996"/>
      <c r="NRO88" s="996"/>
      <c r="NRP88" s="996"/>
      <c r="NRQ88" s="996"/>
      <c r="NRR88" s="996"/>
      <c r="NRS88" s="996"/>
      <c r="NRT88" s="996"/>
      <c r="NRU88" s="996"/>
      <c r="NRV88" s="996"/>
      <c r="NRW88" s="996"/>
      <c r="NRX88" s="996"/>
      <c r="NRY88" s="996"/>
      <c r="NRZ88" s="996"/>
      <c r="NSA88" s="996"/>
      <c r="NSB88" s="996"/>
      <c r="NSC88" s="996"/>
      <c r="NSD88" s="996"/>
      <c r="NSE88" s="996"/>
      <c r="NSF88" s="996"/>
      <c r="NSG88" s="996"/>
      <c r="NSH88" s="996"/>
      <c r="NSI88" s="996"/>
      <c r="NSJ88" s="996"/>
      <c r="NSK88" s="996"/>
      <c r="NSL88" s="996"/>
      <c r="NSM88" s="996"/>
      <c r="NSN88" s="996"/>
      <c r="NSO88" s="996"/>
      <c r="NSP88" s="996"/>
      <c r="NSQ88" s="996"/>
      <c r="NSR88" s="996"/>
      <c r="NSS88" s="996"/>
      <c r="NST88" s="996"/>
      <c r="NSU88" s="996"/>
      <c r="NSV88" s="996"/>
      <c r="NSW88" s="996"/>
      <c r="NSX88" s="996"/>
      <c r="NSY88" s="996"/>
      <c r="NSZ88" s="996"/>
      <c r="NTA88" s="996"/>
      <c r="NTB88" s="996"/>
      <c r="NTC88" s="996"/>
      <c r="NTD88" s="996"/>
      <c r="NTE88" s="996"/>
      <c r="NTF88" s="996"/>
      <c r="NTG88" s="996"/>
      <c r="NTH88" s="996"/>
      <c r="NTI88" s="996"/>
      <c r="NTJ88" s="996"/>
      <c r="NTK88" s="996"/>
      <c r="NTL88" s="996"/>
      <c r="NTM88" s="996"/>
      <c r="NTN88" s="996"/>
      <c r="NTO88" s="996"/>
      <c r="NTP88" s="996"/>
      <c r="NTQ88" s="996"/>
      <c r="NTR88" s="996"/>
      <c r="NTS88" s="996"/>
      <c r="NTT88" s="996"/>
      <c r="NTU88" s="996"/>
      <c r="NTV88" s="996"/>
      <c r="NTW88" s="996"/>
      <c r="NTX88" s="996"/>
      <c r="NTY88" s="996"/>
      <c r="NTZ88" s="996"/>
      <c r="NUA88" s="996"/>
      <c r="NUB88" s="996"/>
      <c r="NUC88" s="996"/>
      <c r="NUD88" s="996"/>
      <c r="NUE88" s="996"/>
      <c r="NUF88" s="996"/>
      <c r="NUG88" s="996"/>
      <c r="NUH88" s="996"/>
      <c r="NUI88" s="996"/>
      <c r="NUJ88" s="996"/>
      <c r="NUK88" s="996"/>
      <c r="NUL88" s="996"/>
      <c r="NUM88" s="996"/>
      <c r="NUN88" s="996"/>
      <c r="NUO88" s="996"/>
      <c r="NUP88" s="996"/>
      <c r="NUQ88" s="996"/>
      <c r="NUR88" s="996"/>
      <c r="NUS88" s="996"/>
      <c r="NUT88" s="996"/>
      <c r="NUU88" s="996"/>
      <c r="NUV88" s="996"/>
      <c r="NUW88" s="996"/>
      <c r="NUX88" s="996"/>
      <c r="NUY88" s="996"/>
      <c r="NUZ88" s="996"/>
      <c r="NVA88" s="996"/>
      <c r="NVB88" s="996"/>
      <c r="NVC88" s="996"/>
      <c r="NVD88" s="996"/>
      <c r="NVE88" s="996"/>
      <c r="NVF88" s="996"/>
      <c r="NVG88" s="996"/>
      <c r="NVH88" s="996"/>
      <c r="NVI88" s="996"/>
      <c r="NVJ88" s="996"/>
      <c r="NVK88" s="996"/>
      <c r="NVL88" s="996"/>
      <c r="NVM88" s="996"/>
      <c r="NVN88" s="996"/>
      <c r="NVO88" s="996"/>
      <c r="NVP88" s="996"/>
      <c r="NVQ88" s="996"/>
      <c r="NVR88" s="996"/>
      <c r="NVS88" s="996"/>
      <c r="NVT88" s="996"/>
      <c r="NVU88" s="996"/>
      <c r="NVV88" s="996"/>
      <c r="NVW88" s="996"/>
      <c r="NVX88" s="996"/>
      <c r="NVY88" s="996"/>
      <c r="NVZ88" s="996"/>
      <c r="NWA88" s="996"/>
      <c r="NWB88" s="996"/>
      <c r="NWC88" s="996"/>
      <c r="NWD88" s="996"/>
      <c r="NWE88" s="996"/>
      <c r="NWF88" s="996"/>
      <c r="NWG88" s="996"/>
      <c r="NWH88" s="996"/>
      <c r="NWI88" s="996"/>
      <c r="NWJ88" s="996"/>
      <c r="NWK88" s="996"/>
      <c r="NWL88" s="996"/>
      <c r="NWM88" s="996"/>
      <c r="NWN88" s="996"/>
      <c r="NWO88" s="996"/>
      <c r="NWP88" s="996"/>
      <c r="NWQ88" s="996"/>
      <c r="NWR88" s="996"/>
      <c r="NWS88" s="996"/>
      <c r="NWT88" s="996"/>
      <c r="NWU88" s="996"/>
      <c r="NWV88" s="996"/>
      <c r="NWW88" s="996"/>
      <c r="NWX88" s="996"/>
      <c r="NWY88" s="996"/>
      <c r="NWZ88" s="996"/>
      <c r="NXA88" s="996"/>
      <c r="NXB88" s="996"/>
      <c r="NXC88" s="996"/>
      <c r="NXD88" s="996"/>
      <c r="NXE88" s="996"/>
      <c r="NXF88" s="996"/>
      <c r="NXG88" s="996"/>
      <c r="NXH88" s="996"/>
      <c r="NXI88" s="996"/>
      <c r="NXJ88" s="996"/>
      <c r="NXK88" s="996"/>
      <c r="NXL88" s="996"/>
      <c r="NXM88" s="996"/>
      <c r="NXN88" s="996"/>
      <c r="NXO88" s="996"/>
      <c r="NXP88" s="996"/>
      <c r="NXQ88" s="996"/>
      <c r="NXR88" s="996"/>
      <c r="NXS88" s="996"/>
      <c r="NXT88" s="996"/>
      <c r="NXU88" s="996"/>
      <c r="NXV88" s="996"/>
      <c r="NXW88" s="996"/>
      <c r="NXX88" s="996"/>
      <c r="NXY88" s="996"/>
      <c r="NXZ88" s="996"/>
      <c r="NYA88" s="996"/>
      <c r="NYB88" s="996"/>
      <c r="NYC88" s="996"/>
      <c r="NYD88" s="996"/>
      <c r="NYE88" s="996"/>
      <c r="NYF88" s="996"/>
      <c r="NYG88" s="996"/>
      <c r="NYH88" s="996"/>
      <c r="NYI88" s="996"/>
      <c r="NYJ88" s="996"/>
      <c r="NYK88" s="996"/>
      <c r="NYL88" s="996"/>
      <c r="NYM88" s="996"/>
      <c r="NYN88" s="996"/>
      <c r="NYO88" s="996"/>
      <c r="NYP88" s="996"/>
      <c r="NYQ88" s="996"/>
      <c r="NYR88" s="996"/>
      <c r="NYS88" s="996"/>
      <c r="NYT88" s="996"/>
      <c r="NYU88" s="996"/>
      <c r="NYV88" s="996"/>
      <c r="NYW88" s="996"/>
      <c r="NYX88" s="996"/>
      <c r="NYY88" s="996"/>
      <c r="NYZ88" s="996"/>
      <c r="NZA88" s="996"/>
      <c r="NZB88" s="996"/>
      <c r="NZC88" s="996"/>
      <c r="NZD88" s="996"/>
      <c r="NZE88" s="996"/>
      <c r="NZF88" s="996"/>
      <c r="NZG88" s="996"/>
      <c r="NZH88" s="996"/>
      <c r="NZI88" s="996"/>
      <c r="NZJ88" s="996"/>
      <c r="NZK88" s="996"/>
      <c r="NZL88" s="996"/>
      <c r="NZM88" s="996"/>
      <c r="NZN88" s="996"/>
      <c r="NZO88" s="996"/>
      <c r="NZP88" s="996"/>
      <c r="NZQ88" s="996"/>
      <c r="NZR88" s="996"/>
      <c r="NZS88" s="996"/>
      <c r="NZT88" s="996"/>
      <c r="NZU88" s="996"/>
      <c r="NZV88" s="996"/>
      <c r="NZW88" s="996"/>
      <c r="NZX88" s="996"/>
      <c r="NZY88" s="996"/>
      <c r="NZZ88" s="996"/>
      <c r="OAA88" s="996"/>
      <c r="OAB88" s="996"/>
      <c r="OAC88" s="996"/>
      <c r="OAD88" s="996"/>
      <c r="OAE88" s="996"/>
      <c r="OAF88" s="996"/>
      <c r="OAG88" s="996"/>
      <c r="OAH88" s="996"/>
      <c r="OAI88" s="996"/>
      <c r="OAJ88" s="996"/>
      <c r="OAK88" s="996"/>
      <c r="OAL88" s="996"/>
      <c r="OAM88" s="996"/>
      <c r="OAN88" s="996"/>
      <c r="OAO88" s="996"/>
      <c r="OAP88" s="996"/>
      <c r="OAQ88" s="996"/>
      <c r="OAR88" s="996"/>
      <c r="OAS88" s="996"/>
      <c r="OAT88" s="996"/>
      <c r="OAU88" s="996"/>
      <c r="OAV88" s="996"/>
      <c r="OAW88" s="996"/>
      <c r="OAX88" s="996"/>
      <c r="OAY88" s="996"/>
      <c r="OAZ88" s="996"/>
      <c r="OBA88" s="996"/>
      <c r="OBB88" s="996"/>
      <c r="OBC88" s="996"/>
      <c r="OBD88" s="996"/>
      <c r="OBE88" s="996"/>
      <c r="OBF88" s="996"/>
      <c r="OBG88" s="996"/>
      <c r="OBH88" s="996"/>
      <c r="OBI88" s="996"/>
      <c r="OBJ88" s="996"/>
      <c r="OBK88" s="996"/>
      <c r="OBL88" s="996"/>
      <c r="OBM88" s="996"/>
      <c r="OBN88" s="996"/>
      <c r="OBO88" s="996"/>
      <c r="OBP88" s="996"/>
      <c r="OBQ88" s="996"/>
      <c r="OBR88" s="996"/>
      <c r="OBS88" s="996"/>
      <c r="OBT88" s="996"/>
      <c r="OBU88" s="996"/>
      <c r="OBV88" s="996"/>
      <c r="OBW88" s="996"/>
      <c r="OBX88" s="996"/>
      <c r="OBY88" s="996"/>
      <c r="OBZ88" s="996"/>
      <c r="OCA88" s="996"/>
      <c r="OCB88" s="996"/>
      <c r="OCC88" s="996"/>
      <c r="OCD88" s="996"/>
      <c r="OCE88" s="996"/>
      <c r="OCF88" s="996"/>
      <c r="OCG88" s="996"/>
      <c r="OCH88" s="996"/>
      <c r="OCI88" s="996"/>
      <c r="OCJ88" s="996"/>
      <c r="OCK88" s="996"/>
      <c r="OCL88" s="996"/>
      <c r="OCM88" s="996"/>
      <c r="OCN88" s="996"/>
      <c r="OCO88" s="996"/>
      <c r="OCP88" s="996"/>
      <c r="OCQ88" s="996"/>
      <c r="OCR88" s="996"/>
      <c r="OCS88" s="996"/>
      <c r="OCT88" s="996"/>
      <c r="OCU88" s="996"/>
      <c r="OCV88" s="996"/>
      <c r="OCW88" s="996"/>
      <c r="OCX88" s="996"/>
      <c r="OCY88" s="996"/>
      <c r="OCZ88" s="996"/>
      <c r="ODA88" s="996"/>
      <c r="ODB88" s="996"/>
      <c r="ODC88" s="996"/>
      <c r="ODD88" s="996"/>
      <c r="ODE88" s="996"/>
      <c r="ODF88" s="996"/>
      <c r="ODG88" s="996"/>
      <c r="ODH88" s="996"/>
      <c r="ODI88" s="996"/>
      <c r="ODJ88" s="996"/>
      <c r="ODK88" s="996"/>
      <c r="ODL88" s="996"/>
      <c r="ODM88" s="996"/>
      <c r="ODN88" s="996"/>
      <c r="ODO88" s="996"/>
      <c r="ODP88" s="996"/>
      <c r="ODQ88" s="996"/>
      <c r="ODR88" s="996"/>
      <c r="ODS88" s="996"/>
      <c r="ODT88" s="996"/>
      <c r="ODU88" s="996"/>
      <c r="ODV88" s="996"/>
      <c r="ODW88" s="996"/>
      <c r="ODX88" s="996"/>
      <c r="ODY88" s="996"/>
      <c r="ODZ88" s="996"/>
      <c r="OEA88" s="996"/>
      <c r="OEB88" s="996"/>
      <c r="OEC88" s="996"/>
      <c r="OED88" s="996"/>
      <c r="OEE88" s="996"/>
      <c r="OEF88" s="996"/>
      <c r="OEG88" s="996"/>
      <c r="OEH88" s="996"/>
      <c r="OEI88" s="996"/>
      <c r="OEJ88" s="996"/>
      <c r="OEK88" s="996"/>
      <c r="OEL88" s="996"/>
      <c r="OEM88" s="996"/>
      <c r="OEN88" s="996"/>
      <c r="OEO88" s="996"/>
      <c r="OEP88" s="996"/>
      <c r="OEQ88" s="996"/>
      <c r="OER88" s="996"/>
      <c r="OES88" s="996"/>
      <c r="OET88" s="996"/>
      <c r="OEU88" s="996"/>
      <c r="OEV88" s="996"/>
      <c r="OEW88" s="996"/>
      <c r="OEX88" s="996"/>
      <c r="OEY88" s="996"/>
      <c r="OEZ88" s="996"/>
      <c r="OFA88" s="996"/>
      <c r="OFB88" s="996"/>
      <c r="OFC88" s="996"/>
      <c r="OFD88" s="996"/>
      <c r="OFE88" s="996"/>
      <c r="OFF88" s="996"/>
      <c r="OFG88" s="996"/>
      <c r="OFH88" s="996"/>
      <c r="OFI88" s="996"/>
      <c r="OFJ88" s="996"/>
      <c r="OFK88" s="996"/>
      <c r="OFL88" s="996"/>
      <c r="OFM88" s="996"/>
      <c r="OFN88" s="996"/>
      <c r="OFO88" s="996"/>
      <c r="OFP88" s="996"/>
      <c r="OFQ88" s="996"/>
      <c r="OFR88" s="996"/>
      <c r="OFS88" s="996"/>
      <c r="OFT88" s="996"/>
      <c r="OFU88" s="996"/>
      <c r="OFV88" s="996"/>
      <c r="OFW88" s="996"/>
      <c r="OFX88" s="996"/>
      <c r="OFY88" s="996"/>
      <c r="OFZ88" s="996"/>
      <c r="OGA88" s="996"/>
      <c r="OGB88" s="996"/>
      <c r="OGC88" s="996"/>
      <c r="OGD88" s="996"/>
      <c r="OGE88" s="996"/>
      <c r="OGF88" s="996"/>
      <c r="OGG88" s="996"/>
      <c r="OGH88" s="996"/>
      <c r="OGI88" s="996"/>
      <c r="OGJ88" s="996"/>
      <c r="OGK88" s="996"/>
      <c r="OGL88" s="996"/>
      <c r="OGM88" s="996"/>
      <c r="OGN88" s="996"/>
      <c r="OGO88" s="996"/>
      <c r="OGP88" s="996"/>
      <c r="OGQ88" s="996"/>
      <c r="OGR88" s="996"/>
      <c r="OGS88" s="996"/>
      <c r="OGT88" s="996"/>
      <c r="OGU88" s="996"/>
      <c r="OGV88" s="996"/>
      <c r="OGW88" s="996"/>
      <c r="OGX88" s="996"/>
      <c r="OGY88" s="996"/>
      <c r="OGZ88" s="996"/>
      <c r="OHA88" s="996"/>
      <c r="OHB88" s="996"/>
      <c r="OHC88" s="996"/>
      <c r="OHD88" s="996"/>
      <c r="OHE88" s="996"/>
      <c r="OHF88" s="996"/>
      <c r="OHG88" s="996"/>
      <c r="OHH88" s="996"/>
      <c r="OHI88" s="996"/>
      <c r="OHJ88" s="996"/>
      <c r="OHK88" s="996"/>
      <c r="OHL88" s="996"/>
      <c r="OHM88" s="996"/>
      <c r="OHN88" s="996"/>
      <c r="OHO88" s="996"/>
      <c r="OHP88" s="996"/>
      <c r="OHQ88" s="996"/>
      <c r="OHR88" s="996"/>
      <c r="OHS88" s="996"/>
      <c r="OHT88" s="996"/>
      <c r="OHU88" s="996"/>
      <c r="OHV88" s="996"/>
      <c r="OHW88" s="996"/>
      <c r="OHX88" s="996"/>
      <c r="OHY88" s="996"/>
      <c r="OHZ88" s="996"/>
      <c r="OIA88" s="996"/>
      <c r="OIB88" s="996"/>
      <c r="OIC88" s="996"/>
      <c r="OID88" s="996"/>
      <c r="OIE88" s="996"/>
      <c r="OIF88" s="996"/>
      <c r="OIG88" s="996"/>
      <c r="OIH88" s="996"/>
      <c r="OII88" s="996"/>
      <c r="OIJ88" s="996"/>
      <c r="OIK88" s="996"/>
      <c r="OIL88" s="996"/>
      <c r="OIM88" s="996"/>
      <c r="OIN88" s="996"/>
      <c r="OIO88" s="996"/>
      <c r="OIP88" s="996"/>
      <c r="OIQ88" s="996"/>
      <c r="OIR88" s="996"/>
      <c r="OIS88" s="996"/>
      <c r="OIT88" s="996"/>
      <c r="OIU88" s="996"/>
      <c r="OIV88" s="996"/>
      <c r="OIW88" s="996"/>
      <c r="OIX88" s="996"/>
      <c r="OIY88" s="996"/>
      <c r="OIZ88" s="996"/>
      <c r="OJA88" s="996"/>
      <c r="OJB88" s="996"/>
      <c r="OJC88" s="996"/>
      <c r="OJD88" s="996"/>
      <c r="OJE88" s="996"/>
      <c r="OJF88" s="996"/>
      <c r="OJG88" s="996"/>
      <c r="OJH88" s="996"/>
      <c r="OJI88" s="996"/>
      <c r="OJJ88" s="996"/>
      <c r="OJK88" s="996"/>
      <c r="OJL88" s="996"/>
      <c r="OJM88" s="996"/>
      <c r="OJN88" s="996"/>
      <c r="OJO88" s="996"/>
      <c r="OJP88" s="996"/>
      <c r="OJQ88" s="996"/>
      <c r="OJR88" s="996"/>
      <c r="OJS88" s="996"/>
      <c r="OJT88" s="996"/>
      <c r="OJU88" s="996"/>
      <c r="OJV88" s="996"/>
      <c r="OJW88" s="996"/>
      <c r="OJX88" s="996"/>
      <c r="OJY88" s="996"/>
      <c r="OJZ88" s="996"/>
      <c r="OKA88" s="996"/>
      <c r="OKB88" s="996"/>
      <c r="OKC88" s="996"/>
      <c r="OKD88" s="996"/>
      <c r="OKE88" s="996"/>
      <c r="OKF88" s="996"/>
      <c r="OKG88" s="996"/>
      <c r="OKH88" s="996"/>
      <c r="OKI88" s="996"/>
      <c r="OKJ88" s="996"/>
      <c r="OKK88" s="996"/>
      <c r="OKL88" s="996"/>
      <c r="OKM88" s="996"/>
      <c r="OKN88" s="996"/>
      <c r="OKO88" s="996"/>
      <c r="OKP88" s="996"/>
      <c r="OKQ88" s="996"/>
      <c r="OKR88" s="996"/>
      <c r="OKS88" s="996"/>
      <c r="OKT88" s="996"/>
      <c r="OKU88" s="996"/>
      <c r="OKV88" s="996"/>
      <c r="OKW88" s="996"/>
      <c r="OKX88" s="996"/>
      <c r="OKY88" s="996"/>
      <c r="OKZ88" s="996"/>
      <c r="OLA88" s="996"/>
      <c r="OLB88" s="996"/>
      <c r="OLC88" s="996"/>
      <c r="OLD88" s="996"/>
      <c r="OLE88" s="996"/>
      <c r="OLF88" s="996"/>
      <c r="OLG88" s="996"/>
      <c r="OLH88" s="996"/>
      <c r="OLI88" s="996"/>
      <c r="OLJ88" s="996"/>
      <c r="OLK88" s="996"/>
      <c r="OLL88" s="996"/>
      <c r="OLM88" s="996"/>
      <c r="OLN88" s="996"/>
      <c r="OLO88" s="996"/>
      <c r="OLP88" s="996"/>
      <c r="OLQ88" s="996"/>
      <c r="OLR88" s="996"/>
      <c r="OLS88" s="996"/>
      <c r="OLT88" s="996"/>
      <c r="OLU88" s="996"/>
      <c r="OLV88" s="996"/>
      <c r="OLW88" s="996"/>
      <c r="OLX88" s="996"/>
      <c r="OLY88" s="996"/>
      <c r="OLZ88" s="996"/>
      <c r="OMA88" s="996"/>
      <c r="OMB88" s="996"/>
      <c r="OMC88" s="996"/>
      <c r="OMD88" s="996"/>
      <c r="OME88" s="996"/>
      <c r="OMF88" s="996"/>
      <c r="OMG88" s="996"/>
      <c r="OMH88" s="996"/>
      <c r="OMI88" s="996"/>
      <c r="OMJ88" s="996"/>
      <c r="OMK88" s="996"/>
      <c r="OML88" s="996"/>
      <c r="OMM88" s="996"/>
      <c r="OMN88" s="996"/>
      <c r="OMO88" s="996"/>
      <c r="OMP88" s="996"/>
      <c r="OMQ88" s="996"/>
      <c r="OMR88" s="996"/>
      <c r="OMS88" s="996"/>
      <c r="OMT88" s="996"/>
      <c r="OMU88" s="996"/>
      <c r="OMV88" s="996"/>
      <c r="OMW88" s="996"/>
      <c r="OMX88" s="996"/>
      <c r="OMY88" s="996"/>
      <c r="OMZ88" s="996"/>
      <c r="ONA88" s="996"/>
      <c r="ONB88" s="996"/>
      <c r="ONC88" s="996"/>
      <c r="OND88" s="996"/>
      <c r="ONE88" s="996"/>
      <c r="ONF88" s="996"/>
      <c r="ONG88" s="996"/>
      <c r="ONH88" s="996"/>
      <c r="ONI88" s="996"/>
      <c r="ONJ88" s="996"/>
      <c r="ONK88" s="996"/>
      <c r="ONL88" s="996"/>
      <c r="ONM88" s="996"/>
      <c r="ONN88" s="996"/>
      <c r="ONO88" s="996"/>
      <c r="ONP88" s="996"/>
      <c r="ONQ88" s="996"/>
      <c r="ONR88" s="996"/>
      <c r="ONS88" s="996"/>
      <c r="ONT88" s="996"/>
      <c r="ONU88" s="996"/>
      <c r="ONV88" s="996"/>
      <c r="ONW88" s="996"/>
      <c r="ONX88" s="996"/>
      <c r="ONY88" s="996"/>
      <c r="ONZ88" s="996"/>
      <c r="OOA88" s="996"/>
      <c r="OOB88" s="996"/>
      <c r="OOC88" s="996"/>
      <c r="OOD88" s="996"/>
      <c r="OOE88" s="996"/>
      <c r="OOF88" s="996"/>
      <c r="OOG88" s="996"/>
      <c r="OOH88" s="996"/>
      <c r="OOI88" s="996"/>
      <c r="OOJ88" s="996"/>
      <c r="OOK88" s="996"/>
      <c r="OOL88" s="996"/>
      <c r="OOM88" s="996"/>
      <c r="OON88" s="996"/>
      <c r="OOO88" s="996"/>
      <c r="OOP88" s="996"/>
      <c r="OOQ88" s="996"/>
      <c r="OOR88" s="996"/>
      <c r="OOS88" s="996"/>
      <c r="OOT88" s="996"/>
      <c r="OOU88" s="996"/>
      <c r="OOV88" s="996"/>
      <c r="OOW88" s="996"/>
      <c r="OOX88" s="996"/>
      <c r="OOY88" s="996"/>
      <c r="OOZ88" s="996"/>
      <c r="OPA88" s="996"/>
      <c r="OPB88" s="996"/>
      <c r="OPC88" s="996"/>
      <c r="OPD88" s="996"/>
      <c r="OPE88" s="996"/>
      <c r="OPF88" s="996"/>
      <c r="OPG88" s="996"/>
      <c r="OPH88" s="996"/>
      <c r="OPI88" s="996"/>
      <c r="OPJ88" s="996"/>
      <c r="OPK88" s="996"/>
      <c r="OPL88" s="996"/>
      <c r="OPM88" s="996"/>
      <c r="OPN88" s="996"/>
      <c r="OPO88" s="996"/>
      <c r="OPP88" s="996"/>
      <c r="OPQ88" s="996"/>
      <c r="OPR88" s="996"/>
      <c r="OPS88" s="996"/>
      <c r="OPT88" s="996"/>
      <c r="OPU88" s="996"/>
      <c r="OPV88" s="996"/>
      <c r="OPW88" s="996"/>
      <c r="OPX88" s="996"/>
      <c r="OPY88" s="996"/>
      <c r="OPZ88" s="996"/>
      <c r="OQA88" s="996"/>
      <c r="OQB88" s="996"/>
      <c r="OQC88" s="996"/>
      <c r="OQD88" s="996"/>
      <c r="OQE88" s="996"/>
      <c r="OQF88" s="996"/>
      <c r="OQG88" s="996"/>
      <c r="OQH88" s="996"/>
      <c r="OQI88" s="996"/>
      <c r="OQJ88" s="996"/>
      <c r="OQK88" s="996"/>
      <c r="OQL88" s="996"/>
      <c r="OQM88" s="996"/>
      <c r="OQN88" s="996"/>
      <c r="OQO88" s="996"/>
      <c r="OQP88" s="996"/>
      <c r="OQQ88" s="996"/>
      <c r="OQR88" s="996"/>
      <c r="OQS88" s="996"/>
      <c r="OQT88" s="996"/>
      <c r="OQU88" s="996"/>
      <c r="OQV88" s="996"/>
      <c r="OQW88" s="996"/>
      <c r="OQX88" s="996"/>
      <c r="OQY88" s="996"/>
      <c r="OQZ88" s="996"/>
      <c r="ORA88" s="996"/>
      <c r="ORB88" s="996"/>
      <c r="ORC88" s="996"/>
      <c r="ORD88" s="996"/>
      <c r="ORE88" s="996"/>
      <c r="ORF88" s="996"/>
      <c r="ORG88" s="996"/>
      <c r="ORH88" s="996"/>
      <c r="ORI88" s="996"/>
      <c r="ORJ88" s="996"/>
      <c r="ORK88" s="996"/>
      <c r="ORL88" s="996"/>
      <c r="ORM88" s="996"/>
      <c r="ORN88" s="996"/>
      <c r="ORO88" s="996"/>
      <c r="ORP88" s="996"/>
      <c r="ORQ88" s="996"/>
      <c r="ORR88" s="996"/>
      <c r="ORS88" s="996"/>
      <c r="ORT88" s="996"/>
      <c r="ORU88" s="996"/>
      <c r="ORV88" s="996"/>
      <c r="ORW88" s="996"/>
      <c r="ORX88" s="996"/>
      <c r="ORY88" s="996"/>
      <c r="ORZ88" s="996"/>
      <c r="OSA88" s="996"/>
      <c r="OSB88" s="996"/>
      <c r="OSC88" s="996"/>
      <c r="OSD88" s="996"/>
      <c r="OSE88" s="996"/>
      <c r="OSF88" s="996"/>
      <c r="OSG88" s="996"/>
      <c r="OSH88" s="996"/>
      <c r="OSI88" s="996"/>
      <c r="OSJ88" s="996"/>
      <c r="OSK88" s="996"/>
      <c r="OSL88" s="996"/>
      <c r="OSM88" s="996"/>
      <c r="OSN88" s="996"/>
      <c r="OSO88" s="996"/>
      <c r="OSP88" s="996"/>
      <c r="OSQ88" s="996"/>
      <c r="OSR88" s="996"/>
      <c r="OSS88" s="996"/>
      <c r="OST88" s="996"/>
      <c r="OSU88" s="996"/>
      <c r="OSV88" s="996"/>
      <c r="OSW88" s="996"/>
      <c r="OSX88" s="996"/>
      <c r="OSY88" s="996"/>
      <c r="OSZ88" s="996"/>
      <c r="OTA88" s="996"/>
      <c r="OTB88" s="996"/>
      <c r="OTC88" s="996"/>
      <c r="OTD88" s="996"/>
      <c r="OTE88" s="996"/>
      <c r="OTF88" s="996"/>
      <c r="OTG88" s="996"/>
      <c r="OTH88" s="996"/>
      <c r="OTI88" s="996"/>
      <c r="OTJ88" s="996"/>
      <c r="OTK88" s="996"/>
      <c r="OTL88" s="996"/>
      <c r="OTM88" s="996"/>
      <c r="OTN88" s="996"/>
      <c r="OTO88" s="996"/>
      <c r="OTP88" s="996"/>
      <c r="OTQ88" s="996"/>
      <c r="OTR88" s="996"/>
      <c r="OTS88" s="996"/>
      <c r="OTT88" s="996"/>
      <c r="OTU88" s="996"/>
      <c r="OTV88" s="996"/>
      <c r="OTW88" s="996"/>
      <c r="OTX88" s="996"/>
      <c r="OTY88" s="996"/>
      <c r="OTZ88" s="996"/>
      <c r="OUA88" s="996"/>
      <c r="OUB88" s="996"/>
      <c r="OUC88" s="996"/>
      <c r="OUD88" s="996"/>
      <c r="OUE88" s="996"/>
      <c r="OUF88" s="996"/>
      <c r="OUG88" s="996"/>
      <c r="OUH88" s="996"/>
      <c r="OUI88" s="996"/>
      <c r="OUJ88" s="996"/>
      <c r="OUK88" s="996"/>
      <c r="OUL88" s="996"/>
      <c r="OUM88" s="996"/>
      <c r="OUN88" s="996"/>
      <c r="OUO88" s="996"/>
      <c r="OUP88" s="996"/>
      <c r="OUQ88" s="996"/>
      <c r="OUR88" s="996"/>
      <c r="OUS88" s="996"/>
      <c r="OUT88" s="996"/>
      <c r="OUU88" s="996"/>
      <c r="OUV88" s="996"/>
      <c r="OUW88" s="996"/>
      <c r="OUX88" s="996"/>
      <c r="OUY88" s="996"/>
      <c r="OUZ88" s="996"/>
      <c r="OVA88" s="996"/>
      <c r="OVB88" s="996"/>
      <c r="OVC88" s="996"/>
      <c r="OVD88" s="996"/>
      <c r="OVE88" s="996"/>
      <c r="OVF88" s="996"/>
      <c r="OVG88" s="996"/>
      <c r="OVH88" s="996"/>
      <c r="OVI88" s="996"/>
      <c r="OVJ88" s="996"/>
      <c r="OVK88" s="996"/>
      <c r="OVL88" s="996"/>
      <c r="OVM88" s="996"/>
      <c r="OVN88" s="996"/>
      <c r="OVO88" s="996"/>
      <c r="OVP88" s="996"/>
      <c r="OVQ88" s="996"/>
      <c r="OVR88" s="996"/>
      <c r="OVS88" s="996"/>
      <c r="OVT88" s="996"/>
      <c r="OVU88" s="996"/>
      <c r="OVV88" s="996"/>
      <c r="OVW88" s="996"/>
      <c r="OVX88" s="996"/>
      <c r="OVY88" s="996"/>
      <c r="OVZ88" s="996"/>
      <c r="OWA88" s="996"/>
      <c r="OWB88" s="996"/>
      <c r="OWC88" s="996"/>
      <c r="OWD88" s="996"/>
      <c r="OWE88" s="996"/>
      <c r="OWF88" s="996"/>
      <c r="OWG88" s="996"/>
      <c r="OWH88" s="996"/>
      <c r="OWI88" s="996"/>
      <c r="OWJ88" s="996"/>
      <c r="OWK88" s="996"/>
      <c r="OWL88" s="996"/>
      <c r="OWM88" s="996"/>
      <c r="OWN88" s="996"/>
      <c r="OWO88" s="996"/>
      <c r="OWP88" s="996"/>
      <c r="OWQ88" s="996"/>
      <c r="OWR88" s="996"/>
      <c r="OWS88" s="996"/>
      <c r="OWT88" s="996"/>
      <c r="OWU88" s="996"/>
      <c r="OWV88" s="996"/>
      <c r="OWW88" s="996"/>
      <c r="OWX88" s="996"/>
      <c r="OWY88" s="996"/>
      <c r="OWZ88" s="996"/>
      <c r="OXA88" s="996"/>
      <c r="OXB88" s="996"/>
      <c r="OXC88" s="996"/>
      <c r="OXD88" s="996"/>
      <c r="OXE88" s="996"/>
      <c r="OXF88" s="996"/>
      <c r="OXG88" s="996"/>
      <c r="OXH88" s="996"/>
      <c r="OXI88" s="996"/>
      <c r="OXJ88" s="996"/>
      <c r="OXK88" s="996"/>
      <c r="OXL88" s="996"/>
      <c r="OXM88" s="996"/>
      <c r="OXN88" s="996"/>
      <c r="OXO88" s="996"/>
      <c r="OXP88" s="996"/>
      <c r="OXQ88" s="996"/>
      <c r="OXR88" s="996"/>
      <c r="OXS88" s="996"/>
      <c r="OXT88" s="996"/>
      <c r="OXU88" s="996"/>
      <c r="OXV88" s="996"/>
      <c r="OXW88" s="996"/>
      <c r="OXX88" s="996"/>
      <c r="OXY88" s="996"/>
      <c r="OXZ88" s="996"/>
      <c r="OYA88" s="996"/>
      <c r="OYB88" s="996"/>
      <c r="OYC88" s="996"/>
      <c r="OYD88" s="996"/>
      <c r="OYE88" s="996"/>
      <c r="OYF88" s="996"/>
      <c r="OYG88" s="996"/>
      <c r="OYH88" s="996"/>
      <c r="OYI88" s="996"/>
      <c r="OYJ88" s="996"/>
      <c r="OYK88" s="996"/>
      <c r="OYL88" s="996"/>
      <c r="OYM88" s="996"/>
      <c r="OYN88" s="996"/>
      <c r="OYO88" s="996"/>
      <c r="OYP88" s="996"/>
      <c r="OYQ88" s="996"/>
      <c r="OYR88" s="996"/>
      <c r="OYS88" s="996"/>
      <c r="OYT88" s="996"/>
      <c r="OYU88" s="996"/>
      <c r="OYV88" s="996"/>
      <c r="OYW88" s="996"/>
      <c r="OYX88" s="996"/>
      <c r="OYY88" s="996"/>
      <c r="OYZ88" s="996"/>
      <c r="OZA88" s="996"/>
      <c r="OZB88" s="996"/>
      <c r="OZC88" s="996"/>
      <c r="OZD88" s="996"/>
      <c r="OZE88" s="996"/>
      <c r="OZF88" s="996"/>
      <c r="OZG88" s="996"/>
      <c r="OZH88" s="996"/>
      <c r="OZI88" s="996"/>
      <c r="OZJ88" s="996"/>
      <c r="OZK88" s="996"/>
      <c r="OZL88" s="996"/>
      <c r="OZM88" s="996"/>
      <c r="OZN88" s="996"/>
      <c r="OZO88" s="996"/>
      <c r="OZP88" s="996"/>
      <c r="OZQ88" s="996"/>
      <c r="OZR88" s="996"/>
      <c r="OZS88" s="996"/>
      <c r="OZT88" s="996"/>
      <c r="OZU88" s="996"/>
      <c r="OZV88" s="996"/>
      <c r="OZW88" s="996"/>
      <c r="OZX88" s="996"/>
      <c r="OZY88" s="996"/>
      <c r="OZZ88" s="996"/>
      <c r="PAA88" s="996"/>
      <c r="PAB88" s="996"/>
      <c r="PAC88" s="996"/>
      <c r="PAD88" s="996"/>
      <c r="PAE88" s="996"/>
      <c r="PAF88" s="996"/>
      <c r="PAG88" s="996"/>
      <c r="PAH88" s="996"/>
      <c r="PAI88" s="996"/>
      <c r="PAJ88" s="996"/>
      <c r="PAK88" s="996"/>
      <c r="PAL88" s="996"/>
      <c r="PAM88" s="996"/>
      <c r="PAN88" s="996"/>
      <c r="PAO88" s="996"/>
      <c r="PAP88" s="996"/>
      <c r="PAQ88" s="996"/>
      <c r="PAR88" s="996"/>
      <c r="PAS88" s="996"/>
      <c r="PAT88" s="996"/>
      <c r="PAU88" s="996"/>
      <c r="PAV88" s="996"/>
      <c r="PAW88" s="996"/>
      <c r="PAX88" s="996"/>
      <c r="PAY88" s="996"/>
      <c r="PAZ88" s="996"/>
      <c r="PBA88" s="996"/>
      <c r="PBB88" s="996"/>
      <c r="PBC88" s="996"/>
      <c r="PBD88" s="996"/>
      <c r="PBE88" s="996"/>
      <c r="PBF88" s="996"/>
      <c r="PBG88" s="996"/>
      <c r="PBH88" s="996"/>
      <c r="PBI88" s="996"/>
      <c r="PBJ88" s="996"/>
      <c r="PBK88" s="996"/>
      <c r="PBL88" s="996"/>
      <c r="PBM88" s="996"/>
      <c r="PBN88" s="996"/>
      <c r="PBO88" s="996"/>
      <c r="PBP88" s="996"/>
      <c r="PBQ88" s="996"/>
      <c r="PBR88" s="996"/>
      <c r="PBS88" s="996"/>
      <c r="PBT88" s="996"/>
      <c r="PBU88" s="996"/>
      <c r="PBV88" s="996"/>
      <c r="PBW88" s="996"/>
      <c r="PBX88" s="996"/>
      <c r="PBY88" s="996"/>
      <c r="PBZ88" s="996"/>
      <c r="PCA88" s="996"/>
      <c r="PCB88" s="996"/>
      <c r="PCC88" s="996"/>
      <c r="PCD88" s="996"/>
      <c r="PCE88" s="996"/>
      <c r="PCF88" s="996"/>
      <c r="PCG88" s="996"/>
      <c r="PCH88" s="996"/>
      <c r="PCI88" s="996"/>
      <c r="PCJ88" s="996"/>
      <c r="PCK88" s="996"/>
      <c r="PCL88" s="996"/>
      <c r="PCM88" s="996"/>
      <c r="PCN88" s="996"/>
      <c r="PCO88" s="996"/>
      <c r="PCP88" s="996"/>
      <c r="PCQ88" s="996"/>
      <c r="PCR88" s="996"/>
      <c r="PCS88" s="996"/>
      <c r="PCT88" s="996"/>
      <c r="PCU88" s="996"/>
      <c r="PCV88" s="996"/>
      <c r="PCW88" s="996"/>
      <c r="PCX88" s="996"/>
      <c r="PCY88" s="996"/>
      <c r="PCZ88" s="996"/>
      <c r="PDA88" s="996"/>
      <c r="PDB88" s="996"/>
      <c r="PDC88" s="996"/>
      <c r="PDD88" s="996"/>
      <c r="PDE88" s="996"/>
      <c r="PDF88" s="996"/>
      <c r="PDG88" s="996"/>
      <c r="PDH88" s="996"/>
      <c r="PDI88" s="996"/>
      <c r="PDJ88" s="996"/>
      <c r="PDK88" s="996"/>
      <c r="PDL88" s="996"/>
      <c r="PDM88" s="996"/>
      <c r="PDN88" s="996"/>
      <c r="PDO88" s="996"/>
      <c r="PDP88" s="996"/>
      <c r="PDQ88" s="996"/>
      <c r="PDR88" s="996"/>
      <c r="PDS88" s="996"/>
      <c r="PDT88" s="996"/>
      <c r="PDU88" s="996"/>
      <c r="PDV88" s="996"/>
      <c r="PDW88" s="996"/>
      <c r="PDX88" s="996"/>
      <c r="PDY88" s="996"/>
      <c r="PDZ88" s="996"/>
      <c r="PEA88" s="996"/>
      <c r="PEB88" s="996"/>
      <c r="PEC88" s="996"/>
      <c r="PED88" s="996"/>
      <c r="PEE88" s="996"/>
      <c r="PEF88" s="996"/>
      <c r="PEG88" s="996"/>
      <c r="PEH88" s="996"/>
      <c r="PEI88" s="996"/>
      <c r="PEJ88" s="996"/>
      <c r="PEK88" s="996"/>
      <c r="PEL88" s="996"/>
      <c r="PEM88" s="996"/>
      <c r="PEN88" s="996"/>
      <c r="PEO88" s="996"/>
      <c r="PEP88" s="996"/>
      <c r="PEQ88" s="996"/>
      <c r="PER88" s="996"/>
      <c r="PES88" s="996"/>
      <c r="PET88" s="996"/>
      <c r="PEU88" s="996"/>
      <c r="PEV88" s="996"/>
      <c r="PEW88" s="996"/>
      <c r="PEX88" s="996"/>
      <c r="PEY88" s="996"/>
      <c r="PEZ88" s="996"/>
      <c r="PFA88" s="996"/>
      <c r="PFB88" s="996"/>
      <c r="PFC88" s="996"/>
      <c r="PFD88" s="996"/>
      <c r="PFE88" s="996"/>
      <c r="PFF88" s="996"/>
      <c r="PFG88" s="996"/>
      <c r="PFH88" s="996"/>
      <c r="PFI88" s="996"/>
      <c r="PFJ88" s="996"/>
      <c r="PFK88" s="996"/>
      <c r="PFL88" s="996"/>
      <c r="PFM88" s="996"/>
      <c r="PFN88" s="996"/>
      <c r="PFO88" s="996"/>
      <c r="PFP88" s="996"/>
      <c r="PFQ88" s="996"/>
      <c r="PFR88" s="996"/>
      <c r="PFS88" s="996"/>
      <c r="PFT88" s="996"/>
      <c r="PFU88" s="996"/>
      <c r="PFV88" s="996"/>
      <c r="PFW88" s="996"/>
      <c r="PFX88" s="996"/>
      <c r="PFY88" s="996"/>
      <c r="PFZ88" s="996"/>
      <c r="PGA88" s="996"/>
      <c r="PGB88" s="996"/>
      <c r="PGC88" s="996"/>
      <c r="PGD88" s="996"/>
      <c r="PGE88" s="996"/>
      <c r="PGF88" s="996"/>
      <c r="PGG88" s="996"/>
      <c r="PGH88" s="996"/>
      <c r="PGI88" s="996"/>
      <c r="PGJ88" s="996"/>
      <c r="PGK88" s="996"/>
      <c r="PGL88" s="996"/>
      <c r="PGM88" s="996"/>
      <c r="PGN88" s="996"/>
      <c r="PGO88" s="996"/>
      <c r="PGP88" s="996"/>
      <c r="PGQ88" s="996"/>
      <c r="PGR88" s="996"/>
      <c r="PGS88" s="996"/>
      <c r="PGT88" s="996"/>
      <c r="PGU88" s="996"/>
      <c r="PGV88" s="996"/>
      <c r="PGW88" s="996"/>
      <c r="PGX88" s="996"/>
      <c r="PGY88" s="996"/>
      <c r="PGZ88" s="996"/>
      <c r="PHA88" s="996"/>
      <c r="PHB88" s="996"/>
      <c r="PHC88" s="996"/>
      <c r="PHD88" s="996"/>
      <c r="PHE88" s="996"/>
      <c r="PHF88" s="996"/>
      <c r="PHG88" s="996"/>
      <c r="PHH88" s="996"/>
      <c r="PHI88" s="996"/>
      <c r="PHJ88" s="996"/>
      <c r="PHK88" s="996"/>
      <c r="PHL88" s="996"/>
      <c r="PHM88" s="996"/>
      <c r="PHN88" s="996"/>
      <c r="PHO88" s="996"/>
      <c r="PHP88" s="996"/>
      <c r="PHQ88" s="996"/>
      <c r="PHR88" s="996"/>
      <c r="PHS88" s="996"/>
      <c r="PHT88" s="996"/>
      <c r="PHU88" s="996"/>
      <c r="PHV88" s="996"/>
      <c r="PHW88" s="996"/>
      <c r="PHX88" s="996"/>
      <c r="PHY88" s="996"/>
      <c r="PHZ88" s="996"/>
      <c r="PIA88" s="996"/>
      <c r="PIB88" s="996"/>
      <c r="PIC88" s="996"/>
      <c r="PID88" s="996"/>
      <c r="PIE88" s="996"/>
      <c r="PIF88" s="996"/>
      <c r="PIG88" s="996"/>
      <c r="PIH88" s="996"/>
      <c r="PII88" s="996"/>
      <c r="PIJ88" s="996"/>
      <c r="PIK88" s="996"/>
      <c r="PIL88" s="996"/>
      <c r="PIM88" s="996"/>
      <c r="PIN88" s="996"/>
      <c r="PIO88" s="996"/>
      <c r="PIP88" s="996"/>
      <c r="PIQ88" s="996"/>
      <c r="PIR88" s="996"/>
      <c r="PIS88" s="996"/>
      <c r="PIT88" s="996"/>
      <c r="PIU88" s="996"/>
      <c r="PIV88" s="996"/>
      <c r="PIW88" s="996"/>
      <c r="PIX88" s="996"/>
      <c r="PIY88" s="996"/>
      <c r="PIZ88" s="996"/>
      <c r="PJA88" s="996"/>
      <c r="PJB88" s="996"/>
      <c r="PJC88" s="996"/>
      <c r="PJD88" s="996"/>
      <c r="PJE88" s="996"/>
      <c r="PJF88" s="996"/>
      <c r="PJG88" s="996"/>
      <c r="PJH88" s="996"/>
      <c r="PJI88" s="996"/>
      <c r="PJJ88" s="996"/>
      <c r="PJK88" s="996"/>
      <c r="PJL88" s="996"/>
      <c r="PJM88" s="996"/>
      <c r="PJN88" s="996"/>
      <c r="PJO88" s="996"/>
      <c r="PJP88" s="996"/>
      <c r="PJQ88" s="996"/>
      <c r="PJR88" s="996"/>
      <c r="PJS88" s="996"/>
      <c r="PJT88" s="996"/>
      <c r="PJU88" s="996"/>
      <c r="PJV88" s="996"/>
      <c r="PJW88" s="996"/>
      <c r="PJX88" s="996"/>
      <c r="PJY88" s="996"/>
      <c r="PJZ88" s="996"/>
      <c r="PKA88" s="996"/>
      <c r="PKB88" s="996"/>
      <c r="PKC88" s="996"/>
      <c r="PKD88" s="996"/>
      <c r="PKE88" s="996"/>
      <c r="PKF88" s="996"/>
      <c r="PKG88" s="996"/>
      <c r="PKH88" s="996"/>
      <c r="PKI88" s="996"/>
      <c r="PKJ88" s="996"/>
      <c r="PKK88" s="996"/>
      <c r="PKL88" s="996"/>
      <c r="PKM88" s="996"/>
      <c r="PKN88" s="996"/>
      <c r="PKO88" s="996"/>
      <c r="PKP88" s="996"/>
      <c r="PKQ88" s="996"/>
      <c r="PKR88" s="996"/>
      <c r="PKS88" s="996"/>
      <c r="PKT88" s="996"/>
      <c r="PKU88" s="996"/>
      <c r="PKV88" s="996"/>
      <c r="PKW88" s="996"/>
      <c r="PKX88" s="996"/>
      <c r="PKY88" s="996"/>
      <c r="PKZ88" s="996"/>
      <c r="PLA88" s="996"/>
      <c r="PLB88" s="996"/>
      <c r="PLC88" s="996"/>
      <c r="PLD88" s="996"/>
      <c r="PLE88" s="996"/>
      <c r="PLF88" s="996"/>
      <c r="PLG88" s="996"/>
      <c r="PLH88" s="996"/>
      <c r="PLI88" s="996"/>
      <c r="PLJ88" s="996"/>
      <c r="PLK88" s="996"/>
      <c r="PLL88" s="996"/>
      <c r="PLM88" s="996"/>
      <c r="PLN88" s="996"/>
      <c r="PLO88" s="996"/>
      <c r="PLP88" s="996"/>
      <c r="PLQ88" s="996"/>
      <c r="PLR88" s="996"/>
      <c r="PLS88" s="996"/>
      <c r="PLT88" s="996"/>
      <c r="PLU88" s="996"/>
      <c r="PLV88" s="996"/>
      <c r="PLW88" s="996"/>
      <c r="PLX88" s="996"/>
      <c r="PLY88" s="996"/>
      <c r="PLZ88" s="996"/>
      <c r="PMA88" s="996"/>
      <c r="PMB88" s="996"/>
      <c r="PMC88" s="996"/>
      <c r="PMD88" s="996"/>
      <c r="PME88" s="996"/>
      <c r="PMF88" s="996"/>
      <c r="PMG88" s="996"/>
      <c r="PMH88" s="996"/>
      <c r="PMI88" s="996"/>
      <c r="PMJ88" s="996"/>
      <c r="PMK88" s="996"/>
      <c r="PML88" s="996"/>
      <c r="PMM88" s="996"/>
      <c r="PMN88" s="996"/>
      <c r="PMO88" s="996"/>
      <c r="PMP88" s="996"/>
      <c r="PMQ88" s="996"/>
      <c r="PMR88" s="996"/>
      <c r="PMS88" s="996"/>
      <c r="PMT88" s="996"/>
      <c r="PMU88" s="996"/>
      <c r="PMV88" s="996"/>
      <c r="PMW88" s="996"/>
      <c r="PMX88" s="996"/>
      <c r="PMY88" s="996"/>
      <c r="PMZ88" s="996"/>
      <c r="PNA88" s="996"/>
      <c r="PNB88" s="996"/>
      <c r="PNC88" s="996"/>
      <c r="PND88" s="996"/>
      <c r="PNE88" s="996"/>
      <c r="PNF88" s="996"/>
      <c r="PNG88" s="996"/>
      <c r="PNH88" s="996"/>
      <c r="PNI88" s="996"/>
      <c r="PNJ88" s="996"/>
      <c r="PNK88" s="996"/>
      <c r="PNL88" s="996"/>
      <c r="PNM88" s="996"/>
      <c r="PNN88" s="996"/>
      <c r="PNO88" s="996"/>
      <c r="PNP88" s="996"/>
      <c r="PNQ88" s="996"/>
      <c r="PNR88" s="996"/>
      <c r="PNS88" s="996"/>
      <c r="PNT88" s="996"/>
      <c r="PNU88" s="996"/>
      <c r="PNV88" s="996"/>
      <c r="PNW88" s="996"/>
      <c r="PNX88" s="996"/>
      <c r="PNY88" s="996"/>
      <c r="PNZ88" s="996"/>
      <c r="POA88" s="996"/>
      <c r="POB88" s="996"/>
      <c r="POC88" s="996"/>
      <c r="POD88" s="996"/>
      <c r="POE88" s="996"/>
      <c r="POF88" s="996"/>
      <c r="POG88" s="996"/>
      <c r="POH88" s="996"/>
      <c r="POI88" s="996"/>
      <c r="POJ88" s="996"/>
      <c r="POK88" s="996"/>
      <c r="POL88" s="996"/>
      <c r="POM88" s="996"/>
      <c r="PON88" s="996"/>
      <c r="POO88" s="996"/>
      <c r="POP88" s="996"/>
      <c r="POQ88" s="996"/>
      <c r="POR88" s="996"/>
      <c r="POS88" s="996"/>
      <c r="POT88" s="996"/>
      <c r="POU88" s="996"/>
      <c r="POV88" s="996"/>
      <c r="POW88" s="996"/>
      <c r="POX88" s="996"/>
      <c r="POY88" s="996"/>
      <c r="POZ88" s="996"/>
      <c r="PPA88" s="996"/>
      <c r="PPB88" s="996"/>
      <c r="PPC88" s="996"/>
      <c r="PPD88" s="996"/>
      <c r="PPE88" s="996"/>
      <c r="PPF88" s="996"/>
      <c r="PPG88" s="996"/>
      <c r="PPH88" s="996"/>
      <c r="PPI88" s="996"/>
      <c r="PPJ88" s="996"/>
      <c r="PPK88" s="996"/>
      <c r="PPL88" s="996"/>
      <c r="PPM88" s="996"/>
      <c r="PPN88" s="996"/>
      <c r="PPO88" s="996"/>
      <c r="PPP88" s="996"/>
      <c r="PPQ88" s="996"/>
      <c r="PPR88" s="996"/>
      <c r="PPS88" s="996"/>
      <c r="PPT88" s="996"/>
      <c r="PPU88" s="996"/>
      <c r="PPV88" s="996"/>
      <c r="PPW88" s="996"/>
      <c r="PPX88" s="996"/>
      <c r="PPY88" s="996"/>
      <c r="PPZ88" s="996"/>
      <c r="PQA88" s="996"/>
      <c r="PQB88" s="996"/>
      <c r="PQC88" s="996"/>
      <c r="PQD88" s="996"/>
      <c r="PQE88" s="996"/>
      <c r="PQF88" s="996"/>
      <c r="PQG88" s="996"/>
      <c r="PQH88" s="996"/>
      <c r="PQI88" s="996"/>
      <c r="PQJ88" s="996"/>
      <c r="PQK88" s="996"/>
      <c r="PQL88" s="996"/>
      <c r="PQM88" s="996"/>
      <c r="PQN88" s="996"/>
      <c r="PQO88" s="996"/>
      <c r="PQP88" s="996"/>
      <c r="PQQ88" s="996"/>
      <c r="PQR88" s="996"/>
      <c r="PQS88" s="996"/>
      <c r="PQT88" s="996"/>
      <c r="PQU88" s="996"/>
      <c r="PQV88" s="996"/>
      <c r="PQW88" s="996"/>
      <c r="PQX88" s="996"/>
      <c r="PQY88" s="996"/>
      <c r="PQZ88" s="996"/>
      <c r="PRA88" s="996"/>
      <c r="PRB88" s="996"/>
      <c r="PRC88" s="996"/>
      <c r="PRD88" s="996"/>
      <c r="PRE88" s="996"/>
      <c r="PRF88" s="996"/>
      <c r="PRG88" s="996"/>
      <c r="PRH88" s="996"/>
      <c r="PRI88" s="996"/>
      <c r="PRJ88" s="996"/>
      <c r="PRK88" s="996"/>
      <c r="PRL88" s="996"/>
      <c r="PRM88" s="996"/>
      <c r="PRN88" s="996"/>
      <c r="PRO88" s="996"/>
      <c r="PRP88" s="996"/>
      <c r="PRQ88" s="996"/>
      <c r="PRR88" s="996"/>
      <c r="PRS88" s="996"/>
      <c r="PRT88" s="996"/>
      <c r="PRU88" s="996"/>
      <c r="PRV88" s="996"/>
      <c r="PRW88" s="996"/>
      <c r="PRX88" s="996"/>
      <c r="PRY88" s="996"/>
      <c r="PRZ88" s="996"/>
      <c r="PSA88" s="996"/>
      <c r="PSB88" s="996"/>
      <c r="PSC88" s="996"/>
      <c r="PSD88" s="996"/>
      <c r="PSE88" s="996"/>
      <c r="PSF88" s="996"/>
      <c r="PSG88" s="996"/>
      <c r="PSH88" s="996"/>
      <c r="PSI88" s="996"/>
      <c r="PSJ88" s="996"/>
      <c r="PSK88" s="996"/>
      <c r="PSL88" s="996"/>
      <c r="PSM88" s="996"/>
      <c r="PSN88" s="996"/>
      <c r="PSO88" s="996"/>
      <c r="PSP88" s="996"/>
      <c r="PSQ88" s="996"/>
      <c r="PSR88" s="996"/>
      <c r="PSS88" s="996"/>
      <c r="PST88" s="996"/>
      <c r="PSU88" s="996"/>
      <c r="PSV88" s="996"/>
      <c r="PSW88" s="996"/>
      <c r="PSX88" s="996"/>
      <c r="PSY88" s="996"/>
      <c r="PSZ88" s="996"/>
      <c r="PTA88" s="996"/>
      <c r="PTB88" s="996"/>
      <c r="PTC88" s="996"/>
      <c r="PTD88" s="996"/>
      <c r="PTE88" s="996"/>
      <c r="PTF88" s="996"/>
      <c r="PTG88" s="996"/>
      <c r="PTH88" s="996"/>
      <c r="PTI88" s="996"/>
      <c r="PTJ88" s="996"/>
      <c r="PTK88" s="996"/>
      <c r="PTL88" s="996"/>
      <c r="PTM88" s="996"/>
      <c r="PTN88" s="996"/>
      <c r="PTO88" s="996"/>
      <c r="PTP88" s="996"/>
      <c r="PTQ88" s="996"/>
      <c r="PTR88" s="996"/>
      <c r="PTS88" s="996"/>
      <c r="PTT88" s="996"/>
      <c r="PTU88" s="996"/>
      <c r="PTV88" s="996"/>
      <c r="PTW88" s="996"/>
      <c r="PTX88" s="996"/>
      <c r="PTY88" s="996"/>
      <c r="PTZ88" s="996"/>
      <c r="PUA88" s="996"/>
      <c r="PUB88" s="996"/>
      <c r="PUC88" s="996"/>
      <c r="PUD88" s="996"/>
      <c r="PUE88" s="996"/>
      <c r="PUF88" s="996"/>
      <c r="PUG88" s="996"/>
      <c r="PUH88" s="996"/>
      <c r="PUI88" s="996"/>
      <c r="PUJ88" s="996"/>
      <c r="PUK88" s="996"/>
      <c r="PUL88" s="996"/>
      <c r="PUM88" s="996"/>
      <c r="PUN88" s="996"/>
      <c r="PUO88" s="996"/>
      <c r="PUP88" s="996"/>
      <c r="PUQ88" s="996"/>
      <c r="PUR88" s="996"/>
      <c r="PUS88" s="996"/>
      <c r="PUT88" s="996"/>
      <c r="PUU88" s="996"/>
      <c r="PUV88" s="996"/>
      <c r="PUW88" s="996"/>
      <c r="PUX88" s="996"/>
      <c r="PUY88" s="996"/>
      <c r="PUZ88" s="996"/>
      <c r="PVA88" s="996"/>
      <c r="PVB88" s="996"/>
      <c r="PVC88" s="996"/>
      <c r="PVD88" s="996"/>
      <c r="PVE88" s="996"/>
      <c r="PVF88" s="996"/>
      <c r="PVG88" s="996"/>
      <c r="PVH88" s="996"/>
      <c r="PVI88" s="996"/>
      <c r="PVJ88" s="996"/>
      <c r="PVK88" s="996"/>
      <c r="PVL88" s="996"/>
      <c r="PVM88" s="996"/>
      <c r="PVN88" s="996"/>
      <c r="PVO88" s="996"/>
      <c r="PVP88" s="996"/>
      <c r="PVQ88" s="996"/>
      <c r="PVR88" s="996"/>
      <c r="PVS88" s="996"/>
      <c r="PVT88" s="996"/>
      <c r="PVU88" s="996"/>
      <c r="PVV88" s="996"/>
      <c r="PVW88" s="996"/>
      <c r="PVX88" s="996"/>
      <c r="PVY88" s="996"/>
      <c r="PVZ88" s="996"/>
      <c r="PWA88" s="996"/>
      <c r="PWB88" s="996"/>
      <c r="PWC88" s="996"/>
      <c r="PWD88" s="996"/>
      <c r="PWE88" s="996"/>
      <c r="PWF88" s="996"/>
      <c r="PWG88" s="996"/>
      <c r="PWH88" s="996"/>
      <c r="PWI88" s="996"/>
      <c r="PWJ88" s="996"/>
      <c r="PWK88" s="996"/>
      <c r="PWL88" s="996"/>
      <c r="PWM88" s="996"/>
      <c r="PWN88" s="996"/>
      <c r="PWO88" s="996"/>
      <c r="PWP88" s="996"/>
      <c r="PWQ88" s="996"/>
      <c r="PWR88" s="996"/>
      <c r="PWS88" s="996"/>
      <c r="PWT88" s="996"/>
      <c r="PWU88" s="996"/>
      <c r="PWV88" s="996"/>
      <c r="PWW88" s="996"/>
      <c r="PWX88" s="996"/>
      <c r="PWY88" s="996"/>
      <c r="PWZ88" s="996"/>
      <c r="PXA88" s="996"/>
      <c r="PXB88" s="996"/>
      <c r="PXC88" s="996"/>
      <c r="PXD88" s="996"/>
      <c r="PXE88" s="996"/>
      <c r="PXF88" s="996"/>
      <c r="PXG88" s="996"/>
      <c r="PXH88" s="996"/>
      <c r="PXI88" s="996"/>
      <c r="PXJ88" s="996"/>
      <c r="PXK88" s="996"/>
      <c r="PXL88" s="996"/>
      <c r="PXM88" s="996"/>
      <c r="PXN88" s="996"/>
      <c r="PXO88" s="996"/>
      <c r="PXP88" s="996"/>
      <c r="PXQ88" s="996"/>
      <c r="PXR88" s="996"/>
      <c r="PXS88" s="996"/>
      <c r="PXT88" s="996"/>
      <c r="PXU88" s="996"/>
      <c r="PXV88" s="996"/>
      <c r="PXW88" s="996"/>
      <c r="PXX88" s="996"/>
      <c r="PXY88" s="996"/>
      <c r="PXZ88" s="996"/>
      <c r="PYA88" s="996"/>
      <c r="PYB88" s="996"/>
      <c r="PYC88" s="996"/>
      <c r="PYD88" s="996"/>
      <c r="PYE88" s="996"/>
      <c r="PYF88" s="996"/>
      <c r="PYG88" s="996"/>
      <c r="PYH88" s="996"/>
      <c r="PYI88" s="996"/>
      <c r="PYJ88" s="996"/>
      <c r="PYK88" s="996"/>
      <c r="PYL88" s="996"/>
      <c r="PYM88" s="996"/>
      <c r="PYN88" s="996"/>
      <c r="PYO88" s="996"/>
      <c r="PYP88" s="996"/>
      <c r="PYQ88" s="996"/>
      <c r="PYR88" s="996"/>
      <c r="PYS88" s="996"/>
      <c r="PYT88" s="996"/>
      <c r="PYU88" s="996"/>
      <c r="PYV88" s="996"/>
      <c r="PYW88" s="996"/>
      <c r="PYX88" s="996"/>
      <c r="PYY88" s="996"/>
      <c r="PYZ88" s="996"/>
      <c r="PZA88" s="996"/>
      <c r="PZB88" s="996"/>
      <c r="PZC88" s="996"/>
      <c r="PZD88" s="996"/>
      <c r="PZE88" s="996"/>
      <c r="PZF88" s="996"/>
      <c r="PZG88" s="996"/>
      <c r="PZH88" s="996"/>
      <c r="PZI88" s="996"/>
      <c r="PZJ88" s="996"/>
      <c r="PZK88" s="996"/>
      <c r="PZL88" s="996"/>
      <c r="PZM88" s="996"/>
      <c r="PZN88" s="996"/>
      <c r="PZO88" s="996"/>
      <c r="PZP88" s="996"/>
      <c r="PZQ88" s="996"/>
      <c r="PZR88" s="996"/>
      <c r="PZS88" s="996"/>
      <c r="PZT88" s="996"/>
      <c r="PZU88" s="996"/>
      <c r="PZV88" s="996"/>
      <c r="PZW88" s="996"/>
      <c r="PZX88" s="996"/>
      <c r="PZY88" s="996"/>
      <c r="PZZ88" s="996"/>
      <c r="QAA88" s="996"/>
      <c r="QAB88" s="996"/>
      <c r="QAC88" s="996"/>
      <c r="QAD88" s="996"/>
      <c r="QAE88" s="996"/>
      <c r="QAF88" s="996"/>
      <c r="QAG88" s="996"/>
      <c r="QAH88" s="996"/>
      <c r="QAI88" s="996"/>
      <c r="QAJ88" s="996"/>
      <c r="QAK88" s="996"/>
      <c r="QAL88" s="996"/>
      <c r="QAM88" s="996"/>
      <c r="QAN88" s="996"/>
      <c r="QAO88" s="996"/>
      <c r="QAP88" s="996"/>
      <c r="QAQ88" s="996"/>
      <c r="QAR88" s="996"/>
      <c r="QAS88" s="996"/>
      <c r="QAT88" s="996"/>
      <c r="QAU88" s="996"/>
      <c r="QAV88" s="996"/>
      <c r="QAW88" s="996"/>
      <c r="QAX88" s="996"/>
      <c r="QAY88" s="996"/>
      <c r="QAZ88" s="996"/>
      <c r="QBA88" s="996"/>
      <c r="QBB88" s="996"/>
      <c r="QBC88" s="996"/>
      <c r="QBD88" s="996"/>
      <c r="QBE88" s="996"/>
      <c r="QBF88" s="996"/>
      <c r="QBG88" s="996"/>
      <c r="QBH88" s="996"/>
      <c r="QBI88" s="996"/>
      <c r="QBJ88" s="996"/>
      <c r="QBK88" s="996"/>
      <c r="QBL88" s="996"/>
      <c r="QBM88" s="996"/>
      <c r="QBN88" s="996"/>
      <c r="QBO88" s="996"/>
      <c r="QBP88" s="996"/>
      <c r="QBQ88" s="996"/>
      <c r="QBR88" s="996"/>
      <c r="QBS88" s="996"/>
      <c r="QBT88" s="996"/>
      <c r="QBU88" s="996"/>
      <c r="QBV88" s="996"/>
      <c r="QBW88" s="996"/>
      <c r="QBX88" s="996"/>
      <c r="QBY88" s="996"/>
      <c r="QBZ88" s="996"/>
      <c r="QCA88" s="996"/>
      <c r="QCB88" s="996"/>
      <c r="QCC88" s="996"/>
      <c r="QCD88" s="996"/>
      <c r="QCE88" s="996"/>
      <c r="QCF88" s="996"/>
      <c r="QCG88" s="996"/>
      <c r="QCH88" s="996"/>
      <c r="QCI88" s="996"/>
      <c r="QCJ88" s="996"/>
      <c r="QCK88" s="996"/>
      <c r="QCL88" s="996"/>
      <c r="QCM88" s="996"/>
      <c r="QCN88" s="996"/>
      <c r="QCO88" s="996"/>
      <c r="QCP88" s="996"/>
      <c r="QCQ88" s="996"/>
      <c r="QCR88" s="996"/>
      <c r="QCS88" s="996"/>
      <c r="QCT88" s="996"/>
      <c r="QCU88" s="996"/>
      <c r="QCV88" s="996"/>
      <c r="QCW88" s="996"/>
      <c r="QCX88" s="996"/>
      <c r="QCY88" s="996"/>
      <c r="QCZ88" s="996"/>
      <c r="QDA88" s="996"/>
      <c r="QDB88" s="996"/>
      <c r="QDC88" s="996"/>
      <c r="QDD88" s="996"/>
      <c r="QDE88" s="996"/>
      <c r="QDF88" s="996"/>
      <c r="QDG88" s="996"/>
      <c r="QDH88" s="996"/>
      <c r="QDI88" s="996"/>
      <c r="QDJ88" s="996"/>
      <c r="QDK88" s="996"/>
      <c r="QDL88" s="996"/>
      <c r="QDM88" s="996"/>
      <c r="QDN88" s="996"/>
      <c r="QDO88" s="996"/>
      <c r="QDP88" s="996"/>
      <c r="QDQ88" s="996"/>
      <c r="QDR88" s="996"/>
      <c r="QDS88" s="996"/>
      <c r="QDT88" s="996"/>
      <c r="QDU88" s="996"/>
      <c r="QDV88" s="996"/>
      <c r="QDW88" s="996"/>
      <c r="QDX88" s="996"/>
      <c r="QDY88" s="996"/>
      <c r="QDZ88" s="996"/>
      <c r="QEA88" s="996"/>
      <c r="QEB88" s="996"/>
      <c r="QEC88" s="996"/>
      <c r="QED88" s="996"/>
      <c r="QEE88" s="996"/>
      <c r="QEF88" s="996"/>
      <c r="QEG88" s="996"/>
      <c r="QEH88" s="996"/>
      <c r="QEI88" s="996"/>
      <c r="QEJ88" s="996"/>
      <c r="QEK88" s="996"/>
      <c r="QEL88" s="996"/>
      <c r="QEM88" s="996"/>
      <c r="QEN88" s="996"/>
      <c r="QEO88" s="996"/>
      <c r="QEP88" s="996"/>
      <c r="QEQ88" s="996"/>
      <c r="QER88" s="996"/>
      <c r="QES88" s="996"/>
      <c r="QET88" s="996"/>
      <c r="QEU88" s="996"/>
      <c r="QEV88" s="996"/>
      <c r="QEW88" s="996"/>
      <c r="QEX88" s="996"/>
      <c r="QEY88" s="996"/>
      <c r="QEZ88" s="996"/>
      <c r="QFA88" s="996"/>
      <c r="QFB88" s="996"/>
      <c r="QFC88" s="996"/>
      <c r="QFD88" s="996"/>
      <c r="QFE88" s="996"/>
      <c r="QFF88" s="996"/>
      <c r="QFG88" s="996"/>
      <c r="QFH88" s="996"/>
      <c r="QFI88" s="996"/>
      <c r="QFJ88" s="996"/>
      <c r="QFK88" s="996"/>
      <c r="QFL88" s="996"/>
      <c r="QFM88" s="996"/>
      <c r="QFN88" s="996"/>
      <c r="QFO88" s="996"/>
      <c r="QFP88" s="996"/>
      <c r="QFQ88" s="996"/>
      <c r="QFR88" s="996"/>
      <c r="QFS88" s="996"/>
      <c r="QFT88" s="996"/>
      <c r="QFU88" s="996"/>
      <c r="QFV88" s="996"/>
      <c r="QFW88" s="996"/>
      <c r="QFX88" s="996"/>
      <c r="QFY88" s="996"/>
      <c r="QFZ88" s="996"/>
      <c r="QGA88" s="996"/>
      <c r="QGB88" s="996"/>
      <c r="QGC88" s="996"/>
      <c r="QGD88" s="996"/>
      <c r="QGE88" s="996"/>
      <c r="QGF88" s="996"/>
      <c r="QGG88" s="996"/>
      <c r="QGH88" s="996"/>
      <c r="QGI88" s="996"/>
      <c r="QGJ88" s="996"/>
      <c r="QGK88" s="996"/>
      <c r="QGL88" s="996"/>
      <c r="QGM88" s="996"/>
      <c r="QGN88" s="996"/>
      <c r="QGO88" s="996"/>
      <c r="QGP88" s="996"/>
      <c r="QGQ88" s="996"/>
      <c r="QGR88" s="996"/>
      <c r="QGS88" s="996"/>
      <c r="QGT88" s="996"/>
      <c r="QGU88" s="996"/>
      <c r="QGV88" s="996"/>
      <c r="QGW88" s="996"/>
      <c r="QGX88" s="996"/>
      <c r="QGY88" s="996"/>
      <c r="QGZ88" s="996"/>
      <c r="QHA88" s="996"/>
      <c r="QHB88" s="996"/>
      <c r="QHC88" s="996"/>
      <c r="QHD88" s="996"/>
      <c r="QHE88" s="996"/>
      <c r="QHF88" s="996"/>
      <c r="QHG88" s="996"/>
      <c r="QHH88" s="996"/>
      <c r="QHI88" s="996"/>
      <c r="QHJ88" s="996"/>
      <c r="QHK88" s="996"/>
      <c r="QHL88" s="996"/>
      <c r="QHM88" s="996"/>
      <c r="QHN88" s="996"/>
      <c r="QHO88" s="996"/>
      <c r="QHP88" s="996"/>
      <c r="QHQ88" s="996"/>
      <c r="QHR88" s="996"/>
      <c r="QHS88" s="996"/>
      <c r="QHT88" s="996"/>
      <c r="QHU88" s="996"/>
      <c r="QHV88" s="996"/>
      <c r="QHW88" s="996"/>
      <c r="QHX88" s="996"/>
      <c r="QHY88" s="996"/>
      <c r="QHZ88" s="996"/>
      <c r="QIA88" s="996"/>
      <c r="QIB88" s="996"/>
      <c r="QIC88" s="996"/>
      <c r="QID88" s="996"/>
      <c r="QIE88" s="996"/>
      <c r="QIF88" s="996"/>
      <c r="QIG88" s="996"/>
      <c r="QIH88" s="996"/>
      <c r="QII88" s="996"/>
      <c r="QIJ88" s="996"/>
      <c r="QIK88" s="996"/>
      <c r="QIL88" s="996"/>
      <c r="QIM88" s="996"/>
      <c r="QIN88" s="996"/>
      <c r="QIO88" s="996"/>
      <c r="QIP88" s="996"/>
      <c r="QIQ88" s="996"/>
      <c r="QIR88" s="996"/>
      <c r="QIS88" s="996"/>
      <c r="QIT88" s="996"/>
      <c r="QIU88" s="996"/>
      <c r="QIV88" s="996"/>
      <c r="QIW88" s="996"/>
      <c r="QIX88" s="996"/>
      <c r="QIY88" s="996"/>
      <c r="QIZ88" s="996"/>
      <c r="QJA88" s="996"/>
      <c r="QJB88" s="996"/>
      <c r="QJC88" s="996"/>
      <c r="QJD88" s="996"/>
      <c r="QJE88" s="996"/>
      <c r="QJF88" s="996"/>
      <c r="QJG88" s="996"/>
      <c r="QJH88" s="996"/>
      <c r="QJI88" s="996"/>
      <c r="QJJ88" s="996"/>
      <c r="QJK88" s="996"/>
      <c r="QJL88" s="996"/>
      <c r="QJM88" s="996"/>
      <c r="QJN88" s="996"/>
      <c r="QJO88" s="996"/>
      <c r="QJP88" s="996"/>
      <c r="QJQ88" s="996"/>
      <c r="QJR88" s="996"/>
      <c r="QJS88" s="996"/>
      <c r="QJT88" s="996"/>
      <c r="QJU88" s="996"/>
      <c r="QJV88" s="996"/>
      <c r="QJW88" s="996"/>
      <c r="QJX88" s="996"/>
      <c r="QJY88" s="996"/>
      <c r="QJZ88" s="996"/>
      <c r="QKA88" s="996"/>
      <c r="QKB88" s="996"/>
      <c r="QKC88" s="996"/>
      <c r="QKD88" s="996"/>
      <c r="QKE88" s="996"/>
      <c r="QKF88" s="996"/>
      <c r="QKG88" s="996"/>
      <c r="QKH88" s="996"/>
      <c r="QKI88" s="996"/>
      <c r="QKJ88" s="996"/>
      <c r="QKK88" s="996"/>
      <c r="QKL88" s="996"/>
      <c r="QKM88" s="996"/>
      <c r="QKN88" s="996"/>
      <c r="QKO88" s="996"/>
      <c r="QKP88" s="996"/>
      <c r="QKQ88" s="996"/>
      <c r="QKR88" s="996"/>
      <c r="QKS88" s="996"/>
      <c r="QKT88" s="996"/>
      <c r="QKU88" s="996"/>
      <c r="QKV88" s="996"/>
      <c r="QKW88" s="996"/>
      <c r="QKX88" s="996"/>
      <c r="QKY88" s="996"/>
      <c r="QKZ88" s="996"/>
      <c r="QLA88" s="996"/>
      <c r="QLB88" s="996"/>
      <c r="QLC88" s="996"/>
      <c r="QLD88" s="996"/>
      <c r="QLE88" s="996"/>
      <c r="QLF88" s="996"/>
      <c r="QLG88" s="996"/>
      <c r="QLH88" s="996"/>
      <c r="QLI88" s="996"/>
      <c r="QLJ88" s="996"/>
      <c r="QLK88" s="996"/>
      <c r="QLL88" s="996"/>
      <c r="QLM88" s="996"/>
      <c r="QLN88" s="996"/>
      <c r="QLO88" s="996"/>
      <c r="QLP88" s="996"/>
      <c r="QLQ88" s="996"/>
      <c r="QLR88" s="996"/>
      <c r="QLS88" s="996"/>
      <c r="QLT88" s="996"/>
      <c r="QLU88" s="996"/>
      <c r="QLV88" s="996"/>
      <c r="QLW88" s="996"/>
      <c r="QLX88" s="996"/>
      <c r="QLY88" s="996"/>
      <c r="QLZ88" s="996"/>
      <c r="QMA88" s="996"/>
      <c r="QMB88" s="996"/>
      <c r="QMC88" s="996"/>
      <c r="QMD88" s="996"/>
      <c r="QME88" s="996"/>
      <c r="QMF88" s="996"/>
      <c r="QMG88" s="996"/>
      <c r="QMH88" s="996"/>
      <c r="QMI88" s="996"/>
      <c r="QMJ88" s="996"/>
      <c r="QMK88" s="996"/>
      <c r="QML88" s="996"/>
      <c r="QMM88" s="996"/>
      <c r="QMN88" s="996"/>
      <c r="QMO88" s="996"/>
      <c r="QMP88" s="996"/>
      <c r="QMQ88" s="996"/>
      <c r="QMR88" s="996"/>
      <c r="QMS88" s="996"/>
      <c r="QMT88" s="996"/>
      <c r="QMU88" s="996"/>
      <c r="QMV88" s="996"/>
      <c r="QMW88" s="996"/>
      <c r="QMX88" s="996"/>
      <c r="QMY88" s="996"/>
      <c r="QMZ88" s="996"/>
      <c r="QNA88" s="996"/>
      <c r="QNB88" s="996"/>
      <c r="QNC88" s="996"/>
      <c r="QND88" s="996"/>
      <c r="QNE88" s="996"/>
      <c r="QNF88" s="996"/>
      <c r="QNG88" s="996"/>
      <c r="QNH88" s="996"/>
      <c r="QNI88" s="996"/>
      <c r="QNJ88" s="996"/>
      <c r="QNK88" s="996"/>
      <c r="QNL88" s="996"/>
      <c r="QNM88" s="996"/>
      <c r="QNN88" s="996"/>
      <c r="QNO88" s="996"/>
      <c r="QNP88" s="996"/>
      <c r="QNQ88" s="996"/>
      <c r="QNR88" s="996"/>
      <c r="QNS88" s="996"/>
      <c r="QNT88" s="996"/>
      <c r="QNU88" s="996"/>
      <c r="QNV88" s="996"/>
      <c r="QNW88" s="996"/>
      <c r="QNX88" s="996"/>
      <c r="QNY88" s="996"/>
      <c r="QNZ88" s="996"/>
      <c r="QOA88" s="996"/>
      <c r="QOB88" s="996"/>
      <c r="QOC88" s="996"/>
      <c r="QOD88" s="996"/>
      <c r="QOE88" s="996"/>
      <c r="QOF88" s="996"/>
      <c r="QOG88" s="996"/>
      <c r="QOH88" s="996"/>
      <c r="QOI88" s="996"/>
      <c r="QOJ88" s="996"/>
      <c r="QOK88" s="996"/>
      <c r="QOL88" s="996"/>
      <c r="QOM88" s="996"/>
      <c r="QON88" s="996"/>
      <c r="QOO88" s="996"/>
      <c r="QOP88" s="996"/>
      <c r="QOQ88" s="996"/>
      <c r="QOR88" s="996"/>
      <c r="QOS88" s="996"/>
      <c r="QOT88" s="996"/>
      <c r="QOU88" s="996"/>
      <c r="QOV88" s="996"/>
      <c r="QOW88" s="996"/>
      <c r="QOX88" s="996"/>
      <c r="QOY88" s="996"/>
      <c r="QOZ88" s="996"/>
      <c r="QPA88" s="996"/>
      <c r="QPB88" s="996"/>
      <c r="QPC88" s="996"/>
      <c r="QPD88" s="996"/>
      <c r="QPE88" s="996"/>
      <c r="QPF88" s="996"/>
      <c r="QPG88" s="996"/>
      <c r="QPH88" s="996"/>
      <c r="QPI88" s="996"/>
      <c r="QPJ88" s="996"/>
      <c r="QPK88" s="996"/>
      <c r="QPL88" s="996"/>
      <c r="QPM88" s="996"/>
      <c r="QPN88" s="996"/>
      <c r="QPO88" s="996"/>
      <c r="QPP88" s="996"/>
      <c r="QPQ88" s="996"/>
      <c r="QPR88" s="996"/>
      <c r="QPS88" s="996"/>
      <c r="QPT88" s="996"/>
      <c r="QPU88" s="996"/>
      <c r="QPV88" s="996"/>
      <c r="QPW88" s="996"/>
      <c r="QPX88" s="996"/>
      <c r="QPY88" s="996"/>
      <c r="QPZ88" s="996"/>
      <c r="QQA88" s="996"/>
      <c r="QQB88" s="996"/>
      <c r="QQC88" s="996"/>
      <c r="QQD88" s="996"/>
      <c r="QQE88" s="996"/>
      <c r="QQF88" s="996"/>
      <c r="QQG88" s="996"/>
      <c r="QQH88" s="996"/>
      <c r="QQI88" s="996"/>
      <c r="QQJ88" s="996"/>
      <c r="QQK88" s="996"/>
      <c r="QQL88" s="996"/>
      <c r="QQM88" s="996"/>
      <c r="QQN88" s="996"/>
      <c r="QQO88" s="996"/>
      <c r="QQP88" s="996"/>
      <c r="QQQ88" s="996"/>
      <c r="QQR88" s="996"/>
      <c r="QQS88" s="996"/>
      <c r="QQT88" s="996"/>
      <c r="QQU88" s="996"/>
      <c r="QQV88" s="996"/>
      <c r="QQW88" s="996"/>
      <c r="QQX88" s="996"/>
      <c r="QQY88" s="996"/>
      <c r="QQZ88" s="996"/>
      <c r="QRA88" s="996"/>
      <c r="QRB88" s="996"/>
      <c r="QRC88" s="996"/>
      <c r="QRD88" s="996"/>
      <c r="QRE88" s="996"/>
      <c r="QRF88" s="996"/>
      <c r="QRG88" s="996"/>
      <c r="QRH88" s="996"/>
      <c r="QRI88" s="996"/>
      <c r="QRJ88" s="996"/>
      <c r="QRK88" s="996"/>
      <c r="QRL88" s="996"/>
      <c r="QRM88" s="996"/>
      <c r="QRN88" s="996"/>
      <c r="QRO88" s="996"/>
      <c r="QRP88" s="996"/>
      <c r="QRQ88" s="996"/>
      <c r="QRR88" s="996"/>
      <c r="QRS88" s="996"/>
      <c r="QRT88" s="996"/>
      <c r="QRU88" s="996"/>
      <c r="QRV88" s="996"/>
      <c r="QRW88" s="996"/>
      <c r="QRX88" s="996"/>
      <c r="QRY88" s="996"/>
      <c r="QRZ88" s="996"/>
      <c r="QSA88" s="996"/>
      <c r="QSB88" s="996"/>
      <c r="QSC88" s="996"/>
      <c r="QSD88" s="996"/>
      <c r="QSE88" s="996"/>
      <c r="QSF88" s="996"/>
      <c r="QSG88" s="996"/>
      <c r="QSH88" s="996"/>
      <c r="QSI88" s="996"/>
      <c r="QSJ88" s="996"/>
      <c r="QSK88" s="996"/>
      <c r="QSL88" s="996"/>
      <c r="QSM88" s="996"/>
      <c r="QSN88" s="996"/>
      <c r="QSO88" s="996"/>
      <c r="QSP88" s="996"/>
      <c r="QSQ88" s="996"/>
      <c r="QSR88" s="996"/>
      <c r="QSS88" s="996"/>
      <c r="QST88" s="996"/>
      <c r="QSU88" s="996"/>
      <c r="QSV88" s="996"/>
      <c r="QSW88" s="996"/>
      <c r="QSX88" s="996"/>
      <c r="QSY88" s="996"/>
      <c r="QSZ88" s="996"/>
      <c r="QTA88" s="996"/>
      <c r="QTB88" s="996"/>
      <c r="QTC88" s="996"/>
      <c r="QTD88" s="996"/>
      <c r="QTE88" s="996"/>
      <c r="QTF88" s="996"/>
      <c r="QTG88" s="996"/>
      <c r="QTH88" s="996"/>
      <c r="QTI88" s="996"/>
      <c r="QTJ88" s="996"/>
      <c r="QTK88" s="996"/>
      <c r="QTL88" s="996"/>
      <c r="QTM88" s="996"/>
      <c r="QTN88" s="996"/>
      <c r="QTO88" s="996"/>
      <c r="QTP88" s="996"/>
      <c r="QTQ88" s="996"/>
      <c r="QTR88" s="996"/>
      <c r="QTS88" s="996"/>
      <c r="QTT88" s="996"/>
      <c r="QTU88" s="996"/>
      <c r="QTV88" s="996"/>
      <c r="QTW88" s="996"/>
      <c r="QTX88" s="996"/>
      <c r="QTY88" s="996"/>
      <c r="QTZ88" s="996"/>
      <c r="QUA88" s="996"/>
      <c r="QUB88" s="996"/>
      <c r="QUC88" s="996"/>
      <c r="QUD88" s="996"/>
      <c r="QUE88" s="996"/>
      <c r="QUF88" s="996"/>
      <c r="QUG88" s="996"/>
      <c r="QUH88" s="996"/>
      <c r="QUI88" s="996"/>
      <c r="QUJ88" s="996"/>
      <c r="QUK88" s="996"/>
      <c r="QUL88" s="996"/>
      <c r="QUM88" s="996"/>
      <c r="QUN88" s="996"/>
      <c r="QUO88" s="996"/>
      <c r="QUP88" s="996"/>
      <c r="QUQ88" s="996"/>
      <c r="QUR88" s="996"/>
      <c r="QUS88" s="996"/>
      <c r="QUT88" s="996"/>
      <c r="QUU88" s="996"/>
      <c r="QUV88" s="996"/>
      <c r="QUW88" s="996"/>
      <c r="QUX88" s="996"/>
      <c r="QUY88" s="996"/>
      <c r="QUZ88" s="996"/>
      <c r="QVA88" s="996"/>
      <c r="QVB88" s="996"/>
      <c r="QVC88" s="996"/>
      <c r="QVD88" s="996"/>
      <c r="QVE88" s="996"/>
      <c r="QVF88" s="996"/>
      <c r="QVG88" s="996"/>
      <c r="QVH88" s="996"/>
      <c r="QVI88" s="996"/>
      <c r="QVJ88" s="996"/>
      <c r="QVK88" s="996"/>
      <c r="QVL88" s="996"/>
      <c r="QVM88" s="996"/>
      <c r="QVN88" s="996"/>
      <c r="QVO88" s="996"/>
      <c r="QVP88" s="996"/>
      <c r="QVQ88" s="996"/>
      <c r="QVR88" s="996"/>
      <c r="QVS88" s="996"/>
      <c r="QVT88" s="996"/>
      <c r="QVU88" s="996"/>
      <c r="QVV88" s="996"/>
      <c r="QVW88" s="996"/>
      <c r="QVX88" s="996"/>
      <c r="QVY88" s="996"/>
      <c r="QVZ88" s="996"/>
      <c r="QWA88" s="996"/>
      <c r="QWB88" s="996"/>
      <c r="QWC88" s="996"/>
      <c r="QWD88" s="996"/>
      <c r="QWE88" s="996"/>
      <c r="QWF88" s="996"/>
      <c r="QWG88" s="996"/>
      <c r="QWH88" s="996"/>
      <c r="QWI88" s="996"/>
      <c r="QWJ88" s="996"/>
      <c r="QWK88" s="996"/>
      <c r="QWL88" s="996"/>
      <c r="QWM88" s="996"/>
      <c r="QWN88" s="996"/>
      <c r="QWO88" s="996"/>
      <c r="QWP88" s="996"/>
      <c r="QWQ88" s="996"/>
      <c r="QWR88" s="996"/>
      <c r="QWS88" s="996"/>
      <c r="QWT88" s="996"/>
      <c r="QWU88" s="996"/>
      <c r="QWV88" s="996"/>
      <c r="QWW88" s="996"/>
      <c r="QWX88" s="996"/>
      <c r="QWY88" s="996"/>
      <c r="QWZ88" s="996"/>
      <c r="QXA88" s="996"/>
      <c r="QXB88" s="996"/>
      <c r="QXC88" s="996"/>
      <c r="QXD88" s="996"/>
      <c r="QXE88" s="996"/>
      <c r="QXF88" s="996"/>
      <c r="QXG88" s="996"/>
      <c r="QXH88" s="996"/>
      <c r="QXI88" s="996"/>
      <c r="QXJ88" s="996"/>
      <c r="QXK88" s="996"/>
      <c r="QXL88" s="996"/>
      <c r="QXM88" s="996"/>
      <c r="QXN88" s="996"/>
      <c r="QXO88" s="996"/>
      <c r="QXP88" s="996"/>
      <c r="QXQ88" s="996"/>
      <c r="QXR88" s="996"/>
      <c r="QXS88" s="996"/>
      <c r="QXT88" s="996"/>
      <c r="QXU88" s="996"/>
      <c r="QXV88" s="996"/>
      <c r="QXW88" s="996"/>
      <c r="QXX88" s="996"/>
      <c r="QXY88" s="996"/>
      <c r="QXZ88" s="996"/>
      <c r="QYA88" s="996"/>
      <c r="QYB88" s="996"/>
      <c r="QYC88" s="996"/>
      <c r="QYD88" s="996"/>
      <c r="QYE88" s="996"/>
      <c r="QYF88" s="996"/>
      <c r="QYG88" s="996"/>
      <c r="QYH88" s="996"/>
      <c r="QYI88" s="996"/>
      <c r="QYJ88" s="996"/>
      <c r="QYK88" s="996"/>
      <c r="QYL88" s="996"/>
      <c r="QYM88" s="996"/>
      <c r="QYN88" s="996"/>
      <c r="QYO88" s="996"/>
      <c r="QYP88" s="996"/>
      <c r="QYQ88" s="996"/>
      <c r="QYR88" s="996"/>
      <c r="QYS88" s="996"/>
      <c r="QYT88" s="996"/>
      <c r="QYU88" s="996"/>
      <c r="QYV88" s="996"/>
      <c r="QYW88" s="996"/>
      <c r="QYX88" s="996"/>
      <c r="QYY88" s="996"/>
      <c r="QYZ88" s="996"/>
      <c r="QZA88" s="996"/>
      <c r="QZB88" s="996"/>
      <c r="QZC88" s="996"/>
      <c r="QZD88" s="996"/>
      <c r="QZE88" s="996"/>
      <c r="QZF88" s="996"/>
      <c r="QZG88" s="996"/>
      <c r="QZH88" s="996"/>
      <c r="QZI88" s="996"/>
      <c r="QZJ88" s="996"/>
      <c r="QZK88" s="996"/>
      <c r="QZL88" s="996"/>
      <c r="QZM88" s="996"/>
      <c r="QZN88" s="996"/>
      <c r="QZO88" s="996"/>
      <c r="QZP88" s="996"/>
      <c r="QZQ88" s="996"/>
      <c r="QZR88" s="996"/>
      <c r="QZS88" s="996"/>
      <c r="QZT88" s="996"/>
      <c r="QZU88" s="996"/>
      <c r="QZV88" s="996"/>
      <c r="QZW88" s="996"/>
      <c r="QZX88" s="996"/>
      <c r="QZY88" s="996"/>
      <c r="QZZ88" s="996"/>
      <c r="RAA88" s="996"/>
      <c r="RAB88" s="996"/>
      <c r="RAC88" s="996"/>
      <c r="RAD88" s="996"/>
      <c r="RAE88" s="996"/>
      <c r="RAF88" s="996"/>
      <c r="RAG88" s="996"/>
      <c r="RAH88" s="996"/>
      <c r="RAI88" s="996"/>
      <c r="RAJ88" s="996"/>
      <c r="RAK88" s="996"/>
      <c r="RAL88" s="996"/>
      <c r="RAM88" s="996"/>
      <c r="RAN88" s="996"/>
      <c r="RAO88" s="996"/>
      <c r="RAP88" s="996"/>
      <c r="RAQ88" s="996"/>
      <c r="RAR88" s="996"/>
      <c r="RAS88" s="996"/>
      <c r="RAT88" s="996"/>
      <c r="RAU88" s="996"/>
      <c r="RAV88" s="996"/>
      <c r="RAW88" s="996"/>
      <c r="RAX88" s="996"/>
      <c r="RAY88" s="996"/>
      <c r="RAZ88" s="996"/>
      <c r="RBA88" s="996"/>
      <c r="RBB88" s="996"/>
      <c r="RBC88" s="996"/>
      <c r="RBD88" s="996"/>
      <c r="RBE88" s="996"/>
      <c r="RBF88" s="996"/>
      <c r="RBG88" s="996"/>
      <c r="RBH88" s="996"/>
      <c r="RBI88" s="996"/>
      <c r="RBJ88" s="996"/>
      <c r="RBK88" s="996"/>
      <c r="RBL88" s="996"/>
      <c r="RBM88" s="996"/>
      <c r="RBN88" s="996"/>
      <c r="RBO88" s="996"/>
      <c r="RBP88" s="996"/>
      <c r="RBQ88" s="996"/>
      <c r="RBR88" s="996"/>
      <c r="RBS88" s="996"/>
      <c r="RBT88" s="996"/>
      <c r="RBU88" s="996"/>
      <c r="RBV88" s="996"/>
      <c r="RBW88" s="996"/>
      <c r="RBX88" s="996"/>
      <c r="RBY88" s="996"/>
      <c r="RBZ88" s="996"/>
      <c r="RCA88" s="996"/>
      <c r="RCB88" s="996"/>
      <c r="RCC88" s="996"/>
      <c r="RCD88" s="996"/>
      <c r="RCE88" s="996"/>
      <c r="RCF88" s="996"/>
      <c r="RCG88" s="996"/>
      <c r="RCH88" s="996"/>
      <c r="RCI88" s="996"/>
      <c r="RCJ88" s="996"/>
      <c r="RCK88" s="996"/>
      <c r="RCL88" s="996"/>
      <c r="RCM88" s="996"/>
      <c r="RCN88" s="996"/>
      <c r="RCO88" s="996"/>
      <c r="RCP88" s="996"/>
      <c r="RCQ88" s="996"/>
      <c r="RCR88" s="996"/>
      <c r="RCS88" s="996"/>
      <c r="RCT88" s="996"/>
      <c r="RCU88" s="996"/>
      <c r="RCV88" s="996"/>
      <c r="RCW88" s="996"/>
      <c r="RCX88" s="996"/>
      <c r="RCY88" s="996"/>
      <c r="RCZ88" s="996"/>
      <c r="RDA88" s="996"/>
      <c r="RDB88" s="996"/>
      <c r="RDC88" s="996"/>
      <c r="RDD88" s="996"/>
      <c r="RDE88" s="996"/>
      <c r="RDF88" s="996"/>
      <c r="RDG88" s="996"/>
      <c r="RDH88" s="996"/>
      <c r="RDI88" s="996"/>
      <c r="RDJ88" s="996"/>
      <c r="RDK88" s="996"/>
      <c r="RDL88" s="996"/>
      <c r="RDM88" s="996"/>
      <c r="RDN88" s="996"/>
      <c r="RDO88" s="996"/>
      <c r="RDP88" s="996"/>
      <c r="RDQ88" s="996"/>
      <c r="RDR88" s="996"/>
      <c r="RDS88" s="996"/>
      <c r="RDT88" s="996"/>
      <c r="RDU88" s="996"/>
      <c r="RDV88" s="996"/>
      <c r="RDW88" s="996"/>
      <c r="RDX88" s="996"/>
      <c r="RDY88" s="996"/>
      <c r="RDZ88" s="996"/>
      <c r="REA88" s="996"/>
      <c r="REB88" s="996"/>
      <c r="REC88" s="996"/>
      <c r="RED88" s="996"/>
      <c r="REE88" s="996"/>
      <c r="REF88" s="996"/>
      <c r="REG88" s="996"/>
      <c r="REH88" s="996"/>
      <c r="REI88" s="996"/>
      <c r="REJ88" s="996"/>
      <c r="REK88" s="996"/>
      <c r="REL88" s="996"/>
      <c r="REM88" s="996"/>
      <c r="REN88" s="996"/>
      <c r="REO88" s="996"/>
      <c r="REP88" s="996"/>
      <c r="REQ88" s="996"/>
      <c r="RER88" s="996"/>
      <c r="RES88" s="996"/>
      <c r="RET88" s="996"/>
      <c r="REU88" s="996"/>
      <c r="REV88" s="996"/>
      <c r="REW88" s="996"/>
      <c r="REX88" s="996"/>
      <c r="REY88" s="996"/>
      <c r="REZ88" s="996"/>
      <c r="RFA88" s="996"/>
      <c r="RFB88" s="996"/>
      <c r="RFC88" s="996"/>
      <c r="RFD88" s="996"/>
      <c r="RFE88" s="996"/>
      <c r="RFF88" s="996"/>
      <c r="RFG88" s="996"/>
      <c r="RFH88" s="996"/>
      <c r="RFI88" s="996"/>
      <c r="RFJ88" s="996"/>
      <c r="RFK88" s="996"/>
      <c r="RFL88" s="996"/>
      <c r="RFM88" s="996"/>
      <c r="RFN88" s="996"/>
      <c r="RFO88" s="996"/>
      <c r="RFP88" s="996"/>
      <c r="RFQ88" s="996"/>
      <c r="RFR88" s="996"/>
      <c r="RFS88" s="996"/>
      <c r="RFT88" s="996"/>
      <c r="RFU88" s="996"/>
      <c r="RFV88" s="996"/>
      <c r="RFW88" s="996"/>
      <c r="RFX88" s="996"/>
      <c r="RFY88" s="996"/>
      <c r="RFZ88" s="996"/>
      <c r="RGA88" s="996"/>
      <c r="RGB88" s="996"/>
      <c r="RGC88" s="996"/>
      <c r="RGD88" s="996"/>
      <c r="RGE88" s="996"/>
      <c r="RGF88" s="996"/>
      <c r="RGG88" s="996"/>
      <c r="RGH88" s="996"/>
      <c r="RGI88" s="996"/>
      <c r="RGJ88" s="996"/>
      <c r="RGK88" s="996"/>
      <c r="RGL88" s="996"/>
      <c r="RGM88" s="996"/>
      <c r="RGN88" s="996"/>
      <c r="RGO88" s="996"/>
      <c r="RGP88" s="996"/>
      <c r="RGQ88" s="996"/>
      <c r="RGR88" s="996"/>
      <c r="RGS88" s="996"/>
      <c r="RGT88" s="996"/>
      <c r="RGU88" s="996"/>
      <c r="RGV88" s="996"/>
      <c r="RGW88" s="996"/>
      <c r="RGX88" s="996"/>
      <c r="RGY88" s="996"/>
      <c r="RGZ88" s="996"/>
      <c r="RHA88" s="996"/>
      <c r="RHB88" s="996"/>
      <c r="RHC88" s="996"/>
      <c r="RHD88" s="996"/>
      <c r="RHE88" s="996"/>
      <c r="RHF88" s="996"/>
      <c r="RHG88" s="996"/>
      <c r="RHH88" s="996"/>
      <c r="RHI88" s="996"/>
      <c r="RHJ88" s="996"/>
      <c r="RHK88" s="996"/>
      <c r="RHL88" s="996"/>
      <c r="RHM88" s="996"/>
      <c r="RHN88" s="996"/>
      <c r="RHO88" s="996"/>
      <c r="RHP88" s="996"/>
      <c r="RHQ88" s="996"/>
      <c r="RHR88" s="996"/>
      <c r="RHS88" s="996"/>
      <c r="RHT88" s="996"/>
      <c r="RHU88" s="996"/>
      <c r="RHV88" s="996"/>
      <c r="RHW88" s="996"/>
      <c r="RHX88" s="996"/>
      <c r="RHY88" s="996"/>
      <c r="RHZ88" s="996"/>
      <c r="RIA88" s="996"/>
      <c r="RIB88" s="996"/>
      <c r="RIC88" s="996"/>
      <c r="RID88" s="996"/>
      <c r="RIE88" s="996"/>
      <c r="RIF88" s="996"/>
      <c r="RIG88" s="996"/>
      <c r="RIH88" s="996"/>
      <c r="RII88" s="996"/>
      <c r="RIJ88" s="996"/>
      <c r="RIK88" s="996"/>
      <c r="RIL88" s="996"/>
      <c r="RIM88" s="996"/>
      <c r="RIN88" s="996"/>
      <c r="RIO88" s="996"/>
      <c r="RIP88" s="996"/>
      <c r="RIQ88" s="996"/>
      <c r="RIR88" s="996"/>
      <c r="RIS88" s="996"/>
      <c r="RIT88" s="996"/>
      <c r="RIU88" s="996"/>
      <c r="RIV88" s="996"/>
      <c r="RIW88" s="996"/>
      <c r="RIX88" s="996"/>
      <c r="RIY88" s="996"/>
      <c r="RIZ88" s="996"/>
      <c r="RJA88" s="996"/>
      <c r="RJB88" s="996"/>
      <c r="RJC88" s="996"/>
      <c r="RJD88" s="996"/>
      <c r="RJE88" s="996"/>
      <c r="RJF88" s="996"/>
      <c r="RJG88" s="996"/>
      <c r="RJH88" s="996"/>
      <c r="RJI88" s="996"/>
      <c r="RJJ88" s="996"/>
      <c r="RJK88" s="996"/>
      <c r="RJL88" s="996"/>
      <c r="RJM88" s="996"/>
      <c r="RJN88" s="996"/>
      <c r="RJO88" s="996"/>
      <c r="RJP88" s="996"/>
      <c r="RJQ88" s="996"/>
      <c r="RJR88" s="996"/>
      <c r="RJS88" s="996"/>
      <c r="RJT88" s="996"/>
      <c r="RJU88" s="996"/>
      <c r="RJV88" s="996"/>
      <c r="RJW88" s="996"/>
      <c r="RJX88" s="996"/>
      <c r="RJY88" s="996"/>
      <c r="RJZ88" s="996"/>
      <c r="RKA88" s="996"/>
      <c r="RKB88" s="996"/>
      <c r="RKC88" s="996"/>
      <c r="RKD88" s="996"/>
      <c r="RKE88" s="996"/>
      <c r="RKF88" s="996"/>
      <c r="RKG88" s="996"/>
      <c r="RKH88" s="996"/>
      <c r="RKI88" s="996"/>
      <c r="RKJ88" s="996"/>
      <c r="RKK88" s="996"/>
      <c r="RKL88" s="996"/>
      <c r="RKM88" s="996"/>
      <c r="RKN88" s="996"/>
      <c r="RKO88" s="996"/>
      <c r="RKP88" s="996"/>
      <c r="RKQ88" s="996"/>
      <c r="RKR88" s="996"/>
      <c r="RKS88" s="996"/>
      <c r="RKT88" s="996"/>
      <c r="RKU88" s="996"/>
      <c r="RKV88" s="996"/>
      <c r="RKW88" s="996"/>
      <c r="RKX88" s="996"/>
      <c r="RKY88" s="996"/>
      <c r="RKZ88" s="996"/>
      <c r="RLA88" s="996"/>
      <c r="RLB88" s="996"/>
      <c r="RLC88" s="996"/>
      <c r="RLD88" s="996"/>
      <c r="RLE88" s="996"/>
      <c r="RLF88" s="996"/>
      <c r="RLG88" s="996"/>
      <c r="RLH88" s="996"/>
      <c r="RLI88" s="996"/>
      <c r="RLJ88" s="996"/>
      <c r="RLK88" s="996"/>
      <c r="RLL88" s="996"/>
      <c r="RLM88" s="996"/>
      <c r="RLN88" s="996"/>
      <c r="RLO88" s="996"/>
      <c r="RLP88" s="996"/>
      <c r="RLQ88" s="996"/>
      <c r="RLR88" s="996"/>
      <c r="RLS88" s="996"/>
      <c r="RLT88" s="996"/>
      <c r="RLU88" s="996"/>
      <c r="RLV88" s="996"/>
      <c r="RLW88" s="996"/>
      <c r="RLX88" s="996"/>
      <c r="RLY88" s="996"/>
      <c r="RLZ88" s="996"/>
      <c r="RMA88" s="996"/>
      <c r="RMB88" s="996"/>
      <c r="RMC88" s="996"/>
      <c r="RMD88" s="996"/>
      <c r="RME88" s="996"/>
      <c r="RMF88" s="996"/>
      <c r="RMG88" s="996"/>
      <c r="RMH88" s="996"/>
      <c r="RMI88" s="996"/>
      <c r="RMJ88" s="996"/>
      <c r="RMK88" s="996"/>
      <c r="RML88" s="996"/>
      <c r="RMM88" s="996"/>
      <c r="RMN88" s="996"/>
      <c r="RMO88" s="996"/>
      <c r="RMP88" s="996"/>
      <c r="RMQ88" s="996"/>
      <c r="RMR88" s="996"/>
      <c r="RMS88" s="996"/>
      <c r="RMT88" s="996"/>
      <c r="RMU88" s="996"/>
      <c r="RMV88" s="996"/>
      <c r="RMW88" s="996"/>
      <c r="RMX88" s="996"/>
      <c r="RMY88" s="996"/>
      <c r="RMZ88" s="996"/>
      <c r="RNA88" s="996"/>
      <c r="RNB88" s="996"/>
      <c r="RNC88" s="996"/>
      <c r="RND88" s="996"/>
      <c r="RNE88" s="996"/>
      <c r="RNF88" s="996"/>
      <c r="RNG88" s="996"/>
      <c r="RNH88" s="996"/>
      <c r="RNI88" s="996"/>
      <c r="RNJ88" s="996"/>
      <c r="RNK88" s="996"/>
      <c r="RNL88" s="996"/>
      <c r="RNM88" s="996"/>
      <c r="RNN88" s="996"/>
      <c r="RNO88" s="996"/>
      <c r="RNP88" s="996"/>
      <c r="RNQ88" s="996"/>
      <c r="RNR88" s="996"/>
      <c r="RNS88" s="996"/>
      <c r="RNT88" s="996"/>
      <c r="RNU88" s="996"/>
      <c r="RNV88" s="996"/>
      <c r="RNW88" s="996"/>
      <c r="RNX88" s="996"/>
      <c r="RNY88" s="996"/>
      <c r="RNZ88" s="996"/>
      <c r="ROA88" s="996"/>
      <c r="ROB88" s="996"/>
      <c r="ROC88" s="996"/>
      <c r="ROD88" s="996"/>
      <c r="ROE88" s="996"/>
      <c r="ROF88" s="996"/>
      <c r="ROG88" s="996"/>
      <c r="ROH88" s="996"/>
      <c r="ROI88" s="996"/>
      <c r="ROJ88" s="996"/>
      <c r="ROK88" s="996"/>
      <c r="ROL88" s="996"/>
      <c r="ROM88" s="996"/>
      <c r="RON88" s="996"/>
      <c r="ROO88" s="996"/>
      <c r="ROP88" s="996"/>
      <c r="ROQ88" s="996"/>
      <c r="ROR88" s="996"/>
      <c r="ROS88" s="996"/>
      <c r="ROT88" s="996"/>
      <c r="ROU88" s="996"/>
      <c r="ROV88" s="996"/>
      <c r="ROW88" s="996"/>
      <c r="ROX88" s="996"/>
      <c r="ROY88" s="996"/>
      <c r="ROZ88" s="996"/>
      <c r="RPA88" s="996"/>
      <c r="RPB88" s="996"/>
      <c r="RPC88" s="996"/>
      <c r="RPD88" s="996"/>
      <c r="RPE88" s="996"/>
      <c r="RPF88" s="996"/>
      <c r="RPG88" s="996"/>
      <c r="RPH88" s="996"/>
      <c r="RPI88" s="996"/>
      <c r="RPJ88" s="996"/>
      <c r="RPK88" s="996"/>
      <c r="RPL88" s="996"/>
      <c r="RPM88" s="996"/>
      <c r="RPN88" s="996"/>
      <c r="RPO88" s="996"/>
      <c r="RPP88" s="996"/>
      <c r="RPQ88" s="996"/>
      <c r="RPR88" s="996"/>
      <c r="RPS88" s="996"/>
      <c r="RPT88" s="996"/>
      <c r="RPU88" s="996"/>
      <c r="RPV88" s="996"/>
      <c r="RPW88" s="996"/>
      <c r="RPX88" s="996"/>
      <c r="RPY88" s="996"/>
      <c r="RPZ88" s="996"/>
      <c r="RQA88" s="996"/>
      <c r="RQB88" s="996"/>
      <c r="RQC88" s="996"/>
      <c r="RQD88" s="996"/>
      <c r="RQE88" s="996"/>
      <c r="RQF88" s="996"/>
      <c r="RQG88" s="996"/>
      <c r="RQH88" s="996"/>
      <c r="RQI88" s="996"/>
      <c r="RQJ88" s="996"/>
      <c r="RQK88" s="996"/>
      <c r="RQL88" s="996"/>
      <c r="RQM88" s="996"/>
      <c r="RQN88" s="996"/>
      <c r="RQO88" s="996"/>
      <c r="RQP88" s="996"/>
      <c r="RQQ88" s="996"/>
      <c r="RQR88" s="996"/>
      <c r="RQS88" s="996"/>
      <c r="RQT88" s="996"/>
      <c r="RQU88" s="996"/>
      <c r="RQV88" s="996"/>
      <c r="RQW88" s="996"/>
      <c r="RQX88" s="996"/>
      <c r="RQY88" s="996"/>
      <c r="RQZ88" s="996"/>
      <c r="RRA88" s="996"/>
      <c r="RRB88" s="996"/>
      <c r="RRC88" s="996"/>
      <c r="RRD88" s="996"/>
      <c r="RRE88" s="996"/>
      <c r="RRF88" s="996"/>
      <c r="RRG88" s="996"/>
      <c r="RRH88" s="996"/>
      <c r="RRI88" s="996"/>
      <c r="RRJ88" s="996"/>
      <c r="RRK88" s="996"/>
      <c r="RRL88" s="996"/>
      <c r="RRM88" s="996"/>
      <c r="RRN88" s="996"/>
      <c r="RRO88" s="996"/>
      <c r="RRP88" s="996"/>
      <c r="RRQ88" s="996"/>
      <c r="RRR88" s="996"/>
      <c r="RRS88" s="996"/>
      <c r="RRT88" s="996"/>
      <c r="RRU88" s="996"/>
      <c r="RRV88" s="996"/>
      <c r="RRW88" s="996"/>
      <c r="RRX88" s="996"/>
      <c r="RRY88" s="996"/>
      <c r="RRZ88" s="996"/>
      <c r="RSA88" s="996"/>
      <c r="RSB88" s="996"/>
      <c r="RSC88" s="996"/>
      <c r="RSD88" s="996"/>
      <c r="RSE88" s="996"/>
      <c r="RSF88" s="996"/>
      <c r="RSG88" s="996"/>
      <c r="RSH88" s="996"/>
      <c r="RSI88" s="996"/>
      <c r="RSJ88" s="996"/>
      <c r="RSK88" s="996"/>
      <c r="RSL88" s="996"/>
      <c r="RSM88" s="996"/>
      <c r="RSN88" s="996"/>
      <c r="RSO88" s="996"/>
      <c r="RSP88" s="996"/>
      <c r="RSQ88" s="996"/>
      <c r="RSR88" s="996"/>
      <c r="RSS88" s="996"/>
      <c r="RST88" s="996"/>
      <c r="RSU88" s="996"/>
      <c r="RSV88" s="996"/>
      <c r="RSW88" s="996"/>
      <c r="RSX88" s="996"/>
      <c r="RSY88" s="996"/>
      <c r="RSZ88" s="996"/>
      <c r="RTA88" s="996"/>
      <c r="RTB88" s="996"/>
      <c r="RTC88" s="996"/>
      <c r="RTD88" s="996"/>
      <c r="RTE88" s="996"/>
      <c r="RTF88" s="996"/>
      <c r="RTG88" s="996"/>
      <c r="RTH88" s="996"/>
      <c r="RTI88" s="996"/>
      <c r="RTJ88" s="996"/>
      <c r="RTK88" s="996"/>
      <c r="RTL88" s="996"/>
      <c r="RTM88" s="996"/>
      <c r="RTN88" s="996"/>
      <c r="RTO88" s="996"/>
      <c r="RTP88" s="996"/>
      <c r="RTQ88" s="996"/>
      <c r="RTR88" s="996"/>
      <c r="RTS88" s="996"/>
      <c r="RTT88" s="996"/>
      <c r="RTU88" s="996"/>
      <c r="RTV88" s="996"/>
      <c r="RTW88" s="996"/>
      <c r="RTX88" s="996"/>
      <c r="RTY88" s="996"/>
      <c r="RTZ88" s="996"/>
      <c r="RUA88" s="996"/>
      <c r="RUB88" s="996"/>
      <c r="RUC88" s="996"/>
      <c r="RUD88" s="996"/>
      <c r="RUE88" s="996"/>
      <c r="RUF88" s="996"/>
      <c r="RUG88" s="996"/>
      <c r="RUH88" s="996"/>
      <c r="RUI88" s="996"/>
      <c r="RUJ88" s="996"/>
      <c r="RUK88" s="996"/>
      <c r="RUL88" s="996"/>
      <c r="RUM88" s="996"/>
      <c r="RUN88" s="996"/>
      <c r="RUO88" s="996"/>
      <c r="RUP88" s="996"/>
      <c r="RUQ88" s="996"/>
      <c r="RUR88" s="996"/>
      <c r="RUS88" s="996"/>
      <c r="RUT88" s="996"/>
      <c r="RUU88" s="996"/>
      <c r="RUV88" s="996"/>
      <c r="RUW88" s="996"/>
      <c r="RUX88" s="996"/>
      <c r="RUY88" s="996"/>
      <c r="RUZ88" s="996"/>
      <c r="RVA88" s="996"/>
      <c r="RVB88" s="996"/>
      <c r="RVC88" s="996"/>
      <c r="RVD88" s="996"/>
      <c r="RVE88" s="996"/>
      <c r="RVF88" s="996"/>
      <c r="RVG88" s="996"/>
      <c r="RVH88" s="996"/>
      <c r="RVI88" s="996"/>
      <c r="RVJ88" s="996"/>
      <c r="RVK88" s="996"/>
      <c r="RVL88" s="996"/>
      <c r="RVM88" s="996"/>
      <c r="RVN88" s="996"/>
      <c r="RVO88" s="996"/>
      <c r="RVP88" s="996"/>
      <c r="RVQ88" s="996"/>
      <c r="RVR88" s="996"/>
      <c r="RVS88" s="996"/>
      <c r="RVT88" s="996"/>
      <c r="RVU88" s="996"/>
      <c r="RVV88" s="996"/>
      <c r="RVW88" s="996"/>
      <c r="RVX88" s="996"/>
      <c r="RVY88" s="996"/>
      <c r="RVZ88" s="996"/>
      <c r="RWA88" s="996"/>
      <c r="RWB88" s="996"/>
      <c r="RWC88" s="996"/>
      <c r="RWD88" s="996"/>
      <c r="RWE88" s="996"/>
      <c r="RWF88" s="996"/>
      <c r="RWG88" s="996"/>
      <c r="RWH88" s="996"/>
      <c r="RWI88" s="996"/>
      <c r="RWJ88" s="996"/>
      <c r="RWK88" s="996"/>
      <c r="RWL88" s="996"/>
      <c r="RWM88" s="996"/>
      <c r="RWN88" s="996"/>
      <c r="RWO88" s="996"/>
      <c r="RWP88" s="996"/>
      <c r="RWQ88" s="996"/>
      <c r="RWR88" s="996"/>
      <c r="RWS88" s="996"/>
      <c r="RWT88" s="996"/>
      <c r="RWU88" s="996"/>
      <c r="RWV88" s="996"/>
      <c r="RWW88" s="996"/>
      <c r="RWX88" s="996"/>
      <c r="RWY88" s="996"/>
      <c r="RWZ88" s="996"/>
      <c r="RXA88" s="996"/>
      <c r="RXB88" s="996"/>
      <c r="RXC88" s="996"/>
      <c r="RXD88" s="996"/>
      <c r="RXE88" s="996"/>
      <c r="RXF88" s="996"/>
      <c r="RXG88" s="996"/>
      <c r="RXH88" s="996"/>
      <c r="RXI88" s="996"/>
      <c r="RXJ88" s="996"/>
      <c r="RXK88" s="996"/>
      <c r="RXL88" s="996"/>
      <c r="RXM88" s="996"/>
      <c r="RXN88" s="996"/>
      <c r="RXO88" s="996"/>
      <c r="RXP88" s="996"/>
      <c r="RXQ88" s="996"/>
      <c r="RXR88" s="996"/>
      <c r="RXS88" s="996"/>
      <c r="RXT88" s="996"/>
      <c r="RXU88" s="996"/>
      <c r="RXV88" s="996"/>
      <c r="RXW88" s="996"/>
      <c r="RXX88" s="996"/>
      <c r="RXY88" s="996"/>
      <c r="RXZ88" s="996"/>
      <c r="RYA88" s="996"/>
      <c r="RYB88" s="996"/>
      <c r="RYC88" s="996"/>
      <c r="RYD88" s="996"/>
      <c r="RYE88" s="996"/>
      <c r="RYF88" s="996"/>
      <c r="RYG88" s="996"/>
      <c r="RYH88" s="996"/>
      <c r="RYI88" s="996"/>
      <c r="RYJ88" s="996"/>
      <c r="RYK88" s="996"/>
      <c r="RYL88" s="996"/>
      <c r="RYM88" s="996"/>
      <c r="RYN88" s="996"/>
      <c r="RYO88" s="996"/>
      <c r="RYP88" s="996"/>
      <c r="RYQ88" s="996"/>
      <c r="RYR88" s="996"/>
      <c r="RYS88" s="996"/>
      <c r="RYT88" s="996"/>
      <c r="RYU88" s="996"/>
      <c r="RYV88" s="996"/>
      <c r="RYW88" s="996"/>
      <c r="RYX88" s="996"/>
      <c r="RYY88" s="996"/>
      <c r="RYZ88" s="996"/>
      <c r="RZA88" s="996"/>
      <c r="RZB88" s="996"/>
      <c r="RZC88" s="996"/>
      <c r="RZD88" s="996"/>
      <c r="RZE88" s="996"/>
      <c r="RZF88" s="996"/>
      <c r="RZG88" s="996"/>
      <c r="RZH88" s="996"/>
      <c r="RZI88" s="996"/>
      <c r="RZJ88" s="996"/>
      <c r="RZK88" s="996"/>
      <c r="RZL88" s="996"/>
      <c r="RZM88" s="996"/>
      <c r="RZN88" s="996"/>
      <c r="RZO88" s="996"/>
      <c r="RZP88" s="996"/>
      <c r="RZQ88" s="996"/>
      <c r="RZR88" s="996"/>
      <c r="RZS88" s="996"/>
      <c r="RZT88" s="996"/>
      <c r="RZU88" s="996"/>
      <c r="RZV88" s="996"/>
      <c r="RZW88" s="996"/>
      <c r="RZX88" s="996"/>
      <c r="RZY88" s="996"/>
      <c r="RZZ88" s="996"/>
      <c r="SAA88" s="996"/>
      <c r="SAB88" s="996"/>
      <c r="SAC88" s="996"/>
      <c r="SAD88" s="996"/>
      <c r="SAE88" s="996"/>
      <c r="SAF88" s="996"/>
      <c r="SAG88" s="996"/>
      <c r="SAH88" s="996"/>
      <c r="SAI88" s="996"/>
      <c r="SAJ88" s="996"/>
      <c r="SAK88" s="996"/>
      <c r="SAL88" s="996"/>
      <c r="SAM88" s="996"/>
      <c r="SAN88" s="996"/>
      <c r="SAO88" s="996"/>
      <c r="SAP88" s="996"/>
      <c r="SAQ88" s="996"/>
      <c r="SAR88" s="996"/>
      <c r="SAS88" s="996"/>
      <c r="SAT88" s="996"/>
      <c r="SAU88" s="996"/>
      <c r="SAV88" s="996"/>
      <c r="SAW88" s="996"/>
      <c r="SAX88" s="996"/>
      <c r="SAY88" s="996"/>
      <c r="SAZ88" s="996"/>
      <c r="SBA88" s="996"/>
      <c r="SBB88" s="996"/>
      <c r="SBC88" s="996"/>
      <c r="SBD88" s="996"/>
      <c r="SBE88" s="996"/>
      <c r="SBF88" s="996"/>
      <c r="SBG88" s="996"/>
      <c r="SBH88" s="996"/>
      <c r="SBI88" s="996"/>
      <c r="SBJ88" s="996"/>
      <c r="SBK88" s="996"/>
      <c r="SBL88" s="996"/>
      <c r="SBM88" s="996"/>
      <c r="SBN88" s="996"/>
      <c r="SBO88" s="996"/>
      <c r="SBP88" s="996"/>
      <c r="SBQ88" s="996"/>
      <c r="SBR88" s="996"/>
      <c r="SBS88" s="996"/>
      <c r="SBT88" s="996"/>
      <c r="SBU88" s="996"/>
      <c r="SBV88" s="996"/>
      <c r="SBW88" s="996"/>
      <c r="SBX88" s="996"/>
      <c r="SBY88" s="996"/>
      <c r="SBZ88" s="996"/>
      <c r="SCA88" s="996"/>
      <c r="SCB88" s="996"/>
      <c r="SCC88" s="996"/>
      <c r="SCD88" s="996"/>
      <c r="SCE88" s="996"/>
      <c r="SCF88" s="996"/>
      <c r="SCG88" s="996"/>
      <c r="SCH88" s="996"/>
      <c r="SCI88" s="996"/>
      <c r="SCJ88" s="996"/>
      <c r="SCK88" s="996"/>
      <c r="SCL88" s="996"/>
      <c r="SCM88" s="996"/>
      <c r="SCN88" s="996"/>
      <c r="SCO88" s="996"/>
      <c r="SCP88" s="996"/>
      <c r="SCQ88" s="996"/>
      <c r="SCR88" s="996"/>
      <c r="SCS88" s="996"/>
      <c r="SCT88" s="996"/>
      <c r="SCU88" s="996"/>
      <c r="SCV88" s="996"/>
      <c r="SCW88" s="996"/>
      <c r="SCX88" s="996"/>
      <c r="SCY88" s="996"/>
      <c r="SCZ88" s="996"/>
      <c r="SDA88" s="996"/>
      <c r="SDB88" s="996"/>
      <c r="SDC88" s="996"/>
      <c r="SDD88" s="996"/>
      <c r="SDE88" s="996"/>
      <c r="SDF88" s="996"/>
      <c r="SDG88" s="996"/>
      <c r="SDH88" s="996"/>
      <c r="SDI88" s="996"/>
      <c r="SDJ88" s="996"/>
      <c r="SDK88" s="996"/>
      <c r="SDL88" s="996"/>
      <c r="SDM88" s="996"/>
      <c r="SDN88" s="996"/>
      <c r="SDO88" s="996"/>
      <c r="SDP88" s="996"/>
      <c r="SDQ88" s="996"/>
      <c r="SDR88" s="996"/>
      <c r="SDS88" s="996"/>
      <c r="SDT88" s="996"/>
      <c r="SDU88" s="996"/>
      <c r="SDV88" s="996"/>
      <c r="SDW88" s="996"/>
      <c r="SDX88" s="996"/>
      <c r="SDY88" s="996"/>
      <c r="SDZ88" s="996"/>
      <c r="SEA88" s="996"/>
      <c r="SEB88" s="996"/>
      <c r="SEC88" s="996"/>
      <c r="SED88" s="996"/>
      <c r="SEE88" s="996"/>
      <c r="SEF88" s="996"/>
      <c r="SEG88" s="996"/>
      <c r="SEH88" s="996"/>
      <c r="SEI88" s="996"/>
      <c r="SEJ88" s="996"/>
      <c r="SEK88" s="996"/>
      <c r="SEL88" s="996"/>
      <c r="SEM88" s="996"/>
      <c r="SEN88" s="996"/>
      <c r="SEO88" s="996"/>
      <c r="SEP88" s="996"/>
      <c r="SEQ88" s="996"/>
      <c r="SER88" s="996"/>
      <c r="SES88" s="996"/>
      <c r="SET88" s="996"/>
      <c r="SEU88" s="996"/>
      <c r="SEV88" s="996"/>
      <c r="SEW88" s="996"/>
      <c r="SEX88" s="996"/>
      <c r="SEY88" s="996"/>
      <c r="SEZ88" s="996"/>
      <c r="SFA88" s="996"/>
      <c r="SFB88" s="996"/>
      <c r="SFC88" s="996"/>
      <c r="SFD88" s="996"/>
      <c r="SFE88" s="996"/>
      <c r="SFF88" s="996"/>
      <c r="SFG88" s="996"/>
      <c r="SFH88" s="996"/>
      <c r="SFI88" s="996"/>
      <c r="SFJ88" s="996"/>
      <c r="SFK88" s="996"/>
      <c r="SFL88" s="996"/>
      <c r="SFM88" s="996"/>
      <c r="SFN88" s="996"/>
      <c r="SFO88" s="996"/>
      <c r="SFP88" s="996"/>
      <c r="SFQ88" s="996"/>
      <c r="SFR88" s="996"/>
      <c r="SFS88" s="996"/>
      <c r="SFT88" s="996"/>
      <c r="SFU88" s="996"/>
      <c r="SFV88" s="996"/>
      <c r="SFW88" s="996"/>
      <c r="SFX88" s="996"/>
      <c r="SFY88" s="996"/>
      <c r="SFZ88" s="996"/>
      <c r="SGA88" s="996"/>
      <c r="SGB88" s="996"/>
      <c r="SGC88" s="996"/>
      <c r="SGD88" s="996"/>
      <c r="SGE88" s="996"/>
      <c r="SGF88" s="996"/>
      <c r="SGG88" s="996"/>
      <c r="SGH88" s="996"/>
      <c r="SGI88" s="996"/>
      <c r="SGJ88" s="996"/>
      <c r="SGK88" s="996"/>
      <c r="SGL88" s="996"/>
      <c r="SGM88" s="996"/>
      <c r="SGN88" s="996"/>
      <c r="SGO88" s="996"/>
      <c r="SGP88" s="996"/>
      <c r="SGQ88" s="996"/>
      <c r="SGR88" s="996"/>
      <c r="SGS88" s="996"/>
      <c r="SGT88" s="996"/>
      <c r="SGU88" s="996"/>
      <c r="SGV88" s="996"/>
      <c r="SGW88" s="996"/>
      <c r="SGX88" s="996"/>
      <c r="SGY88" s="996"/>
      <c r="SGZ88" s="996"/>
      <c r="SHA88" s="996"/>
      <c r="SHB88" s="996"/>
      <c r="SHC88" s="996"/>
      <c r="SHD88" s="996"/>
      <c r="SHE88" s="996"/>
      <c r="SHF88" s="996"/>
      <c r="SHG88" s="996"/>
      <c r="SHH88" s="996"/>
      <c r="SHI88" s="996"/>
      <c r="SHJ88" s="996"/>
      <c r="SHK88" s="996"/>
      <c r="SHL88" s="996"/>
      <c r="SHM88" s="996"/>
      <c r="SHN88" s="996"/>
      <c r="SHO88" s="996"/>
      <c r="SHP88" s="996"/>
      <c r="SHQ88" s="996"/>
      <c r="SHR88" s="996"/>
      <c r="SHS88" s="996"/>
      <c r="SHT88" s="996"/>
      <c r="SHU88" s="996"/>
      <c r="SHV88" s="996"/>
      <c r="SHW88" s="996"/>
      <c r="SHX88" s="996"/>
      <c r="SHY88" s="996"/>
      <c r="SHZ88" s="996"/>
      <c r="SIA88" s="996"/>
      <c r="SIB88" s="996"/>
      <c r="SIC88" s="996"/>
      <c r="SID88" s="996"/>
      <c r="SIE88" s="996"/>
      <c r="SIF88" s="996"/>
      <c r="SIG88" s="996"/>
      <c r="SIH88" s="996"/>
      <c r="SII88" s="996"/>
      <c r="SIJ88" s="996"/>
      <c r="SIK88" s="996"/>
      <c r="SIL88" s="996"/>
      <c r="SIM88" s="996"/>
      <c r="SIN88" s="996"/>
      <c r="SIO88" s="996"/>
      <c r="SIP88" s="996"/>
      <c r="SIQ88" s="996"/>
      <c r="SIR88" s="996"/>
      <c r="SIS88" s="996"/>
      <c r="SIT88" s="996"/>
      <c r="SIU88" s="996"/>
      <c r="SIV88" s="996"/>
      <c r="SIW88" s="996"/>
      <c r="SIX88" s="996"/>
      <c r="SIY88" s="996"/>
      <c r="SIZ88" s="996"/>
      <c r="SJA88" s="996"/>
      <c r="SJB88" s="996"/>
      <c r="SJC88" s="996"/>
      <c r="SJD88" s="996"/>
      <c r="SJE88" s="996"/>
      <c r="SJF88" s="996"/>
      <c r="SJG88" s="996"/>
      <c r="SJH88" s="996"/>
      <c r="SJI88" s="996"/>
      <c r="SJJ88" s="996"/>
      <c r="SJK88" s="996"/>
      <c r="SJL88" s="996"/>
      <c r="SJM88" s="996"/>
      <c r="SJN88" s="996"/>
      <c r="SJO88" s="996"/>
      <c r="SJP88" s="996"/>
      <c r="SJQ88" s="996"/>
      <c r="SJR88" s="996"/>
      <c r="SJS88" s="996"/>
      <c r="SJT88" s="996"/>
      <c r="SJU88" s="996"/>
      <c r="SJV88" s="996"/>
      <c r="SJW88" s="996"/>
      <c r="SJX88" s="996"/>
      <c r="SJY88" s="996"/>
      <c r="SJZ88" s="996"/>
      <c r="SKA88" s="996"/>
      <c r="SKB88" s="996"/>
      <c r="SKC88" s="996"/>
      <c r="SKD88" s="996"/>
      <c r="SKE88" s="996"/>
      <c r="SKF88" s="996"/>
      <c r="SKG88" s="996"/>
      <c r="SKH88" s="996"/>
      <c r="SKI88" s="996"/>
      <c r="SKJ88" s="996"/>
      <c r="SKK88" s="996"/>
      <c r="SKL88" s="996"/>
      <c r="SKM88" s="996"/>
      <c r="SKN88" s="996"/>
      <c r="SKO88" s="996"/>
      <c r="SKP88" s="996"/>
      <c r="SKQ88" s="996"/>
      <c r="SKR88" s="996"/>
      <c r="SKS88" s="996"/>
      <c r="SKT88" s="996"/>
      <c r="SKU88" s="996"/>
      <c r="SKV88" s="996"/>
      <c r="SKW88" s="996"/>
      <c r="SKX88" s="996"/>
      <c r="SKY88" s="996"/>
      <c r="SKZ88" s="996"/>
      <c r="SLA88" s="996"/>
      <c r="SLB88" s="996"/>
      <c r="SLC88" s="996"/>
      <c r="SLD88" s="996"/>
      <c r="SLE88" s="996"/>
      <c r="SLF88" s="996"/>
      <c r="SLG88" s="996"/>
      <c r="SLH88" s="996"/>
      <c r="SLI88" s="996"/>
      <c r="SLJ88" s="996"/>
      <c r="SLK88" s="996"/>
      <c r="SLL88" s="996"/>
      <c r="SLM88" s="996"/>
      <c r="SLN88" s="996"/>
      <c r="SLO88" s="996"/>
      <c r="SLP88" s="996"/>
      <c r="SLQ88" s="996"/>
      <c r="SLR88" s="996"/>
      <c r="SLS88" s="996"/>
      <c r="SLT88" s="996"/>
      <c r="SLU88" s="996"/>
      <c r="SLV88" s="996"/>
      <c r="SLW88" s="996"/>
      <c r="SLX88" s="996"/>
      <c r="SLY88" s="996"/>
      <c r="SLZ88" s="996"/>
      <c r="SMA88" s="996"/>
      <c r="SMB88" s="996"/>
      <c r="SMC88" s="996"/>
      <c r="SMD88" s="996"/>
      <c r="SME88" s="996"/>
      <c r="SMF88" s="996"/>
      <c r="SMG88" s="996"/>
      <c r="SMH88" s="996"/>
      <c r="SMI88" s="996"/>
      <c r="SMJ88" s="996"/>
      <c r="SMK88" s="996"/>
      <c r="SML88" s="996"/>
      <c r="SMM88" s="996"/>
      <c r="SMN88" s="996"/>
      <c r="SMO88" s="996"/>
      <c r="SMP88" s="996"/>
      <c r="SMQ88" s="996"/>
      <c r="SMR88" s="996"/>
      <c r="SMS88" s="996"/>
      <c r="SMT88" s="996"/>
      <c r="SMU88" s="996"/>
      <c r="SMV88" s="996"/>
      <c r="SMW88" s="996"/>
      <c r="SMX88" s="996"/>
      <c r="SMY88" s="996"/>
      <c r="SMZ88" s="996"/>
      <c r="SNA88" s="996"/>
      <c r="SNB88" s="996"/>
      <c r="SNC88" s="996"/>
      <c r="SND88" s="996"/>
      <c r="SNE88" s="996"/>
      <c r="SNF88" s="996"/>
      <c r="SNG88" s="996"/>
      <c r="SNH88" s="996"/>
      <c r="SNI88" s="996"/>
      <c r="SNJ88" s="996"/>
      <c r="SNK88" s="996"/>
      <c r="SNL88" s="996"/>
      <c r="SNM88" s="996"/>
      <c r="SNN88" s="996"/>
      <c r="SNO88" s="996"/>
      <c r="SNP88" s="996"/>
      <c r="SNQ88" s="996"/>
      <c r="SNR88" s="996"/>
      <c r="SNS88" s="996"/>
      <c r="SNT88" s="996"/>
      <c r="SNU88" s="996"/>
      <c r="SNV88" s="996"/>
      <c r="SNW88" s="996"/>
      <c r="SNX88" s="996"/>
      <c r="SNY88" s="996"/>
      <c r="SNZ88" s="996"/>
      <c r="SOA88" s="996"/>
      <c r="SOB88" s="996"/>
      <c r="SOC88" s="996"/>
      <c r="SOD88" s="996"/>
      <c r="SOE88" s="996"/>
      <c r="SOF88" s="996"/>
      <c r="SOG88" s="996"/>
      <c r="SOH88" s="996"/>
      <c r="SOI88" s="996"/>
      <c r="SOJ88" s="996"/>
      <c r="SOK88" s="996"/>
      <c r="SOL88" s="996"/>
      <c r="SOM88" s="996"/>
      <c r="SON88" s="996"/>
      <c r="SOO88" s="996"/>
      <c r="SOP88" s="996"/>
      <c r="SOQ88" s="996"/>
      <c r="SOR88" s="996"/>
      <c r="SOS88" s="996"/>
      <c r="SOT88" s="996"/>
      <c r="SOU88" s="996"/>
      <c r="SOV88" s="996"/>
      <c r="SOW88" s="996"/>
      <c r="SOX88" s="996"/>
      <c r="SOY88" s="996"/>
      <c r="SOZ88" s="996"/>
      <c r="SPA88" s="996"/>
      <c r="SPB88" s="996"/>
      <c r="SPC88" s="996"/>
      <c r="SPD88" s="996"/>
      <c r="SPE88" s="996"/>
      <c r="SPF88" s="996"/>
      <c r="SPG88" s="996"/>
      <c r="SPH88" s="996"/>
      <c r="SPI88" s="996"/>
      <c r="SPJ88" s="996"/>
      <c r="SPK88" s="996"/>
      <c r="SPL88" s="996"/>
      <c r="SPM88" s="996"/>
      <c r="SPN88" s="996"/>
      <c r="SPO88" s="996"/>
      <c r="SPP88" s="996"/>
      <c r="SPQ88" s="996"/>
      <c r="SPR88" s="996"/>
      <c r="SPS88" s="996"/>
      <c r="SPT88" s="996"/>
      <c r="SPU88" s="996"/>
      <c r="SPV88" s="996"/>
      <c r="SPW88" s="996"/>
      <c r="SPX88" s="996"/>
      <c r="SPY88" s="996"/>
      <c r="SPZ88" s="996"/>
      <c r="SQA88" s="996"/>
      <c r="SQB88" s="996"/>
      <c r="SQC88" s="996"/>
      <c r="SQD88" s="996"/>
      <c r="SQE88" s="996"/>
      <c r="SQF88" s="996"/>
      <c r="SQG88" s="996"/>
      <c r="SQH88" s="996"/>
      <c r="SQI88" s="996"/>
      <c r="SQJ88" s="996"/>
      <c r="SQK88" s="996"/>
      <c r="SQL88" s="996"/>
      <c r="SQM88" s="996"/>
      <c r="SQN88" s="996"/>
      <c r="SQO88" s="996"/>
      <c r="SQP88" s="996"/>
      <c r="SQQ88" s="996"/>
      <c r="SQR88" s="996"/>
      <c r="SQS88" s="996"/>
      <c r="SQT88" s="996"/>
      <c r="SQU88" s="996"/>
      <c r="SQV88" s="996"/>
      <c r="SQW88" s="996"/>
      <c r="SQX88" s="996"/>
      <c r="SQY88" s="996"/>
      <c r="SQZ88" s="996"/>
      <c r="SRA88" s="996"/>
      <c r="SRB88" s="996"/>
      <c r="SRC88" s="996"/>
      <c r="SRD88" s="996"/>
      <c r="SRE88" s="996"/>
      <c r="SRF88" s="996"/>
      <c r="SRG88" s="996"/>
      <c r="SRH88" s="996"/>
      <c r="SRI88" s="996"/>
      <c r="SRJ88" s="996"/>
      <c r="SRK88" s="996"/>
      <c r="SRL88" s="996"/>
      <c r="SRM88" s="996"/>
      <c r="SRN88" s="996"/>
      <c r="SRO88" s="996"/>
      <c r="SRP88" s="996"/>
      <c r="SRQ88" s="996"/>
      <c r="SRR88" s="996"/>
      <c r="SRS88" s="996"/>
      <c r="SRT88" s="996"/>
      <c r="SRU88" s="996"/>
      <c r="SRV88" s="996"/>
      <c r="SRW88" s="996"/>
      <c r="SRX88" s="996"/>
      <c r="SRY88" s="996"/>
      <c r="SRZ88" s="996"/>
      <c r="SSA88" s="996"/>
      <c r="SSB88" s="996"/>
      <c r="SSC88" s="996"/>
      <c r="SSD88" s="996"/>
      <c r="SSE88" s="996"/>
      <c r="SSF88" s="996"/>
      <c r="SSG88" s="996"/>
      <c r="SSH88" s="996"/>
      <c r="SSI88" s="996"/>
      <c r="SSJ88" s="996"/>
      <c r="SSK88" s="996"/>
      <c r="SSL88" s="996"/>
      <c r="SSM88" s="996"/>
      <c r="SSN88" s="996"/>
      <c r="SSO88" s="996"/>
      <c r="SSP88" s="996"/>
      <c r="SSQ88" s="996"/>
      <c r="SSR88" s="996"/>
      <c r="SSS88" s="996"/>
      <c r="SST88" s="996"/>
      <c r="SSU88" s="996"/>
      <c r="SSV88" s="996"/>
      <c r="SSW88" s="996"/>
      <c r="SSX88" s="996"/>
      <c r="SSY88" s="996"/>
      <c r="SSZ88" s="996"/>
      <c r="STA88" s="996"/>
      <c r="STB88" s="996"/>
      <c r="STC88" s="996"/>
      <c r="STD88" s="996"/>
      <c r="STE88" s="996"/>
      <c r="STF88" s="996"/>
      <c r="STG88" s="996"/>
      <c r="STH88" s="996"/>
      <c r="STI88" s="996"/>
      <c r="STJ88" s="996"/>
      <c r="STK88" s="996"/>
      <c r="STL88" s="996"/>
      <c r="STM88" s="996"/>
      <c r="STN88" s="996"/>
      <c r="STO88" s="996"/>
      <c r="STP88" s="996"/>
      <c r="STQ88" s="996"/>
      <c r="STR88" s="996"/>
      <c r="STS88" s="996"/>
      <c r="STT88" s="996"/>
      <c r="STU88" s="996"/>
      <c r="STV88" s="996"/>
      <c r="STW88" s="996"/>
      <c r="STX88" s="996"/>
      <c r="STY88" s="996"/>
      <c r="STZ88" s="996"/>
      <c r="SUA88" s="996"/>
      <c r="SUB88" s="996"/>
      <c r="SUC88" s="996"/>
      <c r="SUD88" s="996"/>
      <c r="SUE88" s="996"/>
      <c r="SUF88" s="996"/>
      <c r="SUG88" s="996"/>
      <c r="SUH88" s="996"/>
      <c r="SUI88" s="996"/>
      <c r="SUJ88" s="996"/>
      <c r="SUK88" s="996"/>
      <c r="SUL88" s="996"/>
      <c r="SUM88" s="996"/>
      <c r="SUN88" s="996"/>
      <c r="SUO88" s="996"/>
      <c r="SUP88" s="996"/>
      <c r="SUQ88" s="996"/>
      <c r="SUR88" s="996"/>
      <c r="SUS88" s="996"/>
      <c r="SUT88" s="996"/>
      <c r="SUU88" s="996"/>
      <c r="SUV88" s="996"/>
      <c r="SUW88" s="996"/>
      <c r="SUX88" s="996"/>
      <c r="SUY88" s="996"/>
      <c r="SUZ88" s="996"/>
      <c r="SVA88" s="996"/>
      <c r="SVB88" s="996"/>
      <c r="SVC88" s="996"/>
      <c r="SVD88" s="996"/>
      <c r="SVE88" s="996"/>
      <c r="SVF88" s="996"/>
      <c r="SVG88" s="996"/>
      <c r="SVH88" s="996"/>
      <c r="SVI88" s="996"/>
      <c r="SVJ88" s="996"/>
      <c r="SVK88" s="996"/>
      <c r="SVL88" s="996"/>
      <c r="SVM88" s="996"/>
      <c r="SVN88" s="996"/>
      <c r="SVO88" s="996"/>
      <c r="SVP88" s="996"/>
      <c r="SVQ88" s="996"/>
      <c r="SVR88" s="996"/>
      <c r="SVS88" s="996"/>
      <c r="SVT88" s="996"/>
      <c r="SVU88" s="996"/>
      <c r="SVV88" s="996"/>
      <c r="SVW88" s="996"/>
      <c r="SVX88" s="996"/>
      <c r="SVY88" s="996"/>
      <c r="SVZ88" s="996"/>
      <c r="SWA88" s="996"/>
      <c r="SWB88" s="996"/>
      <c r="SWC88" s="996"/>
      <c r="SWD88" s="996"/>
      <c r="SWE88" s="996"/>
      <c r="SWF88" s="996"/>
      <c r="SWG88" s="996"/>
      <c r="SWH88" s="996"/>
      <c r="SWI88" s="996"/>
      <c r="SWJ88" s="996"/>
      <c r="SWK88" s="996"/>
      <c r="SWL88" s="996"/>
      <c r="SWM88" s="996"/>
      <c r="SWN88" s="996"/>
      <c r="SWO88" s="996"/>
      <c r="SWP88" s="996"/>
      <c r="SWQ88" s="996"/>
      <c r="SWR88" s="996"/>
      <c r="SWS88" s="996"/>
      <c r="SWT88" s="996"/>
      <c r="SWU88" s="996"/>
      <c r="SWV88" s="996"/>
      <c r="SWW88" s="996"/>
      <c r="SWX88" s="996"/>
      <c r="SWY88" s="996"/>
      <c r="SWZ88" s="996"/>
      <c r="SXA88" s="996"/>
      <c r="SXB88" s="996"/>
      <c r="SXC88" s="996"/>
      <c r="SXD88" s="996"/>
      <c r="SXE88" s="996"/>
      <c r="SXF88" s="996"/>
      <c r="SXG88" s="996"/>
      <c r="SXH88" s="996"/>
      <c r="SXI88" s="996"/>
      <c r="SXJ88" s="996"/>
      <c r="SXK88" s="996"/>
      <c r="SXL88" s="996"/>
      <c r="SXM88" s="996"/>
      <c r="SXN88" s="996"/>
      <c r="SXO88" s="996"/>
      <c r="SXP88" s="996"/>
      <c r="SXQ88" s="996"/>
      <c r="SXR88" s="996"/>
      <c r="SXS88" s="996"/>
      <c r="SXT88" s="996"/>
      <c r="SXU88" s="996"/>
      <c r="SXV88" s="996"/>
      <c r="SXW88" s="996"/>
      <c r="SXX88" s="996"/>
      <c r="SXY88" s="996"/>
      <c r="SXZ88" s="996"/>
      <c r="SYA88" s="996"/>
      <c r="SYB88" s="996"/>
      <c r="SYC88" s="996"/>
      <c r="SYD88" s="996"/>
      <c r="SYE88" s="996"/>
      <c r="SYF88" s="996"/>
      <c r="SYG88" s="996"/>
      <c r="SYH88" s="996"/>
      <c r="SYI88" s="996"/>
      <c r="SYJ88" s="996"/>
      <c r="SYK88" s="996"/>
      <c r="SYL88" s="996"/>
      <c r="SYM88" s="996"/>
      <c r="SYN88" s="996"/>
      <c r="SYO88" s="996"/>
      <c r="SYP88" s="996"/>
      <c r="SYQ88" s="996"/>
      <c r="SYR88" s="996"/>
      <c r="SYS88" s="996"/>
      <c r="SYT88" s="996"/>
      <c r="SYU88" s="996"/>
      <c r="SYV88" s="996"/>
      <c r="SYW88" s="996"/>
      <c r="SYX88" s="996"/>
      <c r="SYY88" s="996"/>
      <c r="SYZ88" s="996"/>
      <c r="SZA88" s="996"/>
      <c r="SZB88" s="996"/>
      <c r="SZC88" s="996"/>
      <c r="SZD88" s="996"/>
      <c r="SZE88" s="996"/>
      <c r="SZF88" s="996"/>
      <c r="SZG88" s="996"/>
      <c r="SZH88" s="996"/>
      <c r="SZI88" s="996"/>
      <c r="SZJ88" s="996"/>
      <c r="SZK88" s="996"/>
      <c r="SZL88" s="996"/>
      <c r="SZM88" s="996"/>
      <c r="SZN88" s="996"/>
      <c r="SZO88" s="996"/>
      <c r="SZP88" s="996"/>
      <c r="SZQ88" s="996"/>
      <c r="SZR88" s="996"/>
      <c r="SZS88" s="996"/>
      <c r="SZT88" s="996"/>
      <c r="SZU88" s="996"/>
      <c r="SZV88" s="996"/>
      <c r="SZW88" s="996"/>
      <c r="SZX88" s="996"/>
      <c r="SZY88" s="996"/>
      <c r="SZZ88" s="996"/>
      <c r="TAA88" s="996"/>
      <c r="TAB88" s="996"/>
      <c r="TAC88" s="996"/>
      <c r="TAD88" s="996"/>
      <c r="TAE88" s="996"/>
      <c r="TAF88" s="996"/>
      <c r="TAG88" s="996"/>
      <c r="TAH88" s="996"/>
      <c r="TAI88" s="996"/>
      <c r="TAJ88" s="996"/>
      <c r="TAK88" s="996"/>
      <c r="TAL88" s="996"/>
      <c r="TAM88" s="996"/>
      <c r="TAN88" s="996"/>
      <c r="TAO88" s="996"/>
      <c r="TAP88" s="996"/>
      <c r="TAQ88" s="996"/>
      <c r="TAR88" s="996"/>
      <c r="TAS88" s="996"/>
      <c r="TAT88" s="996"/>
      <c r="TAU88" s="996"/>
      <c r="TAV88" s="996"/>
      <c r="TAW88" s="996"/>
      <c r="TAX88" s="996"/>
      <c r="TAY88" s="996"/>
      <c r="TAZ88" s="996"/>
      <c r="TBA88" s="996"/>
      <c r="TBB88" s="996"/>
      <c r="TBC88" s="996"/>
      <c r="TBD88" s="996"/>
      <c r="TBE88" s="996"/>
      <c r="TBF88" s="996"/>
      <c r="TBG88" s="996"/>
      <c r="TBH88" s="996"/>
      <c r="TBI88" s="996"/>
      <c r="TBJ88" s="996"/>
      <c r="TBK88" s="996"/>
      <c r="TBL88" s="996"/>
      <c r="TBM88" s="996"/>
      <c r="TBN88" s="996"/>
      <c r="TBO88" s="996"/>
      <c r="TBP88" s="996"/>
      <c r="TBQ88" s="996"/>
      <c r="TBR88" s="996"/>
      <c r="TBS88" s="996"/>
      <c r="TBT88" s="996"/>
      <c r="TBU88" s="996"/>
      <c r="TBV88" s="996"/>
      <c r="TBW88" s="996"/>
      <c r="TBX88" s="996"/>
      <c r="TBY88" s="996"/>
      <c r="TBZ88" s="996"/>
      <c r="TCA88" s="996"/>
      <c r="TCB88" s="996"/>
      <c r="TCC88" s="996"/>
      <c r="TCD88" s="996"/>
      <c r="TCE88" s="996"/>
      <c r="TCF88" s="996"/>
      <c r="TCG88" s="996"/>
      <c r="TCH88" s="996"/>
      <c r="TCI88" s="996"/>
      <c r="TCJ88" s="996"/>
      <c r="TCK88" s="996"/>
      <c r="TCL88" s="996"/>
      <c r="TCM88" s="996"/>
      <c r="TCN88" s="996"/>
      <c r="TCO88" s="996"/>
      <c r="TCP88" s="996"/>
      <c r="TCQ88" s="996"/>
      <c r="TCR88" s="996"/>
      <c r="TCS88" s="996"/>
      <c r="TCT88" s="996"/>
      <c r="TCU88" s="996"/>
      <c r="TCV88" s="996"/>
      <c r="TCW88" s="996"/>
      <c r="TCX88" s="996"/>
      <c r="TCY88" s="996"/>
      <c r="TCZ88" s="996"/>
      <c r="TDA88" s="996"/>
      <c r="TDB88" s="996"/>
      <c r="TDC88" s="996"/>
      <c r="TDD88" s="996"/>
      <c r="TDE88" s="996"/>
      <c r="TDF88" s="996"/>
      <c r="TDG88" s="996"/>
      <c r="TDH88" s="996"/>
      <c r="TDI88" s="996"/>
      <c r="TDJ88" s="996"/>
      <c r="TDK88" s="996"/>
      <c r="TDL88" s="996"/>
      <c r="TDM88" s="996"/>
      <c r="TDN88" s="996"/>
      <c r="TDO88" s="996"/>
      <c r="TDP88" s="996"/>
      <c r="TDQ88" s="996"/>
      <c r="TDR88" s="996"/>
      <c r="TDS88" s="996"/>
      <c r="TDT88" s="996"/>
      <c r="TDU88" s="996"/>
      <c r="TDV88" s="996"/>
      <c r="TDW88" s="996"/>
      <c r="TDX88" s="996"/>
      <c r="TDY88" s="996"/>
      <c r="TDZ88" s="996"/>
      <c r="TEA88" s="996"/>
      <c r="TEB88" s="996"/>
      <c r="TEC88" s="996"/>
      <c r="TED88" s="996"/>
      <c r="TEE88" s="996"/>
      <c r="TEF88" s="996"/>
      <c r="TEG88" s="996"/>
      <c r="TEH88" s="996"/>
      <c r="TEI88" s="996"/>
      <c r="TEJ88" s="996"/>
      <c r="TEK88" s="996"/>
      <c r="TEL88" s="996"/>
      <c r="TEM88" s="996"/>
      <c r="TEN88" s="996"/>
      <c r="TEO88" s="996"/>
      <c r="TEP88" s="996"/>
      <c r="TEQ88" s="996"/>
      <c r="TER88" s="996"/>
      <c r="TES88" s="996"/>
      <c r="TET88" s="996"/>
      <c r="TEU88" s="996"/>
      <c r="TEV88" s="996"/>
      <c r="TEW88" s="996"/>
      <c r="TEX88" s="996"/>
      <c r="TEY88" s="996"/>
      <c r="TEZ88" s="996"/>
      <c r="TFA88" s="996"/>
      <c r="TFB88" s="996"/>
      <c r="TFC88" s="996"/>
      <c r="TFD88" s="996"/>
      <c r="TFE88" s="996"/>
      <c r="TFF88" s="996"/>
      <c r="TFG88" s="996"/>
      <c r="TFH88" s="996"/>
      <c r="TFI88" s="996"/>
      <c r="TFJ88" s="996"/>
      <c r="TFK88" s="996"/>
      <c r="TFL88" s="996"/>
      <c r="TFM88" s="996"/>
      <c r="TFN88" s="996"/>
      <c r="TFO88" s="996"/>
      <c r="TFP88" s="996"/>
      <c r="TFQ88" s="996"/>
      <c r="TFR88" s="996"/>
      <c r="TFS88" s="996"/>
      <c r="TFT88" s="996"/>
      <c r="TFU88" s="996"/>
      <c r="TFV88" s="996"/>
      <c r="TFW88" s="996"/>
      <c r="TFX88" s="996"/>
      <c r="TFY88" s="996"/>
      <c r="TFZ88" s="996"/>
      <c r="TGA88" s="996"/>
      <c r="TGB88" s="996"/>
      <c r="TGC88" s="996"/>
      <c r="TGD88" s="996"/>
      <c r="TGE88" s="996"/>
      <c r="TGF88" s="996"/>
      <c r="TGG88" s="996"/>
      <c r="TGH88" s="996"/>
      <c r="TGI88" s="996"/>
      <c r="TGJ88" s="996"/>
      <c r="TGK88" s="996"/>
      <c r="TGL88" s="996"/>
      <c r="TGM88" s="996"/>
      <c r="TGN88" s="996"/>
      <c r="TGO88" s="996"/>
      <c r="TGP88" s="996"/>
      <c r="TGQ88" s="996"/>
      <c r="TGR88" s="996"/>
      <c r="TGS88" s="996"/>
      <c r="TGT88" s="996"/>
      <c r="TGU88" s="996"/>
      <c r="TGV88" s="996"/>
      <c r="TGW88" s="996"/>
      <c r="TGX88" s="996"/>
      <c r="TGY88" s="996"/>
      <c r="TGZ88" s="996"/>
      <c r="THA88" s="996"/>
      <c r="THB88" s="996"/>
      <c r="THC88" s="996"/>
      <c r="THD88" s="996"/>
      <c r="THE88" s="996"/>
      <c r="THF88" s="996"/>
      <c r="THG88" s="996"/>
      <c r="THH88" s="996"/>
      <c r="THI88" s="996"/>
      <c r="THJ88" s="996"/>
      <c r="THK88" s="996"/>
      <c r="THL88" s="996"/>
      <c r="THM88" s="996"/>
      <c r="THN88" s="996"/>
      <c r="THO88" s="996"/>
      <c r="THP88" s="996"/>
      <c r="THQ88" s="996"/>
      <c r="THR88" s="996"/>
      <c r="THS88" s="996"/>
      <c r="THT88" s="996"/>
      <c r="THU88" s="996"/>
      <c r="THV88" s="996"/>
      <c r="THW88" s="996"/>
      <c r="THX88" s="996"/>
      <c r="THY88" s="996"/>
      <c r="THZ88" s="996"/>
      <c r="TIA88" s="996"/>
      <c r="TIB88" s="996"/>
      <c r="TIC88" s="996"/>
      <c r="TID88" s="996"/>
      <c r="TIE88" s="996"/>
      <c r="TIF88" s="996"/>
      <c r="TIG88" s="996"/>
      <c r="TIH88" s="996"/>
      <c r="TII88" s="996"/>
      <c r="TIJ88" s="996"/>
      <c r="TIK88" s="996"/>
      <c r="TIL88" s="996"/>
      <c r="TIM88" s="996"/>
      <c r="TIN88" s="996"/>
      <c r="TIO88" s="996"/>
      <c r="TIP88" s="996"/>
      <c r="TIQ88" s="996"/>
      <c r="TIR88" s="996"/>
      <c r="TIS88" s="996"/>
      <c r="TIT88" s="996"/>
      <c r="TIU88" s="996"/>
      <c r="TIV88" s="996"/>
      <c r="TIW88" s="996"/>
      <c r="TIX88" s="996"/>
      <c r="TIY88" s="996"/>
      <c r="TIZ88" s="996"/>
      <c r="TJA88" s="996"/>
      <c r="TJB88" s="996"/>
      <c r="TJC88" s="996"/>
      <c r="TJD88" s="996"/>
      <c r="TJE88" s="996"/>
      <c r="TJF88" s="996"/>
      <c r="TJG88" s="996"/>
      <c r="TJH88" s="996"/>
      <c r="TJI88" s="996"/>
      <c r="TJJ88" s="996"/>
      <c r="TJK88" s="996"/>
      <c r="TJL88" s="996"/>
      <c r="TJM88" s="996"/>
      <c r="TJN88" s="996"/>
      <c r="TJO88" s="996"/>
      <c r="TJP88" s="996"/>
      <c r="TJQ88" s="996"/>
      <c r="TJR88" s="996"/>
      <c r="TJS88" s="996"/>
      <c r="TJT88" s="996"/>
      <c r="TJU88" s="996"/>
      <c r="TJV88" s="996"/>
      <c r="TJW88" s="996"/>
      <c r="TJX88" s="996"/>
      <c r="TJY88" s="996"/>
      <c r="TJZ88" s="996"/>
      <c r="TKA88" s="996"/>
      <c r="TKB88" s="996"/>
      <c r="TKC88" s="996"/>
      <c r="TKD88" s="996"/>
      <c r="TKE88" s="996"/>
      <c r="TKF88" s="996"/>
      <c r="TKG88" s="996"/>
      <c r="TKH88" s="996"/>
      <c r="TKI88" s="996"/>
      <c r="TKJ88" s="996"/>
      <c r="TKK88" s="996"/>
      <c r="TKL88" s="996"/>
      <c r="TKM88" s="996"/>
      <c r="TKN88" s="996"/>
      <c r="TKO88" s="996"/>
      <c r="TKP88" s="996"/>
      <c r="TKQ88" s="996"/>
      <c r="TKR88" s="996"/>
      <c r="TKS88" s="996"/>
      <c r="TKT88" s="996"/>
      <c r="TKU88" s="996"/>
      <c r="TKV88" s="996"/>
      <c r="TKW88" s="996"/>
      <c r="TKX88" s="996"/>
      <c r="TKY88" s="996"/>
      <c r="TKZ88" s="996"/>
      <c r="TLA88" s="996"/>
      <c r="TLB88" s="996"/>
      <c r="TLC88" s="996"/>
      <c r="TLD88" s="996"/>
      <c r="TLE88" s="996"/>
      <c r="TLF88" s="996"/>
      <c r="TLG88" s="996"/>
      <c r="TLH88" s="996"/>
      <c r="TLI88" s="996"/>
      <c r="TLJ88" s="996"/>
      <c r="TLK88" s="996"/>
      <c r="TLL88" s="996"/>
      <c r="TLM88" s="996"/>
      <c r="TLN88" s="996"/>
      <c r="TLO88" s="996"/>
      <c r="TLP88" s="996"/>
      <c r="TLQ88" s="996"/>
      <c r="TLR88" s="996"/>
      <c r="TLS88" s="996"/>
      <c r="TLT88" s="996"/>
      <c r="TLU88" s="996"/>
      <c r="TLV88" s="996"/>
      <c r="TLW88" s="996"/>
      <c r="TLX88" s="996"/>
      <c r="TLY88" s="996"/>
      <c r="TLZ88" s="996"/>
      <c r="TMA88" s="996"/>
      <c r="TMB88" s="996"/>
      <c r="TMC88" s="996"/>
      <c r="TMD88" s="996"/>
      <c r="TME88" s="996"/>
      <c r="TMF88" s="996"/>
      <c r="TMG88" s="996"/>
      <c r="TMH88" s="996"/>
      <c r="TMI88" s="996"/>
      <c r="TMJ88" s="996"/>
      <c r="TMK88" s="996"/>
      <c r="TML88" s="996"/>
      <c r="TMM88" s="996"/>
      <c r="TMN88" s="996"/>
      <c r="TMO88" s="996"/>
      <c r="TMP88" s="996"/>
      <c r="TMQ88" s="996"/>
      <c r="TMR88" s="996"/>
      <c r="TMS88" s="996"/>
      <c r="TMT88" s="996"/>
      <c r="TMU88" s="996"/>
      <c r="TMV88" s="996"/>
      <c r="TMW88" s="996"/>
      <c r="TMX88" s="996"/>
      <c r="TMY88" s="996"/>
      <c r="TMZ88" s="996"/>
      <c r="TNA88" s="996"/>
      <c r="TNB88" s="996"/>
      <c r="TNC88" s="996"/>
      <c r="TND88" s="996"/>
      <c r="TNE88" s="996"/>
      <c r="TNF88" s="996"/>
      <c r="TNG88" s="996"/>
      <c r="TNH88" s="996"/>
      <c r="TNI88" s="996"/>
      <c r="TNJ88" s="996"/>
      <c r="TNK88" s="996"/>
      <c r="TNL88" s="996"/>
      <c r="TNM88" s="996"/>
      <c r="TNN88" s="996"/>
      <c r="TNO88" s="996"/>
      <c r="TNP88" s="996"/>
      <c r="TNQ88" s="996"/>
      <c r="TNR88" s="996"/>
      <c r="TNS88" s="996"/>
      <c r="TNT88" s="996"/>
      <c r="TNU88" s="996"/>
      <c r="TNV88" s="996"/>
      <c r="TNW88" s="996"/>
      <c r="TNX88" s="996"/>
      <c r="TNY88" s="996"/>
      <c r="TNZ88" s="996"/>
      <c r="TOA88" s="996"/>
      <c r="TOB88" s="996"/>
      <c r="TOC88" s="996"/>
      <c r="TOD88" s="996"/>
      <c r="TOE88" s="996"/>
      <c r="TOF88" s="996"/>
      <c r="TOG88" s="996"/>
      <c r="TOH88" s="996"/>
      <c r="TOI88" s="996"/>
      <c r="TOJ88" s="996"/>
      <c r="TOK88" s="996"/>
      <c r="TOL88" s="996"/>
      <c r="TOM88" s="996"/>
      <c r="TON88" s="996"/>
      <c r="TOO88" s="996"/>
      <c r="TOP88" s="996"/>
      <c r="TOQ88" s="996"/>
      <c r="TOR88" s="996"/>
      <c r="TOS88" s="996"/>
      <c r="TOT88" s="996"/>
      <c r="TOU88" s="996"/>
      <c r="TOV88" s="996"/>
      <c r="TOW88" s="996"/>
      <c r="TOX88" s="996"/>
      <c r="TOY88" s="996"/>
      <c r="TOZ88" s="996"/>
      <c r="TPA88" s="996"/>
      <c r="TPB88" s="996"/>
      <c r="TPC88" s="996"/>
      <c r="TPD88" s="996"/>
      <c r="TPE88" s="996"/>
      <c r="TPF88" s="996"/>
      <c r="TPG88" s="996"/>
      <c r="TPH88" s="996"/>
      <c r="TPI88" s="996"/>
      <c r="TPJ88" s="996"/>
      <c r="TPK88" s="996"/>
      <c r="TPL88" s="996"/>
      <c r="TPM88" s="996"/>
      <c r="TPN88" s="996"/>
      <c r="TPO88" s="996"/>
      <c r="TPP88" s="996"/>
      <c r="TPQ88" s="996"/>
      <c r="TPR88" s="996"/>
      <c r="TPS88" s="996"/>
      <c r="TPT88" s="996"/>
      <c r="TPU88" s="996"/>
      <c r="TPV88" s="996"/>
      <c r="TPW88" s="996"/>
      <c r="TPX88" s="996"/>
      <c r="TPY88" s="996"/>
      <c r="TPZ88" s="996"/>
      <c r="TQA88" s="996"/>
      <c r="TQB88" s="996"/>
      <c r="TQC88" s="996"/>
      <c r="TQD88" s="996"/>
      <c r="TQE88" s="996"/>
      <c r="TQF88" s="996"/>
      <c r="TQG88" s="996"/>
      <c r="TQH88" s="996"/>
      <c r="TQI88" s="996"/>
      <c r="TQJ88" s="996"/>
      <c r="TQK88" s="996"/>
      <c r="TQL88" s="996"/>
      <c r="TQM88" s="996"/>
      <c r="TQN88" s="996"/>
      <c r="TQO88" s="996"/>
      <c r="TQP88" s="996"/>
      <c r="TQQ88" s="996"/>
      <c r="TQR88" s="996"/>
      <c r="TQS88" s="996"/>
      <c r="TQT88" s="996"/>
      <c r="TQU88" s="996"/>
      <c r="TQV88" s="996"/>
      <c r="TQW88" s="996"/>
      <c r="TQX88" s="996"/>
      <c r="TQY88" s="996"/>
      <c r="TQZ88" s="996"/>
      <c r="TRA88" s="996"/>
      <c r="TRB88" s="996"/>
      <c r="TRC88" s="996"/>
      <c r="TRD88" s="996"/>
      <c r="TRE88" s="996"/>
      <c r="TRF88" s="996"/>
      <c r="TRG88" s="996"/>
      <c r="TRH88" s="996"/>
      <c r="TRI88" s="996"/>
      <c r="TRJ88" s="996"/>
      <c r="TRK88" s="996"/>
      <c r="TRL88" s="996"/>
      <c r="TRM88" s="996"/>
      <c r="TRN88" s="996"/>
      <c r="TRO88" s="996"/>
      <c r="TRP88" s="996"/>
      <c r="TRQ88" s="996"/>
      <c r="TRR88" s="996"/>
      <c r="TRS88" s="996"/>
      <c r="TRT88" s="996"/>
      <c r="TRU88" s="996"/>
      <c r="TRV88" s="996"/>
      <c r="TRW88" s="996"/>
      <c r="TRX88" s="996"/>
      <c r="TRY88" s="996"/>
      <c r="TRZ88" s="996"/>
      <c r="TSA88" s="996"/>
      <c r="TSB88" s="996"/>
      <c r="TSC88" s="996"/>
      <c r="TSD88" s="996"/>
      <c r="TSE88" s="996"/>
      <c r="TSF88" s="996"/>
      <c r="TSG88" s="996"/>
      <c r="TSH88" s="996"/>
      <c r="TSI88" s="996"/>
      <c r="TSJ88" s="996"/>
      <c r="TSK88" s="996"/>
      <c r="TSL88" s="996"/>
      <c r="TSM88" s="996"/>
      <c r="TSN88" s="996"/>
      <c r="TSO88" s="996"/>
      <c r="TSP88" s="996"/>
      <c r="TSQ88" s="996"/>
      <c r="TSR88" s="996"/>
      <c r="TSS88" s="996"/>
      <c r="TST88" s="996"/>
      <c r="TSU88" s="996"/>
      <c r="TSV88" s="996"/>
      <c r="TSW88" s="996"/>
      <c r="TSX88" s="996"/>
      <c r="TSY88" s="996"/>
      <c r="TSZ88" s="996"/>
      <c r="TTA88" s="996"/>
      <c r="TTB88" s="996"/>
      <c r="TTC88" s="996"/>
      <c r="TTD88" s="996"/>
      <c r="TTE88" s="996"/>
      <c r="TTF88" s="996"/>
      <c r="TTG88" s="996"/>
      <c r="TTH88" s="996"/>
      <c r="TTI88" s="996"/>
      <c r="TTJ88" s="996"/>
      <c r="TTK88" s="996"/>
      <c r="TTL88" s="996"/>
      <c r="TTM88" s="996"/>
      <c r="TTN88" s="996"/>
      <c r="TTO88" s="996"/>
      <c r="TTP88" s="996"/>
      <c r="TTQ88" s="996"/>
      <c r="TTR88" s="996"/>
      <c r="TTS88" s="996"/>
      <c r="TTT88" s="996"/>
      <c r="TTU88" s="996"/>
      <c r="TTV88" s="996"/>
      <c r="TTW88" s="996"/>
      <c r="TTX88" s="996"/>
      <c r="TTY88" s="996"/>
      <c r="TTZ88" s="996"/>
      <c r="TUA88" s="996"/>
      <c r="TUB88" s="996"/>
      <c r="TUC88" s="996"/>
      <c r="TUD88" s="996"/>
      <c r="TUE88" s="996"/>
      <c r="TUF88" s="996"/>
      <c r="TUG88" s="996"/>
      <c r="TUH88" s="996"/>
      <c r="TUI88" s="996"/>
      <c r="TUJ88" s="996"/>
      <c r="TUK88" s="996"/>
      <c r="TUL88" s="996"/>
      <c r="TUM88" s="996"/>
      <c r="TUN88" s="996"/>
      <c r="TUO88" s="996"/>
      <c r="TUP88" s="996"/>
      <c r="TUQ88" s="996"/>
      <c r="TUR88" s="996"/>
      <c r="TUS88" s="996"/>
      <c r="TUT88" s="996"/>
      <c r="TUU88" s="996"/>
      <c r="TUV88" s="996"/>
      <c r="TUW88" s="996"/>
      <c r="TUX88" s="996"/>
      <c r="TUY88" s="996"/>
      <c r="TUZ88" s="996"/>
      <c r="TVA88" s="996"/>
      <c r="TVB88" s="996"/>
      <c r="TVC88" s="996"/>
      <c r="TVD88" s="996"/>
      <c r="TVE88" s="996"/>
      <c r="TVF88" s="996"/>
      <c r="TVG88" s="996"/>
      <c r="TVH88" s="996"/>
      <c r="TVI88" s="996"/>
      <c r="TVJ88" s="996"/>
      <c r="TVK88" s="996"/>
      <c r="TVL88" s="996"/>
      <c r="TVM88" s="996"/>
      <c r="TVN88" s="996"/>
      <c r="TVO88" s="996"/>
      <c r="TVP88" s="996"/>
      <c r="TVQ88" s="996"/>
      <c r="TVR88" s="996"/>
      <c r="TVS88" s="996"/>
      <c r="TVT88" s="996"/>
      <c r="TVU88" s="996"/>
      <c r="TVV88" s="996"/>
      <c r="TVW88" s="996"/>
      <c r="TVX88" s="996"/>
      <c r="TVY88" s="996"/>
      <c r="TVZ88" s="996"/>
      <c r="TWA88" s="996"/>
      <c r="TWB88" s="996"/>
      <c r="TWC88" s="996"/>
      <c r="TWD88" s="996"/>
      <c r="TWE88" s="996"/>
      <c r="TWF88" s="996"/>
      <c r="TWG88" s="996"/>
      <c r="TWH88" s="996"/>
      <c r="TWI88" s="996"/>
      <c r="TWJ88" s="996"/>
      <c r="TWK88" s="996"/>
      <c r="TWL88" s="996"/>
      <c r="TWM88" s="996"/>
      <c r="TWN88" s="996"/>
      <c r="TWO88" s="996"/>
      <c r="TWP88" s="996"/>
      <c r="TWQ88" s="996"/>
      <c r="TWR88" s="996"/>
      <c r="TWS88" s="996"/>
      <c r="TWT88" s="996"/>
      <c r="TWU88" s="996"/>
      <c r="TWV88" s="996"/>
      <c r="TWW88" s="996"/>
      <c r="TWX88" s="996"/>
      <c r="TWY88" s="996"/>
      <c r="TWZ88" s="996"/>
      <c r="TXA88" s="996"/>
      <c r="TXB88" s="996"/>
      <c r="TXC88" s="996"/>
      <c r="TXD88" s="996"/>
      <c r="TXE88" s="996"/>
      <c r="TXF88" s="996"/>
      <c r="TXG88" s="996"/>
      <c r="TXH88" s="996"/>
      <c r="TXI88" s="996"/>
      <c r="TXJ88" s="996"/>
      <c r="TXK88" s="996"/>
      <c r="TXL88" s="996"/>
      <c r="TXM88" s="996"/>
      <c r="TXN88" s="996"/>
      <c r="TXO88" s="996"/>
      <c r="TXP88" s="996"/>
      <c r="TXQ88" s="996"/>
      <c r="TXR88" s="996"/>
      <c r="TXS88" s="996"/>
      <c r="TXT88" s="996"/>
      <c r="TXU88" s="996"/>
      <c r="TXV88" s="996"/>
      <c r="TXW88" s="996"/>
      <c r="TXX88" s="996"/>
      <c r="TXY88" s="996"/>
      <c r="TXZ88" s="996"/>
      <c r="TYA88" s="996"/>
      <c r="TYB88" s="996"/>
      <c r="TYC88" s="996"/>
      <c r="TYD88" s="996"/>
      <c r="TYE88" s="996"/>
      <c r="TYF88" s="996"/>
      <c r="TYG88" s="996"/>
      <c r="TYH88" s="996"/>
      <c r="TYI88" s="996"/>
      <c r="TYJ88" s="996"/>
      <c r="TYK88" s="996"/>
      <c r="TYL88" s="996"/>
      <c r="TYM88" s="996"/>
      <c r="TYN88" s="996"/>
      <c r="TYO88" s="996"/>
      <c r="TYP88" s="996"/>
      <c r="TYQ88" s="996"/>
      <c r="TYR88" s="996"/>
      <c r="TYS88" s="996"/>
      <c r="TYT88" s="996"/>
      <c r="TYU88" s="996"/>
      <c r="TYV88" s="996"/>
      <c r="TYW88" s="996"/>
      <c r="TYX88" s="996"/>
      <c r="TYY88" s="996"/>
      <c r="TYZ88" s="996"/>
      <c r="TZA88" s="996"/>
      <c r="TZB88" s="996"/>
      <c r="TZC88" s="996"/>
      <c r="TZD88" s="996"/>
      <c r="TZE88" s="996"/>
      <c r="TZF88" s="996"/>
      <c r="TZG88" s="996"/>
      <c r="TZH88" s="996"/>
      <c r="TZI88" s="996"/>
      <c r="TZJ88" s="996"/>
      <c r="TZK88" s="996"/>
      <c r="TZL88" s="996"/>
      <c r="TZM88" s="996"/>
      <c r="TZN88" s="996"/>
      <c r="TZO88" s="996"/>
      <c r="TZP88" s="996"/>
      <c r="TZQ88" s="996"/>
      <c r="TZR88" s="996"/>
      <c r="TZS88" s="996"/>
      <c r="TZT88" s="996"/>
      <c r="TZU88" s="996"/>
      <c r="TZV88" s="996"/>
      <c r="TZW88" s="996"/>
      <c r="TZX88" s="996"/>
      <c r="TZY88" s="996"/>
      <c r="TZZ88" s="996"/>
      <c r="UAA88" s="996"/>
      <c r="UAB88" s="996"/>
      <c r="UAC88" s="996"/>
      <c r="UAD88" s="996"/>
      <c r="UAE88" s="996"/>
      <c r="UAF88" s="996"/>
      <c r="UAG88" s="996"/>
      <c r="UAH88" s="996"/>
      <c r="UAI88" s="996"/>
      <c r="UAJ88" s="996"/>
      <c r="UAK88" s="996"/>
      <c r="UAL88" s="996"/>
      <c r="UAM88" s="996"/>
      <c r="UAN88" s="996"/>
      <c r="UAO88" s="996"/>
      <c r="UAP88" s="996"/>
      <c r="UAQ88" s="996"/>
      <c r="UAR88" s="996"/>
      <c r="UAS88" s="996"/>
      <c r="UAT88" s="996"/>
      <c r="UAU88" s="996"/>
      <c r="UAV88" s="996"/>
      <c r="UAW88" s="996"/>
      <c r="UAX88" s="996"/>
      <c r="UAY88" s="996"/>
      <c r="UAZ88" s="996"/>
      <c r="UBA88" s="996"/>
      <c r="UBB88" s="996"/>
      <c r="UBC88" s="996"/>
      <c r="UBD88" s="996"/>
      <c r="UBE88" s="996"/>
      <c r="UBF88" s="996"/>
      <c r="UBG88" s="996"/>
      <c r="UBH88" s="996"/>
      <c r="UBI88" s="996"/>
      <c r="UBJ88" s="996"/>
      <c r="UBK88" s="996"/>
      <c r="UBL88" s="996"/>
      <c r="UBM88" s="996"/>
      <c r="UBN88" s="996"/>
      <c r="UBO88" s="996"/>
      <c r="UBP88" s="996"/>
      <c r="UBQ88" s="996"/>
      <c r="UBR88" s="996"/>
      <c r="UBS88" s="996"/>
      <c r="UBT88" s="996"/>
      <c r="UBU88" s="996"/>
      <c r="UBV88" s="996"/>
      <c r="UBW88" s="996"/>
      <c r="UBX88" s="996"/>
      <c r="UBY88" s="996"/>
      <c r="UBZ88" s="996"/>
      <c r="UCA88" s="996"/>
      <c r="UCB88" s="996"/>
      <c r="UCC88" s="996"/>
      <c r="UCD88" s="996"/>
      <c r="UCE88" s="996"/>
      <c r="UCF88" s="996"/>
      <c r="UCG88" s="996"/>
      <c r="UCH88" s="996"/>
      <c r="UCI88" s="996"/>
      <c r="UCJ88" s="996"/>
      <c r="UCK88" s="996"/>
      <c r="UCL88" s="996"/>
      <c r="UCM88" s="996"/>
      <c r="UCN88" s="996"/>
      <c r="UCO88" s="996"/>
      <c r="UCP88" s="996"/>
      <c r="UCQ88" s="996"/>
      <c r="UCR88" s="996"/>
      <c r="UCS88" s="996"/>
      <c r="UCT88" s="996"/>
      <c r="UCU88" s="996"/>
      <c r="UCV88" s="996"/>
      <c r="UCW88" s="996"/>
      <c r="UCX88" s="996"/>
      <c r="UCY88" s="996"/>
      <c r="UCZ88" s="996"/>
      <c r="UDA88" s="996"/>
      <c r="UDB88" s="996"/>
      <c r="UDC88" s="996"/>
      <c r="UDD88" s="996"/>
      <c r="UDE88" s="996"/>
      <c r="UDF88" s="996"/>
      <c r="UDG88" s="996"/>
      <c r="UDH88" s="996"/>
      <c r="UDI88" s="996"/>
      <c r="UDJ88" s="996"/>
      <c r="UDK88" s="996"/>
      <c r="UDL88" s="996"/>
      <c r="UDM88" s="996"/>
      <c r="UDN88" s="996"/>
      <c r="UDO88" s="996"/>
      <c r="UDP88" s="996"/>
      <c r="UDQ88" s="996"/>
      <c r="UDR88" s="996"/>
      <c r="UDS88" s="996"/>
      <c r="UDT88" s="996"/>
      <c r="UDU88" s="996"/>
      <c r="UDV88" s="996"/>
      <c r="UDW88" s="996"/>
      <c r="UDX88" s="996"/>
      <c r="UDY88" s="996"/>
      <c r="UDZ88" s="996"/>
      <c r="UEA88" s="996"/>
      <c r="UEB88" s="996"/>
      <c r="UEC88" s="996"/>
      <c r="UED88" s="996"/>
      <c r="UEE88" s="996"/>
      <c r="UEF88" s="996"/>
      <c r="UEG88" s="996"/>
      <c r="UEH88" s="996"/>
      <c r="UEI88" s="996"/>
      <c r="UEJ88" s="996"/>
      <c r="UEK88" s="996"/>
      <c r="UEL88" s="996"/>
      <c r="UEM88" s="996"/>
      <c r="UEN88" s="996"/>
      <c r="UEO88" s="996"/>
      <c r="UEP88" s="996"/>
      <c r="UEQ88" s="996"/>
      <c r="UER88" s="996"/>
      <c r="UES88" s="996"/>
      <c r="UET88" s="996"/>
      <c r="UEU88" s="996"/>
      <c r="UEV88" s="996"/>
      <c r="UEW88" s="996"/>
      <c r="UEX88" s="996"/>
      <c r="UEY88" s="996"/>
      <c r="UEZ88" s="996"/>
      <c r="UFA88" s="996"/>
      <c r="UFB88" s="996"/>
      <c r="UFC88" s="996"/>
      <c r="UFD88" s="996"/>
      <c r="UFE88" s="996"/>
      <c r="UFF88" s="996"/>
      <c r="UFG88" s="996"/>
      <c r="UFH88" s="996"/>
      <c r="UFI88" s="996"/>
      <c r="UFJ88" s="996"/>
      <c r="UFK88" s="996"/>
      <c r="UFL88" s="996"/>
      <c r="UFM88" s="996"/>
      <c r="UFN88" s="996"/>
      <c r="UFO88" s="996"/>
      <c r="UFP88" s="996"/>
      <c r="UFQ88" s="996"/>
      <c r="UFR88" s="996"/>
      <c r="UFS88" s="996"/>
      <c r="UFT88" s="996"/>
      <c r="UFU88" s="996"/>
      <c r="UFV88" s="996"/>
      <c r="UFW88" s="996"/>
      <c r="UFX88" s="996"/>
      <c r="UFY88" s="996"/>
      <c r="UFZ88" s="996"/>
      <c r="UGA88" s="996"/>
      <c r="UGB88" s="996"/>
      <c r="UGC88" s="996"/>
      <c r="UGD88" s="996"/>
      <c r="UGE88" s="996"/>
      <c r="UGF88" s="996"/>
      <c r="UGG88" s="996"/>
      <c r="UGH88" s="996"/>
      <c r="UGI88" s="996"/>
      <c r="UGJ88" s="996"/>
      <c r="UGK88" s="996"/>
      <c r="UGL88" s="996"/>
      <c r="UGM88" s="996"/>
      <c r="UGN88" s="996"/>
      <c r="UGO88" s="996"/>
      <c r="UGP88" s="996"/>
      <c r="UGQ88" s="996"/>
      <c r="UGR88" s="996"/>
      <c r="UGS88" s="996"/>
      <c r="UGT88" s="996"/>
      <c r="UGU88" s="996"/>
      <c r="UGV88" s="996"/>
      <c r="UGW88" s="996"/>
      <c r="UGX88" s="996"/>
      <c r="UGY88" s="996"/>
      <c r="UGZ88" s="996"/>
      <c r="UHA88" s="996"/>
      <c r="UHB88" s="996"/>
      <c r="UHC88" s="996"/>
      <c r="UHD88" s="996"/>
      <c r="UHE88" s="996"/>
      <c r="UHF88" s="996"/>
      <c r="UHG88" s="996"/>
      <c r="UHH88" s="996"/>
      <c r="UHI88" s="996"/>
      <c r="UHJ88" s="996"/>
      <c r="UHK88" s="996"/>
      <c r="UHL88" s="996"/>
      <c r="UHM88" s="996"/>
      <c r="UHN88" s="996"/>
      <c r="UHO88" s="996"/>
      <c r="UHP88" s="996"/>
      <c r="UHQ88" s="996"/>
      <c r="UHR88" s="996"/>
      <c r="UHS88" s="996"/>
      <c r="UHT88" s="996"/>
      <c r="UHU88" s="996"/>
      <c r="UHV88" s="996"/>
      <c r="UHW88" s="996"/>
      <c r="UHX88" s="996"/>
      <c r="UHY88" s="996"/>
      <c r="UHZ88" s="996"/>
      <c r="UIA88" s="996"/>
      <c r="UIB88" s="996"/>
      <c r="UIC88" s="996"/>
      <c r="UID88" s="996"/>
      <c r="UIE88" s="996"/>
      <c r="UIF88" s="996"/>
      <c r="UIG88" s="996"/>
      <c r="UIH88" s="996"/>
      <c r="UII88" s="996"/>
      <c r="UIJ88" s="996"/>
      <c r="UIK88" s="996"/>
      <c r="UIL88" s="996"/>
      <c r="UIM88" s="996"/>
      <c r="UIN88" s="996"/>
      <c r="UIO88" s="996"/>
      <c r="UIP88" s="996"/>
      <c r="UIQ88" s="996"/>
      <c r="UIR88" s="996"/>
      <c r="UIS88" s="996"/>
      <c r="UIT88" s="996"/>
      <c r="UIU88" s="996"/>
      <c r="UIV88" s="996"/>
      <c r="UIW88" s="996"/>
      <c r="UIX88" s="996"/>
      <c r="UIY88" s="996"/>
      <c r="UIZ88" s="996"/>
      <c r="UJA88" s="996"/>
      <c r="UJB88" s="996"/>
      <c r="UJC88" s="996"/>
      <c r="UJD88" s="996"/>
      <c r="UJE88" s="996"/>
      <c r="UJF88" s="996"/>
      <c r="UJG88" s="996"/>
      <c r="UJH88" s="996"/>
      <c r="UJI88" s="996"/>
      <c r="UJJ88" s="996"/>
      <c r="UJK88" s="996"/>
      <c r="UJL88" s="996"/>
      <c r="UJM88" s="996"/>
      <c r="UJN88" s="996"/>
      <c r="UJO88" s="996"/>
      <c r="UJP88" s="996"/>
      <c r="UJQ88" s="996"/>
      <c r="UJR88" s="996"/>
      <c r="UJS88" s="996"/>
      <c r="UJT88" s="996"/>
      <c r="UJU88" s="996"/>
      <c r="UJV88" s="996"/>
      <c r="UJW88" s="996"/>
      <c r="UJX88" s="996"/>
      <c r="UJY88" s="996"/>
      <c r="UJZ88" s="996"/>
      <c r="UKA88" s="996"/>
      <c r="UKB88" s="996"/>
      <c r="UKC88" s="996"/>
      <c r="UKD88" s="996"/>
      <c r="UKE88" s="996"/>
      <c r="UKF88" s="996"/>
      <c r="UKG88" s="996"/>
      <c r="UKH88" s="996"/>
      <c r="UKI88" s="996"/>
      <c r="UKJ88" s="996"/>
      <c r="UKK88" s="996"/>
      <c r="UKL88" s="996"/>
      <c r="UKM88" s="996"/>
      <c r="UKN88" s="996"/>
      <c r="UKO88" s="996"/>
      <c r="UKP88" s="996"/>
      <c r="UKQ88" s="996"/>
      <c r="UKR88" s="996"/>
      <c r="UKS88" s="996"/>
      <c r="UKT88" s="996"/>
      <c r="UKU88" s="996"/>
      <c r="UKV88" s="996"/>
      <c r="UKW88" s="996"/>
      <c r="UKX88" s="996"/>
      <c r="UKY88" s="996"/>
      <c r="UKZ88" s="996"/>
      <c r="ULA88" s="996"/>
      <c r="ULB88" s="996"/>
      <c r="ULC88" s="996"/>
      <c r="ULD88" s="996"/>
      <c r="ULE88" s="996"/>
      <c r="ULF88" s="996"/>
      <c r="ULG88" s="996"/>
      <c r="ULH88" s="996"/>
      <c r="ULI88" s="996"/>
      <c r="ULJ88" s="996"/>
      <c r="ULK88" s="996"/>
      <c r="ULL88" s="996"/>
      <c r="ULM88" s="996"/>
      <c r="ULN88" s="996"/>
      <c r="ULO88" s="996"/>
      <c r="ULP88" s="996"/>
      <c r="ULQ88" s="996"/>
      <c r="ULR88" s="996"/>
      <c r="ULS88" s="996"/>
      <c r="ULT88" s="996"/>
      <c r="ULU88" s="996"/>
      <c r="ULV88" s="996"/>
      <c r="ULW88" s="996"/>
      <c r="ULX88" s="996"/>
      <c r="ULY88" s="996"/>
      <c r="ULZ88" s="996"/>
      <c r="UMA88" s="996"/>
      <c r="UMB88" s="996"/>
      <c r="UMC88" s="996"/>
      <c r="UMD88" s="996"/>
      <c r="UME88" s="996"/>
      <c r="UMF88" s="996"/>
      <c r="UMG88" s="996"/>
      <c r="UMH88" s="996"/>
      <c r="UMI88" s="996"/>
      <c r="UMJ88" s="996"/>
      <c r="UMK88" s="996"/>
      <c r="UML88" s="996"/>
      <c r="UMM88" s="996"/>
      <c r="UMN88" s="996"/>
      <c r="UMO88" s="996"/>
      <c r="UMP88" s="996"/>
      <c r="UMQ88" s="996"/>
      <c r="UMR88" s="996"/>
      <c r="UMS88" s="996"/>
      <c r="UMT88" s="996"/>
      <c r="UMU88" s="996"/>
      <c r="UMV88" s="996"/>
      <c r="UMW88" s="996"/>
      <c r="UMX88" s="996"/>
      <c r="UMY88" s="996"/>
      <c r="UMZ88" s="996"/>
      <c r="UNA88" s="996"/>
      <c r="UNB88" s="996"/>
      <c r="UNC88" s="996"/>
      <c r="UND88" s="996"/>
      <c r="UNE88" s="996"/>
      <c r="UNF88" s="996"/>
      <c r="UNG88" s="996"/>
      <c r="UNH88" s="996"/>
      <c r="UNI88" s="996"/>
      <c r="UNJ88" s="996"/>
      <c r="UNK88" s="996"/>
      <c r="UNL88" s="996"/>
      <c r="UNM88" s="996"/>
      <c r="UNN88" s="996"/>
      <c r="UNO88" s="996"/>
      <c r="UNP88" s="996"/>
      <c r="UNQ88" s="996"/>
      <c r="UNR88" s="996"/>
      <c r="UNS88" s="996"/>
      <c r="UNT88" s="996"/>
      <c r="UNU88" s="996"/>
      <c r="UNV88" s="996"/>
      <c r="UNW88" s="996"/>
      <c r="UNX88" s="996"/>
      <c r="UNY88" s="996"/>
      <c r="UNZ88" s="996"/>
      <c r="UOA88" s="996"/>
      <c r="UOB88" s="996"/>
      <c r="UOC88" s="996"/>
      <c r="UOD88" s="996"/>
      <c r="UOE88" s="996"/>
      <c r="UOF88" s="996"/>
      <c r="UOG88" s="996"/>
      <c r="UOH88" s="996"/>
      <c r="UOI88" s="996"/>
      <c r="UOJ88" s="996"/>
      <c r="UOK88" s="996"/>
      <c r="UOL88" s="996"/>
      <c r="UOM88" s="996"/>
      <c r="UON88" s="996"/>
      <c r="UOO88" s="996"/>
      <c r="UOP88" s="996"/>
      <c r="UOQ88" s="996"/>
      <c r="UOR88" s="996"/>
      <c r="UOS88" s="996"/>
      <c r="UOT88" s="996"/>
      <c r="UOU88" s="996"/>
      <c r="UOV88" s="996"/>
      <c r="UOW88" s="996"/>
      <c r="UOX88" s="996"/>
      <c r="UOY88" s="996"/>
      <c r="UOZ88" s="996"/>
      <c r="UPA88" s="996"/>
      <c r="UPB88" s="996"/>
      <c r="UPC88" s="996"/>
      <c r="UPD88" s="996"/>
      <c r="UPE88" s="996"/>
      <c r="UPF88" s="996"/>
      <c r="UPG88" s="996"/>
      <c r="UPH88" s="996"/>
      <c r="UPI88" s="996"/>
      <c r="UPJ88" s="996"/>
      <c r="UPK88" s="996"/>
      <c r="UPL88" s="996"/>
      <c r="UPM88" s="996"/>
      <c r="UPN88" s="996"/>
      <c r="UPO88" s="996"/>
      <c r="UPP88" s="996"/>
      <c r="UPQ88" s="996"/>
      <c r="UPR88" s="996"/>
      <c r="UPS88" s="996"/>
      <c r="UPT88" s="996"/>
      <c r="UPU88" s="996"/>
      <c r="UPV88" s="996"/>
      <c r="UPW88" s="996"/>
      <c r="UPX88" s="996"/>
      <c r="UPY88" s="996"/>
      <c r="UPZ88" s="996"/>
      <c r="UQA88" s="996"/>
      <c r="UQB88" s="996"/>
      <c r="UQC88" s="996"/>
      <c r="UQD88" s="996"/>
      <c r="UQE88" s="996"/>
      <c r="UQF88" s="996"/>
      <c r="UQG88" s="996"/>
      <c r="UQH88" s="996"/>
      <c r="UQI88" s="996"/>
      <c r="UQJ88" s="996"/>
      <c r="UQK88" s="996"/>
      <c r="UQL88" s="996"/>
      <c r="UQM88" s="996"/>
      <c r="UQN88" s="996"/>
      <c r="UQO88" s="996"/>
      <c r="UQP88" s="996"/>
      <c r="UQQ88" s="996"/>
      <c r="UQR88" s="996"/>
      <c r="UQS88" s="996"/>
      <c r="UQT88" s="996"/>
      <c r="UQU88" s="996"/>
      <c r="UQV88" s="996"/>
      <c r="UQW88" s="996"/>
      <c r="UQX88" s="996"/>
      <c r="UQY88" s="996"/>
      <c r="UQZ88" s="996"/>
      <c r="URA88" s="996"/>
      <c r="URB88" s="996"/>
      <c r="URC88" s="996"/>
      <c r="URD88" s="996"/>
      <c r="URE88" s="996"/>
      <c r="URF88" s="996"/>
      <c r="URG88" s="996"/>
      <c r="URH88" s="996"/>
      <c r="URI88" s="996"/>
      <c r="URJ88" s="996"/>
      <c r="URK88" s="996"/>
      <c r="URL88" s="996"/>
      <c r="URM88" s="996"/>
      <c r="URN88" s="996"/>
      <c r="URO88" s="996"/>
      <c r="URP88" s="996"/>
      <c r="URQ88" s="996"/>
      <c r="URR88" s="996"/>
      <c r="URS88" s="996"/>
      <c r="URT88" s="996"/>
      <c r="URU88" s="996"/>
      <c r="URV88" s="996"/>
      <c r="URW88" s="996"/>
      <c r="URX88" s="996"/>
      <c r="URY88" s="996"/>
      <c r="URZ88" s="996"/>
      <c r="USA88" s="996"/>
      <c r="USB88" s="996"/>
      <c r="USC88" s="996"/>
      <c r="USD88" s="996"/>
      <c r="USE88" s="996"/>
      <c r="USF88" s="996"/>
      <c r="USG88" s="996"/>
      <c r="USH88" s="996"/>
      <c r="USI88" s="996"/>
      <c r="USJ88" s="996"/>
      <c r="USK88" s="996"/>
      <c r="USL88" s="996"/>
      <c r="USM88" s="996"/>
      <c r="USN88" s="996"/>
      <c r="USO88" s="996"/>
      <c r="USP88" s="996"/>
      <c r="USQ88" s="996"/>
      <c r="USR88" s="996"/>
      <c r="USS88" s="996"/>
      <c r="UST88" s="996"/>
      <c r="USU88" s="996"/>
      <c r="USV88" s="996"/>
      <c r="USW88" s="996"/>
      <c r="USX88" s="996"/>
      <c r="USY88" s="996"/>
      <c r="USZ88" s="996"/>
      <c r="UTA88" s="996"/>
      <c r="UTB88" s="996"/>
      <c r="UTC88" s="996"/>
      <c r="UTD88" s="996"/>
      <c r="UTE88" s="996"/>
      <c r="UTF88" s="996"/>
      <c r="UTG88" s="996"/>
      <c r="UTH88" s="996"/>
      <c r="UTI88" s="996"/>
      <c r="UTJ88" s="996"/>
      <c r="UTK88" s="996"/>
      <c r="UTL88" s="996"/>
      <c r="UTM88" s="996"/>
      <c r="UTN88" s="996"/>
      <c r="UTO88" s="996"/>
      <c r="UTP88" s="996"/>
      <c r="UTQ88" s="996"/>
      <c r="UTR88" s="996"/>
      <c r="UTS88" s="996"/>
      <c r="UTT88" s="996"/>
      <c r="UTU88" s="996"/>
      <c r="UTV88" s="996"/>
      <c r="UTW88" s="996"/>
      <c r="UTX88" s="996"/>
      <c r="UTY88" s="996"/>
      <c r="UTZ88" s="996"/>
      <c r="UUA88" s="996"/>
      <c r="UUB88" s="996"/>
      <c r="UUC88" s="996"/>
      <c r="UUD88" s="996"/>
      <c r="UUE88" s="996"/>
      <c r="UUF88" s="996"/>
      <c r="UUG88" s="996"/>
      <c r="UUH88" s="996"/>
      <c r="UUI88" s="996"/>
      <c r="UUJ88" s="996"/>
      <c r="UUK88" s="996"/>
      <c r="UUL88" s="996"/>
      <c r="UUM88" s="996"/>
      <c r="UUN88" s="996"/>
      <c r="UUO88" s="996"/>
      <c r="UUP88" s="996"/>
      <c r="UUQ88" s="996"/>
      <c r="UUR88" s="996"/>
      <c r="UUS88" s="996"/>
      <c r="UUT88" s="996"/>
      <c r="UUU88" s="996"/>
      <c r="UUV88" s="996"/>
      <c r="UUW88" s="996"/>
      <c r="UUX88" s="996"/>
      <c r="UUY88" s="996"/>
      <c r="UUZ88" s="996"/>
      <c r="UVA88" s="996"/>
      <c r="UVB88" s="996"/>
      <c r="UVC88" s="996"/>
      <c r="UVD88" s="996"/>
      <c r="UVE88" s="996"/>
      <c r="UVF88" s="996"/>
      <c r="UVG88" s="996"/>
      <c r="UVH88" s="996"/>
      <c r="UVI88" s="996"/>
      <c r="UVJ88" s="996"/>
      <c r="UVK88" s="996"/>
      <c r="UVL88" s="996"/>
      <c r="UVM88" s="996"/>
      <c r="UVN88" s="996"/>
      <c r="UVO88" s="996"/>
      <c r="UVP88" s="996"/>
      <c r="UVQ88" s="996"/>
      <c r="UVR88" s="996"/>
      <c r="UVS88" s="996"/>
      <c r="UVT88" s="996"/>
      <c r="UVU88" s="996"/>
      <c r="UVV88" s="996"/>
      <c r="UVW88" s="996"/>
      <c r="UVX88" s="996"/>
      <c r="UVY88" s="996"/>
      <c r="UVZ88" s="996"/>
      <c r="UWA88" s="996"/>
      <c r="UWB88" s="996"/>
      <c r="UWC88" s="996"/>
      <c r="UWD88" s="996"/>
      <c r="UWE88" s="996"/>
      <c r="UWF88" s="996"/>
      <c r="UWG88" s="996"/>
      <c r="UWH88" s="996"/>
      <c r="UWI88" s="996"/>
      <c r="UWJ88" s="996"/>
      <c r="UWK88" s="996"/>
      <c r="UWL88" s="996"/>
      <c r="UWM88" s="996"/>
      <c r="UWN88" s="996"/>
      <c r="UWO88" s="996"/>
      <c r="UWP88" s="996"/>
      <c r="UWQ88" s="996"/>
      <c r="UWR88" s="996"/>
      <c r="UWS88" s="996"/>
      <c r="UWT88" s="996"/>
      <c r="UWU88" s="996"/>
      <c r="UWV88" s="996"/>
      <c r="UWW88" s="996"/>
      <c r="UWX88" s="996"/>
      <c r="UWY88" s="996"/>
      <c r="UWZ88" s="996"/>
      <c r="UXA88" s="996"/>
      <c r="UXB88" s="996"/>
      <c r="UXC88" s="996"/>
      <c r="UXD88" s="996"/>
      <c r="UXE88" s="996"/>
      <c r="UXF88" s="996"/>
      <c r="UXG88" s="996"/>
      <c r="UXH88" s="996"/>
      <c r="UXI88" s="996"/>
      <c r="UXJ88" s="996"/>
      <c r="UXK88" s="996"/>
      <c r="UXL88" s="996"/>
      <c r="UXM88" s="996"/>
      <c r="UXN88" s="996"/>
      <c r="UXO88" s="996"/>
      <c r="UXP88" s="996"/>
      <c r="UXQ88" s="996"/>
      <c r="UXR88" s="996"/>
      <c r="UXS88" s="996"/>
      <c r="UXT88" s="996"/>
      <c r="UXU88" s="996"/>
      <c r="UXV88" s="996"/>
      <c r="UXW88" s="996"/>
      <c r="UXX88" s="996"/>
      <c r="UXY88" s="996"/>
      <c r="UXZ88" s="996"/>
      <c r="UYA88" s="996"/>
      <c r="UYB88" s="996"/>
      <c r="UYC88" s="996"/>
      <c r="UYD88" s="996"/>
      <c r="UYE88" s="996"/>
      <c r="UYF88" s="996"/>
      <c r="UYG88" s="996"/>
      <c r="UYH88" s="996"/>
      <c r="UYI88" s="996"/>
      <c r="UYJ88" s="996"/>
      <c r="UYK88" s="996"/>
      <c r="UYL88" s="996"/>
      <c r="UYM88" s="996"/>
      <c r="UYN88" s="996"/>
      <c r="UYO88" s="996"/>
      <c r="UYP88" s="996"/>
      <c r="UYQ88" s="996"/>
      <c r="UYR88" s="996"/>
      <c r="UYS88" s="996"/>
      <c r="UYT88" s="996"/>
      <c r="UYU88" s="996"/>
      <c r="UYV88" s="996"/>
      <c r="UYW88" s="996"/>
      <c r="UYX88" s="996"/>
      <c r="UYY88" s="996"/>
      <c r="UYZ88" s="996"/>
      <c r="UZA88" s="996"/>
      <c r="UZB88" s="996"/>
      <c r="UZC88" s="996"/>
      <c r="UZD88" s="996"/>
      <c r="UZE88" s="996"/>
      <c r="UZF88" s="996"/>
      <c r="UZG88" s="996"/>
      <c r="UZH88" s="996"/>
      <c r="UZI88" s="996"/>
      <c r="UZJ88" s="996"/>
      <c r="UZK88" s="996"/>
      <c r="UZL88" s="996"/>
      <c r="UZM88" s="996"/>
      <c r="UZN88" s="996"/>
      <c r="UZO88" s="996"/>
      <c r="UZP88" s="996"/>
      <c r="UZQ88" s="996"/>
      <c r="UZR88" s="996"/>
      <c r="UZS88" s="996"/>
      <c r="UZT88" s="996"/>
      <c r="UZU88" s="996"/>
      <c r="UZV88" s="996"/>
      <c r="UZW88" s="996"/>
      <c r="UZX88" s="996"/>
      <c r="UZY88" s="996"/>
      <c r="UZZ88" s="996"/>
      <c r="VAA88" s="996"/>
      <c r="VAB88" s="996"/>
      <c r="VAC88" s="996"/>
      <c r="VAD88" s="996"/>
      <c r="VAE88" s="996"/>
      <c r="VAF88" s="996"/>
      <c r="VAG88" s="996"/>
      <c r="VAH88" s="996"/>
      <c r="VAI88" s="996"/>
      <c r="VAJ88" s="996"/>
      <c r="VAK88" s="996"/>
      <c r="VAL88" s="996"/>
      <c r="VAM88" s="996"/>
      <c r="VAN88" s="996"/>
      <c r="VAO88" s="996"/>
      <c r="VAP88" s="996"/>
      <c r="VAQ88" s="996"/>
      <c r="VAR88" s="996"/>
      <c r="VAS88" s="996"/>
      <c r="VAT88" s="996"/>
      <c r="VAU88" s="996"/>
      <c r="VAV88" s="996"/>
      <c r="VAW88" s="996"/>
      <c r="VAX88" s="996"/>
      <c r="VAY88" s="996"/>
      <c r="VAZ88" s="996"/>
      <c r="VBA88" s="996"/>
      <c r="VBB88" s="996"/>
      <c r="VBC88" s="996"/>
      <c r="VBD88" s="996"/>
      <c r="VBE88" s="996"/>
      <c r="VBF88" s="996"/>
      <c r="VBG88" s="996"/>
      <c r="VBH88" s="996"/>
      <c r="VBI88" s="996"/>
      <c r="VBJ88" s="996"/>
      <c r="VBK88" s="996"/>
      <c r="VBL88" s="996"/>
      <c r="VBM88" s="996"/>
      <c r="VBN88" s="996"/>
      <c r="VBO88" s="996"/>
      <c r="VBP88" s="996"/>
      <c r="VBQ88" s="996"/>
      <c r="VBR88" s="996"/>
      <c r="VBS88" s="996"/>
      <c r="VBT88" s="996"/>
      <c r="VBU88" s="996"/>
      <c r="VBV88" s="996"/>
      <c r="VBW88" s="996"/>
      <c r="VBX88" s="996"/>
      <c r="VBY88" s="996"/>
      <c r="VBZ88" s="996"/>
      <c r="VCA88" s="996"/>
      <c r="VCB88" s="996"/>
      <c r="VCC88" s="996"/>
      <c r="VCD88" s="996"/>
      <c r="VCE88" s="996"/>
      <c r="VCF88" s="996"/>
      <c r="VCG88" s="996"/>
      <c r="VCH88" s="996"/>
      <c r="VCI88" s="996"/>
      <c r="VCJ88" s="996"/>
      <c r="VCK88" s="996"/>
      <c r="VCL88" s="996"/>
      <c r="VCM88" s="996"/>
      <c r="VCN88" s="996"/>
      <c r="VCO88" s="996"/>
      <c r="VCP88" s="996"/>
      <c r="VCQ88" s="996"/>
      <c r="VCR88" s="996"/>
      <c r="VCS88" s="996"/>
      <c r="VCT88" s="996"/>
      <c r="VCU88" s="996"/>
      <c r="VCV88" s="996"/>
      <c r="VCW88" s="996"/>
      <c r="VCX88" s="996"/>
      <c r="VCY88" s="996"/>
      <c r="VCZ88" s="996"/>
      <c r="VDA88" s="996"/>
      <c r="VDB88" s="996"/>
      <c r="VDC88" s="996"/>
      <c r="VDD88" s="996"/>
      <c r="VDE88" s="996"/>
      <c r="VDF88" s="996"/>
      <c r="VDG88" s="996"/>
      <c r="VDH88" s="996"/>
      <c r="VDI88" s="996"/>
      <c r="VDJ88" s="996"/>
      <c r="VDK88" s="996"/>
      <c r="VDL88" s="996"/>
      <c r="VDM88" s="996"/>
      <c r="VDN88" s="996"/>
      <c r="VDO88" s="996"/>
      <c r="VDP88" s="996"/>
      <c r="VDQ88" s="996"/>
      <c r="VDR88" s="996"/>
      <c r="VDS88" s="996"/>
      <c r="VDT88" s="996"/>
      <c r="VDU88" s="996"/>
      <c r="VDV88" s="996"/>
      <c r="VDW88" s="996"/>
      <c r="VDX88" s="996"/>
      <c r="VDY88" s="996"/>
      <c r="VDZ88" s="996"/>
      <c r="VEA88" s="996"/>
      <c r="VEB88" s="996"/>
      <c r="VEC88" s="996"/>
      <c r="VED88" s="996"/>
      <c r="VEE88" s="996"/>
      <c r="VEF88" s="996"/>
      <c r="VEG88" s="996"/>
      <c r="VEH88" s="996"/>
      <c r="VEI88" s="996"/>
      <c r="VEJ88" s="996"/>
      <c r="VEK88" s="996"/>
      <c r="VEL88" s="996"/>
      <c r="VEM88" s="996"/>
      <c r="VEN88" s="996"/>
      <c r="VEO88" s="996"/>
      <c r="VEP88" s="996"/>
      <c r="VEQ88" s="996"/>
      <c r="VER88" s="996"/>
      <c r="VES88" s="996"/>
      <c r="VET88" s="996"/>
      <c r="VEU88" s="996"/>
      <c r="VEV88" s="996"/>
      <c r="VEW88" s="996"/>
      <c r="VEX88" s="996"/>
      <c r="VEY88" s="996"/>
      <c r="VEZ88" s="996"/>
      <c r="VFA88" s="996"/>
      <c r="VFB88" s="996"/>
      <c r="VFC88" s="996"/>
      <c r="VFD88" s="996"/>
      <c r="VFE88" s="996"/>
      <c r="VFF88" s="996"/>
      <c r="VFG88" s="996"/>
      <c r="VFH88" s="996"/>
      <c r="VFI88" s="996"/>
      <c r="VFJ88" s="996"/>
      <c r="VFK88" s="996"/>
      <c r="VFL88" s="996"/>
      <c r="VFM88" s="996"/>
      <c r="VFN88" s="996"/>
      <c r="VFO88" s="996"/>
      <c r="VFP88" s="996"/>
      <c r="VFQ88" s="996"/>
      <c r="VFR88" s="996"/>
      <c r="VFS88" s="996"/>
      <c r="VFT88" s="996"/>
      <c r="VFU88" s="996"/>
      <c r="VFV88" s="996"/>
      <c r="VFW88" s="996"/>
      <c r="VFX88" s="996"/>
      <c r="VFY88" s="996"/>
      <c r="VFZ88" s="996"/>
      <c r="VGA88" s="996"/>
      <c r="VGB88" s="996"/>
      <c r="VGC88" s="996"/>
      <c r="VGD88" s="996"/>
      <c r="VGE88" s="996"/>
      <c r="VGF88" s="996"/>
      <c r="VGG88" s="996"/>
      <c r="VGH88" s="996"/>
      <c r="VGI88" s="996"/>
      <c r="VGJ88" s="996"/>
      <c r="VGK88" s="996"/>
      <c r="VGL88" s="996"/>
      <c r="VGM88" s="996"/>
      <c r="VGN88" s="996"/>
      <c r="VGO88" s="996"/>
      <c r="VGP88" s="996"/>
      <c r="VGQ88" s="996"/>
      <c r="VGR88" s="996"/>
      <c r="VGS88" s="996"/>
      <c r="VGT88" s="996"/>
      <c r="VGU88" s="996"/>
      <c r="VGV88" s="996"/>
      <c r="VGW88" s="996"/>
      <c r="VGX88" s="996"/>
      <c r="VGY88" s="996"/>
      <c r="VGZ88" s="996"/>
      <c r="VHA88" s="996"/>
      <c r="VHB88" s="996"/>
      <c r="VHC88" s="996"/>
      <c r="VHD88" s="996"/>
      <c r="VHE88" s="996"/>
      <c r="VHF88" s="996"/>
      <c r="VHG88" s="996"/>
      <c r="VHH88" s="996"/>
      <c r="VHI88" s="996"/>
      <c r="VHJ88" s="996"/>
      <c r="VHK88" s="996"/>
      <c r="VHL88" s="996"/>
      <c r="VHM88" s="996"/>
      <c r="VHN88" s="996"/>
      <c r="VHO88" s="996"/>
      <c r="VHP88" s="996"/>
      <c r="VHQ88" s="996"/>
      <c r="VHR88" s="996"/>
      <c r="VHS88" s="996"/>
      <c r="VHT88" s="996"/>
      <c r="VHU88" s="996"/>
      <c r="VHV88" s="996"/>
      <c r="VHW88" s="996"/>
      <c r="VHX88" s="996"/>
      <c r="VHY88" s="996"/>
      <c r="VHZ88" s="996"/>
      <c r="VIA88" s="996"/>
      <c r="VIB88" s="996"/>
      <c r="VIC88" s="996"/>
      <c r="VID88" s="996"/>
      <c r="VIE88" s="996"/>
      <c r="VIF88" s="996"/>
      <c r="VIG88" s="996"/>
      <c r="VIH88" s="996"/>
      <c r="VII88" s="996"/>
      <c r="VIJ88" s="996"/>
      <c r="VIK88" s="996"/>
      <c r="VIL88" s="996"/>
      <c r="VIM88" s="996"/>
      <c r="VIN88" s="996"/>
      <c r="VIO88" s="996"/>
      <c r="VIP88" s="996"/>
      <c r="VIQ88" s="996"/>
      <c r="VIR88" s="996"/>
      <c r="VIS88" s="996"/>
      <c r="VIT88" s="996"/>
      <c r="VIU88" s="996"/>
      <c r="VIV88" s="996"/>
      <c r="VIW88" s="996"/>
      <c r="VIX88" s="996"/>
      <c r="VIY88" s="996"/>
      <c r="VIZ88" s="996"/>
      <c r="VJA88" s="996"/>
      <c r="VJB88" s="996"/>
      <c r="VJC88" s="996"/>
      <c r="VJD88" s="996"/>
      <c r="VJE88" s="996"/>
      <c r="VJF88" s="996"/>
      <c r="VJG88" s="996"/>
      <c r="VJH88" s="996"/>
      <c r="VJI88" s="996"/>
      <c r="VJJ88" s="996"/>
      <c r="VJK88" s="996"/>
      <c r="VJL88" s="996"/>
      <c r="VJM88" s="996"/>
      <c r="VJN88" s="996"/>
      <c r="VJO88" s="996"/>
      <c r="VJP88" s="996"/>
      <c r="VJQ88" s="996"/>
      <c r="VJR88" s="996"/>
      <c r="VJS88" s="996"/>
      <c r="VJT88" s="996"/>
      <c r="VJU88" s="996"/>
      <c r="VJV88" s="996"/>
      <c r="VJW88" s="996"/>
      <c r="VJX88" s="996"/>
      <c r="VJY88" s="996"/>
      <c r="VJZ88" s="996"/>
      <c r="VKA88" s="996"/>
      <c r="VKB88" s="996"/>
      <c r="VKC88" s="996"/>
      <c r="VKD88" s="996"/>
      <c r="VKE88" s="996"/>
      <c r="VKF88" s="996"/>
      <c r="VKG88" s="996"/>
      <c r="VKH88" s="996"/>
      <c r="VKI88" s="996"/>
      <c r="VKJ88" s="996"/>
      <c r="VKK88" s="996"/>
      <c r="VKL88" s="996"/>
      <c r="VKM88" s="996"/>
      <c r="VKN88" s="996"/>
      <c r="VKO88" s="996"/>
      <c r="VKP88" s="996"/>
      <c r="VKQ88" s="996"/>
      <c r="VKR88" s="996"/>
      <c r="VKS88" s="996"/>
      <c r="VKT88" s="996"/>
      <c r="VKU88" s="996"/>
      <c r="VKV88" s="996"/>
      <c r="VKW88" s="996"/>
      <c r="VKX88" s="996"/>
      <c r="VKY88" s="996"/>
      <c r="VKZ88" s="996"/>
      <c r="VLA88" s="996"/>
      <c r="VLB88" s="996"/>
      <c r="VLC88" s="996"/>
      <c r="VLD88" s="996"/>
      <c r="VLE88" s="996"/>
      <c r="VLF88" s="996"/>
      <c r="VLG88" s="996"/>
      <c r="VLH88" s="996"/>
      <c r="VLI88" s="996"/>
      <c r="VLJ88" s="996"/>
      <c r="VLK88" s="996"/>
      <c r="VLL88" s="996"/>
      <c r="VLM88" s="996"/>
      <c r="VLN88" s="996"/>
      <c r="VLO88" s="996"/>
      <c r="VLP88" s="996"/>
      <c r="VLQ88" s="996"/>
      <c r="VLR88" s="996"/>
      <c r="VLS88" s="996"/>
      <c r="VLT88" s="996"/>
      <c r="VLU88" s="996"/>
      <c r="VLV88" s="996"/>
      <c r="VLW88" s="996"/>
      <c r="VLX88" s="996"/>
      <c r="VLY88" s="996"/>
      <c r="VLZ88" s="996"/>
      <c r="VMA88" s="996"/>
      <c r="VMB88" s="996"/>
      <c r="VMC88" s="996"/>
      <c r="VMD88" s="996"/>
      <c r="VME88" s="996"/>
      <c r="VMF88" s="996"/>
      <c r="VMG88" s="996"/>
      <c r="VMH88" s="996"/>
      <c r="VMI88" s="996"/>
      <c r="VMJ88" s="996"/>
      <c r="VMK88" s="996"/>
      <c r="VML88" s="996"/>
      <c r="VMM88" s="996"/>
      <c r="VMN88" s="996"/>
      <c r="VMO88" s="996"/>
      <c r="VMP88" s="996"/>
      <c r="VMQ88" s="996"/>
      <c r="VMR88" s="996"/>
      <c r="VMS88" s="996"/>
      <c r="VMT88" s="996"/>
      <c r="VMU88" s="996"/>
      <c r="VMV88" s="996"/>
      <c r="VMW88" s="996"/>
      <c r="VMX88" s="996"/>
      <c r="VMY88" s="996"/>
      <c r="VMZ88" s="996"/>
      <c r="VNA88" s="996"/>
      <c r="VNB88" s="996"/>
      <c r="VNC88" s="996"/>
      <c r="VND88" s="996"/>
      <c r="VNE88" s="996"/>
      <c r="VNF88" s="996"/>
      <c r="VNG88" s="996"/>
      <c r="VNH88" s="996"/>
      <c r="VNI88" s="996"/>
      <c r="VNJ88" s="996"/>
      <c r="VNK88" s="996"/>
      <c r="VNL88" s="996"/>
      <c r="VNM88" s="996"/>
      <c r="VNN88" s="996"/>
      <c r="VNO88" s="996"/>
      <c r="VNP88" s="996"/>
      <c r="VNQ88" s="996"/>
      <c r="VNR88" s="996"/>
      <c r="VNS88" s="996"/>
      <c r="VNT88" s="996"/>
      <c r="VNU88" s="996"/>
      <c r="VNV88" s="996"/>
      <c r="VNW88" s="996"/>
      <c r="VNX88" s="996"/>
      <c r="VNY88" s="996"/>
      <c r="VNZ88" s="996"/>
      <c r="VOA88" s="996"/>
      <c r="VOB88" s="996"/>
      <c r="VOC88" s="996"/>
      <c r="VOD88" s="996"/>
      <c r="VOE88" s="996"/>
      <c r="VOF88" s="996"/>
      <c r="VOG88" s="996"/>
      <c r="VOH88" s="996"/>
      <c r="VOI88" s="996"/>
      <c r="VOJ88" s="996"/>
      <c r="VOK88" s="996"/>
      <c r="VOL88" s="996"/>
      <c r="VOM88" s="996"/>
      <c r="VON88" s="996"/>
      <c r="VOO88" s="996"/>
      <c r="VOP88" s="996"/>
      <c r="VOQ88" s="996"/>
      <c r="VOR88" s="996"/>
      <c r="VOS88" s="996"/>
      <c r="VOT88" s="996"/>
      <c r="VOU88" s="996"/>
      <c r="VOV88" s="996"/>
      <c r="VOW88" s="996"/>
      <c r="VOX88" s="996"/>
      <c r="VOY88" s="996"/>
      <c r="VOZ88" s="996"/>
      <c r="VPA88" s="996"/>
      <c r="VPB88" s="996"/>
      <c r="VPC88" s="996"/>
      <c r="VPD88" s="996"/>
      <c r="VPE88" s="996"/>
      <c r="VPF88" s="996"/>
      <c r="VPG88" s="996"/>
      <c r="VPH88" s="996"/>
      <c r="VPI88" s="996"/>
      <c r="VPJ88" s="996"/>
      <c r="VPK88" s="996"/>
      <c r="VPL88" s="996"/>
      <c r="VPM88" s="996"/>
      <c r="VPN88" s="996"/>
      <c r="VPO88" s="996"/>
      <c r="VPP88" s="996"/>
      <c r="VPQ88" s="996"/>
      <c r="VPR88" s="996"/>
      <c r="VPS88" s="996"/>
      <c r="VPT88" s="996"/>
      <c r="VPU88" s="996"/>
      <c r="VPV88" s="996"/>
      <c r="VPW88" s="996"/>
      <c r="VPX88" s="996"/>
      <c r="VPY88" s="996"/>
      <c r="VPZ88" s="996"/>
      <c r="VQA88" s="996"/>
      <c r="VQB88" s="996"/>
      <c r="VQC88" s="996"/>
      <c r="VQD88" s="996"/>
      <c r="VQE88" s="996"/>
      <c r="VQF88" s="996"/>
      <c r="VQG88" s="996"/>
      <c r="VQH88" s="996"/>
      <c r="VQI88" s="996"/>
      <c r="VQJ88" s="996"/>
      <c r="VQK88" s="996"/>
      <c r="VQL88" s="996"/>
      <c r="VQM88" s="996"/>
      <c r="VQN88" s="996"/>
      <c r="VQO88" s="996"/>
      <c r="VQP88" s="996"/>
      <c r="VQQ88" s="996"/>
      <c r="VQR88" s="996"/>
      <c r="VQS88" s="996"/>
      <c r="VQT88" s="996"/>
      <c r="VQU88" s="996"/>
      <c r="VQV88" s="996"/>
      <c r="VQW88" s="996"/>
      <c r="VQX88" s="996"/>
      <c r="VQY88" s="996"/>
      <c r="VQZ88" s="996"/>
      <c r="VRA88" s="996"/>
      <c r="VRB88" s="996"/>
      <c r="VRC88" s="996"/>
      <c r="VRD88" s="996"/>
      <c r="VRE88" s="996"/>
      <c r="VRF88" s="996"/>
      <c r="VRG88" s="996"/>
      <c r="VRH88" s="996"/>
      <c r="VRI88" s="996"/>
      <c r="VRJ88" s="996"/>
      <c r="VRK88" s="996"/>
      <c r="VRL88" s="996"/>
      <c r="VRM88" s="996"/>
      <c r="VRN88" s="996"/>
      <c r="VRO88" s="996"/>
      <c r="VRP88" s="996"/>
      <c r="VRQ88" s="996"/>
      <c r="VRR88" s="996"/>
      <c r="VRS88" s="996"/>
      <c r="VRT88" s="996"/>
      <c r="VRU88" s="996"/>
      <c r="VRV88" s="996"/>
      <c r="VRW88" s="996"/>
      <c r="VRX88" s="996"/>
      <c r="VRY88" s="996"/>
      <c r="VRZ88" s="996"/>
      <c r="VSA88" s="996"/>
      <c r="VSB88" s="996"/>
      <c r="VSC88" s="996"/>
      <c r="VSD88" s="996"/>
      <c r="VSE88" s="996"/>
      <c r="VSF88" s="996"/>
      <c r="VSG88" s="996"/>
      <c r="VSH88" s="996"/>
      <c r="VSI88" s="996"/>
      <c r="VSJ88" s="996"/>
      <c r="VSK88" s="996"/>
      <c r="VSL88" s="996"/>
      <c r="VSM88" s="996"/>
      <c r="VSN88" s="996"/>
      <c r="VSO88" s="996"/>
      <c r="VSP88" s="996"/>
      <c r="VSQ88" s="996"/>
      <c r="VSR88" s="996"/>
      <c r="VSS88" s="996"/>
      <c r="VST88" s="996"/>
      <c r="VSU88" s="996"/>
      <c r="VSV88" s="996"/>
      <c r="VSW88" s="996"/>
      <c r="VSX88" s="996"/>
      <c r="VSY88" s="996"/>
      <c r="VSZ88" s="996"/>
      <c r="VTA88" s="996"/>
      <c r="VTB88" s="996"/>
      <c r="VTC88" s="996"/>
      <c r="VTD88" s="996"/>
      <c r="VTE88" s="996"/>
      <c r="VTF88" s="996"/>
      <c r="VTG88" s="996"/>
      <c r="VTH88" s="996"/>
      <c r="VTI88" s="996"/>
      <c r="VTJ88" s="996"/>
      <c r="VTK88" s="996"/>
      <c r="VTL88" s="996"/>
      <c r="VTM88" s="996"/>
      <c r="VTN88" s="996"/>
      <c r="VTO88" s="996"/>
      <c r="VTP88" s="996"/>
      <c r="VTQ88" s="996"/>
      <c r="VTR88" s="996"/>
      <c r="VTS88" s="996"/>
      <c r="VTT88" s="996"/>
      <c r="VTU88" s="996"/>
      <c r="VTV88" s="996"/>
      <c r="VTW88" s="996"/>
      <c r="VTX88" s="996"/>
      <c r="VTY88" s="996"/>
      <c r="VTZ88" s="996"/>
      <c r="VUA88" s="996"/>
      <c r="VUB88" s="996"/>
      <c r="VUC88" s="996"/>
      <c r="VUD88" s="996"/>
      <c r="VUE88" s="996"/>
      <c r="VUF88" s="996"/>
      <c r="VUG88" s="996"/>
      <c r="VUH88" s="996"/>
      <c r="VUI88" s="996"/>
      <c r="VUJ88" s="996"/>
      <c r="VUK88" s="996"/>
      <c r="VUL88" s="996"/>
      <c r="VUM88" s="996"/>
      <c r="VUN88" s="996"/>
      <c r="VUO88" s="996"/>
      <c r="VUP88" s="996"/>
      <c r="VUQ88" s="996"/>
      <c r="VUR88" s="996"/>
      <c r="VUS88" s="996"/>
      <c r="VUT88" s="996"/>
      <c r="VUU88" s="996"/>
      <c r="VUV88" s="996"/>
      <c r="VUW88" s="996"/>
      <c r="VUX88" s="996"/>
      <c r="VUY88" s="996"/>
      <c r="VUZ88" s="996"/>
      <c r="VVA88" s="996"/>
      <c r="VVB88" s="996"/>
      <c r="VVC88" s="996"/>
      <c r="VVD88" s="996"/>
      <c r="VVE88" s="996"/>
      <c r="VVF88" s="996"/>
      <c r="VVG88" s="996"/>
      <c r="VVH88" s="996"/>
      <c r="VVI88" s="996"/>
      <c r="VVJ88" s="996"/>
      <c r="VVK88" s="996"/>
      <c r="VVL88" s="996"/>
      <c r="VVM88" s="996"/>
      <c r="VVN88" s="996"/>
      <c r="VVO88" s="996"/>
      <c r="VVP88" s="996"/>
      <c r="VVQ88" s="996"/>
      <c r="VVR88" s="996"/>
      <c r="VVS88" s="996"/>
      <c r="VVT88" s="996"/>
      <c r="VVU88" s="996"/>
      <c r="VVV88" s="996"/>
      <c r="VVW88" s="996"/>
      <c r="VVX88" s="996"/>
      <c r="VVY88" s="996"/>
      <c r="VVZ88" s="996"/>
      <c r="VWA88" s="996"/>
      <c r="VWB88" s="996"/>
      <c r="VWC88" s="996"/>
      <c r="VWD88" s="996"/>
      <c r="VWE88" s="996"/>
      <c r="VWF88" s="996"/>
      <c r="VWG88" s="996"/>
      <c r="VWH88" s="996"/>
      <c r="VWI88" s="996"/>
      <c r="VWJ88" s="996"/>
      <c r="VWK88" s="996"/>
      <c r="VWL88" s="996"/>
      <c r="VWM88" s="996"/>
      <c r="VWN88" s="996"/>
      <c r="VWO88" s="996"/>
      <c r="VWP88" s="996"/>
      <c r="VWQ88" s="996"/>
      <c r="VWR88" s="996"/>
      <c r="VWS88" s="996"/>
      <c r="VWT88" s="996"/>
      <c r="VWU88" s="996"/>
      <c r="VWV88" s="996"/>
      <c r="VWW88" s="996"/>
      <c r="VWX88" s="996"/>
      <c r="VWY88" s="996"/>
      <c r="VWZ88" s="996"/>
      <c r="VXA88" s="996"/>
      <c r="VXB88" s="996"/>
      <c r="VXC88" s="996"/>
      <c r="VXD88" s="996"/>
      <c r="VXE88" s="996"/>
      <c r="VXF88" s="996"/>
      <c r="VXG88" s="996"/>
      <c r="VXH88" s="996"/>
      <c r="VXI88" s="996"/>
      <c r="VXJ88" s="996"/>
      <c r="VXK88" s="996"/>
      <c r="VXL88" s="996"/>
      <c r="VXM88" s="996"/>
      <c r="VXN88" s="996"/>
      <c r="VXO88" s="996"/>
      <c r="VXP88" s="996"/>
      <c r="VXQ88" s="996"/>
      <c r="VXR88" s="996"/>
      <c r="VXS88" s="996"/>
      <c r="VXT88" s="996"/>
      <c r="VXU88" s="996"/>
      <c r="VXV88" s="996"/>
      <c r="VXW88" s="996"/>
      <c r="VXX88" s="996"/>
      <c r="VXY88" s="996"/>
      <c r="VXZ88" s="996"/>
      <c r="VYA88" s="996"/>
      <c r="VYB88" s="996"/>
      <c r="VYC88" s="996"/>
      <c r="VYD88" s="996"/>
      <c r="VYE88" s="996"/>
      <c r="VYF88" s="996"/>
      <c r="VYG88" s="996"/>
      <c r="VYH88" s="996"/>
      <c r="VYI88" s="996"/>
      <c r="VYJ88" s="996"/>
      <c r="VYK88" s="996"/>
      <c r="VYL88" s="996"/>
      <c r="VYM88" s="996"/>
      <c r="VYN88" s="996"/>
      <c r="VYO88" s="996"/>
      <c r="VYP88" s="996"/>
      <c r="VYQ88" s="996"/>
      <c r="VYR88" s="996"/>
      <c r="VYS88" s="996"/>
      <c r="VYT88" s="996"/>
      <c r="VYU88" s="996"/>
      <c r="VYV88" s="996"/>
      <c r="VYW88" s="996"/>
      <c r="VYX88" s="996"/>
      <c r="VYY88" s="996"/>
      <c r="VYZ88" s="996"/>
      <c r="VZA88" s="996"/>
      <c r="VZB88" s="996"/>
      <c r="VZC88" s="996"/>
      <c r="VZD88" s="996"/>
      <c r="VZE88" s="996"/>
      <c r="VZF88" s="996"/>
      <c r="VZG88" s="996"/>
      <c r="VZH88" s="996"/>
      <c r="VZI88" s="996"/>
      <c r="VZJ88" s="996"/>
      <c r="VZK88" s="996"/>
      <c r="VZL88" s="996"/>
      <c r="VZM88" s="996"/>
      <c r="VZN88" s="996"/>
      <c r="VZO88" s="996"/>
      <c r="VZP88" s="996"/>
      <c r="VZQ88" s="996"/>
      <c r="VZR88" s="996"/>
      <c r="VZS88" s="996"/>
      <c r="VZT88" s="996"/>
      <c r="VZU88" s="996"/>
      <c r="VZV88" s="996"/>
      <c r="VZW88" s="996"/>
      <c r="VZX88" s="996"/>
      <c r="VZY88" s="996"/>
      <c r="VZZ88" s="996"/>
      <c r="WAA88" s="996"/>
      <c r="WAB88" s="996"/>
      <c r="WAC88" s="996"/>
      <c r="WAD88" s="996"/>
      <c r="WAE88" s="996"/>
      <c r="WAF88" s="996"/>
      <c r="WAG88" s="996"/>
      <c r="WAH88" s="996"/>
      <c r="WAI88" s="996"/>
      <c r="WAJ88" s="996"/>
      <c r="WAK88" s="996"/>
      <c r="WAL88" s="996"/>
      <c r="WAM88" s="996"/>
      <c r="WAN88" s="996"/>
      <c r="WAO88" s="996"/>
      <c r="WAP88" s="996"/>
      <c r="WAQ88" s="996"/>
      <c r="WAR88" s="996"/>
      <c r="WAS88" s="996"/>
      <c r="WAT88" s="996"/>
      <c r="WAU88" s="996"/>
      <c r="WAV88" s="996"/>
      <c r="WAW88" s="996"/>
      <c r="WAX88" s="996"/>
      <c r="WAY88" s="996"/>
      <c r="WAZ88" s="996"/>
      <c r="WBA88" s="996"/>
      <c r="WBB88" s="996"/>
      <c r="WBC88" s="996"/>
      <c r="WBD88" s="996"/>
      <c r="WBE88" s="996"/>
      <c r="WBF88" s="996"/>
      <c r="WBG88" s="996"/>
      <c r="WBH88" s="996"/>
      <c r="WBI88" s="996"/>
      <c r="WBJ88" s="996"/>
      <c r="WBK88" s="996"/>
      <c r="WBL88" s="996"/>
      <c r="WBM88" s="996"/>
      <c r="WBN88" s="996"/>
      <c r="WBO88" s="996"/>
      <c r="WBP88" s="996"/>
      <c r="WBQ88" s="996"/>
      <c r="WBR88" s="996"/>
      <c r="WBS88" s="996"/>
      <c r="WBT88" s="996"/>
      <c r="WBU88" s="996"/>
      <c r="WBV88" s="996"/>
      <c r="WBW88" s="996"/>
      <c r="WBX88" s="996"/>
      <c r="WBY88" s="996"/>
      <c r="WBZ88" s="996"/>
      <c r="WCA88" s="996"/>
      <c r="WCB88" s="996"/>
      <c r="WCC88" s="996"/>
      <c r="WCD88" s="996"/>
      <c r="WCE88" s="996"/>
      <c r="WCF88" s="996"/>
      <c r="WCG88" s="996"/>
      <c r="WCH88" s="996"/>
      <c r="WCI88" s="996"/>
      <c r="WCJ88" s="996"/>
      <c r="WCK88" s="996"/>
      <c r="WCL88" s="996"/>
      <c r="WCM88" s="996"/>
      <c r="WCN88" s="996"/>
      <c r="WCO88" s="996"/>
      <c r="WCP88" s="996"/>
      <c r="WCQ88" s="996"/>
      <c r="WCR88" s="996"/>
      <c r="WCS88" s="996"/>
      <c r="WCT88" s="996"/>
      <c r="WCU88" s="996"/>
      <c r="WCV88" s="996"/>
      <c r="WCW88" s="996"/>
      <c r="WCX88" s="996"/>
      <c r="WCY88" s="996"/>
      <c r="WCZ88" s="996"/>
      <c r="WDA88" s="996"/>
      <c r="WDB88" s="996"/>
      <c r="WDC88" s="996"/>
      <c r="WDD88" s="996"/>
      <c r="WDE88" s="996"/>
      <c r="WDF88" s="996"/>
      <c r="WDG88" s="996"/>
      <c r="WDH88" s="996"/>
      <c r="WDI88" s="996"/>
      <c r="WDJ88" s="996"/>
      <c r="WDK88" s="996"/>
      <c r="WDL88" s="996"/>
      <c r="WDM88" s="996"/>
      <c r="WDN88" s="996"/>
      <c r="WDO88" s="996"/>
      <c r="WDP88" s="996"/>
      <c r="WDQ88" s="996"/>
      <c r="WDR88" s="996"/>
      <c r="WDS88" s="996"/>
      <c r="WDT88" s="996"/>
      <c r="WDU88" s="996"/>
      <c r="WDV88" s="996"/>
      <c r="WDW88" s="996"/>
      <c r="WDX88" s="996"/>
      <c r="WDY88" s="996"/>
      <c r="WDZ88" s="996"/>
      <c r="WEA88" s="996"/>
      <c r="WEB88" s="996"/>
      <c r="WEC88" s="996"/>
      <c r="WED88" s="996"/>
      <c r="WEE88" s="996"/>
      <c r="WEF88" s="996"/>
      <c r="WEG88" s="996"/>
      <c r="WEH88" s="996"/>
      <c r="WEI88" s="996"/>
      <c r="WEJ88" s="996"/>
      <c r="WEK88" s="996"/>
      <c r="WEL88" s="996"/>
      <c r="WEM88" s="996"/>
      <c r="WEN88" s="996"/>
      <c r="WEO88" s="996"/>
      <c r="WEP88" s="996"/>
      <c r="WEQ88" s="996"/>
      <c r="WER88" s="996"/>
      <c r="WES88" s="996"/>
      <c r="WET88" s="996"/>
      <c r="WEU88" s="996"/>
      <c r="WEV88" s="996"/>
      <c r="WEW88" s="996"/>
      <c r="WEX88" s="996"/>
      <c r="WEY88" s="996"/>
      <c r="WEZ88" s="996"/>
      <c r="WFA88" s="996"/>
      <c r="WFB88" s="996"/>
      <c r="WFC88" s="996"/>
      <c r="WFD88" s="996"/>
      <c r="WFE88" s="996"/>
      <c r="WFF88" s="996"/>
      <c r="WFG88" s="996"/>
      <c r="WFH88" s="996"/>
      <c r="WFI88" s="996"/>
      <c r="WFJ88" s="996"/>
      <c r="WFK88" s="996"/>
      <c r="WFL88" s="996"/>
      <c r="WFM88" s="996"/>
      <c r="WFN88" s="996"/>
      <c r="WFO88" s="996"/>
      <c r="WFP88" s="996"/>
      <c r="WFQ88" s="996"/>
      <c r="WFR88" s="996"/>
      <c r="WFS88" s="996"/>
      <c r="WFT88" s="996"/>
      <c r="WFU88" s="996"/>
      <c r="WFV88" s="996"/>
      <c r="WFW88" s="996"/>
      <c r="WFX88" s="996"/>
      <c r="WFY88" s="996"/>
      <c r="WFZ88" s="996"/>
      <c r="WGA88" s="996"/>
      <c r="WGB88" s="996"/>
      <c r="WGC88" s="996"/>
      <c r="WGD88" s="996"/>
      <c r="WGE88" s="996"/>
      <c r="WGF88" s="996"/>
      <c r="WGG88" s="996"/>
      <c r="WGH88" s="996"/>
      <c r="WGI88" s="996"/>
      <c r="WGJ88" s="996"/>
      <c r="WGK88" s="996"/>
      <c r="WGL88" s="996"/>
      <c r="WGM88" s="996"/>
      <c r="WGN88" s="996"/>
      <c r="WGO88" s="996"/>
      <c r="WGP88" s="996"/>
      <c r="WGQ88" s="996"/>
      <c r="WGR88" s="996"/>
      <c r="WGS88" s="996"/>
      <c r="WGT88" s="996"/>
      <c r="WGU88" s="996"/>
      <c r="WGV88" s="996"/>
      <c r="WGW88" s="996"/>
      <c r="WGX88" s="996"/>
      <c r="WGY88" s="996"/>
      <c r="WGZ88" s="996"/>
      <c r="WHA88" s="996"/>
      <c r="WHB88" s="996"/>
      <c r="WHC88" s="996"/>
      <c r="WHD88" s="996"/>
      <c r="WHE88" s="996"/>
      <c r="WHF88" s="996"/>
      <c r="WHG88" s="996"/>
      <c r="WHH88" s="996"/>
      <c r="WHI88" s="996"/>
      <c r="WHJ88" s="996"/>
      <c r="WHK88" s="996"/>
      <c r="WHL88" s="996"/>
      <c r="WHM88" s="996"/>
      <c r="WHN88" s="996"/>
      <c r="WHO88" s="996"/>
      <c r="WHP88" s="996"/>
      <c r="WHQ88" s="996"/>
      <c r="WHR88" s="996"/>
      <c r="WHS88" s="996"/>
      <c r="WHT88" s="996"/>
      <c r="WHU88" s="996"/>
      <c r="WHV88" s="996"/>
      <c r="WHW88" s="996"/>
      <c r="WHX88" s="996"/>
      <c r="WHY88" s="996"/>
      <c r="WHZ88" s="996"/>
      <c r="WIA88" s="996"/>
      <c r="WIB88" s="996"/>
      <c r="WIC88" s="996"/>
      <c r="WID88" s="996"/>
      <c r="WIE88" s="996"/>
      <c r="WIF88" s="996"/>
      <c r="WIG88" s="996"/>
      <c r="WIH88" s="996"/>
      <c r="WII88" s="996"/>
      <c r="WIJ88" s="996"/>
      <c r="WIK88" s="996"/>
      <c r="WIL88" s="996"/>
      <c r="WIM88" s="996"/>
      <c r="WIN88" s="996"/>
      <c r="WIO88" s="996"/>
      <c r="WIP88" s="996"/>
      <c r="WIQ88" s="996"/>
      <c r="WIR88" s="996"/>
      <c r="WIS88" s="996"/>
      <c r="WIT88" s="996"/>
      <c r="WIU88" s="996"/>
      <c r="WIV88" s="996"/>
      <c r="WIW88" s="996"/>
      <c r="WIX88" s="996"/>
      <c r="WIY88" s="996"/>
      <c r="WIZ88" s="996"/>
      <c r="WJA88" s="996"/>
      <c r="WJB88" s="996"/>
      <c r="WJC88" s="996"/>
      <c r="WJD88" s="996"/>
      <c r="WJE88" s="996"/>
      <c r="WJF88" s="996"/>
      <c r="WJG88" s="996"/>
      <c r="WJH88" s="996"/>
      <c r="WJI88" s="996"/>
      <c r="WJJ88" s="996"/>
      <c r="WJK88" s="996"/>
      <c r="WJL88" s="996"/>
      <c r="WJM88" s="996"/>
      <c r="WJN88" s="996"/>
      <c r="WJO88" s="996"/>
      <c r="WJP88" s="996"/>
      <c r="WJQ88" s="996"/>
      <c r="WJR88" s="996"/>
      <c r="WJS88" s="996"/>
      <c r="WJT88" s="996"/>
      <c r="WJU88" s="996"/>
      <c r="WJV88" s="996"/>
      <c r="WJW88" s="996"/>
      <c r="WJX88" s="996"/>
      <c r="WJY88" s="996"/>
      <c r="WJZ88" s="996"/>
      <c r="WKA88" s="996"/>
      <c r="WKB88" s="996"/>
      <c r="WKC88" s="996"/>
      <c r="WKD88" s="996"/>
      <c r="WKE88" s="996"/>
      <c r="WKF88" s="996"/>
      <c r="WKG88" s="996"/>
      <c r="WKH88" s="996"/>
      <c r="WKI88" s="996"/>
      <c r="WKJ88" s="996"/>
      <c r="WKK88" s="996"/>
      <c r="WKL88" s="996"/>
      <c r="WKM88" s="996"/>
      <c r="WKN88" s="996"/>
      <c r="WKO88" s="996"/>
      <c r="WKP88" s="996"/>
      <c r="WKQ88" s="996"/>
      <c r="WKR88" s="996"/>
      <c r="WKS88" s="996"/>
      <c r="WKT88" s="996"/>
      <c r="WKU88" s="996"/>
      <c r="WKV88" s="996"/>
      <c r="WKW88" s="996"/>
      <c r="WKX88" s="996"/>
      <c r="WKY88" s="996"/>
      <c r="WKZ88" s="996"/>
      <c r="WLA88" s="996"/>
      <c r="WLB88" s="996"/>
      <c r="WLC88" s="996"/>
      <c r="WLD88" s="996"/>
      <c r="WLE88" s="996"/>
      <c r="WLF88" s="996"/>
      <c r="WLG88" s="996"/>
      <c r="WLH88" s="996"/>
      <c r="WLI88" s="996"/>
      <c r="WLJ88" s="996"/>
      <c r="WLK88" s="996"/>
      <c r="WLL88" s="996"/>
      <c r="WLM88" s="996"/>
      <c r="WLN88" s="996"/>
      <c r="WLO88" s="996"/>
      <c r="WLP88" s="996"/>
      <c r="WLQ88" s="996"/>
      <c r="WLR88" s="996"/>
      <c r="WLS88" s="996"/>
      <c r="WLT88" s="996"/>
      <c r="WLU88" s="996"/>
      <c r="WLV88" s="996"/>
      <c r="WLW88" s="996"/>
      <c r="WLX88" s="996"/>
      <c r="WLY88" s="996"/>
      <c r="WLZ88" s="996"/>
      <c r="WMA88" s="996"/>
      <c r="WMB88" s="996"/>
      <c r="WMC88" s="996"/>
      <c r="WMD88" s="996"/>
      <c r="WME88" s="996"/>
      <c r="WMF88" s="996"/>
      <c r="WMG88" s="996"/>
      <c r="WMH88" s="996"/>
      <c r="WMI88" s="996"/>
      <c r="WMJ88" s="996"/>
      <c r="WMK88" s="996"/>
      <c r="WML88" s="996"/>
      <c r="WMM88" s="996"/>
      <c r="WMN88" s="996"/>
      <c r="WMO88" s="996"/>
      <c r="WMP88" s="996"/>
      <c r="WMQ88" s="996"/>
      <c r="WMR88" s="996"/>
      <c r="WMS88" s="996"/>
      <c r="WMT88" s="996"/>
      <c r="WMU88" s="996"/>
      <c r="WMV88" s="996"/>
      <c r="WMW88" s="996"/>
      <c r="WMX88" s="996"/>
      <c r="WMY88" s="996"/>
      <c r="WMZ88" s="996"/>
      <c r="WNA88" s="996"/>
      <c r="WNB88" s="996"/>
      <c r="WNC88" s="996"/>
      <c r="WND88" s="996"/>
      <c r="WNE88" s="996"/>
      <c r="WNF88" s="996"/>
      <c r="WNG88" s="996"/>
      <c r="WNH88" s="996"/>
      <c r="WNI88" s="996"/>
      <c r="WNJ88" s="996"/>
      <c r="WNK88" s="996"/>
      <c r="WNL88" s="996"/>
      <c r="WNM88" s="996"/>
      <c r="WNN88" s="996"/>
      <c r="WNO88" s="996"/>
      <c r="WNP88" s="996"/>
      <c r="WNQ88" s="996"/>
      <c r="WNR88" s="996"/>
      <c r="WNS88" s="996"/>
      <c r="WNT88" s="996"/>
      <c r="WNU88" s="996"/>
      <c r="WNV88" s="996"/>
      <c r="WNW88" s="996"/>
      <c r="WNX88" s="996"/>
      <c r="WNY88" s="996"/>
      <c r="WNZ88" s="996"/>
      <c r="WOA88" s="996"/>
      <c r="WOB88" s="996"/>
      <c r="WOC88" s="996"/>
      <c r="WOD88" s="996"/>
      <c r="WOE88" s="996"/>
      <c r="WOF88" s="996"/>
      <c r="WOG88" s="996"/>
      <c r="WOH88" s="996"/>
      <c r="WOI88" s="996"/>
      <c r="WOJ88" s="996"/>
      <c r="WOK88" s="996"/>
      <c r="WOL88" s="996"/>
      <c r="WOM88" s="996"/>
      <c r="WON88" s="996"/>
      <c r="WOO88" s="996"/>
      <c r="WOP88" s="996"/>
      <c r="WOQ88" s="996"/>
      <c r="WOR88" s="996"/>
      <c r="WOS88" s="996"/>
      <c r="WOT88" s="996"/>
      <c r="WOU88" s="996"/>
      <c r="WOV88" s="996"/>
      <c r="WOW88" s="996"/>
      <c r="WOX88" s="996"/>
      <c r="WOY88" s="996"/>
      <c r="WOZ88" s="996"/>
      <c r="WPA88" s="996"/>
      <c r="WPB88" s="996"/>
      <c r="WPC88" s="996"/>
      <c r="WPD88" s="996"/>
      <c r="WPE88" s="996"/>
      <c r="WPF88" s="996"/>
      <c r="WPG88" s="996"/>
      <c r="WPH88" s="996"/>
      <c r="WPI88" s="996"/>
      <c r="WPJ88" s="996"/>
      <c r="WPK88" s="996"/>
      <c r="WPL88" s="996"/>
      <c r="WPM88" s="996"/>
      <c r="WPN88" s="996"/>
      <c r="WPO88" s="996"/>
      <c r="WPP88" s="996"/>
      <c r="WPQ88" s="996"/>
      <c r="WPR88" s="996"/>
      <c r="WPS88" s="996"/>
      <c r="WPT88" s="996"/>
      <c r="WPU88" s="996"/>
      <c r="WPV88" s="996"/>
      <c r="WPW88" s="996"/>
      <c r="WPX88" s="996"/>
      <c r="WPY88" s="996"/>
      <c r="WPZ88" s="996"/>
      <c r="WQA88" s="996"/>
      <c r="WQB88" s="996"/>
      <c r="WQC88" s="996"/>
      <c r="WQD88" s="996"/>
      <c r="WQE88" s="996"/>
      <c r="WQF88" s="996"/>
      <c r="WQG88" s="996"/>
      <c r="WQH88" s="996"/>
      <c r="WQI88" s="996"/>
      <c r="WQJ88" s="996"/>
      <c r="WQK88" s="996"/>
      <c r="WQL88" s="996"/>
      <c r="WQM88" s="996"/>
      <c r="WQN88" s="996"/>
      <c r="WQO88" s="996"/>
      <c r="WQP88" s="996"/>
      <c r="WQQ88" s="996"/>
      <c r="WQR88" s="996"/>
      <c r="WQS88" s="996"/>
      <c r="WQT88" s="996"/>
      <c r="WQU88" s="996"/>
      <c r="WQV88" s="996"/>
      <c r="WQW88" s="996"/>
      <c r="WQX88" s="996"/>
      <c r="WQY88" s="996"/>
      <c r="WQZ88" s="996"/>
      <c r="WRA88" s="996"/>
      <c r="WRB88" s="996"/>
      <c r="WRC88" s="996"/>
      <c r="WRD88" s="996"/>
      <c r="WRE88" s="996"/>
      <c r="WRF88" s="996"/>
      <c r="WRG88" s="996"/>
      <c r="WRH88" s="996"/>
      <c r="WRI88" s="996"/>
      <c r="WRJ88" s="996"/>
      <c r="WRK88" s="996"/>
      <c r="WRL88" s="996"/>
      <c r="WRM88" s="996"/>
      <c r="WRN88" s="996"/>
      <c r="WRO88" s="996"/>
      <c r="WRP88" s="996"/>
      <c r="WRQ88" s="996"/>
      <c r="WRR88" s="996"/>
      <c r="WRS88" s="996"/>
      <c r="WRT88" s="996"/>
      <c r="WRU88" s="996"/>
      <c r="WRV88" s="996"/>
      <c r="WRW88" s="996"/>
      <c r="WRX88" s="996"/>
      <c r="WRY88" s="996"/>
      <c r="WRZ88" s="996"/>
      <c r="WSA88" s="996"/>
      <c r="WSB88" s="996"/>
      <c r="WSC88" s="996"/>
      <c r="WSD88" s="996"/>
      <c r="WSE88" s="996"/>
      <c r="WSF88" s="996"/>
      <c r="WSG88" s="996"/>
      <c r="WSH88" s="996"/>
      <c r="WSI88" s="996"/>
      <c r="WSJ88" s="996"/>
      <c r="WSK88" s="996"/>
      <c r="WSL88" s="996"/>
      <c r="WSM88" s="996"/>
      <c r="WSN88" s="996"/>
      <c r="WSO88" s="996"/>
      <c r="WSP88" s="996"/>
      <c r="WSQ88" s="996"/>
      <c r="WSR88" s="996"/>
      <c r="WSS88" s="996"/>
      <c r="WST88" s="996"/>
      <c r="WSU88" s="996"/>
      <c r="WSV88" s="996"/>
      <c r="WSW88" s="996"/>
      <c r="WSX88" s="996"/>
      <c r="WSY88" s="996"/>
      <c r="WSZ88" s="996"/>
      <c r="WTA88" s="996"/>
      <c r="WTB88" s="996"/>
      <c r="WTC88" s="996"/>
      <c r="WTD88" s="996"/>
      <c r="WTE88" s="996"/>
      <c r="WTF88" s="996"/>
      <c r="WTG88" s="996"/>
      <c r="WTH88" s="996"/>
      <c r="WTI88" s="996"/>
      <c r="WTJ88" s="996"/>
      <c r="WTK88" s="996"/>
      <c r="WTL88" s="996"/>
      <c r="WTM88" s="996"/>
      <c r="WTN88" s="996"/>
      <c r="WTO88" s="996"/>
      <c r="WTP88" s="996"/>
      <c r="WTQ88" s="996"/>
      <c r="WTR88" s="996"/>
      <c r="WTS88" s="996"/>
      <c r="WTT88" s="996"/>
      <c r="WTU88" s="996"/>
      <c r="WTV88" s="996"/>
      <c r="WTW88" s="996"/>
      <c r="WTX88" s="996"/>
      <c r="WTY88" s="996"/>
      <c r="WTZ88" s="996"/>
      <c r="WUA88" s="996"/>
      <c r="WUB88" s="996"/>
      <c r="WUC88" s="996"/>
      <c r="WUD88" s="996"/>
      <c r="WUE88" s="996"/>
      <c r="WUF88" s="996"/>
      <c r="WUG88" s="996"/>
      <c r="WUH88" s="996"/>
      <c r="WUI88" s="996"/>
      <c r="WUJ88" s="996"/>
      <c r="WUK88" s="996"/>
      <c r="WUL88" s="996"/>
      <c r="WUM88" s="996"/>
      <c r="WUN88" s="996"/>
      <c r="WUO88" s="996"/>
      <c r="WUP88" s="996"/>
      <c r="WUQ88" s="996"/>
      <c r="WUR88" s="996"/>
      <c r="WUS88" s="996"/>
      <c r="WUT88" s="996"/>
      <c r="WUU88" s="996"/>
      <c r="WUV88" s="996"/>
      <c r="WUW88" s="996"/>
      <c r="WUX88" s="996"/>
      <c r="WUY88" s="996"/>
      <c r="WUZ88" s="996"/>
      <c r="WVA88" s="996"/>
      <c r="WVB88" s="996"/>
      <c r="WVC88" s="996"/>
      <c r="WVD88" s="996"/>
      <c r="WVE88" s="996"/>
      <c r="WVF88" s="996"/>
      <c r="WVG88" s="996"/>
      <c r="WVH88" s="996"/>
      <c r="WVI88" s="996"/>
      <c r="WVJ88" s="996"/>
      <c r="WVK88" s="996"/>
      <c r="WVL88" s="996"/>
      <c r="WVM88" s="996"/>
      <c r="WVN88" s="996"/>
      <c r="WVO88" s="996"/>
      <c r="WVP88" s="996"/>
      <c r="WVQ88" s="996"/>
      <c r="WVR88" s="996"/>
      <c r="WVS88" s="996"/>
      <c r="WVT88" s="996"/>
      <c r="WVU88" s="996"/>
      <c r="WVV88" s="996"/>
      <c r="WVW88" s="996"/>
      <c r="WVX88" s="996"/>
      <c r="WVY88" s="996"/>
      <c r="WVZ88" s="996"/>
      <c r="WWA88" s="996"/>
      <c r="WWB88" s="996"/>
      <c r="WWC88" s="996"/>
      <c r="WWD88" s="996"/>
      <c r="WWE88" s="996"/>
      <c r="WWF88" s="996"/>
      <c r="WWG88" s="996"/>
      <c r="WWH88" s="996"/>
      <c r="WWI88" s="996"/>
      <c r="WWJ88" s="996"/>
      <c r="WWK88" s="996"/>
      <c r="WWL88" s="996"/>
      <c r="WWM88" s="996"/>
      <c r="WWN88" s="996"/>
      <c r="WWO88" s="996"/>
      <c r="WWP88" s="996"/>
      <c r="WWQ88" s="996"/>
      <c r="WWR88" s="996"/>
      <c r="WWS88" s="996"/>
      <c r="WWT88" s="996"/>
      <c r="WWU88" s="996"/>
      <c r="WWV88" s="996"/>
      <c r="WWW88" s="996"/>
      <c r="WWX88" s="996"/>
      <c r="WWY88" s="996"/>
      <c r="WWZ88" s="996"/>
      <c r="WXA88" s="996"/>
      <c r="WXB88" s="996"/>
      <c r="WXC88" s="996"/>
      <c r="WXD88" s="996"/>
      <c r="WXE88" s="996"/>
      <c r="WXF88" s="996"/>
      <c r="WXG88" s="996"/>
      <c r="WXH88" s="996"/>
      <c r="WXI88" s="996"/>
      <c r="WXJ88" s="996"/>
      <c r="WXK88" s="996"/>
      <c r="WXL88" s="996"/>
      <c r="WXM88" s="996"/>
      <c r="WXN88" s="996"/>
      <c r="WXO88" s="996"/>
      <c r="WXP88" s="996"/>
      <c r="WXQ88" s="996"/>
      <c r="WXR88" s="996"/>
      <c r="WXS88" s="996"/>
      <c r="WXT88" s="996"/>
      <c r="WXU88" s="996"/>
      <c r="WXV88" s="996"/>
      <c r="WXW88" s="996"/>
      <c r="WXX88" s="996"/>
      <c r="WXY88" s="996"/>
      <c r="WXZ88" s="996"/>
      <c r="WYA88" s="996"/>
      <c r="WYB88" s="996"/>
      <c r="WYC88" s="996"/>
      <c r="WYD88" s="996"/>
      <c r="WYE88" s="996"/>
      <c r="WYF88" s="996"/>
      <c r="WYG88" s="996"/>
      <c r="WYH88" s="996"/>
      <c r="WYI88" s="996"/>
      <c r="WYJ88" s="996"/>
      <c r="WYK88" s="996"/>
      <c r="WYL88" s="996"/>
      <c r="WYM88" s="996"/>
      <c r="WYN88" s="996"/>
      <c r="WYO88" s="996"/>
      <c r="WYP88" s="996"/>
      <c r="WYQ88" s="996"/>
      <c r="WYR88" s="996"/>
      <c r="WYS88" s="996"/>
      <c r="WYT88" s="996"/>
      <c r="WYU88" s="996"/>
      <c r="WYV88" s="996"/>
      <c r="WYW88" s="996"/>
      <c r="WYX88" s="996"/>
      <c r="WYY88" s="996"/>
      <c r="WYZ88" s="996"/>
      <c r="WZA88" s="996"/>
      <c r="WZB88" s="996"/>
      <c r="WZC88" s="996"/>
      <c r="WZD88" s="996"/>
      <c r="WZE88" s="996"/>
      <c r="WZF88" s="996"/>
      <c r="WZG88" s="996"/>
      <c r="WZH88" s="996"/>
      <c r="WZI88" s="996"/>
      <c r="WZJ88" s="996"/>
      <c r="WZK88" s="996"/>
      <c r="WZL88" s="996"/>
      <c r="WZM88" s="996"/>
      <c r="WZN88" s="996"/>
      <c r="WZO88" s="996"/>
      <c r="WZP88" s="996"/>
      <c r="WZQ88" s="996"/>
      <c r="WZR88" s="996"/>
      <c r="WZS88" s="996"/>
      <c r="WZT88" s="996"/>
      <c r="WZU88" s="996"/>
      <c r="WZV88" s="996"/>
      <c r="WZW88" s="996"/>
      <c r="WZX88" s="996"/>
      <c r="WZY88" s="996"/>
      <c r="WZZ88" s="996"/>
      <c r="XAA88" s="996"/>
      <c r="XAB88" s="996"/>
      <c r="XAC88" s="996"/>
      <c r="XAD88" s="996"/>
      <c r="XAE88" s="996"/>
      <c r="XAF88" s="996"/>
      <c r="XAG88" s="996"/>
      <c r="XAH88" s="996"/>
      <c r="XAI88" s="996"/>
      <c r="XAJ88" s="996"/>
      <c r="XAK88" s="996"/>
      <c r="XAL88" s="996"/>
      <c r="XAM88" s="996"/>
      <c r="XAN88" s="996"/>
      <c r="XAO88" s="996"/>
      <c r="XAP88" s="996"/>
      <c r="XAQ88" s="996"/>
      <c r="XAR88" s="996"/>
      <c r="XAS88" s="996"/>
      <c r="XAT88" s="996"/>
      <c r="XAU88" s="996"/>
      <c r="XAV88" s="996"/>
      <c r="XAW88" s="996"/>
      <c r="XAX88" s="996"/>
      <c r="XAY88" s="996"/>
      <c r="XAZ88" s="996"/>
      <c r="XBA88" s="996"/>
      <c r="XBB88" s="996"/>
      <c r="XBC88" s="996"/>
      <c r="XBD88" s="996"/>
      <c r="XBE88" s="996"/>
      <c r="XBF88" s="996"/>
      <c r="XBG88" s="996"/>
      <c r="XBH88" s="996"/>
      <c r="XBI88" s="996"/>
      <c r="XBJ88" s="996"/>
      <c r="XBK88" s="996"/>
      <c r="XBL88" s="996"/>
      <c r="XBM88" s="996"/>
      <c r="XBN88" s="996"/>
      <c r="XBO88" s="996"/>
      <c r="XBP88" s="996"/>
      <c r="XBQ88" s="996"/>
      <c r="XBR88" s="996"/>
      <c r="XBS88" s="996"/>
      <c r="XBT88" s="996"/>
      <c r="XBU88" s="996"/>
      <c r="XBV88" s="996"/>
      <c r="XBW88" s="996"/>
      <c r="XBX88" s="996"/>
      <c r="XBY88" s="996"/>
      <c r="XBZ88" s="996"/>
      <c r="XCA88" s="996"/>
      <c r="XCB88" s="996"/>
      <c r="XCC88" s="996"/>
      <c r="XCD88" s="996"/>
      <c r="XCE88" s="996"/>
      <c r="XCF88" s="996"/>
      <c r="XCG88" s="996"/>
      <c r="XCH88" s="996"/>
      <c r="XCI88" s="996"/>
      <c r="XCJ88" s="996"/>
      <c r="XCK88" s="996"/>
      <c r="XCL88" s="996"/>
      <c r="XCM88" s="996"/>
      <c r="XCN88" s="996"/>
      <c r="XCO88" s="996"/>
      <c r="XCP88" s="996"/>
      <c r="XCQ88" s="996"/>
      <c r="XCR88" s="996"/>
      <c r="XCS88" s="996"/>
      <c r="XCT88" s="996"/>
      <c r="XCU88" s="996"/>
      <c r="XCV88" s="996"/>
      <c r="XCW88" s="996"/>
      <c r="XCX88" s="996"/>
      <c r="XCY88" s="996"/>
      <c r="XCZ88" s="996"/>
      <c r="XDA88" s="996"/>
      <c r="XDB88" s="996"/>
      <c r="XDC88" s="996"/>
      <c r="XDD88" s="996"/>
      <c r="XDE88" s="996"/>
      <c r="XDF88" s="996"/>
      <c r="XDG88" s="996"/>
      <c r="XDH88" s="996"/>
      <c r="XDI88" s="996"/>
      <c r="XDJ88" s="996"/>
      <c r="XDK88" s="996"/>
      <c r="XDL88" s="996"/>
      <c r="XDM88" s="996"/>
      <c r="XDN88" s="996"/>
      <c r="XDO88" s="996"/>
      <c r="XDP88" s="996"/>
      <c r="XDQ88" s="996"/>
      <c r="XDR88" s="996"/>
      <c r="XDS88" s="996"/>
      <c r="XDT88" s="996"/>
      <c r="XDU88" s="996"/>
      <c r="XDV88" s="996"/>
      <c r="XDW88" s="996"/>
      <c r="XDX88" s="996"/>
      <c r="XDY88" s="996"/>
      <c r="XDZ88" s="996"/>
      <c r="XEA88" s="996"/>
      <c r="XEB88" s="996"/>
      <c r="XEC88" s="996"/>
      <c r="XED88" s="996"/>
      <c r="XEE88" s="996"/>
      <c r="XEF88" s="996"/>
      <c r="XEG88" s="996"/>
      <c r="XEH88" s="996"/>
      <c r="XEI88" s="996"/>
      <c r="XEJ88" s="996"/>
      <c r="XEK88" s="996"/>
      <c r="XEL88" s="996"/>
      <c r="XEM88" s="996"/>
      <c r="XEN88" s="996"/>
      <c r="XEO88" s="996"/>
      <c r="XEP88" s="996"/>
      <c r="XEQ88" s="996"/>
      <c r="XER88" s="996"/>
      <c r="XES88" s="996"/>
      <c r="XET88" s="996"/>
      <c r="XEU88" s="996"/>
      <c r="XEV88" s="996"/>
      <c r="XEW88" s="996"/>
      <c r="XEX88" s="996"/>
      <c r="XEY88" s="996"/>
      <c r="XEZ88" s="996"/>
      <c r="XFA88" s="996"/>
      <c r="XFB88" s="996"/>
      <c r="XFC88" s="996"/>
      <c r="XFD88" s="996"/>
    </row>
    <row r="89" spans="1:16384" s="210" customFormat="1" ht="12.95" customHeight="1">
      <c r="A89" s="996"/>
      <c r="B89" s="996"/>
      <c r="C89" s="996"/>
      <c r="D89" s="996"/>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c r="AL89" s="996"/>
      <c r="AM89" s="996"/>
      <c r="AN89" s="996"/>
      <c r="AO89" s="996"/>
      <c r="AP89" s="996"/>
      <c r="AQ89" s="996"/>
      <c r="AR89" s="996"/>
      <c r="AS89" s="996"/>
      <c r="AT89" s="996"/>
      <c r="AU89" s="996"/>
      <c r="AV89" s="996"/>
      <c r="AW89" s="996"/>
      <c r="AX89" s="996"/>
      <c r="AY89" s="996"/>
      <c r="AZ89" s="996"/>
      <c r="BA89" s="996"/>
      <c r="BB89" s="996"/>
      <c r="BC89" s="996"/>
      <c r="BD89" s="996"/>
      <c r="BE89" s="996"/>
      <c r="BF89" s="996"/>
      <c r="BG89" s="996"/>
      <c r="BH89" s="996"/>
      <c r="BI89" s="996"/>
      <c r="BJ89" s="996"/>
      <c r="BK89" s="996"/>
      <c r="BL89" s="996"/>
      <c r="BM89" s="996"/>
      <c r="BN89" s="996"/>
      <c r="BO89" s="996"/>
      <c r="BP89" s="996"/>
      <c r="BQ89" s="996"/>
      <c r="BR89" s="996"/>
      <c r="BS89" s="996"/>
      <c r="BT89" s="996"/>
      <c r="BU89" s="996"/>
      <c r="BV89" s="996"/>
      <c r="BW89" s="996"/>
      <c r="BX89" s="996"/>
      <c r="BY89" s="996"/>
      <c r="BZ89" s="996"/>
      <c r="CA89" s="996"/>
      <c r="CB89" s="996"/>
      <c r="CC89" s="996"/>
      <c r="CD89" s="996"/>
      <c r="CE89" s="996"/>
      <c r="CF89" s="996"/>
      <c r="CG89" s="996"/>
      <c r="CH89" s="996"/>
      <c r="CI89" s="996"/>
      <c r="CJ89" s="996"/>
      <c r="CK89" s="996"/>
      <c r="CL89" s="996"/>
      <c r="CM89" s="996"/>
      <c r="CN89" s="996"/>
      <c r="CO89" s="996"/>
      <c r="CP89" s="996"/>
      <c r="CQ89" s="996"/>
      <c r="CR89" s="996"/>
      <c r="CS89" s="996"/>
      <c r="CT89" s="996"/>
      <c r="CU89" s="996"/>
      <c r="CV89" s="996"/>
      <c r="CW89" s="996"/>
      <c r="CX89" s="996"/>
      <c r="CY89" s="996"/>
      <c r="CZ89" s="996"/>
      <c r="DA89" s="996"/>
      <c r="DB89" s="996"/>
      <c r="DC89" s="996"/>
      <c r="DD89" s="996"/>
      <c r="DE89" s="996"/>
      <c r="DF89" s="996"/>
      <c r="DG89" s="996"/>
      <c r="DH89" s="996"/>
      <c r="DI89" s="996"/>
      <c r="DJ89" s="996"/>
      <c r="DK89" s="996"/>
      <c r="DL89" s="996"/>
      <c r="DM89" s="996"/>
      <c r="DN89" s="996"/>
      <c r="DO89" s="996"/>
      <c r="DP89" s="996"/>
      <c r="DQ89" s="996"/>
      <c r="DR89" s="996"/>
      <c r="DS89" s="996"/>
      <c r="DT89" s="996"/>
      <c r="DU89" s="996"/>
      <c r="DV89" s="996"/>
      <c r="DW89" s="996"/>
      <c r="DX89" s="996"/>
      <c r="DY89" s="996"/>
      <c r="DZ89" s="996"/>
      <c r="EA89" s="996"/>
      <c r="EB89" s="996"/>
      <c r="EC89" s="996"/>
      <c r="ED89" s="996"/>
      <c r="EE89" s="996"/>
      <c r="EF89" s="996"/>
      <c r="EG89" s="996"/>
      <c r="EH89" s="996"/>
      <c r="EI89" s="996"/>
      <c r="EJ89" s="996"/>
      <c r="EK89" s="996"/>
      <c r="EL89" s="996"/>
      <c r="EM89" s="996"/>
      <c r="EN89" s="996"/>
      <c r="EO89" s="996"/>
      <c r="EP89" s="996"/>
      <c r="EQ89" s="996"/>
      <c r="ER89" s="996"/>
      <c r="ES89" s="996"/>
      <c r="ET89" s="996"/>
      <c r="EU89" s="996"/>
      <c r="EV89" s="996"/>
      <c r="EW89" s="996"/>
      <c r="EX89" s="996"/>
      <c r="EY89" s="996"/>
      <c r="EZ89" s="996"/>
      <c r="FA89" s="996"/>
      <c r="FB89" s="996"/>
      <c r="FC89" s="996"/>
      <c r="FD89" s="996"/>
      <c r="FE89" s="996"/>
      <c r="FF89" s="996"/>
      <c r="FG89" s="996"/>
      <c r="FH89" s="996"/>
      <c r="FI89" s="996"/>
      <c r="FJ89" s="996"/>
      <c r="FK89" s="996"/>
      <c r="FL89" s="996"/>
      <c r="FM89" s="996"/>
      <c r="FN89" s="996"/>
      <c r="FO89" s="996"/>
      <c r="FP89" s="996"/>
      <c r="FQ89" s="996"/>
      <c r="FR89" s="996"/>
      <c r="FS89" s="996"/>
      <c r="FT89" s="996"/>
      <c r="FU89" s="996"/>
      <c r="FV89" s="996"/>
      <c r="FW89" s="996"/>
      <c r="FX89" s="996"/>
      <c r="FY89" s="996"/>
      <c r="FZ89" s="996"/>
      <c r="GA89" s="996"/>
      <c r="GB89" s="996"/>
      <c r="GC89" s="996"/>
      <c r="GD89" s="996"/>
      <c r="GE89" s="996"/>
      <c r="GF89" s="996"/>
      <c r="GG89" s="996"/>
      <c r="GH89" s="996"/>
      <c r="GI89" s="996"/>
      <c r="GJ89" s="996"/>
      <c r="GK89" s="996"/>
      <c r="GL89" s="996"/>
      <c r="GM89" s="996"/>
      <c r="GN89" s="996"/>
      <c r="GO89" s="996"/>
      <c r="GP89" s="996"/>
      <c r="GQ89" s="996"/>
      <c r="GR89" s="996"/>
      <c r="GS89" s="996"/>
      <c r="GT89" s="996"/>
      <c r="GU89" s="996"/>
      <c r="GV89" s="996"/>
      <c r="GW89" s="996"/>
      <c r="GX89" s="996"/>
      <c r="GY89" s="996"/>
      <c r="GZ89" s="996"/>
      <c r="HA89" s="996"/>
      <c r="HB89" s="996"/>
      <c r="HC89" s="996"/>
      <c r="HD89" s="996"/>
      <c r="HE89" s="996"/>
      <c r="HF89" s="996"/>
      <c r="HG89" s="996"/>
      <c r="HH89" s="996"/>
      <c r="HI89" s="996"/>
      <c r="HJ89" s="996"/>
      <c r="HK89" s="996"/>
      <c r="HL89" s="996"/>
      <c r="HM89" s="996"/>
      <c r="HN89" s="996"/>
      <c r="HO89" s="996"/>
      <c r="HP89" s="996"/>
      <c r="HQ89" s="996"/>
      <c r="HR89" s="996"/>
      <c r="HS89" s="996"/>
      <c r="HT89" s="996"/>
      <c r="HU89" s="996"/>
      <c r="HV89" s="996"/>
      <c r="HW89" s="996"/>
      <c r="HX89" s="996"/>
      <c r="HY89" s="996"/>
      <c r="HZ89" s="996"/>
      <c r="IA89" s="996"/>
      <c r="IB89" s="996"/>
      <c r="IC89" s="996"/>
      <c r="ID89" s="996"/>
      <c r="IE89" s="996"/>
      <c r="IF89" s="996"/>
      <c r="IG89" s="996"/>
      <c r="IH89" s="996"/>
      <c r="II89" s="996"/>
      <c r="IJ89" s="996"/>
      <c r="IK89" s="996"/>
      <c r="IL89" s="996"/>
      <c r="IM89" s="996"/>
      <c r="IN89" s="996"/>
      <c r="IO89" s="996"/>
      <c r="IP89" s="996"/>
      <c r="IQ89" s="996"/>
      <c r="IR89" s="996"/>
      <c r="IS89" s="996"/>
      <c r="IT89" s="996"/>
      <c r="IU89" s="996"/>
      <c r="IV89" s="996"/>
      <c r="IW89" s="996"/>
      <c r="IX89" s="996"/>
      <c r="IY89" s="996"/>
      <c r="IZ89" s="996"/>
      <c r="JA89" s="996"/>
      <c r="JB89" s="996"/>
      <c r="JC89" s="996"/>
      <c r="JD89" s="996"/>
      <c r="JE89" s="996"/>
      <c r="JF89" s="996"/>
      <c r="JG89" s="996"/>
      <c r="JH89" s="996"/>
      <c r="JI89" s="996"/>
      <c r="JJ89" s="996"/>
      <c r="JK89" s="996"/>
      <c r="JL89" s="996"/>
      <c r="JM89" s="996"/>
      <c r="JN89" s="996"/>
      <c r="JO89" s="996"/>
      <c r="JP89" s="996"/>
      <c r="JQ89" s="996"/>
      <c r="JR89" s="996"/>
      <c r="JS89" s="996"/>
      <c r="JT89" s="996"/>
      <c r="JU89" s="996"/>
      <c r="JV89" s="996"/>
      <c r="JW89" s="996"/>
      <c r="JX89" s="996"/>
      <c r="JY89" s="996"/>
      <c r="JZ89" s="996"/>
      <c r="KA89" s="996"/>
      <c r="KB89" s="996"/>
      <c r="KC89" s="996"/>
      <c r="KD89" s="996"/>
      <c r="KE89" s="996"/>
      <c r="KF89" s="996"/>
      <c r="KG89" s="996"/>
      <c r="KH89" s="996"/>
      <c r="KI89" s="996"/>
      <c r="KJ89" s="996"/>
      <c r="KK89" s="996"/>
      <c r="KL89" s="996"/>
      <c r="KM89" s="996"/>
      <c r="KN89" s="996"/>
      <c r="KO89" s="996"/>
      <c r="KP89" s="996"/>
      <c r="KQ89" s="996"/>
      <c r="KR89" s="996"/>
      <c r="KS89" s="996"/>
      <c r="KT89" s="996"/>
      <c r="KU89" s="996"/>
      <c r="KV89" s="996"/>
      <c r="KW89" s="996"/>
      <c r="KX89" s="996"/>
      <c r="KY89" s="996"/>
      <c r="KZ89" s="996"/>
      <c r="LA89" s="996"/>
      <c r="LB89" s="996"/>
      <c r="LC89" s="996"/>
      <c r="LD89" s="996"/>
      <c r="LE89" s="996"/>
      <c r="LF89" s="996"/>
      <c r="LG89" s="996"/>
      <c r="LH89" s="996"/>
      <c r="LI89" s="996"/>
      <c r="LJ89" s="996"/>
      <c r="LK89" s="996"/>
      <c r="LL89" s="996"/>
      <c r="LM89" s="996"/>
      <c r="LN89" s="996"/>
      <c r="LO89" s="996"/>
      <c r="LP89" s="996"/>
      <c r="LQ89" s="996"/>
      <c r="LR89" s="996"/>
      <c r="LS89" s="996"/>
      <c r="LT89" s="996"/>
      <c r="LU89" s="996"/>
      <c r="LV89" s="996"/>
      <c r="LW89" s="996"/>
      <c r="LX89" s="996"/>
      <c r="LY89" s="996"/>
      <c r="LZ89" s="996"/>
      <c r="MA89" s="996"/>
      <c r="MB89" s="996"/>
      <c r="MC89" s="996"/>
      <c r="MD89" s="996"/>
      <c r="ME89" s="996"/>
      <c r="MF89" s="996"/>
      <c r="MG89" s="996"/>
      <c r="MH89" s="996"/>
      <c r="MI89" s="996"/>
      <c r="MJ89" s="996"/>
      <c r="MK89" s="996"/>
      <c r="ML89" s="996"/>
      <c r="MM89" s="996"/>
      <c r="MN89" s="996"/>
      <c r="MO89" s="996"/>
      <c r="MP89" s="996"/>
      <c r="MQ89" s="996"/>
      <c r="MR89" s="996"/>
      <c r="MS89" s="996"/>
      <c r="MT89" s="996"/>
      <c r="MU89" s="996"/>
      <c r="MV89" s="996"/>
      <c r="MW89" s="996"/>
      <c r="MX89" s="996"/>
      <c r="MY89" s="996"/>
      <c r="MZ89" s="996"/>
      <c r="NA89" s="996"/>
      <c r="NB89" s="996"/>
      <c r="NC89" s="996"/>
      <c r="ND89" s="996"/>
      <c r="NE89" s="996"/>
      <c r="NF89" s="996"/>
      <c r="NG89" s="996"/>
      <c r="NH89" s="996"/>
      <c r="NI89" s="996"/>
      <c r="NJ89" s="996"/>
      <c r="NK89" s="996"/>
      <c r="NL89" s="996"/>
      <c r="NM89" s="996"/>
      <c r="NN89" s="996"/>
      <c r="NO89" s="996"/>
      <c r="NP89" s="996"/>
      <c r="NQ89" s="996"/>
      <c r="NR89" s="996"/>
      <c r="NS89" s="996"/>
      <c r="NT89" s="996"/>
      <c r="NU89" s="996"/>
      <c r="NV89" s="996"/>
      <c r="NW89" s="996"/>
      <c r="NX89" s="996"/>
      <c r="NY89" s="996"/>
      <c r="NZ89" s="996"/>
      <c r="OA89" s="996"/>
      <c r="OB89" s="996"/>
      <c r="OC89" s="996"/>
      <c r="OD89" s="996"/>
      <c r="OE89" s="996"/>
      <c r="OF89" s="996"/>
      <c r="OG89" s="996"/>
      <c r="OH89" s="996"/>
      <c r="OI89" s="996"/>
      <c r="OJ89" s="996"/>
      <c r="OK89" s="996"/>
      <c r="OL89" s="996"/>
      <c r="OM89" s="996"/>
      <c r="ON89" s="996"/>
      <c r="OO89" s="996"/>
      <c r="OP89" s="996"/>
      <c r="OQ89" s="996"/>
      <c r="OR89" s="996"/>
      <c r="OS89" s="996"/>
      <c r="OT89" s="996"/>
      <c r="OU89" s="996"/>
      <c r="OV89" s="996"/>
      <c r="OW89" s="996"/>
      <c r="OX89" s="996"/>
      <c r="OY89" s="996"/>
      <c r="OZ89" s="996"/>
      <c r="PA89" s="996"/>
      <c r="PB89" s="996"/>
      <c r="PC89" s="996"/>
      <c r="PD89" s="996"/>
      <c r="PE89" s="996"/>
      <c r="PF89" s="996"/>
      <c r="PG89" s="996"/>
      <c r="PH89" s="996"/>
      <c r="PI89" s="996"/>
      <c r="PJ89" s="996"/>
      <c r="PK89" s="996"/>
      <c r="PL89" s="996"/>
      <c r="PM89" s="996"/>
      <c r="PN89" s="996"/>
      <c r="PO89" s="996"/>
      <c r="PP89" s="996"/>
      <c r="PQ89" s="996"/>
      <c r="PR89" s="996"/>
      <c r="PS89" s="996"/>
      <c r="PT89" s="996"/>
      <c r="PU89" s="996"/>
      <c r="PV89" s="996"/>
      <c r="PW89" s="996"/>
      <c r="PX89" s="996"/>
      <c r="PY89" s="996"/>
      <c r="PZ89" s="996"/>
      <c r="QA89" s="996"/>
      <c r="QB89" s="996"/>
      <c r="QC89" s="996"/>
      <c r="QD89" s="996"/>
      <c r="QE89" s="996"/>
      <c r="QF89" s="996"/>
      <c r="QG89" s="996"/>
      <c r="QH89" s="996"/>
      <c r="QI89" s="996"/>
      <c r="QJ89" s="996"/>
      <c r="QK89" s="996"/>
      <c r="QL89" s="996"/>
      <c r="QM89" s="996"/>
      <c r="QN89" s="996"/>
      <c r="QO89" s="996"/>
      <c r="QP89" s="996"/>
      <c r="QQ89" s="996"/>
      <c r="QR89" s="996"/>
      <c r="QS89" s="996"/>
      <c r="QT89" s="996"/>
      <c r="QU89" s="996"/>
      <c r="QV89" s="996"/>
      <c r="QW89" s="996"/>
      <c r="QX89" s="996"/>
      <c r="QY89" s="996"/>
      <c r="QZ89" s="996"/>
      <c r="RA89" s="996"/>
      <c r="RB89" s="996"/>
      <c r="RC89" s="996"/>
      <c r="RD89" s="996"/>
      <c r="RE89" s="996"/>
      <c r="RF89" s="996"/>
      <c r="RG89" s="996"/>
      <c r="RH89" s="996"/>
      <c r="RI89" s="996"/>
      <c r="RJ89" s="996"/>
      <c r="RK89" s="996"/>
      <c r="RL89" s="996"/>
      <c r="RM89" s="996"/>
      <c r="RN89" s="996"/>
      <c r="RO89" s="996"/>
      <c r="RP89" s="996"/>
      <c r="RQ89" s="996"/>
      <c r="RR89" s="996"/>
      <c r="RS89" s="996"/>
      <c r="RT89" s="996"/>
      <c r="RU89" s="996"/>
      <c r="RV89" s="996"/>
      <c r="RW89" s="996"/>
      <c r="RX89" s="996"/>
      <c r="RY89" s="996"/>
      <c r="RZ89" s="996"/>
      <c r="SA89" s="996"/>
      <c r="SB89" s="996"/>
      <c r="SC89" s="996"/>
      <c r="SD89" s="996"/>
      <c r="SE89" s="996"/>
      <c r="SF89" s="996"/>
      <c r="SG89" s="996"/>
      <c r="SH89" s="996"/>
      <c r="SI89" s="996"/>
      <c r="SJ89" s="996"/>
      <c r="SK89" s="996"/>
      <c r="SL89" s="996"/>
      <c r="SM89" s="996"/>
      <c r="SN89" s="996"/>
      <c r="SO89" s="996"/>
      <c r="SP89" s="996"/>
      <c r="SQ89" s="996"/>
      <c r="SR89" s="996"/>
      <c r="SS89" s="996"/>
      <c r="ST89" s="996"/>
      <c r="SU89" s="996"/>
      <c r="SV89" s="996"/>
      <c r="SW89" s="996"/>
      <c r="SX89" s="996"/>
      <c r="SY89" s="996"/>
      <c r="SZ89" s="996"/>
      <c r="TA89" s="996"/>
      <c r="TB89" s="996"/>
      <c r="TC89" s="996"/>
      <c r="TD89" s="996"/>
      <c r="TE89" s="996"/>
      <c r="TF89" s="996"/>
      <c r="TG89" s="996"/>
      <c r="TH89" s="996"/>
      <c r="TI89" s="996"/>
      <c r="TJ89" s="996"/>
      <c r="TK89" s="996"/>
      <c r="TL89" s="996"/>
      <c r="TM89" s="996"/>
      <c r="TN89" s="996"/>
      <c r="TO89" s="996"/>
      <c r="TP89" s="996"/>
      <c r="TQ89" s="996"/>
      <c r="TR89" s="996"/>
      <c r="TS89" s="996"/>
      <c r="TT89" s="996"/>
      <c r="TU89" s="996"/>
      <c r="TV89" s="996"/>
      <c r="TW89" s="996"/>
      <c r="TX89" s="996"/>
      <c r="TY89" s="996"/>
      <c r="TZ89" s="996"/>
      <c r="UA89" s="996"/>
      <c r="UB89" s="996"/>
      <c r="UC89" s="996"/>
      <c r="UD89" s="996"/>
      <c r="UE89" s="996"/>
      <c r="UF89" s="996"/>
      <c r="UG89" s="996"/>
      <c r="UH89" s="996"/>
      <c r="UI89" s="996"/>
      <c r="UJ89" s="996"/>
      <c r="UK89" s="996"/>
      <c r="UL89" s="996"/>
      <c r="UM89" s="996"/>
      <c r="UN89" s="996"/>
      <c r="UO89" s="996"/>
      <c r="UP89" s="996"/>
      <c r="UQ89" s="996"/>
      <c r="UR89" s="996"/>
      <c r="US89" s="996"/>
      <c r="UT89" s="996"/>
      <c r="UU89" s="996"/>
      <c r="UV89" s="996"/>
      <c r="UW89" s="996"/>
      <c r="UX89" s="996"/>
      <c r="UY89" s="996"/>
      <c r="UZ89" s="996"/>
      <c r="VA89" s="996"/>
      <c r="VB89" s="996"/>
      <c r="VC89" s="996"/>
      <c r="VD89" s="996"/>
      <c r="VE89" s="996"/>
      <c r="VF89" s="996"/>
      <c r="VG89" s="996"/>
      <c r="VH89" s="996"/>
      <c r="VI89" s="996"/>
      <c r="VJ89" s="996"/>
      <c r="VK89" s="996"/>
      <c r="VL89" s="996"/>
      <c r="VM89" s="996"/>
      <c r="VN89" s="996"/>
      <c r="VO89" s="996"/>
      <c r="VP89" s="996"/>
      <c r="VQ89" s="996"/>
      <c r="VR89" s="996"/>
      <c r="VS89" s="996"/>
      <c r="VT89" s="996"/>
      <c r="VU89" s="996"/>
      <c r="VV89" s="996"/>
      <c r="VW89" s="996"/>
      <c r="VX89" s="996"/>
      <c r="VY89" s="996"/>
      <c r="VZ89" s="996"/>
      <c r="WA89" s="996"/>
      <c r="WB89" s="996"/>
      <c r="WC89" s="996"/>
      <c r="WD89" s="996"/>
      <c r="WE89" s="996"/>
      <c r="WF89" s="996"/>
      <c r="WG89" s="996"/>
      <c r="WH89" s="996"/>
      <c r="WI89" s="996"/>
      <c r="WJ89" s="996"/>
      <c r="WK89" s="996"/>
      <c r="WL89" s="996"/>
      <c r="WM89" s="996"/>
      <c r="WN89" s="996"/>
      <c r="WO89" s="996"/>
      <c r="WP89" s="996"/>
      <c r="WQ89" s="996"/>
      <c r="WR89" s="996"/>
      <c r="WS89" s="996"/>
      <c r="WT89" s="996"/>
      <c r="WU89" s="996"/>
      <c r="WV89" s="996"/>
      <c r="WW89" s="996"/>
      <c r="WX89" s="996"/>
      <c r="WY89" s="996"/>
      <c r="WZ89" s="996"/>
      <c r="XA89" s="996"/>
      <c r="XB89" s="996"/>
      <c r="XC89" s="996"/>
      <c r="XD89" s="996"/>
      <c r="XE89" s="996"/>
      <c r="XF89" s="996"/>
      <c r="XG89" s="996"/>
      <c r="XH89" s="996"/>
      <c r="XI89" s="996"/>
      <c r="XJ89" s="996"/>
      <c r="XK89" s="996"/>
      <c r="XL89" s="996"/>
      <c r="XM89" s="996"/>
      <c r="XN89" s="996"/>
      <c r="XO89" s="996"/>
      <c r="XP89" s="996"/>
      <c r="XQ89" s="996"/>
      <c r="XR89" s="996"/>
      <c r="XS89" s="996"/>
      <c r="XT89" s="996"/>
      <c r="XU89" s="996"/>
      <c r="XV89" s="996"/>
      <c r="XW89" s="996"/>
      <c r="XX89" s="996"/>
      <c r="XY89" s="996"/>
      <c r="XZ89" s="996"/>
      <c r="YA89" s="996"/>
      <c r="YB89" s="996"/>
      <c r="YC89" s="996"/>
      <c r="YD89" s="996"/>
      <c r="YE89" s="996"/>
      <c r="YF89" s="996"/>
      <c r="YG89" s="996"/>
      <c r="YH89" s="996"/>
      <c r="YI89" s="996"/>
      <c r="YJ89" s="996"/>
      <c r="YK89" s="996"/>
      <c r="YL89" s="996"/>
      <c r="YM89" s="996"/>
      <c r="YN89" s="996"/>
      <c r="YO89" s="996"/>
      <c r="YP89" s="996"/>
      <c r="YQ89" s="996"/>
      <c r="YR89" s="996"/>
      <c r="YS89" s="996"/>
      <c r="YT89" s="996"/>
      <c r="YU89" s="996"/>
      <c r="YV89" s="996"/>
      <c r="YW89" s="996"/>
      <c r="YX89" s="996"/>
      <c r="YY89" s="996"/>
      <c r="YZ89" s="996"/>
      <c r="ZA89" s="996"/>
      <c r="ZB89" s="996"/>
      <c r="ZC89" s="996"/>
      <c r="ZD89" s="996"/>
      <c r="ZE89" s="996"/>
      <c r="ZF89" s="996"/>
      <c r="ZG89" s="996"/>
      <c r="ZH89" s="996"/>
      <c r="ZI89" s="996"/>
      <c r="ZJ89" s="996"/>
      <c r="ZK89" s="996"/>
      <c r="ZL89" s="996"/>
      <c r="ZM89" s="996"/>
      <c r="ZN89" s="996"/>
      <c r="ZO89" s="996"/>
      <c r="ZP89" s="996"/>
      <c r="ZQ89" s="996"/>
      <c r="ZR89" s="996"/>
      <c r="ZS89" s="996"/>
      <c r="ZT89" s="996"/>
      <c r="ZU89" s="996"/>
      <c r="ZV89" s="996"/>
      <c r="ZW89" s="996"/>
      <c r="ZX89" s="996"/>
      <c r="ZY89" s="996"/>
      <c r="ZZ89" s="996"/>
      <c r="AAA89" s="996"/>
      <c r="AAB89" s="996"/>
      <c r="AAC89" s="996"/>
      <c r="AAD89" s="996"/>
      <c r="AAE89" s="996"/>
      <c r="AAF89" s="996"/>
      <c r="AAG89" s="996"/>
      <c r="AAH89" s="996"/>
      <c r="AAI89" s="996"/>
      <c r="AAJ89" s="996"/>
      <c r="AAK89" s="996"/>
      <c r="AAL89" s="996"/>
      <c r="AAM89" s="996"/>
      <c r="AAN89" s="996"/>
      <c r="AAO89" s="996"/>
      <c r="AAP89" s="996"/>
      <c r="AAQ89" s="996"/>
      <c r="AAR89" s="996"/>
      <c r="AAS89" s="996"/>
      <c r="AAT89" s="996"/>
      <c r="AAU89" s="996"/>
      <c r="AAV89" s="996"/>
      <c r="AAW89" s="996"/>
      <c r="AAX89" s="996"/>
      <c r="AAY89" s="996"/>
      <c r="AAZ89" s="996"/>
      <c r="ABA89" s="996"/>
      <c r="ABB89" s="996"/>
      <c r="ABC89" s="996"/>
      <c r="ABD89" s="996"/>
      <c r="ABE89" s="996"/>
      <c r="ABF89" s="996"/>
      <c r="ABG89" s="996"/>
      <c r="ABH89" s="996"/>
      <c r="ABI89" s="996"/>
      <c r="ABJ89" s="996"/>
      <c r="ABK89" s="996"/>
      <c r="ABL89" s="996"/>
      <c r="ABM89" s="996"/>
      <c r="ABN89" s="996"/>
      <c r="ABO89" s="996"/>
      <c r="ABP89" s="996"/>
      <c r="ABQ89" s="996"/>
      <c r="ABR89" s="996"/>
      <c r="ABS89" s="996"/>
      <c r="ABT89" s="996"/>
      <c r="ABU89" s="996"/>
      <c r="ABV89" s="996"/>
      <c r="ABW89" s="996"/>
      <c r="ABX89" s="996"/>
      <c r="ABY89" s="996"/>
      <c r="ABZ89" s="996"/>
      <c r="ACA89" s="996"/>
      <c r="ACB89" s="996"/>
      <c r="ACC89" s="996"/>
      <c r="ACD89" s="996"/>
      <c r="ACE89" s="996"/>
      <c r="ACF89" s="996"/>
      <c r="ACG89" s="996"/>
      <c r="ACH89" s="996"/>
      <c r="ACI89" s="996"/>
      <c r="ACJ89" s="996"/>
      <c r="ACK89" s="996"/>
      <c r="ACL89" s="996"/>
      <c r="ACM89" s="996"/>
      <c r="ACN89" s="996"/>
      <c r="ACO89" s="996"/>
      <c r="ACP89" s="996"/>
      <c r="ACQ89" s="996"/>
      <c r="ACR89" s="996"/>
      <c r="ACS89" s="996"/>
      <c r="ACT89" s="996"/>
      <c r="ACU89" s="996"/>
      <c r="ACV89" s="996"/>
      <c r="ACW89" s="996"/>
      <c r="ACX89" s="996"/>
      <c r="ACY89" s="996"/>
      <c r="ACZ89" s="996"/>
      <c r="ADA89" s="996"/>
      <c r="ADB89" s="996"/>
      <c r="ADC89" s="996"/>
      <c r="ADD89" s="996"/>
      <c r="ADE89" s="996"/>
      <c r="ADF89" s="996"/>
      <c r="ADG89" s="996"/>
      <c r="ADH89" s="996"/>
      <c r="ADI89" s="996"/>
      <c r="ADJ89" s="996"/>
      <c r="ADK89" s="996"/>
      <c r="ADL89" s="996"/>
      <c r="ADM89" s="996"/>
      <c r="ADN89" s="996"/>
      <c r="ADO89" s="996"/>
      <c r="ADP89" s="996"/>
      <c r="ADQ89" s="996"/>
      <c r="ADR89" s="996"/>
      <c r="ADS89" s="996"/>
      <c r="ADT89" s="996"/>
      <c r="ADU89" s="996"/>
      <c r="ADV89" s="996"/>
      <c r="ADW89" s="996"/>
      <c r="ADX89" s="996"/>
      <c r="ADY89" s="996"/>
      <c r="ADZ89" s="996"/>
      <c r="AEA89" s="996"/>
      <c r="AEB89" s="996"/>
      <c r="AEC89" s="996"/>
      <c r="AED89" s="996"/>
      <c r="AEE89" s="996"/>
      <c r="AEF89" s="996"/>
      <c r="AEG89" s="996"/>
      <c r="AEH89" s="996"/>
      <c r="AEI89" s="996"/>
      <c r="AEJ89" s="996"/>
      <c r="AEK89" s="996"/>
      <c r="AEL89" s="996"/>
      <c r="AEM89" s="996"/>
      <c r="AEN89" s="996"/>
      <c r="AEO89" s="996"/>
      <c r="AEP89" s="996"/>
      <c r="AEQ89" s="996"/>
      <c r="AER89" s="996"/>
      <c r="AES89" s="996"/>
      <c r="AET89" s="996"/>
      <c r="AEU89" s="996"/>
      <c r="AEV89" s="996"/>
      <c r="AEW89" s="996"/>
      <c r="AEX89" s="996"/>
      <c r="AEY89" s="996"/>
      <c r="AEZ89" s="996"/>
      <c r="AFA89" s="996"/>
      <c r="AFB89" s="996"/>
      <c r="AFC89" s="996"/>
      <c r="AFD89" s="996"/>
      <c r="AFE89" s="996"/>
      <c r="AFF89" s="996"/>
      <c r="AFG89" s="996"/>
      <c r="AFH89" s="996"/>
      <c r="AFI89" s="996"/>
      <c r="AFJ89" s="996"/>
      <c r="AFK89" s="996"/>
      <c r="AFL89" s="996"/>
      <c r="AFM89" s="996"/>
      <c r="AFN89" s="996"/>
      <c r="AFO89" s="996"/>
      <c r="AFP89" s="996"/>
      <c r="AFQ89" s="996"/>
      <c r="AFR89" s="996"/>
      <c r="AFS89" s="996"/>
      <c r="AFT89" s="996"/>
      <c r="AFU89" s="996"/>
      <c r="AFV89" s="996"/>
      <c r="AFW89" s="996"/>
      <c r="AFX89" s="996"/>
      <c r="AFY89" s="996"/>
      <c r="AFZ89" s="996"/>
      <c r="AGA89" s="996"/>
      <c r="AGB89" s="996"/>
      <c r="AGC89" s="996"/>
      <c r="AGD89" s="996"/>
      <c r="AGE89" s="996"/>
      <c r="AGF89" s="996"/>
      <c r="AGG89" s="996"/>
      <c r="AGH89" s="996"/>
      <c r="AGI89" s="996"/>
      <c r="AGJ89" s="996"/>
      <c r="AGK89" s="996"/>
      <c r="AGL89" s="996"/>
      <c r="AGM89" s="996"/>
      <c r="AGN89" s="996"/>
      <c r="AGO89" s="996"/>
      <c r="AGP89" s="996"/>
      <c r="AGQ89" s="996"/>
      <c r="AGR89" s="996"/>
      <c r="AGS89" s="996"/>
      <c r="AGT89" s="996"/>
      <c r="AGU89" s="996"/>
      <c r="AGV89" s="996"/>
      <c r="AGW89" s="996"/>
      <c r="AGX89" s="996"/>
      <c r="AGY89" s="996"/>
      <c r="AGZ89" s="996"/>
      <c r="AHA89" s="996"/>
      <c r="AHB89" s="996"/>
      <c r="AHC89" s="996"/>
      <c r="AHD89" s="996"/>
      <c r="AHE89" s="996"/>
      <c r="AHF89" s="996"/>
      <c r="AHG89" s="996"/>
      <c r="AHH89" s="996"/>
      <c r="AHI89" s="996"/>
      <c r="AHJ89" s="996"/>
      <c r="AHK89" s="996"/>
      <c r="AHL89" s="996"/>
      <c r="AHM89" s="996"/>
      <c r="AHN89" s="996"/>
      <c r="AHO89" s="996"/>
      <c r="AHP89" s="996"/>
      <c r="AHQ89" s="996"/>
      <c r="AHR89" s="996"/>
      <c r="AHS89" s="996"/>
      <c r="AHT89" s="996"/>
      <c r="AHU89" s="996"/>
      <c r="AHV89" s="996"/>
      <c r="AHW89" s="996"/>
      <c r="AHX89" s="996"/>
      <c r="AHY89" s="996"/>
      <c r="AHZ89" s="996"/>
      <c r="AIA89" s="996"/>
      <c r="AIB89" s="996"/>
      <c r="AIC89" s="996"/>
      <c r="AID89" s="996"/>
      <c r="AIE89" s="996"/>
      <c r="AIF89" s="996"/>
      <c r="AIG89" s="996"/>
      <c r="AIH89" s="996"/>
      <c r="AII89" s="996"/>
      <c r="AIJ89" s="996"/>
      <c r="AIK89" s="996"/>
      <c r="AIL89" s="996"/>
      <c r="AIM89" s="996"/>
      <c r="AIN89" s="996"/>
      <c r="AIO89" s="996"/>
      <c r="AIP89" s="996"/>
      <c r="AIQ89" s="996"/>
      <c r="AIR89" s="996"/>
      <c r="AIS89" s="996"/>
      <c r="AIT89" s="996"/>
      <c r="AIU89" s="996"/>
      <c r="AIV89" s="996"/>
      <c r="AIW89" s="996"/>
      <c r="AIX89" s="996"/>
      <c r="AIY89" s="996"/>
      <c r="AIZ89" s="996"/>
      <c r="AJA89" s="996"/>
      <c r="AJB89" s="996"/>
      <c r="AJC89" s="996"/>
      <c r="AJD89" s="996"/>
      <c r="AJE89" s="996"/>
      <c r="AJF89" s="996"/>
      <c r="AJG89" s="996"/>
      <c r="AJH89" s="996"/>
      <c r="AJI89" s="996"/>
      <c r="AJJ89" s="996"/>
      <c r="AJK89" s="996"/>
      <c r="AJL89" s="996"/>
      <c r="AJM89" s="996"/>
      <c r="AJN89" s="996"/>
      <c r="AJO89" s="996"/>
      <c r="AJP89" s="996"/>
      <c r="AJQ89" s="996"/>
      <c r="AJR89" s="996"/>
      <c r="AJS89" s="996"/>
      <c r="AJT89" s="996"/>
      <c r="AJU89" s="996"/>
      <c r="AJV89" s="996"/>
      <c r="AJW89" s="996"/>
      <c r="AJX89" s="996"/>
      <c r="AJY89" s="996"/>
      <c r="AJZ89" s="996"/>
      <c r="AKA89" s="996"/>
      <c r="AKB89" s="996"/>
      <c r="AKC89" s="996"/>
      <c r="AKD89" s="996"/>
      <c r="AKE89" s="996"/>
      <c r="AKF89" s="996"/>
      <c r="AKG89" s="996"/>
      <c r="AKH89" s="996"/>
      <c r="AKI89" s="996"/>
      <c r="AKJ89" s="996"/>
      <c r="AKK89" s="996"/>
      <c r="AKL89" s="996"/>
      <c r="AKM89" s="996"/>
      <c r="AKN89" s="996"/>
      <c r="AKO89" s="996"/>
      <c r="AKP89" s="996"/>
      <c r="AKQ89" s="996"/>
      <c r="AKR89" s="996"/>
      <c r="AKS89" s="996"/>
      <c r="AKT89" s="996"/>
      <c r="AKU89" s="996"/>
      <c r="AKV89" s="996"/>
      <c r="AKW89" s="996"/>
      <c r="AKX89" s="996"/>
      <c r="AKY89" s="996"/>
      <c r="AKZ89" s="996"/>
      <c r="ALA89" s="996"/>
      <c r="ALB89" s="996"/>
      <c r="ALC89" s="996"/>
      <c r="ALD89" s="996"/>
      <c r="ALE89" s="996"/>
      <c r="ALF89" s="996"/>
      <c r="ALG89" s="996"/>
      <c r="ALH89" s="996"/>
      <c r="ALI89" s="996"/>
      <c r="ALJ89" s="996"/>
      <c r="ALK89" s="996"/>
      <c r="ALL89" s="996"/>
      <c r="ALM89" s="996"/>
      <c r="ALN89" s="996"/>
      <c r="ALO89" s="996"/>
      <c r="ALP89" s="996"/>
      <c r="ALQ89" s="996"/>
      <c r="ALR89" s="996"/>
      <c r="ALS89" s="996"/>
      <c r="ALT89" s="996"/>
      <c r="ALU89" s="996"/>
      <c r="ALV89" s="996"/>
      <c r="ALW89" s="996"/>
      <c r="ALX89" s="996"/>
      <c r="ALY89" s="996"/>
      <c r="ALZ89" s="996"/>
      <c r="AMA89" s="996"/>
      <c r="AMB89" s="996"/>
      <c r="AMC89" s="996"/>
      <c r="AMD89" s="996"/>
      <c r="AME89" s="996"/>
      <c r="AMF89" s="996"/>
      <c r="AMG89" s="996"/>
      <c r="AMH89" s="996"/>
      <c r="AMI89" s="996"/>
      <c r="AMJ89" s="996"/>
      <c r="AMK89" s="996"/>
      <c r="AML89" s="996"/>
      <c r="AMM89" s="996"/>
      <c r="AMN89" s="996"/>
      <c r="AMO89" s="996"/>
      <c r="AMP89" s="996"/>
      <c r="AMQ89" s="996"/>
      <c r="AMR89" s="996"/>
      <c r="AMS89" s="996"/>
      <c r="AMT89" s="996"/>
      <c r="AMU89" s="996"/>
      <c r="AMV89" s="996"/>
      <c r="AMW89" s="996"/>
      <c r="AMX89" s="996"/>
      <c r="AMY89" s="996"/>
      <c r="AMZ89" s="996"/>
      <c r="ANA89" s="996"/>
      <c r="ANB89" s="996"/>
      <c r="ANC89" s="996"/>
      <c r="AND89" s="996"/>
      <c r="ANE89" s="996"/>
      <c r="ANF89" s="996"/>
      <c r="ANG89" s="996"/>
      <c r="ANH89" s="996"/>
      <c r="ANI89" s="996"/>
      <c r="ANJ89" s="996"/>
      <c r="ANK89" s="996"/>
      <c r="ANL89" s="996"/>
      <c r="ANM89" s="996"/>
      <c r="ANN89" s="996"/>
      <c r="ANO89" s="996"/>
      <c r="ANP89" s="996"/>
      <c r="ANQ89" s="996"/>
      <c r="ANR89" s="996"/>
      <c r="ANS89" s="996"/>
      <c r="ANT89" s="996"/>
      <c r="ANU89" s="996"/>
      <c r="ANV89" s="996"/>
      <c r="ANW89" s="996"/>
      <c r="ANX89" s="996"/>
      <c r="ANY89" s="996"/>
      <c r="ANZ89" s="996"/>
      <c r="AOA89" s="996"/>
      <c r="AOB89" s="996"/>
      <c r="AOC89" s="996"/>
      <c r="AOD89" s="996"/>
      <c r="AOE89" s="996"/>
      <c r="AOF89" s="996"/>
      <c r="AOG89" s="996"/>
      <c r="AOH89" s="996"/>
      <c r="AOI89" s="996"/>
      <c r="AOJ89" s="996"/>
      <c r="AOK89" s="996"/>
      <c r="AOL89" s="996"/>
      <c r="AOM89" s="996"/>
      <c r="AON89" s="996"/>
      <c r="AOO89" s="996"/>
      <c r="AOP89" s="996"/>
      <c r="AOQ89" s="996"/>
      <c r="AOR89" s="996"/>
      <c r="AOS89" s="996"/>
      <c r="AOT89" s="996"/>
      <c r="AOU89" s="996"/>
      <c r="AOV89" s="996"/>
      <c r="AOW89" s="996"/>
      <c r="AOX89" s="996"/>
      <c r="AOY89" s="996"/>
      <c r="AOZ89" s="996"/>
      <c r="APA89" s="996"/>
      <c r="APB89" s="996"/>
      <c r="APC89" s="996"/>
      <c r="APD89" s="996"/>
      <c r="APE89" s="996"/>
      <c r="APF89" s="996"/>
      <c r="APG89" s="996"/>
      <c r="APH89" s="996"/>
      <c r="API89" s="996"/>
      <c r="APJ89" s="996"/>
      <c r="APK89" s="996"/>
      <c r="APL89" s="996"/>
      <c r="APM89" s="996"/>
      <c r="APN89" s="996"/>
      <c r="APO89" s="996"/>
      <c r="APP89" s="996"/>
      <c r="APQ89" s="996"/>
      <c r="APR89" s="996"/>
      <c r="APS89" s="996"/>
      <c r="APT89" s="996"/>
      <c r="APU89" s="996"/>
      <c r="APV89" s="996"/>
      <c r="APW89" s="996"/>
      <c r="APX89" s="996"/>
      <c r="APY89" s="996"/>
      <c r="APZ89" s="996"/>
      <c r="AQA89" s="996"/>
      <c r="AQB89" s="996"/>
      <c r="AQC89" s="996"/>
      <c r="AQD89" s="996"/>
      <c r="AQE89" s="996"/>
      <c r="AQF89" s="996"/>
      <c r="AQG89" s="996"/>
      <c r="AQH89" s="996"/>
      <c r="AQI89" s="996"/>
      <c r="AQJ89" s="996"/>
      <c r="AQK89" s="996"/>
      <c r="AQL89" s="996"/>
      <c r="AQM89" s="996"/>
      <c r="AQN89" s="996"/>
      <c r="AQO89" s="996"/>
      <c r="AQP89" s="996"/>
      <c r="AQQ89" s="996"/>
      <c r="AQR89" s="996"/>
      <c r="AQS89" s="996"/>
      <c r="AQT89" s="996"/>
      <c r="AQU89" s="996"/>
      <c r="AQV89" s="996"/>
      <c r="AQW89" s="996"/>
      <c r="AQX89" s="996"/>
      <c r="AQY89" s="996"/>
      <c r="AQZ89" s="996"/>
      <c r="ARA89" s="996"/>
      <c r="ARB89" s="996"/>
      <c r="ARC89" s="996"/>
      <c r="ARD89" s="996"/>
      <c r="ARE89" s="996"/>
      <c r="ARF89" s="996"/>
      <c r="ARG89" s="996"/>
      <c r="ARH89" s="996"/>
      <c r="ARI89" s="996"/>
      <c r="ARJ89" s="996"/>
      <c r="ARK89" s="996"/>
      <c r="ARL89" s="996"/>
      <c r="ARM89" s="996"/>
      <c r="ARN89" s="996"/>
      <c r="ARO89" s="996"/>
      <c r="ARP89" s="996"/>
      <c r="ARQ89" s="996"/>
      <c r="ARR89" s="996"/>
      <c r="ARS89" s="996"/>
      <c r="ART89" s="996"/>
      <c r="ARU89" s="996"/>
      <c r="ARV89" s="996"/>
      <c r="ARW89" s="996"/>
      <c r="ARX89" s="996"/>
      <c r="ARY89" s="996"/>
      <c r="ARZ89" s="996"/>
      <c r="ASA89" s="996"/>
      <c r="ASB89" s="996"/>
      <c r="ASC89" s="996"/>
      <c r="ASD89" s="996"/>
      <c r="ASE89" s="996"/>
      <c r="ASF89" s="996"/>
      <c r="ASG89" s="996"/>
      <c r="ASH89" s="996"/>
      <c r="ASI89" s="996"/>
      <c r="ASJ89" s="996"/>
      <c r="ASK89" s="996"/>
      <c r="ASL89" s="996"/>
      <c r="ASM89" s="996"/>
      <c r="ASN89" s="996"/>
      <c r="ASO89" s="996"/>
      <c r="ASP89" s="996"/>
      <c r="ASQ89" s="996"/>
      <c r="ASR89" s="996"/>
      <c r="ASS89" s="996"/>
      <c r="AST89" s="996"/>
      <c r="ASU89" s="996"/>
      <c r="ASV89" s="996"/>
      <c r="ASW89" s="996"/>
      <c r="ASX89" s="996"/>
      <c r="ASY89" s="996"/>
      <c r="ASZ89" s="996"/>
      <c r="ATA89" s="996"/>
      <c r="ATB89" s="996"/>
      <c r="ATC89" s="996"/>
      <c r="ATD89" s="996"/>
      <c r="ATE89" s="996"/>
      <c r="ATF89" s="996"/>
      <c r="ATG89" s="996"/>
      <c r="ATH89" s="996"/>
      <c r="ATI89" s="996"/>
      <c r="ATJ89" s="996"/>
      <c r="ATK89" s="996"/>
      <c r="ATL89" s="996"/>
      <c r="ATM89" s="996"/>
      <c r="ATN89" s="996"/>
      <c r="ATO89" s="996"/>
      <c r="ATP89" s="996"/>
      <c r="ATQ89" s="996"/>
      <c r="ATR89" s="996"/>
      <c r="ATS89" s="996"/>
      <c r="ATT89" s="996"/>
      <c r="ATU89" s="996"/>
      <c r="ATV89" s="996"/>
      <c r="ATW89" s="996"/>
      <c r="ATX89" s="996"/>
      <c r="ATY89" s="996"/>
      <c r="ATZ89" s="996"/>
      <c r="AUA89" s="996"/>
      <c r="AUB89" s="996"/>
      <c r="AUC89" s="996"/>
      <c r="AUD89" s="996"/>
      <c r="AUE89" s="996"/>
      <c r="AUF89" s="996"/>
      <c r="AUG89" s="996"/>
      <c r="AUH89" s="996"/>
      <c r="AUI89" s="996"/>
      <c r="AUJ89" s="996"/>
      <c r="AUK89" s="996"/>
      <c r="AUL89" s="996"/>
      <c r="AUM89" s="996"/>
      <c r="AUN89" s="996"/>
      <c r="AUO89" s="996"/>
      <c r="AUP89" s="996"/>
      <c r="AUQ89" s="996"/>
      <c r="AUR89" s="996"/>
      <c r="AUS89" s="996"/>
      <c r="AUT89" s="996"/>
      <c r="AUU89" s="996"/>
      <c r="AUV89" s="996"/>
      <c r="AUW89" s="996"/>
      <c r="AUX89" s="996"/>
      <c r="AUY89" s="996"/>
      <c r="AUZ89" s="996"/>
      <c r="AVA89" s="996"/>
      <c r="AVB89" s="996"/>
      <c r="AVC89" s="996"/>
      <c r="AVD89" s="996"/>
      <c r="AVE89" s="996"/>
      <c r="AVF89" s="996"/>
      <c r="AVG89" s="996"/>
      <c r="AVH89" s="996"/>
      <c r="AVI89" s="996"/>
      <c r="AVJ89" s="996"/>
      <c r="AVK89" s="996"/>
      <c r="AVL89" s="996"/>
      <c r="AVM89" s="996"/>
      <c r="AVN89" s="996"/>
      <c r="AVO89" s="996"/>
      <c r="AVP89" s="996"/>
      <c r="AVQ89" s="996"/>
      <c r="AVR89" s="996"/>
      <c r="AVS89" s="996"/>
      <c r="AVT89" s="996"/>
      <c r="AVU89" s="996"/>
      <c r="AVV89" s="996"/>
      <c r="AVW89" s="996"/>
      <c r="AVX89" s="996"/>
      <c r="AVY89" s="996"/>
      <c r="AVZ89" s="996"/>
      <c r="AWA89" s="996"/>
      <c r="AWB89" s="996"/>
      <c r="AWC89" s="996"/>
      <c r="AWD89" s="996"/>
      <c r="AWE89" s="996"/>
      <c r="AWF89" s="996"/>
      <c r="AWG89" s="996"/>
      <c r="AWH89" s="996"/>
      <c r="AWI89" s="996"/>
      <c r="AWJ89" s="996"/>
      <c r="AWK89" s="996"/>
      <c r="AWL89" s="996"/>
      <c r="AWM89" s="996"/>
      <c r="AWN89" s="996"/>
      <c r="AWO89" s="996"/>
      <c r="AWP89" s="996"/>
      <c r="AWQ89" s="996"/>
      <c r="AWR89" s="996"/>
      <c r="AWS89" s="996"/>
      <c r="AWT89" s="996"/>
      <c r="AWU89" s="996"/>
      <c r="AWV89" s="996"/>
      <c r="AWW89" s="996"/>
      <c r="AWX89" s="996"/>
      <c r="AWY89" s="996"/>
      <c r="AWZ89" s="996"/>
      <c r="AXA89" s="996"/>
      <c r="AXB89" s="996"/>
      <c r="AXC89" s="996"/>
      <c r="AXD89" s="996"/>
      <c r="AXE89" s="996"/>
      <c r="AXF89" s="996"/>
      <c r="AXG89" s="996"/>
      <c r="AXH89" s="996"/>
      <c r="AXI89" s="996"/>
      <c r="AXJ89" s="996"/>
      <c r="AXK89" s="996"/>
      <c r="AXL89" s="996"/>
      <c r="AXM89" s="996"/>
      <c r="AXN89" s="996"/>
      <c r="AXO89" s="996"/>
      <c r="AXP89" s="996"/>
      <c r="AXQ89" s="996"/>
      <c r="AXR89" s="996"/>
      <c r="AXS89" s="996"/>
      <c r="AXT89" s="996"/>
      <c r="AXU89" s="996"/>
      <c r="AXV89" s="996"/>
      <c r="AXW89" s="996"/>
      <c r="AXX89" s="996"/>
      <c r="AXY89" s="996"/>
      <c r="AXZ89" s="996"/>
      <c r="AYA89" s="996"/>
      <c r="AYB89" s="996"/>
      <c r="AYC89" s="996"/>
      <c r="AYD89" s="996"/>
      <c r="AYE89" s="996"/>
      <c r="AYF89" s="996"/>
      <c r="AYG89" s="996"/>
      <c r="AYH89" s="996"/>
      <c r="AYI89" s="996"/>
      <c r="AYJ89" s="996"/>
      <c r="AYK89" s="996"/>
      <c r="AYL89" s="996"/>
      <c r="AYM89" s="996"/>
      <c r="AYN89" s="996"/>
      <c r="AYO89" s="996"/>
      <c r="AYP89" s="996"/>
      <c r="AYQ89" s="996"/>
      <c r="AYR89" s="996"/>
      <c r="AYS89" s="996"/>
      <c r="AYT89" s="996"/>
      <c r="AYU89" s="996"/>
      <c r="AYV89" s="996"/>
      <c r="AYW89" s="996"/>
      <c r="AYX89" s="996"/>
      <c r="AYY89" s="996"/>
      <c r="AYZ89" s="996"/>
      <c r="AZA89" s="996"/>
      <c r="AZB89" s="996"/>
      <c r="AZC89" s="996"/>
      <c r="AZD89" s="996"/>
      <c r="AZE89" s="996"/>
      <c r="AZF89" s="996"/>
      <c r="AZG89" s="996"/>
      <c r="AZH89" s="996"/>
      <c r="AZI89" s="996"/>
      <c r="AZJ89" s="996"/>
      <c r="AZK89" s="996"/>
      <c r="AZL89" s="996"/>
      <c r="AZM89" s="996"/>
      <c r="AZN89" s="996"/>
      <c r="AZO89" s="996"/>
      <c r="AZP89" s="996"/>
      <c r="AZQ89" s="996"/>
      <c r="AZR89" s="996"/>
      <c r="AZS89" s="996"/>
      <c r="AZT89" s="996"/>
      <c r="AZU89" s="996"/>
      <c r="AZV89" s="996"/>
      <c r="AZW89" s="996"/>
      <c r="AZX89" s="996"/>
      <c r="AZY89" s="996"/>
      <c r="AZZ89" s="996"/>
      <c r="BAA89" s="996"/>
      <c r="BAB89" s="996"/>
      <c r="BAC89" s="996"/>
      <c r="BAD89" s="996"/>
      <c r="BAE89" s="996"/>
      <c r="BAF89" s="996"/>
      <c r="BAG89" s="996"/>
      <c r="BAH89" s="996"/>
      <c r="BAI89" s="996"/>
      <c r="BAJ89" s="996"/>
      <c r="BAK89" s="996"/>
      <c r="BAL89" s="996"/>
      <c r="BAM89" s="996"/>
      <c r="BAN89" s="996"/>
      <c r="BAO89" s="996"/>
      <c r="BAP89" s="996"/>
      <c r="BAQ89" s="996"/>
      <c r="BAR89" s="996"/>
      <c r="BAS89" s="996"/>
      <c r="BAT89" s="996"/>
      <c r="BAU89" s="996"/>
      <c r="BAV89" s="996"/>
      <c r="BAW89" s="996"/>
      <c r="BAX89" s="996"/>
      <c r="BAY89" s="996"/>
      <c r="BAZ89" s="996"/>
      <c r="BBA89" s="996"/>
      <c r="BBB89" s="996"/>
      <c r="BBC89" s="996"/>
      <c r="BBD89" s="996"/>
      <c r="BBE89" s="996"/>
      <c r="BBF89" s="996"/>
      <c r="BBG89" s="996"/>
      <c r="BBH89" s="996"/>
      <c r="BBI89" s="996"/>
      <c r="BBJ89" s="996"/>
      <c r="BBK89" s="996"/>
      <c r="BBL89" s="996"/>
      <c r="BBM89" s="996"/>
      <c r="BBN89" s="996"/>
      <c r="BBO89" s="996"/>
      <c r="BBP89" s="996"/>
      <c r="BBQ89" s="996"/>
      <c r="BBR89" s="996"/>
      <c r="BBS89" s="996"/>
      <c r="BBT89" s="996"/>
      <c r="BBU89" s="996"/>
      <c r="BBV89" s="996"/>
      <c r="BBW89" s="996"/>
      <c r="BBX89" s="996"/>
      <c r="BBY89" s="996"/>
      <c r="BBZ89" s="996"/>
      <c r="BCA89" s="996"/>
      <c r="BCB89" s="996"/>
      <c r="BCC89" s="996"/>
      <c r="BCD89" s="996"/>
      <c r="BCE89" s="996"/>
      <c r="BCF89" s="996"/>
      <c r="BCG89" s="996"/>
      <c r="BCH89" s="996"/>
      <c r="BCI89" s="996"/>
      <c r="BCJ89" s="996"/>
      <c r="BCK89" s="996"/>
      <c r="BCL89" s="996"/>
      <c r="BCM89" s="996"/>
      <c r="BCN89" s="996"/>
      <c r="BCO89" s="996"/>
      <c r="BCP89" s="996"/>
      <c r="BCQ89" s="996"/>
      <c r="BCR89" s="996"/>
      <c r="BCS89" s="996"/>
      <c r="BCT89" s="996"/>
      <c r="BCU89" s="996"/>
      <c r="BCV89" s="996"/>
      <c r="BCW89" s="996"/>
      <c r="BCX89" s="996"/>
      <c r="BCY89" s="996"/>
      <c r="BCZ89" s="996"/>
      <c r="BDA89" s="996"/>
      <c r="BDB89" s="996"/>
      <c r="BDC89" s="996"/>
      <c r="BDD89" s="996"/>
      <c r="BDE89" s="996"/>
      <c r="BDF89" s="996"/>
      <c r="BDG89" s="996"/>
      <c r="BDH89" s="996"/>
      <c r="BDI89" s="996"/>
      <c r="BDJ89" s="996"/>
      <c r="BDK89" s="996"/>
      <c r="BDL89" s="996"/>
      <c r="BDM89" s="996"/>
      <c r="BDN89" s="996"/>
      <c r="BDO89" s="996"/>
      <c r="BDP89" s="996"/>
      <c r="BDQ89" s="996"/>
      <c r="BDR89" s="996"/>
      <c r="BDS89" s="996"/>
      <c r="BDT89" s="996"/>
      <c r="BDU89" s="996"/>
      <c r="BDV89" s="996"/>
      <c r="BDW89" s="996"/>
      <c r="BDX89" s="996"/>
      <c r="BDY89" s="996"/>
      <c r="BDZ89" s="996"/>
      <c r="BEA89" s="996"/>
      <c r="BEB89" s="996"/>
      <c r="BEC89" s="996"/>
      <c r="BED89" s="996"/>
      <c r="BEE89" s="996"/>
      <c r="BEF89" s="996"/>
      <c r="BEG89" s="996"/>
      <c r="BEH89" s="996"/>
      <c r="BEI89" s="996"/>
      <c r="BEJ89" s="996"/>
      <c r="BEK89" s="996"/>
      <c r="BEL89" s="996"/>
      <c r="BEM89" s="996"/>
      <c r="BEN89" s="996"/>
      <c r="BEO89" s="996"/>
      <c r="BEP89" s="996"/>
      <c r="BEQ89" s="996"/>
      <c r="BER89" s="996"/>
      <c r="BES89" s="996"/>
      <c r="BET89" s="996"/>
      <c r="BEU89" s="996"/>
      <c r="BEV89" s="996"/>
      <c r="BEW89" s="996"/>
      <c r="BEX89" s="996"/>
      <c r="BEY89" s="996"/>
      <c r="BEZ89" s="996"/>
      <c r="BFA89" s="996"/>
      <c r="BFB89" s="996"/>
      <c r="BFC89" s="996"/>
      <c r="BFD89" s="996"/>
      <c r="BFE89" s="996"/>
      <c r="BFF89" s="996"/>
      <c r="BFG89" s="996"/>
      <c r="BFH89" s="996"/>
      <c r="BFI89" s="996"/>
      <c r="BFJ89" s="996"/>
      <c r="BFK89" s="996"/>
      <c r="BFL89" s="996"/>
      <c r="BFM89" s="996"/>
      <c r="BFN89" s="996"/>
      <c r="BFO89" s="996"/>
      <c r="BFP89" s="996"/>
      <c r="BFQ89" s="996"/>
      <c r="BFR89" s="996"/>
      <c r="BFS89" s="996"/>
      <c r="BFT89" s="996"/>
      <c r="BFU89" s="996"/>
      <c r="BFV89" s="996"/>
      <c r="BFW89" s="996"/>
      <c r="BFX89" s="996"/>
      <c r="BFY89" s="996"/>
      <c r="BFZ89" s="996"/>
      <c r="BGA89" s="996"/>
      <c r="BGB89" s="996"/>
      <c r="BGC89" s="996"/>
      <c r="BGD89" s="996"/>
      <c r="BGE89" s="996"/>
      <c r="BGF89" s="996"/>
      <c r="BGG89" s="996"/>
      <c r="BGH89" s="996"/>
      <c r="BGI89" s="996"/>
      <c r="BGJ89" s="996"/>
      <c r="BGK89" s="996"/>
      <c r="BGL89" s="996"/>
      <c r="BGM89" s="996"/>
      <c r="BGN89" s="996"/>
      <c r="BGO89" s="996"/>
      <c r="BGP89" s="996"/>
      <c r="BGQ89" s="996"/>
      <c r="BGR89" s="996"/>
      <c r="BGS89" s="996"/>
      <c r="BGT89" s="996"/>
      <c r="BGU89" s="996"/>
      <c r="BGV89" s="996"/>
      <c r="BGW89" s="996"/>
      <c r="BGX89" s="996"/>
      <c r="BGY89" s="996"/>
      <c r="BGZ89" s="996"/>
      <c r="BHA89" s="996"/>
      <c r="BHB89" s="996"/>
      <c r="BHC89" s="996"/>
      <c r="BHD89" s="996"/>
      <c r="BHE89" s="996"/>
      <c r="BHF89" s="996"/>
      <c r="BHG89" s="996"/>
      <c r="BHH89" s="996"/>
      <c r="BHI89" s="996"/>
      <c r="BHJ89" s="996"/>
      <c r="BHK89" s="996"/>
      <c r="BHL89" s="996"/>
      <c r="BHM89" s="996"/>
      <c r="BHN89" s="996"/>
      <c r="BHO89" s="996"/>
      <c r="BHP89" s="996"/>
      <c r="BHQ89" s="996"/>
      <c r="BHR89" s="996"/>
      <c r="BHS89" s="996"/>
      <c r="BHT89" s="996"/>
      <c r="BHU89" s="996"/>
      <c r="BHV89" s="996"/>
      <c r="BHW89" s="996"/>
      <c r="BHX89" s="996"/>
      <c r="BHY89" s="996"/>
      <c r="BHZ89" s="996"/>
      <c r="BIA89" s="996"/>
      <c r="BIB89" s="996"/>
      <c r="BIC89" s="996"/>
      <c r="BID89" s="996"/>
      <c r="BIE89" s="996"/>
      <c r="BIF89" s="996"/>
      <c r="BIG89" s="996"/>
      <c r="BIH89" s="996"/>
      <c r="BII89" s="996"/>
      <c r="BIJ89" s="996"/>
      <c r="BIK89" s="996"/>
      <c r="BIL89" s="996"/>
      <c r="BIM89" s="996"/>
      <c r="BIN89" s="996"/>
      <c r="BIO89" s="996"/>
      <c r="BIP89" s="996"/>
      <c r="BIQ89" s="996"/>
      <c r="BIR89" s="996"/>
      <c r="BIS89" s="996"/>
      <c r="BIT89" s="996"/>
      <c r="BIU89" s="996"/>
      <c r="BIV89" s="996"/>
      <c r="BIW89" s="996"/>
      <c r="BIX89" s="996"/>
      <c r="BIY89" s="996"/>
      <c r="BIZ89" s="996"/>
      <c r="BJA89" s="996"/>
      <c r="BJB89" s="996"/>
      <c r="BJC89" s="996"/>
      <c r="BJD89" s="996"/>
      <c r="BJE89" s="996"/>
      <c r="BJF89" s="996"/>
      <c r="BJG89" s="996"/>
      <c r="BJH89" s="996"/>
      <c r="BJI89" s="996"/>
      <c r="BJJ89" s="996"/>
      <c r="BJK89" s="996"/>
      <c r="BJL89" s="996"/>
      <c r="BJM89" s="996"/>
      <c r="BJN89" s="996"/>
      <c r="BJO89" s="996"/>
      <c r="BJP89" s="996"/>
      <c r="BJQ89" s="996"/>
      <c r="BJR89" s="996"/>
      <c r="BJS89" s="996"/>
      <c r="BJT89" s="996"/>
      <c r="BJU89" s="996"/>
      <c r="BJV89" s="996"/>
      <c r="BJW89" s="996"/>
      <c r="BJX89" s="996"/>
      <c r="BJY89" s="996"/>
      <c r="BJZ89" s="996"/>
      <c r="BKA89" s="996"/>
      <c r="BKB89" s="996"/>
      <c r="BKC89" s="996"/>
      <c r="BKD89" s="996"/>
      <c r="BKE89" s="996"/>
      <c r="BKF89" s="996"/>
      <c r="BKG89" s="996"/>
      <c r="BKH89" s="996"/>
      <c r="BKI89" s="996"/>
      <c r="BKJ89" s="996"/>
      <c r="BKK89" s="996"/>
      <c r="BKL89" s="996"/>
      <c r="BKM89" s="996"/>
      <c r="BKN89" s="996"/>
      <c r="BKO89" s="996"/>
      <c r="BKP89" s="996"/>
      <c r="BKQ89" s="996"/>
      <c r="BKR89" s="996"/>
      <c r="BKS89" s="996"/>
      <c r="BKT89" s="996"/>
      <c r="BKU89" s="996"/>
      <c r="BKV89" s="996"/>
      <c r="BKW89" s="996"/>
      <c r="BKX89" s="996"/>
      <c r="BKY89" s="996"/>
      <c r="BKZ89" s="996"/>
      <c r="BLA89" s="996"/>
      <c r="BLB89" s="996"/>
      <c r="BLC89" s="996"/>
      <c r="BLD89" s="996"/>
      <c r="BLE89" s="996"/>
      <c r="BLF89" s="996"/>
      <c r="BLG89" s="996"/>
      <c r="BLH89" s="996"/>
      <c r="BLI89" s="996"/>
      <c r="BLJ89" s="996"/>
      <c r="BLK89" s="996"/>
      <c r="BLL89" s="996"/>
      <c r="BLM89" s="996"/>
      <c r="BLN89" s="996"/>
      <c r="BLO89" s="996"/>
      <c r="BLP89" s="996"/>
      <c r="BLQ89" s="996"/>
      <c r="BLR89" s="996"/>
      <c r="BLS89" s="996"/>
      <c r="BLT89" s="996"/>
      <c r="BLU89" s="996"/>
      <c r="BLV89" s="996"/>
      <c r="BLW89" s="996"/>
      <c r="BLX89" s="996"/>
      <c r="BLY89" s="996"/>
      <c r="BLZ89" s="996"/>
      <c r="BMA89" s="996"/>
      <c r="BMB89" s="996"/>
      <c r="BMC89" s="996"/>
      <c r="BMD89" s="996"/>
      <c r="BME89" s="996"/>
      <c r="BMF89" s="996"/>
      <c r="BMG89" s="996"/>
      <c r="BMH89" s="996"/>
      <c r="BMI89" s="996"/>
      <c r="BMJ89" s="996"/>
      <c r="BMK89" s="996"/>
      <c r="BML89" s="996"/>
      <c r="BMM89" s="996"/>
      <c r="BMN89" s="996"/>
      <c r="BMO89" s="996"/>
      <c r="BMP89" s="996"/>
      <c r="BMQ89" s="996"/>
      <c r="BMR89" s="996"/>
      <c r="BMS89" s="996"/>
      <c r="BMT89" s="996"/>
      <c r="BMU89" s="996"/>
      <c r="BMV89" s="996"/>
      <c r="BMW89" s="996"/>
      <c r="BMX89" s="996"/>
      <c r="BMY89" s="996"/>
      <c r="BMZ89" s="996"/>
      <c r="BNA89" s="996"/>
      <c r="BNB89" s="996"/>
      <c r="BNC89" s="996"/>
      <c r="BND89" s="996"/>
      <c r="BNE89" s="996"/>
      <c r="BNF89" s="996"/>
      <c r="BNG89" s="996"/>
      <c r="BNH89" s="996"/>
      <c r="BNI89" s="996"/>
      <c r="BNJ89" s="996"/>
      <c r="BNK89" s="996"/>
      <c r="BNL89" s="996"/>
      <c r="BNM89" s="996"/>
      <c r="BNN89" s="996"/>
      <c r="BNO89" s="996"/>
      <c r="BNP89" s="996"/>
      <c r="BNQ89" s="996"/>
      <c r="BNR89" s="996"/>
      <c r="BNS89" s="996"/>
      <c r="BNT89" s="996"/>
      <c r="BNU89" s="996"/>
      <c r="BNV89" s="996"/>
      <c r="BNW89" s="996"/>
      <c r="BNX89" s="996"/>
      <c r="BNY89" s="996"/>
      <c r="BNZ89" s="996"/>
      <c r="BOA89" s="996"/>
      <c r="BOB89" s="996"/>
      <c r="BOC89" s="996"/>
      <c r="BOD89" s="996"/>
      <c r="BOE89" s="996"/>
      <c r="BOF89" s="996"/>
      <c r="BOG89" s="996"/>
      <c r="BOH89" s="996"/>
      <c r="BOI89" s="996"/>
      <c r="BOJ89" s="996"/>
      <c r="BOK89" s="996"/>
      <c r="BOL89" s="996"/>
      <c r="BOM89" s="996"/>
      <c r="BON89" s="996"/>
      <c r="BOO89" s="996"/>
      <c r="BOP89" s="996"/>
      <c r="BOQ89" s="996"/>
      <c r="BOR89" s="996"/>
      <c r="BOS89" s="996"/>
      <c r="BOT89" s="996"/>
      <c r="BOU89" s="996"/>
      <c r="BOV89" s="996"/>
      <c r="BOW89" s="996"/>
      <c r="BOX89" s="996"/>
      <c r="BOY89" s="996"/>
      <c r="BOZ89" s="996"/>
      <c r="BPA89" s="996"/>
      <c r="BPB89" s="996"/>
      <c r="BPC89" s="996"/>
      <c r="BPD89" s="996"/>
      <c r="BPE89" s="996"/>
      <c r="BPF89" s="996"/>
      <c r="BPG89" s="996"/>
      <c r="BPH89" s="996"/>
      <c r="BPI89" s="996"/>
      <c r="BPJ89" s="996"/>
      <c r="BPK89" s="996"/>
      <c r="BPL89" s="996"/>
      <c r="BPM89" s="996"/>
      <c r="BPN89" s="996"/>
      <c r="BPO89" s="996"/>
      <c r="BPP89" s="996"/>
      <c r="BPQ89" s="996"/>
      <c r="BPR89" s="996"/>
      <c r="BPS89" s="996"/>
      <c r="BPT89" s="996"/>
      <c r="BPU89" s="996"/>
      <c r="BPV89" s="996"/>
      <c r="BPW89" s="996"/>
      <c r="BPX89" s="996"/>
      <c r="BPY89" s="996"/>
      <c r="BPZ89" s="996"/>
      <c r="BQA89" s="996"/>
      <c r="BQB89" s="996"/>
      <c r="BQC89" s="996"/>
      <c r="BQD89" s="996"/>
      <c r="BQE89" s="996"/>
      <c r="BQF89" s="996"/>
      <c r="BQG89" s="996"/>
      <c r="BQH89" s="996"/>
      <c r="BQI89" s="996"/>
      <c r="BQJ89" s="996"/>
      <c r="BQK89" s="996"/>
      <c r="BQL89" s="996"/>
      <c r="BQM89" s="996"/>
      <c r="BQN89" s="996"/>
      <c r="BQO89" s="996"/>
      <c r="BQP89" s="996"/>
      <c r="BQQ89" s="996"/>
      <c r="BQR89" s="996"/>
      <c r="BQS89" s="996"/>
      <c r="BQT89" s="996"/>
      <c r="BQU89" s="996"/>
      <c r="BQV89" s="996"/>
      <c r="BQW89" s="996"/>
      <c r="BQX89" s="996"/>
      <c r="BQY89" s="996"/>
      <c r="BQZ89" s="996"/>
      <c r="BRA89" s="996"/>
      <c r="BRB89" s="996"/>
      <c r="BRC89" s="996"/>
      <c r="BRD89" s="996"/>
      <c r="BRE89" s="996"/>
      <c r="BRF89" s="996"/>
      <c r="BRG89" s="996"/>
      <c r="BRH89" s="996"/>
      <c r="BRI89" s="996"/>
      <c r="BRJ89" s="996"/>
      <c r="BRK89" s="996"/>
      <c r="BRL89" s="996"/>
      <c r="BRM89" s="996"/>
      <c r="BRN89" s="996"/>
      <c r="BRO89" s="996"/>
      <c r="BRP89" s="996"/>
      <c r="BRQ89" s="996"/>
      <c r="BRR89" s="996"/>
      <c r="BRS89" s="996"/>
      <c r="BRT89" s="996"/>
      <c r="BRU89" s="996"/>
      <c r="BRV89" s="996"/>
      <c r="BRW89" s="996"/>
      <c r="BRX89" s="996"/>
      <c r="BRY89" s="996"/>
      <c r="BRZ89" s="996"/>
      <c r="BSA89" s="996"/>
      <c r="BSB89" s="996"/>
      <c r="BSC89" s="996"/>
      <c r="BSD89" s="996"/>
      <c r="BSE89" s="996"/>
      <c r="BSF89" s="996"/>
      <c r="BSG89" s="996"/>
      <c r="BSH89" s="996"/>
      <c r="BSI89" s="996"/>
      <c r="BSJ89" s="996"/>
      <c r="BSK89" s="996"/>
      <c r="BSL89" s="996"/>
      <c r="BSM89" s="996"/>
      <c r="BSN89" s="996"/>
      <c r="BSO89" s="996"/>
      <c r="BSP89" s="996"/>
      <c r="BSQ89" s="996"/>
      <c r="BSR89" s="996"/>
      <c r="BSS89" s="996"/>
      <c r="BST89" s="996"/>
      <c r="BSU89" s="996"/>
      <c r="BSV89" s="996"/>
      <c r="BSW89" s="996"/>
      <c r="BSX89" s="996"/>
      <c r="BSY89" s="996"/>
      <c r="BSZ89" s="996"/>
      <c r="BTA89" s="996"/>
      <c r="BTB89" s="996"/>
      <c r="BTC89" s="996"/>
      <c r="BTD89" s="996"/>
      <c r="BTE89" s="996"/>
      <c r="BTF89" s="996"/>
      <c r="BTG89" s="996"/>
      <c r="BTH89" s="996"/>
      <c r="BTI89" s="996"/>
      <c r="BTJ89" s="996"/>
      <c r="BTK89" s="996"/>
      <c r="BTL89" s="996"/>
      <c r="BTM89" s="996"/>
      <c r="BTN89" s="996"/>
      <c r="BTO89" s="996"/>
      <c r="BTP89" s="996"/>
      <c r="BTQ89" s="996"/>
      <c r="BTR89" s="996"/>
      <c r="BTS89" s="996"/>
      <c r="BTT89" s="996"/>
      <c r="BTU89" s="996"/>
      <c r="BTV89" s="996"/>
      <c r="BTW89" s="996"/>
      <c r="BTX89" s="996"/>
      <c r="BTY89" s="996"/>
      <c r="BTZ89" s="996"/>
      <c r="BUA89" s="996"/>
      <c r="BUB89" s="996"/>
      <c r="BUC89" s="996"/>
      <c r="BUD89" s="996"/>
      <c r="BUE89" s="996"/>
      <c r="BUF89" s="996"/>
      <c r="BUG89" s="996"/>
      <c r="BUH89" s="996"/>
      <c r="BUI89" s="996"/>
      <c r="BUJ89" s="996"/>
      <c r="BUK89" s="996"/>
      <c r="BUL89" s="996"/>
      <c r="BUM89" s="996"/>
      <c r="BUN89" s="996"/>
      <c r="BUO89" s="996"/>
      <c r="BUP89" s="996"/>
      <c r="BUQ89" s="996"/>
      <c r="BUR89" s="996"/>
      <c r="BUS89" s="996"/>
      <c r="BUT89" s="996"/>
      <c r="BUU89" s="996"/>
      <c r="BUV89" s="996"/>
      <c r="BUW89" s="996"/>
      <c r="BUX89" s="996"/>
      <c r="BUY89" s="996"/>
      <c r="BUZ89" s="996"/>
      <c r="BVA89" s="996"/>
      <c r="BVB89" s="996"/>
      <c r="BVC89" s="996"/>
      <c r="BVD89" s="996"/>
      <c r="BVE89" s="996"/>
      <c r="BVF89" s="996"/>
      <c r="BVG89" s="996"/>
      <c r="BVH89" s="996"/>
      <c r="BVI89" s="996"/>
      <c r="BVJ89" s="996"/>
      <c r="BVK89" s="996"/>
      <c r="BVL89" s="996"/>
      <c r="BVM89" s="996"/>
      <c r="BVN89" s="996"/>
      <c r="BVO89" s="996"/>
      <c r="BVP89" s="996"/>
      <c r="BVQ89" s="996"/>
      <c r="BVR89" s="996"/>
      <c r="BVS89" s="996"/>
      <c r="BVT89" s="996"/>
      <c r="BVU89" s="996"/>
      <c r="BVV89" s="996"/>
      <c r="BVW89" s="996"/>
      <c r="BVX89" s="996"/>
      <c r="BVY89" s="996"/>
      <c r="BVZ89" s="996"/>
      <c r="BWA89" s="996"/>
      <c r="BWB89" s="996"/>
      <c r="BWC89" s="996"/>
      <c r="BWD89" s="996"/>
      <c r="BWE89" s="996"/>
      <c r="BWF89" s="996"/>
      <c r="BWG89" s="996"/>
      <c r="BWH89" s="996"/>
      <c r="BWI89" s="996"/>
      <c r="BWJ89" s="996"/>
      <c r="BWK89" s="996"/>
      <c r="BWL89" s="996"/>
      <c r="BWM89" s="996"/>
      <c r="BWN89" s="996"/>
      <c r="BWO89" s="996"/>
      <c r="BWP89" s="996"/>
      <c r="BWQ89" s="996"/>
      <c r="BWR89" s="996"/>
      <c r="BWS89" s="996"/>
      <c r="BWT89" s="996"/>
      <c r="BWU89" s="996"/>
      <c r="BWV89" s="996"/>
      <c r="BWW89" s="996"/>
      <c r="BWX89" s="996"/>
      <c r="BWY89" s="996"/>
      <c r="BWZ89" s="996"/>
      <c r="BXA89" s="996"/>
      <c r="BXB89" s="996"/>
      <c r="BXC89" s="996"/>
      <c r="BXD89" s="996"/>
      <c r="BXE89" s="996"/>
      <c r="BXF89" s="996"/>
      <c r="BXG89" s="996"/>
      <c r="BXH89" s="996"/>
      <c r="BXI89" s="996"/>
      <c r="BXJ89" s="996"/>
      <c r="BXK89" s="996"/>
      <c r="BXL89" s="996"/>
      <c r="BXM89" s="996"/>
      <c r="BXN89" s="996"/>
      <c r="BXO89" s="996"/>
      <c r="BXP89" s="996"/>
      <c r="BXQ89" s="996"/>
      <c r="BXR89" s="996"/>
      <c r="BXS89" s="996"/>
      <c r="BXT89" s="996"/>
      <c r="BXU89" s="996"/>
      <c r="BXV89" s="996"/>
      <c r="BXW89" s="996"/>
      <c r="BXX89" s="996"/>
      <c r="BXY89" s="996"/>
      <c r="BXZ89" s="996"/>
      <c r="BYA89" s="996"/>
      <c r="BYB89" s="996"/>
      <c r="BYC89" s="996"/>
      <c r="BYD89" s="996"/>
      <c r="BYE89" s="996"/>
      <c r="BYF89" s="996"/>
      <c r="BYG89" s="996"/>
      <c r="BYH89" s="996"/>
      <c r="BYI89" s="996"/>
      <c r="BYJ89" s="996"/>
      <c r="BYK89" s="996"/>
      <c r="BYL89" s="996"/>
      <c r="BYM89" s="996"/>
      <c r="BYN89" s="996"/>
      <c r="BYO89" s="996"/>
      <c r="BYP89" s="996"/>
      <c r="BYQ89" s="996"/>
      <c r="BYR89" s="996"/>
      <c r="BYS89" s="996"/>
      <c r="BYT89" s="996"/>
      <c r="BYU89" s="996"/>
      <c r="BYV89" s="996"/>
      <c r="BYW89" s="996"/>
      <c r="BYX89" s="996"/>
      <c r="BYY89" s="996"/>
      <c r="BYZ89" s="996"/>
      <c r="BZA89" s="996"/>
      <c r="BZB89" s="996"/>
      <c r="BZC89" s="996"/>
      <c r="BZD89" s="996"/>
      <c r="BZE89" s="996"/>
      <c r="BZF89" s="996"/>
      <c r="BZG89" s="996"/>
      <c r="BZH89" s="996"/>
      <c r="BZI89" s="996"/>
      <c r="BZJ89" s="996"/>
      <c r="BZK89" s="996"/>
      <c r="BZL89" s="996"/>
      <c r="BZM89" s="996"/>
      <c r="BZN89" s="996"/>
      <c r="BZO89" s="996"/>
      <c r="BZP89" s="996"/>
      <c r="BZQ89" s="996"/>
      <c r="BZR89" s="996"/>
      <c r="BZS89" s="996"/>
      <c r="BZT89" s="996"/>
      <c r="BZU89" s="996"/>
      <c r="BZV89" s="996"/>
      <c r="BZW89" s="996"/>
      <c r="BZX89" s="996"/>
      <c r="BZY89" s="996"/>
      <c r="BZZ89" s="996"/>
      <c r="CAA89" s="996"/>
      <c r="CAB89" s="996"/>
      <c r="CAC89" s="996"/>
      <c r="CAD89" s="996"/>
      <c r="CAE89" s="996"/>
      <c r="CAF89" s="996"/>
      <c r="CAG89" s="996"/>
      <c r="CAH89" s="996"/>
      <c r="CAI89" s="996"/>
      <c r="CAJ89" s="996"/>
      <c r="CAK89" s="996"/>
      <c r="CAL89" s="996"/>
      <c r="CAM89" s="996"/>
      <c r="CAN89" s="996"/>
      <c r="CAO89" s="996"/>
      <c r="CAP89" s="996"/>
      <c r="CAQ89" s="996"/>
      <c r="CAR89" s="996"/>
      <c r="CAS89" s="996"/>
      <c r="CAT89" s="996"/>
      <c r="CAU89" s="996"/>
      <c r="CAV89" s="996"/>
      <c r="CAW89" s="996"/>
      <c r="CAX89" s="996"/>
      <c r="CAY89" s="996"/>
      <c r="CAZ89" s="996"/>
      <c r="CBA89" s="996"/>
      <c r="CBB89" s="996"/>
      <c r="CBC89" s="996"/>
      <c r="CBD89" s="996"/>
      <c r="CBE89" s="996"/>
      <c r="CBF89" s="996"/>
      <c r="CBG89" s="996"/>
      <c r="CBH89" s="996"/>
      <c r="CBI89" s="996"/>
      <c r="CBJ89" s="996"/>
      <c r="CBK89" s="996"/>
      <c r="CBL89" s="996"/>
      <c r="CBM89" s="996"/>
      <c r="CBN89" s="996"/>
      <c r="CBO89" s="996"/>
      <c r="CBP89" s="996"/>
      <c r="CBQ89" s="996"/>
      <c r="CBR89" s="996"/>
      <c r="CBS89" s="996"/>
      <c r="CBT89" s="996"/>
      <c r="CBU89" s="996"/>
      <c r="CBV89" s="996"/>
      <c r="CBW89" s="996"/>
      <c r="CBX89" s="996"/>
      <c r="CBY89" s="996"/>
      <c r="CBZ89" s="996"/>
      <c r="CCA89" s="996"/>
      <c r="CCB89" s="996"/>
      <c r="CCC89" s="996"/>
      <c r="CCD89" s="996"/>
      <c r="CCE89" s="996"/>
      <c r="CCF89" s="996"/>
      <c r="CCG89" s="996"/>
      <c r="CCH89" s="996"/>
      <c r="CCI89" s="996"/>
      <c r="CCJ89" s="996"/>
      <c r="CCK89" s="996"/>
      <c r="CCL89" s="996"/>
      <c r="CCM89" s="996"/>
      <c r="CCN89" s="996"/>
      <c r="CCO89" s="996"/>
      <c r="CCP89" s="996"/>
      <c r="CCQ89" s="996"/>
      <c r="CCR89" s="996"/>
      <c r="CCS89" s="996"/>
      <c r="CCT89" s="996"/>
      <c r="CCU89" s="996"/>
      <c r="CCV89" s="996"/>
      <c r="CCW89" s="996"/>
      <c r="CCX89" s="996"/>
      <c r="CCY89" s="996"/>
      <c r="CCZ89" s="996"/>
      <c r="CDA89" s="996"/>
      <c r="CDB89" s="996"/>
      <c r="CDC89" s="996"/>
      <c r="CDD89" s="996"/>
      <c r="CDE89" s="996"/>
      <c r="CDF89" s="996"/>
      <c r="CDG89" s="996"/>
      <c r="CDH89" s="996"/>
      <c r="CDI89" s="996"/>
      <c r="CDJ89" s="996"/>
      <c r="CDK89" s="996"/>
      <c r="CDL89" s="996"/>
      <c r="CDM89" s="996"/>
      <c r="CDN89" s="996"/>
      <c r="CDO89" s="996"/>
      <c r="CDP89" s="996"/>
      <c r="CDQ89" s="996"/>
      <c r="CDR89" s="996"/>
      <c r="CDS89" s="996"/>
      <c r="CDT89" s="996"/>
      <c r="CDU89" s="996"/>
      <c r="CDV89" s="996"/>
      <c r="CDW89" s="996"/>
      <c r="CDX89" s="996"/>
      <c r="CDY89" s="996"/>
      <c r="CDZ89" s="996"/>
      <c r="CEA89" s="996"/>
      <c r="CEB89" s="996"/>
      <c r="CEC89" s="996"/>
      <c r="CED89" s="996"/>
      <c r="CEE89" s="996"/>
      <c r="CEF89" s="996"/>
      <c r="CEG89" s="996"/>
      <c r="CEH89" s="996"/>
      <c r="CEI89" s="996"/>
      <c r="CEJ89" s="996"/>
      <c r="CEK89" s="996"/>
      <c r="CEL89" s="996"/>
      <c r="CEM89" s="996"/>
      <c r="CEN89" s="996"/>
      <c r="CEO89" s="996"/>
      <c r="CEP89" s="996"/>
      <c r="CEQ89" s="996"/>
      <c r="CER89" s="996"/>
      <c r="CES89" s="996"/>
      <c r="CET89" s="996"/>
      <c r="CEU89" s="996"/>
      <c r="CEV89" s="996"/>
      <c r="CEW89" s="996"/>
      <c r="CEX89" s="996"/>
      <c r="CEY89" s="996"/>
      <c r="CEZ89" s="996"/>
      <c r="CFA89" s="996"/>
      <c r="CFB89" s="996"/>
      <c r="CFC89" s="996"/>
      <c r="CFD89" s="996"/>
      <c r="CFE89" s="996"/>
      <c r="CFF89" s="996"/>
      <c r="CFG89" s="996"/>
      <c r="CFH89" s="996"/>
      <c r="CFI89" s="996"/>
      <c r="CFJ89" s="996"/>
      <c r="CFK89" s="996"/>
      <c r="CFL89" s="996"/>
      <c r="CFM89" s="996"/>
      <c r="CFN89" s="996"/>
      <c r="CFO89" s="996"/>
      <c r="CFP89" s="996"/>
      <c r="CFQ89" s="996"/>
      <c r="CFR89" s="996"/>
      <c r="CFS89" s="996"/>
      <c r="CFT89" s="996"/>
      <c r="CFU89" s="996"/>
      <c r="CFV89" s="996"/>
      <c r="CFW89" s="996"/>
      <c r="CFX89" s="996"/>
      <c r="CFY89" s="996"/>
      <c r="CFZ89" s="996"/>
      <c r="CGA89" s="996"/>
      <c r="CGB89" s="996"/>
      <c r="CGC89" s="996"/>
      <c r="CGD89" s="996"/>
      <c r="CGE89" s="996"/>
      <c r="CGF89" s="996"/>
      <c r="CGG89" s="996"/>
      <c r="CGH89" s="996"/>
      <c r="CGI89" s="996"/>
      <c r="CGJ89" s="996"/>
      <c r="CGK89" s="996"/>
      <c r="CGL89" s="996"/>
      <c r="CGM89" s="996"/>
      <c r="CGN89" s="996"/>
      <c r="CGO89" s="996"/>
      <c r="CGP89" s="996"/>
      <c r="CGQ89" s="996"/>
      <c r="CGR89" s="996"/>
      <c r="CGS89" s="996"/>
      <c r="CGT89" s="996"/>
      <c r="CGU89" s="996"/>
      <c r="CGV89" s="996"/>
      <c r="CGW89" s="996"/>
      <c r="CGX89" s="996"/>
      <c r="CGY89" s="996"/>
      <c r="CGZ89" s="996"/>
      <c r="CHA89" s="996"/>
      <c r="CHB89" s="996"/>
      <c r="CHC89" s="996"/>
      <c r="CHD89" s="996"/>
      <c r="CHE89" s="996"/>
      <c r="CHF89" s="996"/>
      <c r="CHG89" s="996"/>
      <c r="CHH89" s="996"/>
      <c r="CHI89" s="996"/>
      <c r="CHJ89" s="996"/>
      <c r="CHK89" s="996"/>
      <c r="CHL89" s="996"/>
      <c r="CHM89" s="996"/>
      <c r="CHN89" s="996"/>
      <c r="CHO89" s="996"/>
      <c r="CHP89" s="996"/>
      <c r="CHQ89" s="996"/>
      <c r="CHR89" s="996"/>
      <c r="CHS89" s="996"/>
      <c r="CHT89" s="996"/>
      <c r="CHU89" s="996"/>
      <c r="CHV89" s="996"/>
      <c r="CHW89" s="996"/>
      <c r="CHX89" s="996"/>
      <c r="CHY89" s="996"/>
      <c r="CHZ89" s="996"/>
      <c r="CIA89" s="996"/>
      <c r="CIB89" s="996"/>
      <c r="CIC89" s="996"/>
      <c r="CID89" s="996"/>
      <c r="CIE89" s="996"/>
      <c r="CIF89" s="996"/>
      <c r="CIG89" s="996"/>
      <c r="CIH89" s="996"/>
      <c r="CII89" s="996"/>
      <c r="CIJ89" s="996"/>
      <c r="CIK89" s="996"/>
      <c r="CIL89" s="996"/>
      <c r="CIM89" s="996"/>
      <c r="CIN89" s="996"/>
      <c r="CIO89" s="996"/>
      <c r="CIP89" s="996"/>
      <c r="CIQ89" s="996"/>
      <c r="CIR89" s="996"/>
      <c r="CIS89" s="996"/>
      <c r="CIT89" s="996"/>
      <c r="CIU89" s="996"/>
      <c r="CIV89" s="996"/>
      <c r="CIW89" s="996"/>
      <c r="CIX89" s="996"/>
      <c r="CIY89" s="996"/>
      <c r="CIZ89" s="996"/>
      <c r="CJA89" s="996"/>
      <c r="CJB89" s="996"/>
      <c r="CJC89" s="996"/>
      <c r="CJD89" s="996"/>
      <c r="CJE89" s="996"/>
      <c r="CJF89" s="996"/>
      <c r="CJG89" s="996"/>
      <c r="CJH89" s="996"/>
      <c r="CJI89" s="996"/>
      <c r="CJJ89" s="996"/>
      <c r="CJK89" s="996"/>
      <c r="CJL89" s="996"/>
      <c r="CJM89" s="996"/>
      <c r="CJN89" s="996"/>
      <c r="CJO89" s="996"/>
      <c r="CJP89" s="996"/>
      <c r="CJQ89" s="996"/>
      <c r="CJR89" s="996"/>
      <c r="CJS89" s="996"/>
      <c r="CJT89" s="996"/>
      <c r="CJU89" s="996"/>
      <c r="CJV89" s="996"/>
      <c r="CJW89" s="996"/>
      <c r="CJX89" s="996"/>
      <c r="CJY89" s="996"/>
      <c r="CJZ89" s="996"/>
      <c r="CKA89" s="996"/>
      <c r="CKB89" s="996"/>
      <c r="CKC89" s="996"/>
      <c r="CKD89" s="996"/>
      <c r="CKE89" s="996"/>
      <c r="CKF89" s="996"/>
      <c r="CKG89" s="996"/>
      <c r="CKH89" s="996"/>
      <c r="CKI89" s="996"/>
      <c r="CKJ89" s="996"/>
      <c r="CKK89" s="996"/>
      <c r="CKL89" s="996"/>
      <c r="CKM89" s="996"/>
      <c r="CKN89" s="996"/>
      <c r="CKO89" s="996"/>
      <c r="CKP89" s="996"/>
      <c r="CKQ89" s="996"/>
      <c r="CKR89" s="996"/>
      <c r="CKS89" s="996"/>
      <c r="CKT89" s="996"/>
      <c r="CKU89" s="996"/>
      <c r="CKV89" s="996"/>
      <c r="CKW89" s="996"/>
      <c r="CKX89" s="996"/>
      <c r="CKY89" s="996"/>
      <c r="CKZ89" s="996"/>
      <c r="CLA89" s="996"/>
      <c r="CLB89" s="996"/>
      <c r="CLC89" s="996"/>
      <c r="CLD89" s="996"/>
      <c r="CLE89" s="996"/>
      <c r="CLF89" s="996"/>
      <c r="CLG89" s="996"/>
      <c r="CLH89" s="996"/>
      <c r="CLI89" s="996"/>
      <c r="CLJ89" s="996"/>
      <c r="CLK89" s="996"/>
      <c r="CLL89" s="996"/>
      <c r="CLM89" s="996"/>
      <c r="CLN89" s="996"/>
      <c r="CLO89" s="996"/>
      <c r="CLP89" s="996"/>
      <c r="CLQ89" s="996"/>
      <c r="CLR89" s="996"/>
      <c r="CLS89" s="996"/>
      <c r="CLT89" s="996"/>
      <c r="CLU89" s="996"/>
      <c r="CLV89" s="996"/>
      <c r="CLW89" s="996"/>
      <c r="CLX89" s="996"/>
      <c r="CLY89" s="996"/>
      <c r="CLZ89" s="996"/>
      <c r="CMA89" s="996"/>
      <c r="CMB89" s="996"/>
      <c r="CMC89" s="996"/>
      <c r="CMD89" s="996"/>
      <c r="CME89" s="996"/>
      <c r="CMF89" s="996"/>
      <c r="CMG89" s="996"/>
      <c r="CMH89" s="996"/>
      <c r="CMI89" s="996"/>
      <c r="CMJ89" s="996"/>
      <c r="CMK89" s="996"/>
      <c r="CML89" s="996"/>
      <c r="CMM89" s="996"/>
      <c r="CMN89" s="996"/>
      <c r="CMO89" s="996"/>
      <c r="CMP89" s="996"/>
      <c r="CMQ89" s="996"/>
      <c r="CMR89" s="996"/>
      <c r="CMS89" s="996"/>
      <c r="CMT89" s="996"/>
      <c r="CMU89" s="996"/>
      <c r="CMV89" s="996"/>
      <c r="CMW89" s="996"/>
      <c r="CMX89" s="996"/>
      <c r="CMY89" s="996"/>
      <c r="CMZ89" s="996"/>
      <c r="CNA89" s="996"/>
      <c r="CNB89" s="996"/>
      <c r="CNC89" s="996"/>
      <c r="CND89" s="996"/>
      <c r="CNE89" s="996"/>
      <c r="CNF89" s="996"/>
      <c r="CNG89" s="996"/>
      <c r="CNH89" s="996"/>
      <c r="CNI89" s="996"/>
      <c r="CNJ89" s="996"/>
      <c r="CNK89" s="996"/>
      <c r="CNL89" s="996"/>
      <c r="CNM89" s="996"/>
      <c r="CNN89" s="996"/>
      <c r="CNO89" s="996"/>
      <c r="CNP89" s="996"/>
      <c r="CNQ89" s="996"/>
      <c r="CNR89" s="996"/>
      <c r="CNS89" s="996"/>
      <c r="CNT89" s="996"/>
      <c r="CNU89" s="996"/>
      <c r="CNV89" s="996"/>
      <c r="CNW89" s="996"/>
      <c r="CNX89" s="996"/>
      <c r="CNY89" s="996"/>
      <c r="CNZ89" s="996"/>
      <c r="COA89" s="996"/>
      <c r="COB89" s="996"/>
      <c r="COC89" s="996"/>
      <c r="COD89" s="996"/>
      <c r="COE89" s="996"/>
      <c r="COF89" s="996"/>
      <c r="COG89" s="996"/>
      <c r="COH89" s="996"/>
      <c r="COI89" s="996"/>
      <c r="COJ89" s="996"/>
      <c r="COK89" s="996"/>
      <c r="COL89" s="996"/>
      <c r="COM89" s="996"/>
      <c r="CON89" s="996"/>
      <c r="COO89" s="996"/>
      <c r="COP89" s="996"/>
      <c r="COQ89" s="996"/>
      <c r="COR89" s="996"/>
      <c r="COS89" s="996"/>
      <c r="COT89" s="996"/>
      <c r="COU89" s="996"/>
      <c r="COV89" s="996"/>
      <c r="COW89" s="996"/>
      <c r="COX89" s="996"/>
      <c r="COY89" s="996"/>
      <c r="COZ89" s="996"/>
      <c r="CPA89" s="996"/>
      <c r="CPB89" s="996"/>
      <c r="CPC89" s="996"/>
      <c r="CPD89" s="996"/>
      <c r="CPE89" s="996"/>
      <c r="CPF89" s="996"/>
      <c r="CPG89" s="996"/>
      <c r="CPH89" s="996"/>
      <c r="CPI89" s="996"/>
      <c r="CPJ89" s="996"/>
      <c r="CPK89" s="996"/>
      <c r="CPL89" s="996"/>
      <c r="CPM89" s="996"/>
      <c r="CPN89" s="996"/>
      <c r="CPO89" s="996"/>
      <c r="CPP89" s="996"/>
      <c r="CPQ89" s="996"/>
      <c r="CPR89" s="996"/>
      <c r="CPS89" s="996"/>
      <c r="CPT89" s="996"/>
      <c r="CPU89" s="996"/>
      <c r="CPV89" s="996"/>
      <c r="CPW89" s="996"/>
      <c r="CPX89" s="996"/>
      <c r="CPY89" s="996"/>
      <c r="CPZ89" s="996"/>
      <c r="CQA89" s="996"/>
      <c r="CQB89" s="996"/>
      <c r="CQC89" s="996"/>
      <c r="CQD89" s="996"/>
      <c r="CQE89" s="996"/>
      <c r="CQF89" s="996"/>
      <c r="CQG89" s="996"/>
      <c r="CQH89" s="996"/>
      <c r="CQI89" s="996"/>
      <c r="CQJ89" s="996"/>
      <c r="CQK89" s="996"/>
      <c r="CQL89" s="996"/>
      <c r="CQM89" s="996"/>
      <c r="CQN89" s="996"/>
      <c r="CQO89" s="996"/>
      <c r="CQP89" s="996"/>
      <c r="CQQ89" s="996"/>
      <c r="CQR89" s="996"/>
      <c r="CQS89" s="996"/>
      <c r="CQT89" s="996"/>
      <c r="CQU89" s="996"/>
      <c r="CQV89" s="996"/>
      <c r="CQW89" s="996"/>
      <c r="CQX89" s="996"/>
      <c r="CQY89" s="996"/>
      <c r="CQZ89" s="996"/>
      <c r="CRA89" s="996"/>
      <c r="CRB89" s="996"/>
      <c r="CRC89" s="996"/>
      <c r="CRD89" s="996"/>
      <c r="CRE89" s="996"/>
      <c r="CRF89" s="996"/>
      <c r="CRG89" s="996"/>
      <c r="CRH89" s="996"/>
      <c r="CRI89" s="996"/>
      <c r="CRJ89" s="996"/>
      <c r="CRK89" s="996"/>
      <c r="CRL89" s="996"/>
      <c r="CRM89" s="996"/>
      <c r="CRN89" s="996"/>
      <c r="CRO89" s="996"/>
      <c r="CRP89" s="996"/>
      <c r="CRQ89" s="996"/>
      <c r="CRR89" s="996"/>
      <c r="CRS89" s="996"/>
      <c r="CRT89" s="996"/>
      <c r="CRU89" s="996"/>
      <c r="CRV89" s="996"/>
      <c r="CRW89" s="996"/>
      <c r="CRX89" s="996"/>
      <c r="CRY89" s="996"/>
      <c r="CRZ89" s="996"/>
      <c r="CSA89" s="996"/>
      <c r="CSB89" s="996"/>
      <c r="CSC89" s="996"/>
      <c r="CSD89" s="996"/>
      <c r="CSE89" s="996"/>
      <c r="CSF89" s="996"/>
      <c r="CSG89" s="996"/>
      <c r="CSH89" s="996"/>
      <c r="CSI89" s="996"/>
      <c r="CSJ89" s="996"/>
      <c r="CSK89" s="996"/>
      <c r="CSL89" s="996"/>
      <c r="CSM89" s="996"/>
      <c r="CSN89" s="996"/>
      <c r="CSO89" s="996"/>
      <c r="CSP89" s="996"/>
      <c r="CSQ89" s="996"/>
      <c r="CSR89" s="996"/>
      <c r="CSS89" s="996"/>
      <c r="CST89" s="996"/>
      <c r="CSU89" s="996"/>
      <c r="CSV89" s="996"/>
      <c r="CSW89" s="996"/>
      <c r="CSX89" s="996"/>
      <c r="CSY89" s="996"/>
      <c r="CSZ89" s="996"/>
      <c r="CTA89" s="996"/>
      <c r="CTB89" s="996"/>
      <c r="CTC89" s="996"/>
      <c r="CTD89" s="996"/>
      <c r="CTE89" s="996"/>
      <c r="CTF89" s="996"/>
      <c r="CTG89" s="996"/>
      <c r="CTH89" s="996"/>
      <c r="CTI89" s="996"/>
      <c r="CTJ89" s="996"/>
      <c r="CTK89" s="996"/>
      <c r="CTL89" s="996"/>
      <c r="CTM89" s="996"/>
      <c r="CTN89" s="996"/>
      <c r="CTO89" s="996"/>
      <c r="CTP89" s="996"/>
      <c r="CTQ89" s="996"/>
      <c r="CTR89" s="996"/>
      <c r="CTS89" s="996"/>
      <c r="CTT89" s="996"/>
      <c r="CTU89" s="996"/>
      <c r="CTV89" s="996"/>
      <c r="CTW89" s="996"/>
      <c r="CTX89" s="996"/>
      <c r="CTY89" s="996"/>
      <c r="CTZ89" s="996"/>
      <c r="CUA89" s="996"/>
      <c r="CUB89" s="996"/>
      <c r="CUC89" s="996"/>
      <c r="CUD89" s="996"/>
      <c r="CUE89" s="996"/>
      <c r="CUF89" s="996"/>
      <c r="CUG89" s="996"/>
      <c r="CUH89" s="996"/>
      <c r="CUI89" s="996"/>
      <c r="CUJ89" s="996"/>
      <c r="CUK89" s="996"/>
      <c r="CUL89" s="996"/>
      <c r="CUM89" s="996"/>
      <c r="CUN89" s="996"/>
      <c r="CUO89" s="996"/>
      <c r="CUP89" s="996"/>
      <c r="CUQ89" s="996"/>
      <c r="CUR89" s="996"/>
      <c r="CUS89" s="996"/>
      <c r="CUT89" s="996"/>
      <c r="CUU89" s="996"/>
      <c r="CUV89" s="996"/>
      <c r="CUW89" s="996"/>
      <c r="CUX89" s="996"/>
      <c r="CUY89" s="996"/>
      <c r="CUZ89" s="996"/>
      <c r="CVA89" s="996"/>
      <c r="CVB89" s="996"/>
      <c r="CVC89" s="996"/>
      <c r="CVD89" s="996"/>
      <c r="CVE89" s="996"/>
      <c r="CVF89" s="996"/>
      <c r="CVG89" s="996"/>
      <c r="CVH89" s="996"/>
      <c r="CVI89" s="996"/>
      <c r="CVJ89" s="996"/>
      <c r="CVK89" s="996"/>
      <c r="CVL89" s="996"/>
      <c r="CVM89" s="996"/>
      <c r="CVN89" s="996"/>
      <c r="CVO89" s="996"/>
      <c r="CVP89" s="996"/>
      <c r="CVQ89" s="996"/>
      <c r="CVR89" s="996"/>
      <c r="CVS89" s="996"/>
      <c r="CVT89" s="996"/>
      <c r="CVU89" s="996"/>
      <c r="CVV89" s="996"/>
      <c r="CVW89" s="996"/>
      <c r="CVX89" s="996"/>
      <c r="CVY89" s="996"/>
      <c r="CVZ89" s="996"/>
      <c r="CWA89" s="996"/>
      <c r="CWB89" s="996"/>
      <c r="CWC89" s="996"/>
      <c r="CWD89" s="996"/>
      <c r="CWE89" s="996"/>
      <c r="CWF89" s="996"/>
      <c r="CWG89" s="996"/>
      <c r="CWH89" s="996"/>
      <c r="CWI89" s="996"/>
      <c r="CWJ89" s="996"/>
      <c r="CWK89" s="996"/>
      <c r="CWL89" s="996"/>
      <c r="CWM89" s="996"/>
      <c r="CWN89" s="996"/>
      <c r="CWO89" s="996"/>
      <c r="CWP89" s="996"/>
      <c r="CWQ89" s="996"/>
      <c r="CWR89" s="996"/>
      <c r="CWS89" s="996"/>
      <c r="CWT89" s="996"/>
      <c r="CWU89" s="996"/>
      <c r="CWV89" s="996"/>
      <c r="CWW89" s="996"/>
      <c r="CWX89" s="996"/>
      <c r="CWY89" s="996"/>
      <c r="CWZ89" s="996"/>
      <c r="CXA89" s="996"/>
      <c r="CXB89" s="996"/>
      <c r="CXC89" s="996"/>
      <c r="CXD89" s="996"/>
      <c r="CXE89" s="996"/>
      <c r="CXF89" s="996"/>
      <c r="CXG89" s="996"/>
      <c r="CXH89" s="996"/>
      <c r="CXI89" s="996"/>
      <c r="CXJ89" s="996"/>
      <c r="CXK89" s="996"/>
      <c r="CXL89" s="996"/>
      <c r="CXM89" s="996"/>
      <c r="CXN89" s="996"/>
      <c r="CXO89" s="996"/>
      <c r="CXP89" s="996"/>
      <c r="CXQ89" s="996"/>
      <c r="CXR89" s="996"/>
      <c r="CXS89" s="996"/>
      <c r="CXT89" s="996"/>
      <c r="CXU89" s="996"/>
      <c r="CXV89" s="996"/>
      <c r="CXW89" s="996"/>
      <c r="CXX89" s="996"/>
      <c r="CXY89" s="996"/>
      <c r="CXZ89" s="996"/>
      <c r="CYA89" s="996"/>
      <c r="CYB89" s="996"/>
      <c r="CYC89" s="996"/>
      <c r="CYD89" s="996"/>
      <c r="CYE89" s="996"/>
      <c r="CYF89" s="996"/>
      <c r="CYG89" s="996"/>
      <c r="CYH89" s="996"/>
      <c r="CYI89" s="996"/>
      <c r="CYJ89" s="996"/>
      <c r="CYK89" s="996"/>
      <c r="CYL89" s="996"/>
      <c r="CYM89" s="996"/>
      <c r="CYN89" s="996"/>
      <c r="CYO89" s="996"/>
      <c r="CYP89" s="996"/>
      <c r="CYQ89" s="996"/>
      <c r="CYR89" s="996"/>
      <c r="CYS89" s="996"/>
      <c r="CYT89" s="996"/>
      <c r="CYU89" s="996"/>
      <c r="CYV89" s="996"/>
      <c r="CYW89" s="996"/>
      <c r="CYX89" s="996"/>
      <c r="CYY89" s="996"/>
      <c r="CYZ89" s="996"/>
      <c r="CZA89" s="996"/>
      <c r="CZB89" s="996"/>
      <c r="CZC89" s="996"/>
      <c r="CZD89" s="996"/>
      <c r="CZE89" s="996"/>
      <c r="CZF89" s="996"/>
      <c r="CZG89" s="996"/>
      <c r="CZH89" s="996"/>
      <c r="CZI89" s="996"/>
      <c r="CZJ89" s="996"/>
      <c r="CZK89" s="996"/>
      <c r="CZL89" s="996"/>
      <c r="CZM89" s="996"/>
      <c r="CZN89" s="996"/>
      <c r="CZO89" s="996"/>
      <c r="CZP89" s="996"/>
      <c r="CZQ89" s="996"/>
      <c r="CZR89" s="996"/>
      <c r="CZS89" s="996"/>
      <c r="CZT89" s="996"/>
      <c r="CZU89" s="996"/>
      <c r="CZV89" s="996"/>
      <c r="CZW89" s="996"/>
      <c r="CZX89" s="996"/>
      <c r="CZY89" s="996"/>
      <c r="CZZ89" s="996"/>
      <c r="DAA89" s="996"/>
      <c r="DAB89" s="996"/>
      <c r="DAC89" s="996"/>
      <c r="DAD89" s="996"/>
      <c r="DAE89" s="996"/>
      <c r="DAF89" s="996"/>
      <c r="DAG89" s="996"/>
      <c r="DAH89" s="996"/>
      <c r="DAI89" s="996"/>
      <c r="DAJ89" s="996"/>
      <c r="DAK89" s="996"/>
      <c r="DAL89" s="996"/>
      <c r="DAM89" s="996"/>
      <c r="DAN89" s="996"/>
      <c r="DAO89" s="996"/>
      <c r="DAP89" s="996"/>
      <c r="DAQ89" s="996"/>
      <c r="DAR89" s="996"/>
      <c r="DAS89" s="996"/>
      <c r="DAT89" s="996"/>
      <c r="DAU89" s="996"/>
      <c r="DAV89" s="996"/>
      <c r="DAW89" s="996"/>
      <c r="DAX89" s="996"/>
      <c r="DAY89" s="996"/>
      <c r="DAZ89" s="996"/>
      <c r="DBA89" s="996"/>
      <c r="DBB89" s="996"/>
      <c r="DBC89" s="996"/>
      <c r="DBD89" s="996"/>
      <c r="DBE89" s="996"/>
      <c r="DBF89" s="996"/>
      <c r="DBG89" s="996"/>
      <c r="DBH89" s="996"/>
      <c r="DBI89" s="996"/>
      <c r="DBJ89" s="996"/>
      <c r="DBK89" s="996"/>
      <c r="DBL89" s="996"/>
      <c r="DBM89" s="996"/>
      <c r="DBN89" s="996"/>
      <c r="DBO89" s="996"/>
      <c r="DBP89" s="996"/>
      <c r="DBQ89" s="996"/>
      <c r="DBR89" s="996"/>
      <c r="DBS89" s="996"/>
      <c r="DBT89" s="996"/>
      <c r="DBU89" s="996"/>
      <c r="DBV89" s="996"/>
      <c r="DBW89" s="996"/>
      <c r="DBX89" s="996"/>
      <c r="DBY89" s="996"/>
      <c r="DBZ89" s="996"/>
      <c r="DCA89" s="996"/>
      <c r="DCB89" s="996"/>
      <c r="DCC89" s="996"/>
      <c r="DCD89" s="996"/>
      <c r="DCE89" s="996"/>
      <c r="DCF89" s="996"/>
      <c r="DCG89" s="996"/>
      <c r="DCH89" s="996"/>
      <c r="DCI89" s="996"/>
      <c r="DCJ89" s="996"/>
      <c r="DCK89" s="996"/>
      <c r="DCL89" s="996"/>
      <c r="DCM89" s="996"/>
      <c r="DCN89" s="996"/>
      <c r="DCO89" s="996"/>
      <c r="DCP89" s="996"/>
      <c r="DCQ89" s="996"/>
      <c r="DCR89" s="996"/>
      <c r="DCS89" s="996"/>
      <c r="DCT89" s="996"/>
      <c r="DCU89" s="996"/>
      <c r="DCV89" s="996"/>
      <c r="DCW89" s="996"/>
      <c r="DCX89" s="996"/>
      <c r="DCY89" s="996"/>
      <c r="DCZ89" s="996"/>
      <c r="DDA89" s="996"/>
      <c r="DDB89" s="996"/>
      <c r="DDC89" s="996"/>
      <c r="DDD89" s="996"/>
      <c r="DDE89" s="996"/>
      <c r="DDF89" s="996"/>
      <c r="DDG89" s="996"/>
      <c r="DDH89" s="996"/>
      <c r="DDI89" s="996"/>
      <c r="DDJ89" s="996"/>
      <c r="DDK89" s="996"/>
      <c r="DDL89" s="996"/>
      <c r="DDM89" s="996"/>
      <c r="DDN89" s="996"/>
      <c r="DDO89" s="996"/>
      <c r="DDP89" s="996"/>
      <c r="DDQ89" s="996"/>
      <c r="DDR89" s="996"/>
      <c r="DDS89" s="996"/>
      <c r="DDT89" s="996"/>
      <c r="DDU89" s="996"/>
      <c r="DDV89" s="996"/>
      <c r="DDW89" s="996"/>
      <c r="DDX89" s="996"/>
      <c r="DDY89" s="996"/>
      <c r="DDZ89" s="996"/>
      <c r="DEA89" s="996"/>
      <c r="DEB89" s="996"/>
      <c r="DEC89" s="996"/>
      <c r="DED89" s="996"/>
      <c r="DEE89" s="996"/>
      <c r="DEF89" s="996"/>
      <c r="DEG89" s="996"/>
      <c r="DEH89" s="996"/>
      <c r="DEI89" s="996"/>
      <c r="DEJ89" s="996"/>
      <c r="DEK89" s="996"/>
      <c r="DEL89" s="996"/>
      <c r="DEM89" s="996"/>
      <c r="DEN89" s="996"/>
      <c r="DEO89" s="996"/>
      <c r="DEP89" s="996"/>
      <c r="DEQ89" s="996"/>
      <c r="DER89" s="996"/>
      <c r="DES89" s="996"/>
      <c r="DET89" s="996"/>
      <c r="DEU89" s="996"/>
      <c r="DEV89" s="996"/>
      <c r="DEW89" s="996"/>
      <c r="DEX89" s="996"/>
      <c r="DEY89" s="996"/>
      <c r="DEZ89" s="996"/>
      <c r="DFA89" s="996"/>
      <c r="DFB89" s="996"/>
      <c r="DFC89" s="996"/>
      <c r="DFD89" s="996"/>
      <c r="DFE89" s="996"/>
      <c r="DFF89" s="996"/>
      <c r="DFG89" s="996"/>
      <c r="DFH89" s="996"/>
      <c r="DFI89" s="996"/>
      <c r="DFJ89" s="996"/>
      <c r="DFK89" s="996"/>
      <c r="DFL89" s="996"/>
      <c r="DFM89" s="996"/>
      <c r="DFN89" s="996"/>
      <c r="DFO89" s="996"/>
      <c r="DFP89" s="996"/>
      <c r="DFQ89" s="996"/>
      <c r="DFR89" s="996"/>
      <c r="DFS89" s="996"/>
      <c r="DFT89" s="996"/>
      <c r="DFU89" s="996"/>
      <c r="DFV89" s="996"/>
      <c r="DFW89" s="996"/>
      <c r="DFX89" s="996"/>
      <c r="DFY89" s="996"/>
      <c r="DFZ89" s="996"/>
      <c r="DGA89" s="996"/>
      <c r="DGB89" s="996"/>
      <c r="DGC89" s="996"/>
      <c r="DGD89" s="996"/>
      <c r="DGE89" s="996"/>
      <c r="DGF89" s="996"/>
      <c r="DGG89" s="996"/>
      <c r="DGH89" s="996"/>
      <c r="DGI89" s="996"/>
      <c r="DGJ89" s="996"/>
      <c r="DGK89" s="996"/>
      <c r="DGL89" s="996"/>
      <c r="DGM89" s="996"/>
      <c r="DGN89" s="996"/>
      <c r="DGO89" s="996"/>
      <c r="DGP89" s="996"/>
      <c r="DGQ89" s="996"/>
      <c r="DGR89" s="996"/>
      <c r="DGS89" s="996"/>
      <c r="DGT89" s="996"/>
      <c r="DGU89" s="996"/>
      <c r="DGV89" s="996"/>
      <c r="DGW89" s="996"/>
      <c r="DGX89" s="996"/>
      <c r="DGY89" s="996"/>
      <c r="DGZ89" s="996"/>
      <c r="DHA89" s="996"/>
      <c r="DHB89" s="996"/>
      <c r="DHC89" s="996"/>
      <c r="DHD89" s="996"/>
      <c r="DHE89" s="996"/>
      <c r="DHF89" s="996"/>
      <c r="DHG89" s="996"/>
      <c r="DHH89" s="996"/>
      <c r="DHI89" s="996"/>
      <c r="DHJ89" s="996"/>
      <c r="DHK89" s="996"/>
      <c r="DHL89" s="996"/>
      <c r="DHM89" s="996"/>
      <c r="DHN89" s="996"/>
      <c r="DHO89" s="996"/>
      <c r="DHP89" s="996"/>
      <c r="DHQ89" s="996"/>
      <c r="DHR89" s="996"/>
      <c r="DHS89" s="996"/>
      <c r="DHT89" s="996"/>
      <c r="DHU89" s="996"/>
      <c r="DHV89" s="996"/>
      <c r="DHW89" s="996"/>
      <c r="DHX89" s="996"/>
      <c r="DHY89" s="996"/>
      <c r="DHZ89" s="996"/>
      <c r="DIA89" s="996"/>
      <c r="DIB89" s="996"/>
      <c r="DIC89" s="996"/>
      <c r="DID89" s="996"/>
      <c r="DIE89" s="996"/>
      <c r="DIF89" s="996"/>
      <c r="DIG89" s="996"/>
      <c r="DIH89" s="996"/>
      <c r="DII89" s="996"/>
      <c r="DIJ89" s="996"/>
      <c r="DIK89" s="996"/>
      <c r="DIL89" s="996"/>
      <c r="DIM89" s="996"/>
      <c r="DIN89" s="996"/>
      <c r="DIO89" s="996"/>
      <c r="DIP89" s="996"/>
      <c r="DIQ89" s="996"/>
      <c r="DIR89" s="996"/>
      <c r="DIS89" s="996"/>
      <c r="DIT89" s="996"/>
      <c r="DIU89" s="996"/>
      <c r="DIV89" s="996"/>
      <c r="DIW89" s="996"/>
      <c r="DIX89" s="996"/>
      <c r="DIY89" s="996"/>
      <c r="DIZ89" s="996"/>
      <c r="DJA89" s="996"/>
      <c r="DJB89" s="996"/>
      <c r="DJC89" s="996"/>
      <c r="DJD89" s="996"/>
      <c r="DJE89" s="996"/>
      <c r="DJF89" s="996"/>
      <c r="DJG89" s="996"/>
      <c r="DJH89" s="996"/>
      <c r="DJI89" s="996"/>
      <c r="DJJ89" s="996"/>
      <c r="DJK89" s="996"/>
      <c r="DJL89" s="996"/>
      <c r="DJM89" s="996"/>
      <c r="DJN89" s="996"/>
      <c r="DJO89" s="996"/>
      <c r="DJP89" s="996"/>
      <c r="DJQ89" s="996"/>
      <c r="DJR89" s="996"/>
      <c r="DJS89" s="996"/>
      <c r="DJT89" s="996"/>
      <c r="DJU89" s="996"/>
      <c r="DJV89" s="996"/>
      <c r="DJW89" s="996"/>
      <c r="DJX89" s="996"/>
      <c r="DJY89" s="996"/>
      <c r="DJZ89" s="996"/>
      <c r="DKA89" s="996"/>
      <c r="DKB89" s="996"/>
      <c r="DKC89" s="996"/>
      <c r="DKD89" s="996"/>
      <c r="DKE89" s="996"/>
      <c r="DKF89" s="996"/>
      <c r="DKG89" s="996"/>
      <c r="DKH89" s="996"/>
      <c r="DKI89" s="996"/>
      <c r="DKJ89" s="996"/>
      <c r="DKK89" s="996"/>
      <c r="DKL89" s="996"/>
      <c r="DKM89" s="996"/>
      <c r="DKN89" s="996"/>
      <c r="DKO89" s="996"/>
      <c r="DKP89" s="996"/>
      <c r="DKQ89" s="996"/>
      <c r="DKR89" s="996"/>
      <c r="DKS89" s="996"/>
      <c r="DKT89" s="996"/>
      <c r="DKU89" s="996"/>
      <c r="DKV89" s="996"/>
      <c r="DKW89" s="996"/>
      <c r="DKX89" s="996"/>
      <c r="DKY89" s="996"/>
      <c r="DKZ89" s="996"/>
      <c r="DLA89" s="996"/>
      <c r="DLB89" s="996"/>
      <c r="DLC89" s="996"/>
      <c r="DLD89" s="996"/>
      <c r="DLE89" s="996"/>
      <c r="DLF89" s="996"/>
      <c r="DLG89" s="996"/>
      <c r="DLH89" s="996"/>
      <c r="DLI89" s="996"/>
      <c r="DLJ89" s="996"/>
      <c r="DLK89" s="996"/>
      <c r="DLL89" s="996"/>
      <c r="DLM89" s="996"/>
      <c r="DLN89" s="996"/>
      <c r="DLO89" s="996"/>
      <c r="DLP89" s="996"/>
      <c r="DLQ89" s="996"/>
      <c r="DLR89" s="996"/>
      <c r="DLS89" s="996"/>
      <c r="DLT89" s="996"/>
      <c r="DLU89" s="996"/>
      <c r="DLV89" s="996"/>
      <c r="DLW89" s="996"/>
      <c r="DLX89" s="996"/>
      <c r="DLY89" s="996"/>
      <c r="DLZ89" s="996"/>
      <c r="DMA89" s="996"/>
      <c r="DMB89" s="996"/>
      <c r="DMC89" s="996"/>
      <c r="DMD89" s="996"/>
      <c r="DME89" s="996"/>
      <c r="DMF89" s="996"/>
      <c r="DMG89" s="996"/>
      <c r="DMH89" s="996"/>
      <c r="DMI89" s="996"/>
      <c r="DMJ89" s="996"/>
      <c r="DMK89" s="996"/>
      <c r="DML89" s="996"/>
      <c r="DMM89" s="996"/>
      <c r="DMN89" s="996"/>
      <c r="DMO89" s="996"/>
      <c r="DMP89" s="996"/>
      <c r="DMQ89" s="996"/>
      <c r="DMR89" s="996"/>
      <c r="DMS89" s="996"/>
      <c r="DMT89" s="996"/>
      <c r="DMU89" s="996"/>
      <c r="DMV89" s="996"/>
      <c r="DMW89" s="996"/>
      <c r="DMX89" s="996"/>
      <c r="DMY89" s="996"/>
      <c r="DMZ89" s="996"/>
      <c r="DNA89" s="996"/>
      <c r="DNB89" s="996"/>
      <c r="DNC89" s="996"/>
      <c r="DND89" s="996"/>
      <c r="DNE89" s="996"/>
      <c r="DNF89" s="996"/>
      <c r="DNG89" s="996"/>
      <c r="DNH89" s="996"/>
      <c r="DNI89" s="996"/>
      <c r="DNJ89" s="996"/>
      <c r="DNK89" s="996"/>
      <c r="DNL89" s="996"/>
      <c r="DNM89" s="996"/>
      <c r="DNN89" s="996"/>
      <c r="DNO89" s="996"/>
      <c r="DNP89" s="996"/>
      <c r="DNQ89" s="996"/>
      <c r="DNR89" s="996"/>
      <c r="DNS89" s="996"/>
      <c r="DNT89" s="996"/>
      <c r="DNU89" s="996"/>
      <c r="DNV89" s="996"/>
      <c r="DNW89" s="996"/>
      <c r="DNX89" s="996"/>
      <c r="DNY89" s="996"/>
      <c r="DNZ89" s="996"/>
      <c r="DOA89" s="996"/>
      <c r="DOB89" s="996"/>
      <c r="DOC89" s="996"/>
      <c r="DOD89" s="996"/>
      <c r="DOE89" s="996"/>
      <c r="DOF89" s="996"/>
      <c r="DOG89" s="996"/>
      <c r="DOH89" s="996"/>
      <c r="DOI89" s="996"/>
      <c r="DOJ89" s="996"/>
      <c r="DOK89" s="996"/>
      <c r="DOL89" s="996"/>
      <c r="DOM89" s="996"/>
      <c r="DON89" s="996"/>
      <c r="DOO89" s="996"/>
      <c r="DOP89" s="996"/>
      <c r="DOQ89" s="996"/>
      <c r="DOR89" s="996"/>
      <c r="DOS89" s="996"/>
      <c r="DOT89" s="996"/>
      <c r="DOU89" s="996"/>
      <c r="DOV89" s="996"/>
      <c r="DOW89" s="996"/>
      <c r="DOX89" s="996"/>
      <c r="DOY89" s="996"/>
      <c r="DOZ89" s="996"/>
      <c r="DPA89" s="996"/>
      <c r="DPB89" s="996"/>
      <c r="DPC89" s="996"/>
      <c r="DPD89" s="996"/>
      <c r="DPE89" s="996"/>
      <c r="DPF89" s="996"/>
      <c r="DPG89" s="996"/>
      <c r="DPH89" s="996"/>
      <c r="DPI89" s="996"/>
      <c r="DPJ89" s="996"/>
      <c r="DPK89" s="996"/>
      <c r="DPL89" s="996"/>
      <c r="DPM89" s="996"/>
      <c r="DPN89" s="996"/>
      <c r="DPO89" s="996"/>
      <c r="DPP89" s="996"/>
      <c r="DPQ89" s="996"/>
      <c r="DPR89" s="996"/>
      <c r="DPS89" s="996"/>
      <c r="DPT89" s="996"/>
      <c r="DPU89" s="996"/>
      <c r="DPV89" s="996"/>
      <c r="DPW89" s="996"/>
      <c r="DPX89" s="996"/>
      <c r="DPY89" s="996"/>
      <c r="DPZ89" s="996"/>
      <c r="DQA89" s="996"/>
      <c r="DQB89" s="996"/>
      <c r="DQC89" s="996"/>
      <c r="DQD89" s="996"/>
      <c r="DQE89" s="996"/>
      <c r="DQF89" s="996"/>
      <c r="DQG89" s="996"/>
      <c r="DQH89" s="996"/>
      <c r="DQI89" s="996"/>
      <c r="DQJ89" s="996"/>
      <c r="DQK89" s="996"/>
      <c r="DQL89" s="996"/>
      <c r="DQM89" s="996"/>
      <c r="DQN89" s="996"/>
      <c r="DQO89" s="996"/>
      <c r="DQP89" s="996"/>
      <c r="DQQ89" s="996"/>
      <c r="DQR89" s="996"/>
      <c r="DQS89" s="996"/>
      <c r="DQT89" s="996"/>
      <c r="DQU89" s="996"/>
      <c r="DQV89" s="996"/>
      <c r="DQW89" s="996"/>
      <c r="DQX89" s="996"/>
      <c r="DQY89" s="996"/>
      <c r="DQZ89" s="996"/>
      <c r="DRA89" s="996"/>
      <c r="DRB89" s="996"/>
      <c r="DRC89" s="996"/>
      <c r="DRD89" s="996"/>
      <c r="DRE89" s="996"/>
      <c r="DRF89" s="996"/>
      <c r="DRG89" s="996"/>
      <c r="DRH89" s="996"/>
      <c r="DRI89" s="996"/>
      <c r="DRJ89" s="996"/>
      <c r="DRK89" s="996"/>
      <c r="DRL89" s="996"/>
      <c r="DRM89" s="996"/>
      <c r="DRN89" s="996"/>
      <c r="DRO89" s="996"/>
      <c r="DRP89" s="996"/>
      <c r="DRQ89" s="996"/>
      <c r="DRR89" s="996"/>
      <c r="DRS89" s="996"/>
      <c r="DRT89" s="996"/>
      <c r="DRU89" s="996"/>
      <c r="DRV89" s="996"/>
      <c r="DRW89" s="996"/>
      <c r="DRX89" s="996"/>
      <c r="DRY89" s="996"/>
      <c r="DRZ89" s="996"/>
      <c r="DSA89" s="996"/>
      <c r="DSB89" s="996"/>
      <c r="DSC89" s="996"/>
      <c r="DSD89" s="996"/>
      <c r="DSE89" s="996"/>
      <c r="DSF89" s="996"/>
      <c r="DSG89" s="996"/>
      <c r="DSH89" s="996"/>
      <c r="DSI89" s="996"/>
      <c r="DSJ89" s="996"/>
      <c r="DSK89" s="996"/>
      <c r="DSL89" s="996"/>
      <c r="DSM89" s="996"/>
      <c r="DSN89" s="996"/>
      <c r="DSO89" s="996"/>
      <c r="DSP89" s="996"/>
      <c r="DSQ89" s="996"/>
      <c r="DSR89" s="996"/>
      <c r="DSS89" s="996"/>
      <c r="DST89" s="996"/>
      <c r="DSU89" s="996"/>
      <c r="DSV89" s="996"/>
      <c r="DSW89" s="996"/>
      <c r="DSX89" s="996"/>
      <c r="DSY89" s="996"/>
      <c r="DSZ89" s="996"/>
      <c r="DTA89" s="996"/>
      <c r="DTB89" s="996"/>
      <c r="DTC89" s="996"/>
      <c r="DTD89" s="996"/>
      <c r="DTE89" s="996"/>
      <c r="DTF89" s="996"/>
      <c r="DTG89" s="996"/>
      <c r="DTH89" s="996"/>
      <c r="DTI89" s="996"/>
      <c r="DTJ89" s="996"/>
      <c r="DTK89" s="996"/>
      <c r="DTL89" s="996"/>
      <c r="DTM89" s="996"/>
      <c r="DTN89" s="996"/>
      <c r="DTO89" s="996"/>
      <c r="DTP89" s="996"/>
      <c r="DTQ89" s="996"/>
      <c r="DTR89" s="996"/>
      <c r="DTS89" s="996"/>
      <c r="DTT89" s="996"/>
      <c r="DTU89" s="996"/>
      <c r="DTV89" s="996"/>
      <c r="DTW89" s="996"/>
      <c r="DTX89" s="996"/>
      <c r="DTY89" s="996"/>
      <c r="DTZ89" s="996"/>
      <c r="DUA89" s="996"/>
      <c r="DUB89" s="996"/>
      <c r="DUC89" s="996"/>
      <c r="DUD89" s="996"/>
      <c r="DUE89" s="996"/>
      <c r="DUF89" s="996"/>
      <c r="DUG89" s="996"/>
      <c r="DUH89" s="996"/>
      <c r="DUI89" s="996"/>
      <c r="DUJ89" s="996"/>
      <c r="DUK89" s="996"/>
      <c r="DUL89" s="996"/>
      <c r="DUM89" s="996"/>
      <c r="DUN89" s="996"/>
      <c r="DUO89" s="996"/>
      <c r="DUP89" s="996"/>
      <c r="DUQ89" s="996"/>
      <c r="DUR89" s="996"/>
      <c r="DUS89" s="996"/>
      <c r="DUT89" s="996"/>
      <c r="DUU89" s="996"/>
      <c r="DUV89" s="996"/>
      <c r="DUW89" s="996"/>
      <c r="DUX89" s="996"/>
      <c r="DUY89" s="996"/>
      <c r="DUZ89" s="996"/>
      <c r="DVA89" s="996"/>
      <c r="DVB89" s="996"/>
      <c r="DVC89" s="996"/>
      <c r="DVD89" s="996"/>
      <c r="DVE89" s="996"/>
      <c r="DVF89" s="996"/>
      <c r="DVG89" s="996"/>
      <c r="DVH89" s="996"/>
      <c r="DVI89" s="996"/>
      <c r="DVJ89" s="996"/>
      <c r="DVK89" s="996"/>
      <c r="DVL89" s="996"/>
      <c r="DVM89" s="996"/>
      <c r="DVN89" s="996"/>
      <c r="DVO89" s="996"/>
      <c r="DVP89" s="996"/>
      <c r="DVQ89" s="996"/>
      <c r="DVR89" s="996"/>
      <c r="DVS89" s="996"/>
      <c r="DVT89" s="996"/>
      <c r="DVU89" s="996"/>
      <c r="DVV89" s="996"/>
      <c r="DVW89" s="996"/>
      <c r="DVX89" s="996"/>
      <c r="DVY89" s="996"/>
      <c r="DVZ89" s="996"/>
      <c r="DWA89" s="996"/>
      <c r="DWB89" s="996"/>
      <c r="DWC89" s="996"/>
      <c r="DWD89" s="996"/>
      <c r="DWE89" s="996"/>
      <c r="DWF89" s="996"/>
      <c r="DWG89" s="996"/>
      <c r="DWH89" s="996"/>
      <c r="DWI89" s="996"/>
      <c r="DWJ89" s="996"/>
      <c r="DWK89" s="996"/>
      <c r="DWL89" s="996"/>
      <c r="DWM89" s="996"/>
      <c r="DWN89" s="996"/>
      <c r="DWO89" s="996"/>
      <c r="DWP89" s="996"/>
      <c r="DWQ89" s="996"/>
      <c r="DWR89" s="996"/>
      <c r="DWS89" s="996"/>
      <c r="DWT89" s="996"/>
      <c r="DWU89" s="996"/>
      <c r="DWV89" s="996"/>
      <c r="DWW89" s="996"/>
      <c r="DWX89" s="996"/>
      <c r="DWY89" s="996"/>
      <c r="DWZ89" s="996"/>
      <c r="DXA89" s="996"/>
      <c r="DXB89" s="996"/>
      <c r="DXC89" s="996"/>
      <c r="DXD89" s="996"/>
      <c r="DXE89" s="996"/>
      <c r="DXF89" s="996"/>
      <c r="DXG89" s="996"/>
      <c r="DXH89" s="996"/>
      <c r="DXI89" s="996"/>
      <c r="DXJ89" s="996"/>
      <c r="DXK89" s="996"/>
      <c r="DXL89" s="996"/>
      <c r="DXM89" s="996"/>
      <c r="DXN89" s="996"/>
      <c r="DXO89" s="996"/>
      <c r="DXP89" s="996"/>
      <c r="DXQ89" s="996"/>
      <c r="DXR89" s="996"/>
      <c r="DXS89" s="996"/>
      <c r="DXT89" s="996"/>
      <c r="DXU89" s="996"/>
      <c r="DXV89" s="996"/>
      <c r="DXW89" s="996"/>
      <c r="DXX89" s="996"/>
      <c r="DXY89" s="996"/>
      <c r="DXZ89" s="996"/>
      <c r="DYA89" s="996"/>
      <c r="DYB89" s="996"/>
      <c r="DYC89" s="996"/>
      <c r="DYD89" s="996"/>
      <c r="DYE89" s="996"/>
      <c r="DYF89" s="996"/>
      <c r="DYG89" s="996"/>
      <c r="DYH89" s="996"/>
      <c r="DYI89" s="996"/>
      <c r="DYJ89" s="996"/>
      <c r="DYK89" s="996"/>
      <c r="DYL89" s="996"/>
      <c r="DYM89" s="996"/>
      <c r="DYN89" s="996"/>
      <c r="DYO89" s="996"/>
      <c r="DYP89" s="996"/>
      <c r="DYQ89" s="996"/>
      <c r="DYR89" s="996"/>
      <c r="DYS89" s="996"/>
      <c r="DYT89" s="996"/>
      <c r="DYU89" s="996"/>
      <c r="DYV89" s="996"/>
      <c r="DYW89" s="996"/>
      <c r="DYX89" s="996"/>
      <c r="DYY89" s="996"/>
      <c r="DYZ89" s="996"/>
      <c r="DZA89" s="996"/>
      <c r="DZB89" s="996"/>
      <c r="DZC89" s="996"/>
      <c r="DZD89" s="996"/>
      <c r="DZE89" s="996"/>
      <c r="DZF89" s="996"/>
      <c r="DZG89" s="996"/>
      <c r="DZH89" s="996"/>
      <c r="DZI89" s="996"/>
      <c r="DZJ89" s="996"/>
      <c r="DZK89" s="996"/>
      <c r="DZL89" s="996"/>
      <c r="DZM89" s="996"/>
      <c r="DZN89" s="996"/>
      <c r="DZO89" s="996"/>
      <c r="DZP89" s="996"/>
      <c r="DZQ89" s="996"/>
      <c r="DZR89" s="996"/>
      <c r="DZS89" s="996"/>
      <c r="DZT89" s="996"/>
      <c r="DZU89" s="996"/>
      <c r="DZV89" s="996"/>
      <c r="DZW89" s="996"/>
      <c r="DZX89" s="996"/>
      <c r="DZY89" s="996"/>
      <c r="DZZ89" s="996"/>
      <c r="EAA89" s="996"/>
      <c r="EAB89" s="996"/>
      <c r="EAC89" s="996"/>
      <c r="EAD89" s="996"/>
      <c r="EAE89" s="996"/>
      <c r="EAF89" s="996"/>
      <c r="EAG89" s="996"/>
      <c r="EAH89" s="996"/>
      <c r="EAI89" s="996"/>
      <c r="EAJ89" s="996"/>
      <c r="EAK89" s="996"/>
      <c r="EAL89" s="996"/>
      <c r="EAM89" s="996"/>
      <c r="EAN89" s="996"/>
      <c r="EAO89" s="996"/>
      <c r="EAP89" s="996"/>
      <c r="EAQ89" s="996"/>
      <c r="EAR89" s="996"/>
      <c r="EAS89" s="996"/>
      <c r="EAT89" s="996"/>
      <c r="EAU89" s="996"/>
      <c r="EAV89" s="996"/>
      <c r="EAW89" s="996"/>
      <c r="EAX89" s="996"/>
      <c r="EAY89" s="996"/>
      <c r="EAZ89" s="996"/>
      <c r="EBA89" s="996"/>
      <c r="EBB89" s="996"/>
      <c r="EBC89" s="996"/>
      <c r="EBD89" s="996"/>
      <c r="EBE89" s="996"/>
      <c r="EBF89" s="996"/>
      <c r="EBG89" s="996"/>
      <c r="EBH89" s="996"/>
      <c r="EBI89" s="996"/>
      <c r="EBJ89" s="996"/>
      <c r="EBK89" s="996"/>
      <c r="EBL89" s="996"/>
      <c r="EBM89" s="996"/>
      <c r="EBN89" s="996"/>
      <c r="EBO89" s="996"/>
      <c r="EBP89" s="996"/>
      <c r="EBQ89" s="996"/>
      <c r="EBR89" s="996"/>
      <c r="EBS89" s="996"/>
      <c r="EBT89" s="996"/>
      <c r="EBU89" s="996"/>
      <c r="EBV89" s="996"/>
      <c r="EBW89" s="996"/>
      <c r="EBX89" s="996"/>
      <c r="EBY89" s="996"/>
      <c r="EBZ89" s="996"/>
      <c r="ECA89" s="996"/>
      <c r="ECB89" s="996"/>
      <c r="ECC89" s="996"/>
      <c r="ECD89" s="996"/>
      <c r="ECE89" s="996"/>
      <c r="ECF89" s="996"/>
      <c r="ECG89" s="996"/>
      <c r="ECH89" s="996"/>
      <c r="ECI89" s="996"/>
      <c r="ECJ89" s="996"/>
      <c r="ECK89" s="996"/>
      <c r="ECL89" s="996"/>
      <c r="ECM89" s="996"/>
      <c r="ECN89" s="996"/>
      <c r="ECO89" s="996"/>
      <c r="ECP89" s="996"/>
      <c r="ECQ89" s="996"/>
      <c r="ECR89" s="996"/>
      <c r="ECS89" s="996"/>
      <c r="ECT89" s="996"/>
      <c r="ECU89" s="996"/>
      <c r="ECV89" s="996"/>
      <c r="ECW89" s="996"/>
      <c r="ECX89" s="996"/>
      <c r="ECY89" s="996"/>
      <c r="ECZ89" s="996"/>
      <c r="EDA89" s="996"/>
      <c r="EDB89" s="996"/>
      <c r="EDC89" s="996"/>
      <c r="EDD89" s="996"/>
      <c r="EDE89" s="996"/>
      <c r="EDF89" s="996"/>
      <c r="EDG89" s="996"/>
      <c r="EDH89" s="996"/>
      <c r="EDI89" s="996"/>
      <c r="EDJ89" s="996"/>
      <c r="EDK89" s="996"/>
      <c r="EDL89" s="996"/>
      <c r="EDM89" s="996"/>
      <c r="EDN89" s="996"/>
      <c r="EDO89" s="996"/>
      <c r="EDP89" s="996"/>
      <c r="EDQ89" s="996"/>
      <c r="EDR89" s="996"/>
      <c r="EDS89" s="996"/>
      <c r="EDT89" s="996"/>
      <c r="EDU89" s="996"/>
      <c r="EDV89" s="996"/>
      <c r="EDW89" s="996"/>
      <c r="EDX89" s="996"/>
      <c r="EDY89" s="996"/>
      <c r="EDZ89" s="996"/>
      <c r="EEA89" s="996"/>
      <c r="EEB89" s="996"/>
      <c r="EEC89" s="996"/>
      <c r="EED89" s="996"/>
      <c r="EEE89" s="996"/>
      <c r="EEF89" s="996"/>
      <c r="EEG89" s="996"/>
      <c r="EEH89" s="996"/>
      <c r="EEI89" s="996"/>
      <c r="EEJ89" s="996"/>
      <c r="EEK89" s="996"/>
      <c r="EEL89" s="996"/>
      <c r="EEM89" s="996"/>
      <c r="EEN89" s="996"/>
      <c r="EEO89" s="996"/>
      <c r="EEP89" s="996"/>
      <c r="EEQ89" s="996"/>
      <c r="EER89" s="996"/>
      <c r="EES89" s="996"/>
      <c r="EET89" s="996"/>
      <c r="EEU89" s="996"/>
      <c r="EEV89" s="996"/>
      <c r="EEW89" s="996"/>
      <c r="EEX89" s="996"/>
      <c r="EEY89" s="996"/>
      <c r="EEZ89" s="996"/>
      <c r="EFA89" s="996"/>
      <c r="EFB89" s="996"/>
      <c r="EFC89" s="996"/>
      <c r="EFD89" s="996"/>
      <c r="EFE89" s="996"/>
      <c r="EFF89" s="996"/>
      <c r="EFG89" s="996"/>
      <c r="EFH89" s="996"/>
      <c r="EFI89" s="996"/>
      <c r="EFJ89" s="996"/>
      <c r="EFK89" s="996"/>
      <c r="EFL89" s="996"/>
      <c r="EFM89" s="996"/>
      <c r="EFN89" s="996"/>
      <c r="EFO89" s="996"/>
      <c r="EFP89" s="996"/>
      <c r="EFQ89" s="996"/>
      <c r="EFR89" s="996"/>
      <c r="EFS89" s="996"/>
      <c r="EFT89" s="996"/>
      <c r="EFU89" s="996"/>
      <c r="EFV89" s="996"/>
      <c r="EFW89" s="996"/>
      <c r="EFX89" s="996"/>
      <c r="EFY89" s="996"/>
      <c r="EFZ89" s="996"/>
      <c r="EGA89" s="996"/>
      <c r="EGB89" s="996"/>
      <c r="EGC89" s="996"/>
      <c r="EGD89" s="996"/>
      <c r="EGE89" s="996"/>
      <c r="EGF89" s="996"/>
      <c r="EGG89" s="996"/>
      <c r="EGH89" s="996"/>
      <c r="EGI89" s="996"/>
      <c r="EGJ89" s="996"/>
      <c r="EGK89" s="996"/>
      <c r="EGL89" s="996"/>
      <c r="EGM89" s="996"/>
      <c r="EGN89" s="996"/>
      <c r="EGO89" s="996"/>
      <c r="EGP89" s="996"/>
      <c r="EGQ89" s="996"/>
      <c r="EGR89" s="996"/>
      <c r="EGS89" s="996"/>
      <c r="EGT89" s="996"/>
      <c r="EGU89" s="996"/>
      <c r="EGV89" s="996"/>
      <c r="EGW89" s="996"/>
      <c r="EGX89" s="996"/>
      <c r="EGY89" s="996"/>
      <c r="EGZ89" s="996"/>
      <c r="EHA89" s="996"/>
      <c r="EHB89" s="996"/>
      <c r="EHC89" s="996"/>
      <c r="EHD89" s="996"/>
      <c r="EHE89" s="996"/>
      <c r="EHF89" s="996"/>
      <c r="EHG89" s="996"/>
      <c r="EHH89" s="996"/>
      <c r="EHI89" s="996"/>
      <c r="EHJ89" s="996"/>
      <c r="EHK89" s="996"/>
      <c r="EHL89" s="996"/>
      <c r="EHM89" s="996"/>
      <c r="EHN89" s="996"/>
      <c r="EHO89" s="996"/>
      <c r="EHP89" s="996"/>
      <c r="EHQ89" s="996"/>
      <c r="EHR89" s="996"/>
      <c r="EHS89" s="996"/>
      <c r="EHT89" s="996"/>
      <c r="EHU89" s="996"/>
      <c r="EHV89" s="996"/>
      <c r="EHW89" s="996"/>
      <c r="EHX89" s="996"/>
      <c r="EHY89" s="996"/>
      <c r="EHZ89" s="996"/>
      <c r="EIA89" s="996"/>
      <c r="EIB89" s="996"/>
      <c r="EIC89" s="996"/>
      <c r="EID89" s="996"/>
      <c r="EIE89" s="996"/>
      <c r="EIF89" s="996"/>
      <c r="EIG89" s="996"/>
      <c r="EIH89" s="996"/>
      <c r="EII89" s="996"/>
      <c r="EIJ89" s="996"/>
      <c r="EIK89" s="996"/>
      <c r="EIL89" s="996"/>
      <c r="EIM89" s="996"/>
      <c r="EIN89" s="996"/>
      <c r="EIO89" s="996"/>
      <c r="EIP89" s="996"/>
      <c r="EIQ89" s="996"/>
      <c r="EIR89" s="996"/>
      <c r="EIS89" s="996"/>
      <c r="EIT89" s="996"/>
      <c r="EIU89" s="996"/>
      <c r="EIV89" s="996"/>
      <c r="EIW89" s="996"/>
      <c r="EIX89" s="996"/>
      <c r="EIY89" s="996"/>
      <c r="EIZ89" s="996"/>
      <c r="EJA89" s="996"/>
      <c r="EJB89" s="996"/>
      <c r="EJC89" s="996"/>
      <c r="EJD89" s="996"/>
      <c r="EJE89" s="996"/>
      <c r="EJF89" s="996"/>
      <c r="EJG89" s="996"/>
      <c r="EJH89" s="996"/>
      <c r="EJI89" s="996"/>
      <c r="EJJ89" s="996"/>
      <c r="EJK89" s="996"/>
      <c r="EJL89" s="996"/>
      <c r="EJM89" s="996"/>
      <c r="EJN89" s="996"/>
      <c r="EJO89" s="996"/>
      <c r="EJP89" s="996"/>
      <c r="EJQ89" s="996"/>
      <c r="EJR89" s="996"/>
      <c r="EJS89" s="996"/>
      <c r="EJT89" s="996"/>
      <c r="EJU89" s="996"/>
      <c r="EJV89" s="996"/>
      <c r="EJW89" s="996"/>
      <c r="EJX89" s="996"/>
      <c r="EJY89" s="996"/>
      <c r="EJZ89" s="996"/>
      <c r="EKA89" s="996"/>
      <c r="EKB89" s="996"/>
      <c r="EKC89" s="996"/>
      <c r="EKD89" s="996"/>
      <c r="EKE89" s="996"/>
      <c r="EKF89" s="996"/>
      <c r="EKG89" s="996"/>
      <c r="EKH89" s="996"/>
      <c r="EKI89" s="996"/>
      <c r="EKJ89" s="996"/>
      <c r="EKK89" s="996"/>
      <c r="EKL89" s="996"/>
      <c r="EKM89" s="996"/>
      <c r="EKN89" s="996"/>
      <c r="EKO89" s="996"/>
      <c r="EKP89" s="996"/>
      <c r="EKQ89" s="996"/>
      <c r="EKR89" s="996"/>
      <c r="EKS89" s="996"/>
      <c r="EKT89" s="996"/>
      <c r="EKU89" s="996"/>
      <c r="EKV89" s="996"/>
      <c r="EKW89" s="996"/>
      <c r="EKX89" s="996"/>
      <c r="EKY89" s="996"/>
      <c r="EKZ89" s="996"/>
      <c r="ELA89" s="996"/>
      <c r="ELB89" s="996"/>
      <c r="ELC89" s="996"/>
      <c r="ELD89" s="996"/>
      <c r="ELE89" s="996"/>
      <c r="ELF89" s="996"/>
      <c r="ELG89" s="996"/>
      <c r="ELH89" s="996"/>
      <c r="ELI89" s="996"/>
      <c r="ELJ89" s="996"/>
      <c r="ELK89" s="996"/>
      <c r="ELL89" s="996"/>
      <c r="ELM89" s="996"/>
      <c r="ELN89" s="996"/>
      <c r="ELO89" s="996"/>
      <c r="ELP89" s="996"/>
      <c r="ELQ89" s="996"/>
      <c r="ELR89" s="996"/>
      <c r="ELS89" s="996"/>
      <c r="ELT89" s="996"/>
      <c r="ELU89" s="996"/>
      <c r="ELV89" s="996"/>
      <c r="ELW89" s="996"/>
      <c r="ELX89" s="996"/>
      <c r="ELY89" s="996"/>
      <c r="ELZ89" s="996"/>
      <c r="EMA89" s="996"/>
      <c r="EMB89" s="996"/>
      <c r="EMC89" s="996"/>
      <c r="EMD89" s="996"/>
      <c r="EME89" s="996"/>
      <c r="EMF89" s="996"/>
      <c r="EMG89" s="996"/>
      <c r="EMH89" s="996"/>
      <c r="EMI89" s="996"/>
      <c r="EMJ89" s="996"/>
      <c r="EMK89" s="996"/>
      <c r="EML89" s="996"/>
      <c r="EMM89" s="996"/>
      <c r="EMN89" s="996"/>
      <c r="EMO89" s="996"/>
      <c r="EMP89" s="996"/>
      <c r="EMQ89" s="996"/>
      <c r="EMR89" s="996"/>
      <c r="EMS89" s="996"/>
      <c r="EMT89" s="996"/>
      <c r="EMU89" s="996"/>
      <c r="EMV89" s="996"/>
      <c r="EMW89" s="996"/>
      <c r="EMX89" s="996"/>
      <c r="EMY89" s="996"/>
      <c r="EMZ89" s="996"/>
      <c r="ENA89" s="996"/>
      <c r="ENB89" s="996"/>
      <c r="ENC89" s="996"/>
      <c r="END89" s="996"/>
      <c r="ENE89" s="996"/>
      <c r="ENF89" s="996"/>
      <c r="ENG89" s="996"/>
      <c r="ENH89" s="996"/>
      <c r="ENI89" s="996"/>
      <c r="ENJ89" s="996"/>
      <c r="ENK89" s="996"/>
      <c r="ENL89" s="996"/>
      <c r="ENM89" s="996"/>
      <c r="ENN89" s="996"/>
      <c r="ENO89" s="996"/>
      <c r="ENP89" s="996"/>
      <c r="ENQ89" s="996"/>
      <c r="ENR89" s="996"/>
      <c r="ENS89" s="996"/>
      <c r="ENT89" s="996"/>
      <c r="ENU89" s="996"/>
      <c r="ENV89" s="996"/>
      <c r="ENW89" s="996"/>
      <c r="ENX89" s="996"/>
      <c r="ENY89" s="996"/>
      <c r="ENZ89" s="996"/>
      <c r="EOA89" s="996"/>
      <c r="EOB89" s="996"/>
      <c r="EOC89" s="996"/>
      <c r="EOD89" s="996"/>
      <c r="EOE89" s="996"/>
      <c r="EOF89" s="996"/>
      <c r="EOG89" s="996"/>
      <c r="EOH89" s="996"/>
      <c r="EOI89" s="996"/>
      <c r="EOJ89" s="996"/>
      <c r="EOK89" s="996"/>
      <c r="EOL89" s="996"/>
      <c r="EOM89" s="996"/>
      <c r="EON89" s="996"/>
      <c r="EOO89" s="996"/>
      <c r="EOP89" s="996"/>
      <c r="EOQ89" s="996"/>
      <c r="EOR89" s="996"/>
      <c r="EOS89" s="996"/>
      <c r="EOT89" s="996"/>
      <c r="EOU89" s="996"/>
      <c r="EOV89" s="996"/>
      <c r="EOW89" s="996"/>
      <c r="EOX89" s="996"/>
      <c r="EOY89" s="996"/>
      <c r="EOZ89" s="996"/>
      <c r="EPA89" s="996"/>
      <c r="EPB89" s="996"/>
      <c r="EPC89" s="996"/>
      <c r="EPD89" s="996"/>
      <c r="EPE89" s="996"/>
      <c r="EPF89" s="996"/>
      <c r="EPG89" s="996"/>
      <c r="EPH89" s="996"/>
      <c r="EPI89" s="996"/>
      <c r="EPJ89" s="996"/>
      <c r="EPK89" s="996"/>
      <c r="EPL89" s="996"/>
      <c r="EPM89" s="996"/>
      <c r="EPN89" s="996"/>
      <c r="EPO89" s="996"/>
      <c r="EPP89" s="996"/>
      <c r="EPQ89" s="996"/>
      <c r="EPR89" s="996"/>
      <c r="EPS89" s="996"/>
      <c r="EPT89" s="996"/>
      <c r="EPU89" s="996"/>
      <c r="EPV89" s="996"/>
      <c r="EPW89" s="996"/>
      <c r="EPX89" s="996"/>
      <c r="EPY89" s="996"/>
      <c r="EPZ89" s="996"/>
      <c r="EQA89" s="996"/>
      <c r="EQB89" s="996"/>
      <c r="EQC89" s="996"/>
      <c r="EQD89" s="996"/>
      <c r="EQE89" s="996"/>
      <c r="EQF89" s="996"/>
      <c r="EQG89" s="996"/>
      <c r="EQH89" s="996"/>
      <c r="EQI89" s="996"/>
      <c r="EQJ89" s="996"/>
      <c r="EQK89" s="996"/>
      <c r="EQL89" s="996"/>
      <c r="EQM89" s="996"/>
      <c r="EQN89" s="996"/>
      <c r="EQO89" s="996"/>
      <c r="EQP89" s="996"/>
      <c r="EQQ89" s="996"/>
      <c r="EQR89" s="996"/>
      <c r="EQS89" s="996"/>
      <c r="EQT89" s="996"/>
      <c r="EQU89" s="996"/>
      <c r="EQV89" s="996"/>
      <c r="EQW89" s="996"/>
      <c r="EQX89" s="996"/>
      <c r="EQY89" s="996"/>
      <c r="EQZ89" s="996"/>
      <c r="ERA89" s="996"/>
      <c r="ERB89" s="996"/>
      <c r="ERC89" s="996"/>
      <c r="ERD89" s="996"/>
      <c r="ERE89" s="996"/>
      <c r="ERF89" s="996"/>
      <c r="ERG89" s="996"/>
      <c r="ERH89" s="996"/>
      <c r="ERI89" s="996"/>
      <c r="ERJ89" s="996"/>
      <c r="ERK89" s="996"/>
      <c r="ERL89" s="996"/>
      <c r="ERM89" s="996"/>
      <c r="ERN89" s="996"/>
      <c r="ERO89" s="996"/>
      <c r="ERP89" s="996"/>
      <c r="ERQ89" s="996"/>
      <c r="ERR89" s="996"/>
      <c r="ERS89" s="996"/>
      <c r="ERT89" s="996"/>
      <c r="ERU89" s="996"/>
      <c r="ERV89" s="996"/>
      <c r="ERW89" s="996"/>
      <c r="ERX89" s="996"/>
      <c r="ERY89" s="996"/>
      <c r="ERZ89" s="996"/>
      <c r="ESA89" s="996"/>
      <c r="ESB89" s="996"/>
      <c r="ESC89" s="996"/>
      <c r="ESD89" s="996"/>
      <c r="ESE89" s="996"/>
      <c r="ESF89" s="996"/>
      <c r="ESG89" s="996"/>
      <c r="ESH89" s="996"/>
      <c r="ESI89" s="996"/>
      <c r="ESJ89" s="996"/>
      <c r="ESK89" s="996"/>
      <c r="ESL89" s="996"/>
      <c r="ESM89" s="996"/>
      <c r="ESN89" s="996"/>
      <c r="ESO89" s="996"/>
      <c r="ESP89" s="996"/>
      <c r="ESQ89" s="996"/>
      <c r="ESR89" s="996"/>
      <c r="ESS89" s="996"/>
      <c r="EST89" s="996"/>
      <c r="ESU89" s="996"/>
      <c r="ESV89" s="996"/>
      <c r="ESW89" s="996"/>
      <c r="ESX89" s="996"/>
      <c r="ESY89" s="996"/>
      <c r="ESZ89" s="996"/>
      <c r="ETA89" s="996"/>
      <c r="ETB89" s="996"/>
      <c r="ETC89" s="996"/>
      <c r="ETD89" s="996"/>
      <c r="ETE89" s="996"/>
      <c r="ETF89" s="996"/>
      <c r="ETG89" s="996"/>
      <c r="ETH89" s="996"/>
      <c r="ETI89" s="996"/>
      <c r="ETJ89" s="996"/>
      <c r="ETK89" s="996"/>
      <c r="ETL89" s="996"/>
      <c r="ETM89" s="996"/>
      <c r="ETN89" s="996"/>
      <c r="ETO89" s="996"/>
      <c r="ETP89" s="996"/>
      <c r="ETQ89" s="996"/>
      <c r="ETR89" s="996"/>
      <c r="ETS89" s="996"/>
      <c r="ETT89" s="996"/>
      <c r="ETU89" s="996"/>
      <c r="ETV89" s="996"/>
      <c r="ETW89" s="996"/>
      <c r="ETX89" s="996"/>
      <c r="ETY89" s="996"/>
      <c r="ETZ89" s="996"/>
      <c r="EUA89" s="996"/>
      <c r="EUB89" s="996"/>
      <c r="EUC89" s="996"/>
      <c r="EUD89" s="996"/>
      <c r="EUE89" s="996"/>
      <c r="EUF89" s="996"/>
      <c r="EUG89" s="996"/>
      <c r="EUH89" s="996"/>
      <c r="EUI89" s="996"/>
      <c r="EUJ89" s="996"/>
      <c r="EUK89" s="996"/>
      <c r="EUL89" s="996"/>
      <c r="EUM89" s="996"/>
      <c r="EUN89" s="996"/>
      <c r="EUO89" s="996"/>
      <c r="EUP89" s="996"/>
      <c r="EUQ89" s="996"/>
      <c r="EUR89" s="996"/>
      <c r="EUS89" s="996"/>
      <c r="EUT89" s="996"/>
      <c r="EUU89" s="996"/>
      <c r="EUV89" s="996"/>
      <c r="EUW89" s="996"/>
      <c r="EUX89" s="996"/>
      <c r="EUY89" s="996"/>
      <c r="EUZ89" s="996"/>
      <c r="EVA89" s="996"/>
      <c r="EVB89" s="996"/>
      <c r="EVC89" s="996"/>
      <c r="EVD89" s="996"/>
      <c r="EVE89" s="996"/>
      <c r="EVF89" s="996"/>
      <c r="EVG89" s="996"/>
      <c r="EVH89" s="996"/>
      <c r="EVI89" s="996"/>
      <c r="EVJ89" s="996"/>
      <c r="EVK89" s="996"/>
      <c r="EVL89" s="996"/>
      <c r="EVM89" s="996"/>
      <c r="EVN89" s="996"/>
      <c r="EVO89" s="996"/>
      <c r="EVP89" s="996"/>
      <c r="EVQ89" s="996"/>
      <c r="EVR89" s="996"/>
      <c r="EVS89" s="996"/>
      <c r="EVT89" s="996"/>
      <c r="EVU89" s="996"/>
      <c r="EVV89" s="996"/>
      <c r="EVW89" s="996"/>
      <c r="EVX89" s="996"/>
      <c r="EVY89" s="996"/>
      <c r="EVZ89" s="996"/>
      <c r="EWA89" s="996"/>
      <c r="EWB89" s="996"/>
      <c r="EWC89" s="996"/>
      <c r="EWD89" s="996"/>
      <c r="EWE89" s="996"/>
      <c r="EWF89" s="996"/>
      <c r="EWG89" s="996"/>
      <c r="EWH89" s="996"/>
      <c r="EWI89" s="996"/>
      <c r="EWJ89" s="996"/>
      <c r="EWK89" s="996"/>
      <c r="EWL89" s="996"/>
      <c r="EWM89" s="996"/>
      <c r="EWN89" s="996"/>
      <c r="EWO89" s="996"/>
      <c r="EWP89" s="996"/>
      <c r="EWQ89" s="996"/>
      <c r="EWR89" s="996"/>
      <c r="EWS89" s="996"/>
      <c r="EWT89" s="996"/>
      <c r="EWU89" s="996"/>
      <c r="EWV89" s="996"/>
      <c r="EWW89" s="996"/>
      <c r="EWX89" s="996"/>
      <c r="EWY89" s="996"/>
      <c r="EWZ89" s="996"/>
      <c r="EXA89" s="996"/>
      <c r="EXB89" s="996"/>
      <c r="EXC89" s="996"/>
      <c r="EXD89" s="996"/>
      <c r="EXE89" s="996"/>
      <c r="EXF89" s="996"/>
      <c r="EXG89" s="996"/>
      <c r="EXH89" s="996"/>
      <c r="EXI89" s="996"/>
      <c r="EXJ89" s="996"/>
      <c r="EXK89" s="996"/>
      <c r="EXL89" s="996"/>
      <c r="EXM89" s="996"/>
      <c r="EXN89" s="996"/>
      <c r="EXO89" s="996"/>
      <c r="EXP89" s="996"/>
      <c r="EXQ89" s="996"/>
      <c r="EXR89" s="996"/>
      <c r="EXS89" s="996"/>
      <c r="EXT89" s="996"/>
      <c r="EXU89" s="996"/>
      <c r="EXV89" s="996"/>
      <c r="EXW89" s="996"/>
      <c r="EXX89" s="996"/>
      <c r="EXY89" s="996"/>
      <c r="EXZ89" s="996"/>
      <c r="EYA89" s="996"/>
      <c r="EYB89" s="996"/>
      <c r="EYC89" s="996"/>
      <c r="EYD89" s="996"/>
      <c r="EYE89" s="996"/>
      <c r="EYF89" s="996"/>
      <c r="EYG89" s="996"/>
      <c r="EYH89" s="996"/>
      <c r="EYI89" s="996"/>
      <c r="EYJ89" s="996"/>
      <c r="EYK89" s="996"/>
      <c r="EYL89" s="996"/>
      <c r="EYM89" s="996"/>
      <c r="EYN89" s="996"/>
      <c r="EYO89" s="996"/>
      <c r="EYP89" s="996"/>
      <c r="EYQ89" s="996"/>
      <c r="EYR89" s="996"/>
      <c r="EYS89" s="996"/>
      <c r="EYT89" s="996"/>
      <c r="EYU89" s="996"/>
      <c r="EYV89" s="996"/>
      <c r="EYW89" s="996"/>
      <c r="EYX89" s="996"/>
      <c r="EYY89" s="996"/>
      <c r="EYZ89" s="996"/>
      <c r="EZA89" s="996"/>
      <c r="EZB89" s="996"/>
      <c r="EZC89" s="996"/>
      <c r="EZD89" s="996"/>
      <c r="EZE89" s="996"/>
      <c r="EZF89" s="996"/>
      <c r="EZG89" s="996"/>
      <c r="EZH89" s="996"/>
      <c r="EZI89" s="996"/>
      <c r="EZJ89" s="996"/>
      <c r="EZK89" s="996"/>
      <c r="EZL89" s="996"/>
      <c r="EZM89" s="996"/>
      <c r="EZN89" s="996"/>
      <c r="EZO89" s="996"/>
      <c r="EZP89" s="996"/>
      <c r="EZQ89" s="996"/>
      <c r="EZR89" s="996"/>
      <c r="EZS89" s="996"/>
      <c r="EZT89" s="996"/>
      <c r="EZU89" s="996"/>
      <c r="EZV89" s="996"/>
      <c r="EZW89" s="996"/>
      <c r="EZX89" s="996"/>
      <c r="EZY89" s="996"/>
      <c r="EZZ89" s="996"/>
      <c r="FAA89" s="996"/>
      <c r="FAB89" s="996"/>
      <c r="FAC89" s="996"/>
      <c r="FAD89" s="996"/>
      <c r="FAE89" s="996"/>
      <c r="FAF89" s="996"/>
      <c r="FAG89" s="996"/>
      <c r="FAH89" s="996"/>
      <c r="FAI89" s="996"/>
      <c r="FAJ89" s="996"/>
      <c r="FAK89" s="996"/>
      <c r="FAL89" s="996"/>
      <c r="FAM89" s="996"/>
      <c r="FAN89" s="996"/>
      <c r="FAO89" s="996"/>
      <c r="FAP89" s="996"/>
      <c r="FAQ89" s="996"/>
      <c r="FAR89" s="996"/>
      <c r="FAS89" s="996"/>
      <c r="FAT89" s="996"/>
      <c r="FAU89" s="996"/>
      <c r="FAV89" s="996"/>
      <c r="FAW89" s="996"/>
      <c r="FAX89" s="996"/>
      <c r="FAY89" s="996"/>
      <c r="FAZ89" s="996"/>
      <c r="FBA89" s="996"/>
      <c r="FBB89" s="996"/>
      <c r="FBC89" s="996"/>
      <c r="FBD89" s="996"/>
      <c r="FBE89" s="996"/>
      <c r="FBF89" s="996"/>
      <c r="FBG89" s="996"/>
      <c r="FBH89" s="996"/>
      <c r="FBI89" s="996"/>
      <c r="FBJ89" s="996"/>
      <c r="FBK89" s="996"/>
      <c r="FBL89" s="996"/>
      <c r="FBM89" s="996"/>
      <c r="FBN89" s="996"/>
      <c r="FBO89" s="996"/>
      <c r="FBP89" s="996"/>
      <c r="FBQ89" s="996"/>
      <c r="FBR89" s="996"/>
      <c r="FBS89" s="996"/>
      <c r="FBT89" s="996"/>
      <c r="FBU89" s="996"/>
      <c r="FBV89" s="996"/>
      <c r="FBW89" s="996"/>
      <c r="FBX89" s="996"/>
      <c r="FBY89" s="996"/>
      <c r="FBZ89" s="996"/>
      <c r="FCA89" s="996"/>
      <c r="FCB89" s="996"/>
      <c r="FCC89" s="996"/>
      <c r="FCD89" s="996"/>
      <c r="FCE89" s="996"/>
      <c r="FCF89" s="996"/>
      <c r="FCG89" s="996"/>
      <c r="FCH89" s="996"/>
      <c r="FCI89" s="996"/>
      <c r="FCJ89" s="996"/>
      <c r="FCK89" s="996"/>
      <c r="FCL89" s="996"/>
      <c r="FCM89" s="996"/>
      <c r="FCN89" s="996"/>
      <c r="FCO89" s="996"/>
      <c r="FCP89" s="996"/>
      <c r="FCQ89" s="996"/>
      <c r="FCR89" s="996"/>
      <c r="FCS89" s="996"/>
      <c r="FCT89" s="996"/>
      <c r="FCU89" s="996"/>
      <c r="FCV89" s="996"/>
      <c r="FCW89" s="996"/>
      <c r="FCX89" s="996"/>
      <c r="FCY89" s="996"/>
      <c r="FCZ89" s="996"/>
      <c r="FDA89" s="996"/>
      <c r="FDB89" s="996"/>
      <c r="FDC89" s="996"/>
      <c r="FDD89" s="996"/>
      <c r="FDE89" s="996"/>
      <c r="FDF89" s="996"/>
      <c r="FDG89" s="996"/>
      <c r="FDH89" s="996"/>
      <c r="FDI89" s="996"/>
      <c r="FDJ89" s="996"/>
      <c r="FDK89" s="996"/>
      <c r="FDL89" s="996"/>
      <c r="FDM89" s="996"/>
      <c r="FDN89" s="996"/>
      <c r="FDO89" s="996"/>
      <c r="FDP89" s="996"/>
      <c r="FDQ89" s="996"/>
      <c r="FDR89" s="996"/>
      <c r="FDS89" s="996"/>
      <c r="FDT89" s="996"/>
      <c r="FDU89" s="996"/>
      <c r="FDV89" s="996"/>
      <c r="FDW89" s="996"/>
      <c r="FDX89" s="996"/>
      <c r="FDY89" s="996"/>
      <c r="FDZ89" s="996"/>
      <c r="FEA89" s="996"/>
      <c r="FEB89" s="996"/>
      <c r="FEC89" s="996"/>
      <c r="FED89" s="996"/>
      <c r="FEE89" s="996"/>
      <c r="FEF89" s="996"/>
      <c r="FEG89" s="996"/>
      <c r="FEH89" s="996"/>
      <c r="FEI89" s="996"/>
      <c r="FEJ89" s="996"/>
      <c r="FEK89" s="996"/>
      <c r="FEL89" s="996"/>
      <c r="FEM89" s="996"/>
      <c r="FEN89" s="996"/>
      <c r="FEO89" s="996"/>
      <c r="FEP89" s="996"/>
      <c r="FEQ89" s="996"/>
      <c r="FER89" s="996"/>
      <c r="FES89" s="996"/>
      <c r="FET89" s="996"/>
      <c r="FEU89" s="996"/>
      <c r="FEV89" s="996"/>
      <c r="FEW89" s="996"/>
      <c r="FEX89" s="996"/>
      <c r="FEY89" s="996"/>
      <c r="FEZ89" s="996"/>
      <c r="FFA89" s="996"/>
      <c r="FFB89" s="996"/>
      <c r="FFC89" s="996"/>
      <c r="FFD89" s="996"/>
      <c r="FFE89" s="996"/>
      <c r="FFF89" s="996"/>
      <c r="FFG89" s="996"/>
      <c r="FFH89" s="996"/>
      <c r="FFI89" s="996"/>
      <c r="FFJ89" s="996"/>
      <c r="FFK89" s="996"/>
      <c r="FFL89" s="996"/>
      <c r="FFM89" s="996"/>
      <c r="FFN89" s="996"/>
      <c r="FFO89" s="996"/>
      <c r="FFP89" s="996"/>
      <c r="FFQ89" s="996"/>
      <c r="FFR89" s="996"/>
      <c r="FFS89" s="996"/>
      <c r="FFT89" s="996"/>
      <c r="FFU89" s="996"/>
      <c r="FFV89" s="996"/>
      <c r="FFW89" s="996"/>
      <c r="FFX89" s="996"/>
      <c r="FFY89" s="996"/>
      <c r="FFZ89" s="996"/>
      <c r="FGA89" s="996"/>
      <c r="FGB89" s="996"/>
      <c r="FGC89" s="996"/>
      <c r="FGD89" s="996"/>
      <c r="FGE89" s="996"/>
      <c r="FGF89" s="996"/>
      <c r="FGG89" s="996"/>
      <c r="FGH89" s="996"/>
      <c r="FGI89" s="996"/>
      <c r="FGJ89" s="996"/>
      <c r="FGK89" s="996"/>
      <c r="FGL89" s="996"/>
      <c r="FGM89" s="996"/>
      <c r="FGN89" s="996"/>
      <c r="FGO89" s="996"/>
      <c r="FGP89" s="996"/>
      <c r="FGQ89" s="996"/>
      <c r="FGR89" s="996"/>
      <c r="FGS89" s="996"/>
      <c r="FGT89" s="996"/>
      <c r="FGU89" s="996"/>
      <c r="FGV89" s="996"/>
      <c r="FGW89" s="996"/>
      <c r="FGX89" s="996"/>
      <c r="FGY89" s="996"/>
      <c r="FGZ89" s="996"/>
      <c r="FHA89" s="996"/>
      <c r="FHB89" s="996"/>
      <c r="FHC89" s="996"/>
      <c r="FHD89" s="996"/>
      <c r="FHE89" s="996"/>
      <c r="FHF89" s="996"/>
      <c r="FHG89" s="996"/>
      <c r="FHH89" s="996"/>
      <c r="FHI89" s="996"/>
      <c r="FHJ89" s="996"/>
      <c r="FHK89" s="996"/>
      <c r="FHL89" s="996"/>
      <c r="FHM89" s="996"/>
      <c r="FHN89" s="996"/>
      <c r="FHO89" s="996"/>
      <c r="FHP89" s="996"/>
      <c r="FHQ89" s="996"/>
      <c r="FHR89" s="996"/>
      <c r="FHS89" s="996"/>
      <c r="FHT89" s="996"/>
      <c r="FHU89" s="996"/>
      <c r="FHV89" s="996"/>
      <c r="FHW89" s="996"/>
      <c r="FHX89" s="996"/>
      <c r="FHY89" s="996"/>
      <c r="FHZ89" s="996"/>
      <c r="FIA89" s="996"/>
      <c r="FIB89" s="996"/>
      <c r="FIC89" s="996"/>
      <c r="FID89" s="996"/>
      <c r="FIE89" s="996"/>
      <c r="FIF89" s="996"/>
      <c r="FIG89" s="996"/>
      <c r="FIH89" s="996"/>
      <c r="FII89" s="996"/>
      <c r="FIJ89" s="996"/>
      <c r="FIK89" s="996"/>
      <c r="FIL89" s="996"/>
      <c r="FIM89" s="996"/>
      <c r="FIN89" s="996"/>
      <c r="FIO89" s="996"/>
      <c r="FIP89" s="996"/>
      <c r="FIQ89" s="996"/>
      <c r="FIR89" s="996"/>
      <c r="FIS89" s="996"/>
      <c r="FIT89" s="996"/>
      <c r="FIU89" s="996"/>
      <c r="FIV89" s="996"/>
      <c r="FIW89" s="996"/>
      <c r="FIX89" s="996"/>
      <c r="FIY89" s="996"/>
      <c r="FIZ89" s="996"/>
      <c r="FJA89" s="996"/>
      <c r="FJB89" s="996"/>
      <c r="FJC89" s="996"/>
      <c r="FJD89" s="996"/>
      <c r="FJE89" s="996"/>
      <c r="FJF89" s="996"/>
      <c r="FJG89" s="996"/>
      <c r="FJH89" s="996"/>
      <c r="FJI89" s="996"/>
      <c r="FJJ89" s="996"/>
      <c r="FJK89" s="996"/>
      <c r="FJL89" s="996"/>
      <c r="FJM89" s="996"/>
      <c r="FJN89" s="996"/>
      <c r="FJO89" s="996"/>
      <c r="FJP89" s="996"/>
      <c r="FJQ89" s="996"/>
      <c r="FJR89" s="996"/>
      <c r="FJS89" s="996"/>
      <c r="FJT89" s="996"/>
      <c r="FJU89" s="996"/>
      <c r="FJV89" s="996"/>
      <c r="FJW89" s="996"/>
      <c r="FJX89" s="996"/>
      <c r="FJY89" s="996"/>
      <c r="FJZ89" s="996"/>
      <c r="FKA89" s="996"/>
      <c r="FKB89" s="996"/>
      <c r="FKC89" s="996"/>
      <c r="FKD89" s="996"/>
      <c r="FKE89" s="996"/>
      <c r="FKF89" s="996"/>
      <c r="FKG89" s="996"/>
      <c r="FKH89" s="996"/>
      <c r="FKI89" s="996"/>
      <c r="FKJ89" s="996"/>
      <c r="FKK89" s="996"/>
      <c r="FKL89" s="996"/>
      <c r="FKM89" s="996"/>
      <c r="FKN89" s="996"/>
      <c r="FKO89" s="996"/>
      <c r="FKP89" s="996"/>
      <c r="FKQ89" s="996"/>
      <c r="FKR89" s="996"/>
      <c r="FKS89" s="996"/>
      <c r="FKT89" s="996"/>
      <c r="FKU89" s="996"/>
      <c r="FKV89" s="996"/>
      <c r="FKW89" s="996"/>
      <c r="FKX89" s="996"/>
      <c r="FKY89" s="996"/>
      <c r="FKZ89" s="996"/>
      <c r="FLA89" s="996"/>
      <c r="FLB89" s="996"/>
      <c r="FLC89" s="996"/>
      <c r="FLD89" s="996"/>
      <c r="FLE89" s="996"/>
      <c r="FLF89" s="996"/>
      <c r="FLG89" s="996"/>
      <c r="FLH89" s="996"/>
      <c r="FLI89" s="996"/>
      <c r="FLJ89" s="996"/>
      <c r="FLK89" s="996"/>
      <c r="FLL89" s="996"/>
      <c r="FLM89" s="996"/>
      <c r="FLN89" s="996"/>
      <c r="FLO89" s="996"/>
      <c r="FLP89" s="996"/>
      <c r="FLQ89" s="996"/>
      <c r="FLR89" s="996"/>
      <c r="FLS89" s="996"/>
      <c r="FLT89" s="996"/>
      <c r="FLU89" s="996"/>
      <c r="FLV89" s="996"/>
      <c r="FLW89" s="996"/>
      <c r="FLX89" s="996"/>
      <c r="FLY89" s="996"/>
      <c r="FLZ89" s="996"/>
      <c r="FMA89" s="996"/>
      <c r="FMB89" s="996"/>
      <c r="FMC89" s="996"/>
      <c r="FMD89" s="996"/>
      <c r="FME89" s="996"/>
      <c r="FMF89" s="996"/>
      <c r="FMG89" s="996"/>
      <c r="FMH89" s="996"/>
      <c r="FMI89" s="996"/>
      <c r="FMJ89" s="996"/>
      <c r="FMK89" s="996"/>
      <c r="FML89" s="996"/>
      <c r="FMM89" s="996"/>
      <c r="FMN89" s="996"/>
      <c r="FMO89" s="996"/>
      <c r="FMP89" s="996"/>
      <c r="FMQ89" s="996"/>
      <c r="FMR89" s="996"/>
      <c r="FMS89" s="996"/>
      <c r="FMT89" s="996"/>
      <c r="FMU89" s="996"/>
      <c r="FMV89" s="996"/>
      <c r="FMW89" s="996"/>
      <c r="FMX89" s="996"/>
      <c r="FMY89" s="996"/>
      <c r="FMZ89" s="996"/>
      <c r="FNA89" s="996"/>
      <c r="FNB89" s="996"/>
      <c r="FNC89" s="996"/>
      <c r="FND89" s="996"/>
      <c r="FNE89" s="996"/>
      <c r="FNF89" s="996"/>
      <c r="FNG89" s="996"/>
      <c r="FNH89" s="996"/>
      <c r="FNI89" s="996"/>
      <c r="FNJ89" s="996"/>
      <c r="FNK89" s="996"/>
      <c r="FNL89" s="996"/>
      <c r="FNM89" s="996"/>
      <c r="FNN89" s="996"/>
      <c r="FNO89" s="996"/>
      <c r="FNP89" s="996"/>
      <c r="FNQ89" s="996"/>
      <c r="FNR89" s="996"/>
      <c r="FNS89" s="996"/>
      <c r="FNT89" s="996"/>
      <c r="FNU89" s="996"/>
      <c r="FNV89" s="996"/>
      <c r="FNW89" s="996"/>
      <c r="FNX89" s="996"/>
      <c r="FNY89" s="996"/>
      <c r="FNZ89" s="996"/>
      <c r="FOA89" s="996"/>
      <c r="FOB89" s="996"/>
      <c r="FOC89" s="996"/>
      <c r="FOD89" s="996"/>
      <c r="FOE89" s="996"/>
      <c r="FOF89" s="996"/>
      <c r="FOG89" s="996"/>
      <c r="FOH89" s="996"/>
      <c r="FOI89" s="996"/>
      <c r="FOJ89" s="996"/>
      <c r="FOK89" s="996"/>
      <c r="FOL89" s="996"/>
      <c r="FOM89" s="996"/>
      <c r="FON89" s="996"/>
      <c r="FOO89" s="996"/>
      <c r="FOP89" s="996"/>
      <c r="FOQ89" s="996"/>
      <c r="FOR89" s="996"/>
      <c r="FOS89" s="996"/>
      <c r="FOT89" s="996"/>
      <c r="FOU89" s="996"/>
      <c r="FOV89" s="996"/>
      <c r="FOW89" s="996"/>
      <c r="FOX89" s="996"/>
      <c r="FOY89" s="996"/>
      <c r="FOZ89" s="996"/>
      <c r="FPA89" s="996"/>
      <c r="FPB89" s="996"/>
      <c r="FPC89" s="996"/>
      <c r="FPD89" s="996"/>
      <c r="FPE89" s="996"/>
      <c r="FPF89" s="996"/>
      <c r="FPG89" s="996"/>
      <c r="FPH89" s="996"/>
      <c r="FPI89" s="996"/>
      <c r="FPJ89" s="996"/>
      <c r="FPK89" s="996"/>
      <c r="FPL89" s="996"/>
      <c r="FPM89" s="996"/>
      <c r="FPN89" s="996"/>
      <c r="FPO89" s="996"/>
      <c r="FPP89" s="996"/>
      <c r="FPQ89" s="996"/>
      <c r="FPR89" s="996"/>
      <c r="FPS89" s="996"/>
      <c r="FPT89" s="996"/>
      <c r="FPU89" s="996"/>
      <c r="FPV89" s="996"/>
      <c r="FPW89" s="996"/>
      <c r="FPX89" s="996"/>
      <c r="FPY89" s="996"/>
      <c r="FPZ89" s="996"/>
      <c r="FQA89" s="996"/>
      <c r="FQB89" s="996"/>
      <c r="FQC89" s="996"/>
      <c r="FQD89" s="996"/>
      <c r="FQE89" s="996"/>
      <c r="FQF89" s="996"/>
      <c r="FQG89" s="996"/>
      <c r="FQH89" s="996"/>
      <c r="FQI89" s="996"/>
      <c r="FQJ89" s="996"/>
      <c r="FQK89" s="996"/>
      <c r="FQL89" s="996"/>
      <c r="FQM89" s="996"/>
      <c r="FQN89" s="996"/>
      <c r="FQO89" s="996"/>
      <c r="FQP89" s="996"/>
      <c r="FQQ89" s="996"/>
      <c r="FQR89" s="996"/>
      <c r="FQS89" s="996"/>
      <c r="FQT89" s="996"/>
      <c r="FQU89" s="996"/>
      <c r="FQV89" s="996"/>
      <c r="FQW89" s="996"/>
      <c r="FQX89" s="996"/>
      <c r="FQY89" s="996"/>
      <c r="FQZ89" s="996"/>
      <c r="FRA89" s="996"/>
      <c r="FRB89" s="996"/>
      <c r="FRC89" s="996"/>
      <c r="FRD89" s="996"/>
      <c r="FRE89" s="996"/>
      <c r="FRF89" s="996"/>
      <c r="FRG89" s="996"/>
      <c r="FRH89" s="996"/>
      <c r="FRI89" s="996"/>
      <c r="FRJ89" s="996"/>
      <c r="FRK89" s="996"/>
      <c r="FRL89" s="996"/>
      <c r="FRM89" s="996"/>
      <c r="FRN89" s="996"/>
      <c r="FRO89" s="996"/>
      <c r="FRP89" s="996"/>
      <c r="FRQ89" s="996"/>
      <c r="FRR89" s="996"/>
      <c r="FRS89" s="996"/>
      <c r="FRT89" s="996"/>
      <c r="FRU89" s="996"/>
      <c r="FRV89" s="996"/>
      <c r="FRW89" s="996"/>
      <c r="FRX89" s="996"/>
      <c r="FRY89" s="996"/>
      <c r="FRZ89" s="996"/>
      <c r="FSA89" s="996"/>
      <c r="FSB89" s="996"/>
      <c r="FSC89" s="996"/>
      <c r="FSD89" s="996"/>
      <c r="FSE89" s="996"/>
      <c r="FSF89" s="996"/>
      <c r="FSG89" s="996"/>
      <c r="FSH89" s="996"/>
      <c r="FSI89" s="996"/>
      <c r="FSJ89" s="996"/>
      <c r="FSK89" s="996"/>
      <c r="FSL89" s="996"/>
      <c r="FSM89" s="996"/>
      <c r="FSN89" s="996"/>
      <c r="FSO89" s="996"/>
      <c r="FSP89" s="996"/>
      <c r="FSQ89" s="996"/>
      <c r="FSR89" s="996"/>
      <c r="FSS89" s="996"/>
      <c r="FST89" s="996"/>
      <c r="FSU89" s="996"/>
      <c r="FSV89" s="996"/>
      <c r="FSW89" s="996"/>
      <c r="FSX89" s="996"/>
      <c r="FSY89" s="996"/>
      <c r="FSZ89" s="996"/>
      <c r="FTA89" s="996"/>
      <c r="FTB89" s="996"/>
      <c r="FTC89" s="996"/>
      <c r="FTD89" s="996"/>
      <c r="FTE89" s="996"/>
      <c r="FTF89" s="996"/>
      <c r="FTG89" s="996"/>
      <c r="FTH89" s="996"/>
      <c r="FTI89" s="996"/>
      <c r="FTJ89" s="996"/>
      <c r="FTK89" s="996"/>
      <c r="FTL89" s="996"/>
      <c r="FTM89" s="996"/>
      <c r="FTN89" s="996"/>
      <c r="FTO89" s="996"/>
      <c r="FTP89" s="996"/>
      <c r="FTQ89" s="996"/>
      <c r="FTR89" s="996"/>
      <c r="FTS89" s="996"/>
      <c r="FTT89" s="996"/>
      <c r="FTU89" s="996"/>
      <c r="FTV89" s="996"/>
      <c r="FTW89" s="996"/>
      <c r="FTX89" s="996"/>
      <c r="FTY89" s="996"/>
      <c r="FTZ89" s="996"/>
      <c r="FUA89" s="996"/>
      <c r="FUB89" s="996"/>
      <c r="FUC89" s="996"/>
      <c r="FUD89" s="996"/>
      <c r="FUE89" s="996"/>
      <c r="FUF89" s="996"/>
      <c r="FUG89" s="996"/>
      <c r="FUH89" s="996"/>
      <c r="FUI89" s="996"/>
      <c r="FUJ89" s="996"/>
      <c r="FUK89" s="996"/>
      <c r="FUL89" s="996"/>
      <c r="FUM89" s="996"/>
      <c r="FUN89" s="996"/>
      <c r="FUO89" s="996"/>
      <c r="FUP89" s="996"/>
      <c r="FUQ89" s="996"/>
      <c r="FUR89" s="996"/>
      <c r="FUS89" s="996"/>
      <c r="FUT89" s="996"/>
      <c r="FUU89" s="996"/>
      <c r="FUV89" s="996"/>
      <c r="FUW89" s="996"/>
      <c r="FUX89" s="996"/>
      <c r="FUY89" s="996"/>
      <c r="FUZ89" s="996"/>
      <c r="FVA89" s="996"/>
      <c r="FVB89" s="996"/>
      <c r="FVC89" s="996"/>
      <c r="FVD89" s="996"/>
      <c r="FVE89" s="996"/>
      <c r="FVF89" s="996"/>
      <c r="FVG89" s="996"/>
      <c r="FVH89" s="996"/>
      <c r="FVI89" s="996"/>
      <c r="FVJ89" s="996"/>
      <c r="FVK89" s="996"/>
      <c r="FVL89" s="996"/>
      <c r="FVM89" s="996"/>
      <c r="FVN89" s="996"/>
      <c r="FVO89" s="996"/>
      <c r="FVP89" s="996"/>
      <c r="FVQ89" s="996"/>
      <c r="FVR89" s="996"/>
      <c r="FVS89" s="996"/>
      <c r="FVT89" s="996"/>
      <c r="FVU89" s="996"/>
      <c r="FVV89" s="996"/>
      <c r="FVW89" s="996"/>
      <c r="FVX89" s="996"/>
      <c r="FVY89" s="996"/>
      <c r="FVZ89" s="996"/>
      <c r="FWA89" s="996"/>
      <c r="FWB89" s="996"/>
      <c r="FWC89" s="996"/>
      <c r="FWD89" s="996"/>
      <c r="FWE89" s="996"/>
      <c r="FWF89" s="996"/>
      <c r="FWG89" s="996"/>
      <c r="FWH89" s="996"/>
      <c r="FWI89" s="996"/>
      <c r="FWJ89" s="996"/>
      <c r="FWK89" s="996"/>
      <c r="FWL89" s="996"/>
      <c r="FWM89" s="996"/>
      <c r="FWN89" s="996"/>
      <c r="FWO89" s="996"/>
      <c r="FWP89" s="996"/>
      <c r="FWQ89" s="996"/>
      <c r="FWR89" s="996"/>
      <c r="FWS89" s="996"/>
      <c r="FWT89" s="996"/>
      <c r="FWU89" s="996"/>
      <c r="FWV89" s="996"/>
      <c r="FWW89" s="996"/>
      <c r="FWX89" s="996"/>
      <c r="FWY89" s="996"/>
      <c r="FWZ89" s="996"/>
      <c r="FXA89" s="996"/>
      <c r="FXB89" s="996"/>
      <c r="FXC89" s="996"/>
      <c r="FXD89" s="996"/>
      <c r="FXE89" s="996"/>
      <c r="FXF89" s="996"/>
      <c r="FXG89" s="996"/>
      <c r="FXH89" s="996"/>
      <c r="FXI89" s="996"/>
      <c r="FXJ89" s="996"/>
      <c r="FXK89" s="996"/>
      <c r="FXL89" s="996"/>
      <c r="FXM89" s="996"/>
      <c r="FXN89" s="996"/>
      <c r="FXO89" s="996"/>
      <c r="FXP89" s="996"/>
      <c r="FXQ89" s="996"/>
      <c r="FXR89" s="996"/>
      <c r="FXS89" s="996"/>
      <c r="FXT89" s="996"/>
      <c r="FXU89" s="996"/>
      <c r="FXV89" s="996"/>
      <c r="FXW89" s="996"/>
      <c r="FXX89" s="996"/>
      <c r="FXY89" s="996"/>
      <c r="FXZ89" s="996"/>
      <c r="FYA89" s="996"/>
      <c r="FYB89" s="996"/>
      <c r="FYC89" s="996"/>
      <c r="FYD89" s="996"/>
      <c r="FYE89" s="996"/>
      <c r="FYF89" s="996"/>
      <c r="FYG89" s="996"/>
      <c r="FYH89" s="996"/>
      <c r="FYI89" s="996"/>
      <c r="FYJ89" s="996"/>
      <c r="FYK89" s="996"/>
      <c r="FYL89" s="996"/>
      <c r="FYM89" s="996"/>
      <c r="FYN89" s="996"/>
      <c r="FYO89" s="996"/>
      <c r="FYP89" s="996"/>
      <c r="FYQ89" s="996"/>
      <c r="FYR89" s="996"/>
      <c r="FYS89" s="996"/>
      <c r="FYT89" s="996"/>
      <c r="FYU89" s="996"/>
      <c r="FYV89" s="996"/>
      <c r="FYW89" s="996"/>
      <c r="FYX89" s="996"/>
      <c r="FYY89" s="996"/>
      <c r="FYZ89" s="996"/>
      <c r="FZA89" s="996"/>
      <c r="FZB89" s="996"/>
      <c r="FZC89" s="996"/>
      <c r="FZD89" s="996"/>
      <c r="FZE89" s="996"/>
      <c r="FZF89" s="996"/>
      <c r="FZG89" s="996"/>
      <c r="FZH89" s="996"/>
      <c r="FZI89" s="996"/>
      <c r="FZJ89" s="996"/>
      <c r="FZK89" s="996"/>
      <c r="FZL89" s="996"/>
      <c r="FZM89" s="996"/>
      <c r="FZN89" s="996"/>
      <c r="FZO89" s="996"/>
      <c r="FZP89" s="996"/>
      <c r="FZQ89" s="996"/>
      <c r="FZR89" s="996"/>
      <c r="FZS89" s="996"/>
      <c r="FZT89" s="996"/>
      <c r="FZU89" s="996"/>
      <c r="FZV89" s="996"/>
      <c r="FZW89" s="996"/>
      <c r="FZX89" s="996"/>
      <c r="FZY89" s="996"/>
      <c r="FZZ89" s="996"/>
      <c r="GAA89" s="996"/>
      <c r="GAB89" s="996"/>
      <c r="GAC89" s="996"/>
      <c r="GAD89" s="996"/>
      <c r="GAE89" s="996"/>
      <c r="GAF89" s="996"/>
      <c r="GAG89" s="996"/>
      <c r="GAH89" s="996"/>
      <c r="GAI89" s="996"/>
      <c r="GAJ89" s="996"/>
      <c r="GAK89" s="996"/>
      <c r="GAL89" s="996"/>
      <c r="GAM89" s="996"/>
      <c r="GAN89" s="996"/>
      <c r="GAO89" s="996"/>
      <c r="GAP89" s="996"/>
      <c r="GAQ89" s="996"/>
      <c r="GAR89" s="996"/>
      <c r="GAS89" s="996"/>
      <c r="GAT89" s="996"/>
      <c r="GAU89" s="996"/>
      <c r="GAV89" s="996"/>
      <c r="GAW89" s="996"/>
      <c r="GAX89" s="996"/>
      <c r="GAY89" s="996"/>
      <c r="GAZ89" s="996"/>
      <c r="GBA89" s="996"/>
      <c r="GBB89" s="996"/>
      <c r="GBC89" s="996"/>
      <c r="GBD89" s="996"/>
      <c r="GBE89" s="996"/>
      <c r="GBF89" s="996"/>
      <c r="GBG89" s="996"/>
      <c r="GBH89" s="996"/>
      <c r="GBI89" s="996"/>
      <c r="GBJ89" s="996"/>
      <c r="GBK89" s="996"/>
      <c r="GBL89" s="996"/>
      <c r="GBM89" s="996"/>
      <c r="GBN89" s="996"/>
      <c r="GBO89" s="996"/>
      <c r="GBP89" s="996"/>
      <c r="GBQ89" s="996"/>
      <c r="GBR89" s="996"/>
      <c r="GBS89" s="996"/>
      <c r="GBT89" s="996"/>
      <c r="GBU89" s="996"/>
      <c r="GBV89" s="996"/>
      <c r="GBW89" s="996"/>
      <c r="GBX89" s="996"/>
      <c r="GBY89" s="996"/>
      <c r="GBZ89" s="996"/>
      <c r="GCA89" s="996"/>
      <c r="GCB89" s="996"/>
      <c r="GCC89" s="996"/>
      <c r="GCD89" s="996"/>
      <c r="GCE89" s="996"/>
      <c r="GCF89" s="996"/>
      <c r="GCG89" s="996"/>
      <c r="GCH89" s="996"/>
      <c r="GCI89" s="996"/>
      <c r="GCJ89" s="996"/>
      <c r="GCK89" s="996"/>
      <c r="GCL89" s="996"/>
      <c r="GCM89" s="996"/>
      <c r="GCN89" s="996"/>
      <c r="GCO89" s="996"/>
      <c r="GCP89" s="996"/>
      <c r="GCQ89" s="996"/>
      <c r="GCR89" s="996"/>
      <c r="GCS89" s="996"/>
      <c r="GCT89" s="996"/>
      <c r="GCU89" s="996"/>
      <c r="GCV89" s="996"/>
      <c r="GCW89" s="996"/>
      <c r="GCX89" s="996"/>
      <c r="GCY89" s="996"/>
      <c r="GCZ89" s="996"/>
      <c r="GDA89" s="996"/>
      <c r="GDB89" s="996"/>
      <c r="GDC89" s="996"/>
      <c r="GDD89" s="996"/>
      <c r="GDE89" s="996"/>
      <c r="GDF89" s="996"/>
      <c r="GDG89" s="996"/>
      <c r="GDH89" s="996"/>
      <c r="GDI89" s="996"/>
      <c r="GDJ89" s="996"/>
      <c r="GDK89" s="996"/>
      <c r="GDL89" s="996"/>
      <c r="GDM89" s="996"/>
      <c r="GDN89" s="996"/>
      <c r="GDO89" s="996"/>
      <c r="GDP89" s="996"/>
      <c r="GDQ89" s="996"/>
      <c r="GDR89" s="996"/>
      <c r="GDS89" s="996"/>
      <c r="GDT89" s="996"/>
      <c r="GDU89" s="996"/>
      <c r="GDV89" s="996"/>
      <c r="GDW89" s="996"/>
      <c r="GDX89" s="996"/>
      <c r="GDY89" s="996"/>
      <c r="GDZ89" s="996"/>
      <c r="GEA89" s="996"/>
      <c r="GEB89" s="996"/>
      <c r="GEC89" s="996"/>
      <c r="GED89" s="996"/>
      <c r="GEE89" s="996"/>
      <c r="GEF89" s="996"/>
      <c r="GEG89" s="996"/>
      <c r="GEH89" s="996"/>
      <c r="GEI89" s="996"/>
      <c r="GEJ89" s="996"/>
      <c r="GEK89" s="996"/>
      <c r="GEL89" s="996"/>
      <c r="GEM89" s="996"/>
      <c r="GEN89" s="996"/>
      <c r="GEO89" s="996"/>
      <c r="GEP89" s="996"/>
      <c r="GEQ89" s="996"/>
      <c r="GER89" s="996"/>
      <c r="GES89" s="996"/>
      <c r="GET89" s="996"/>
      <c r="GEU89" s="996"/>
      <c r="GEV89" s="996"/>
      <c r="GEW89" s="996"/>
      <c r="GEX89" s="996"/>
      <c r="GEY89" s="996"/>
      <c r="GEZ89" s="996"/>
      <c r="GFA89" s="996"/>
      <c r="GFB89" s="996"/>
      <c r="GFC89" s="996"/>
      <c r="GFD89" s="996"/>
      <c r="GFE89" s="996"/>
      <c r="GFF89" s="996"/>
      <c r="GFG89" s="996"/>
      <c r="GFH89" s="996"/>
      <c r="GFI89" s="996"/>
      <c r="GFJ89" s="996"/>
      <c r="GFK89" s="996"/>
      <c r="GFL89" s="996"/>
      <c r="GFM89" s="996"/>
      <c r="GFN89" s="996"/>
      <c r="GFO89" s="996"/>
      <c r="GFP89" s="996"/>
      <c r="GFQ89" s="996"/>
      <c r="GFR89" s="996"/>
      <c r="GFS89" s="996"/>
      <c r="GFT89" s="996"/>
      <c r="GFU89" s="996"/>
      <c r="GFV89" s="996"/>
      <c r="GFW89" s="996"/>
      <c r="GFX89" s="996"/>
      <c r="GFY89" s="996"/>
      <c r="GFZ89" s="996"/>
      <c r="GGA89" s="996"/>
      <c r="GGB89" s="996"/>
      <c r="GGC89" s="996"/>
      <c r="GGD89" s="996"/>
      <c r="GGE89" s="996"/>
      <c r="GGF89" s="996"/>
      <c r="GGG89" s="996"/>
      <c r="GGH89" s="996"/>
      <c r="GGI89" s="996"/>
      <c r="GGJ89" s="996"/>
      <c r="GGK89" s="996"/>
      <c r="GGL89" s="996"/>
      <c r="GGM89" s="996"/>
      <c r="GGN89" s="996"/>
      <c r="GGO89" s="996"/>
      <c r="GGP89" s="996"/>
      <c r="GGQ89" s="996"/>
      <c r="GGR89" s="996"/>
      <c r="GGS89" s="996"/>
      <c r="GGT89" s="996"/>
      <c r="GGU89" s="996"/>
      <c r="GGV89" s="996"/>
      <c r="GGW89" s="996"/>
      <c r="GGX89" s="996"/>
      <c r="GGY89" s="996"/>
      <c r="GGZ89" s="996"/>
      <c r="GHA89" s="996"/>
      <c r="GHB89" s="996"/>
      <c r="GHC89" s="996"/>
      <c r="GHD89" s="996"/>
      <c r="GHE89" s="996"/>
      <c r="GHF89" s="996"/>
      <c r="GHG89" s="996"/>
      <c r="GHH89" s="996"/>
      <c r="GHI89" s="996"/>
      <c r="GHJ89" s="996"/>
      <c r="GHK89" s="996"/>
      <c r="GHL89" s="996"/>
      <c r="GHM89" s="996"/>
      <c r="GHN89" s="996"/>
      <c r="GHO89" s="996"/>
      <c r="GHP89" s="996"/>
      <c r="GHQ89" s="996"/>
      <c r="GHR89" s="996"/>
      <c r="GHS89" s="996"/>
      <c r="GHT89" s="996"/>
      <c r="GHU89" s="996"/>
      <c r="GHV89" s="996"/>
      <c r="GHW89" s="996"/>
      <c r="GHX89" s="996"/>
      <c r="GHY89" s="996"/>
      <c r="GHZ89" s="996"/>
      <c r="GIA89" s="996"/>
      <c r="GIB89" s="996"/>
      <c r="GIC89" s="996"/>
      <c r="GID89" s="996"/>
      <c r="GIE89" s="996"/>
      <c r="GIF89" s="996"/>
      <c r="GIG89" s="996"/>
      <c r="GIH89" s="996"/>
      <c r="GII89" s="996"/>
      <c r="GIJ89" s="996"/>
      <c r="GIK89" s="996"/>
      <c r="GIL89" s="996"/>
      <c r="GIM89" s="996"/>
      <c r="GIN89" s="996"/>
      <c r="GIO89" s="996"/>
      <c r="GIP89" s="996"/>
      <c r="GIQ89" s="996"/>
      <c r="GIR89" s="996"/>
      <c r="GIS89" s="996"/>
      <c r="GIT89" s="996"/>
      <c r="GIU89" s="996"/>
      <c r="GIV89" s="996"/>
      <c r="GIW89" s="996"/>
      <c r="GIX89" s="996"/>
      <c r="GIY89" s="996"/>
      <c r="GIZ89" s="996"/>
      <c r="GJA89" s="996"/>
      <c r="GJB89" s="996"/>
      <c r="GJC89" s="996"/>
      <c r="GJD89" s="996"/>
      <c r="GJE89" s="996"/>
      <c r="GJF89" s="996"/>
      <c r="GJG89" s="996"/>
      <c r="GJH89" s="996"/>
      <c r="GJI89" s="996"/>
      <c r="GJJ89" s="996"/>
      <c r="GJK89" s="996"/>
      <c r="GJL89" s="996"/>
      <c r="GJM89" s="996"/>
      <c r="GJN89" s="996"/>
      <c r="GJO89" s="996"/>
      <c r="GJP89" s="996"/>
      <c r="GJQ89" s="996"/>
      <c r="GJR89" s="996"/>
      <c r="GJS89" s="996"/>
      <c r="GJT89" s="996"/>
      <c r="GJU89" s="996"/>
      <c r="GJV89" s="996"/>
      <c r="GJW89" s="996"/>
      <c r="GJX89" s="996"/>
      <c r="GJY89" s="996"/>
      <c r="GJZ89" s="996"/>
      <c r="GKA89" s="996"/>
      <c r="GKB89" s="996"/>
      <c r="GKC89" s="996"/>
      <c r="GKD89" s="996"/>
      <c r="GKE89" s="996"/>
      <c r="GKF89" s="996"/>
      <c r="GKG89" s="996"/>
      <c r="GKH89" s="996"/>
      <c r="GKI89" s="996"/>
      <c r="GKJ89" s="996"/>
      <c r="GKK89" s="996"/>
      <c r="GKL89" s="996"/>
      <c r="GKM89" s="996"/>
      <c r="GKN89" s="996"/>
      <c r="GKO89" s="996"/>
      <c r="GKP89" s="996"/>
      <c r="GKQ89" s="996"/>
      <c r="GKR89" s="996"/>
      <c r="GKS89" s="996"/>
      <c r="GKT89" s="996"/>
      <c r="GKU89" s="996"/>
      <c r="GKV89" s="996"/>
      <c r="GKW89" s="996"/>
      <c r="GKX89" s="996"/>
      <c r="GKY89" s="996"/>
      <c r="GKZ89" s="996"/>
      <c r="GLA89" s="996"/>
      <c r="GLB89" s="996"/>
      <c r="GLC89" s="996"/>
      <c r="GLD89" s="996"/>
      <c r="GLE89" s="996"/>
      <c r="GLF89" s="996"/>
      <c r="GLG89" s="996"/>
      <c r="GLH89" s="996"/>
      <c r="GLI89" s="996"/>
      <c r="GLJ89" s="996"/>
      <c r="GLK89" s="996"/>
      <c r="GLL89" s="996"/>
      <c r="GLM89" s="996"/>
      <c r="GLN89" s="996"/>
      <c r="GLO89" s="996"/>
      <c r="GLP89" s="996"/>
      <c r="GLQ89" s="996"/>
      <c r="GLR89" s="996"/>
      <c r="GLS89" s="996"/>
      <c r="GLT89" s="996"/>
      <c r="GLU89" s="996"/>
      <c r="GLV89" s="996"/>
      <c r="GLW89" s="996"/>
      <c r="GLX89" s="996"/>
      <c r="GLY89" s="996"/>
      <c r="GLZ89" s="996"/>
      <c r="GMA89" s="996"/>
      <c r="GMB89" s="996"/>
      <c r="GMC89" s="996"/>
      <c r="GMD89" s="996"/>
      <c r="GME89" s="996"/>
      <c r="GMF89" s="996"/>
      <c r="GMG89" s="996"/>
      <c r="GMH89" s="996"/>
      <c r="GMI89" s="996"/>
      <c r="GMJ89" s="996"/>
      <c r="GMK89" s="996"/>
      <c r="GML89" s="996"/>
      <c r="GMM89" s="996"/>
      <c r="GMN89" s="996"/>
      <c r="GMO89" s="996"/>
      <c r="GMP89" s="996"/>
      <c r="GMQ89" s="996"/>
      <c r="GMR89" s="996"/>
      <c r="GMS89" s="996"/>
      <c r="GMT89" s="996"/>
      <c r="GMU89" s="996"/>
      <c r="GMV89" s="996"/>
      <c r="GMW89" s="996"/>
      <c r="GMX89" s="996"/>
      <c r="GMY89" s="996"/>
      <c r="GMZ89" s="996"/>
      <c r="GNA89" s="996"/>
      <c r="GNB89" s="996"/>
      <c r="GNC89" s="996"/>
      <c r="GND89" s="996"/>
      <c r="GNE89" s="996"/>
      <c r="GNF89" s="996"/>
      <c r="GNG89" s="996"/>
      <c r="GNH89" s="996"/>
      <c r="GNI89" s="996"/>
      <c r="GNJ89" s="996"/>
      <c r="GNK89" s="996"/>
      <c r="GNL89" s="996"/>
      <c r="GNM89" s="996"/>
      <c r="GNN89" s="996"/>
      <c r="GNO89" s="996"/>
      <c r="GNP89" s="996"/>
      <c r="GNQ89" s="996"/>
      <c r="GNR89" s="996"/>
      <c r="GNS89" s="996"/>
      <c r="GNT89" s="996"/>
      <c r="GNU89" s="996"/>
      <c r="GNV89" s="996"/>
      <c r="GNW89" s="996"/>
      <c r="GNX89" s="996"/>
      <c r="GNY89" s="996"/>
      <c r="GNZ89" s="996"/>
      <c r="GOA89" s="996"/>
      <c r="GOB89" s="996"/>
      <c r="GOC89" s="996"/>
      <c r="GOD89" s="996"/>
      <c r="GOE89" s="996"/>
      <c r="GOF89" s="996"/>
      <c r="GOG89" s="996"/>
      <c r="GOH89" s="996"/>
      <c r="GOI89" s="996"/>
      <c r="GOJ89" s="996"/>
      <c r="GOK89" s="996"/>
      <c r="GOL89" s="996"/>
      <c r="GOM89" s="996"/>
      <c r="GON89" s="996"/>
      <c r="GOO89" s="996"/>
      <c r="GOP89" s="996"/>
      <c r="GOQ89" s="996"/>
      <c r="GOR89" s="996"/>
      <c r="GOS89" s="996"/>
      <c r="GOT89" s="996"/>
      <c r="GOU89" s="996"/>
      <c r="GOV89" s="996"/>
      <c r="GOW89" s="996"/>
      <c r="GOX89" s="996"/>
      <c r="GOY89" s="996"/>
      <c r="GOZ89" s="996"/>
      <c r="GPA89" s="996"/>
      <c r="GPB89" s="996"/>
      <c r="GPC89" s="996"/>
      <c r="GPD89" s="996"/>
      <c r="GPE89" s="996"/>
      <c r="GPF89" s="996"/>
      <c r="GPG89" s="996"/>
      <c r="GPH89" s="996"/>
      <c r="GPI89" s="996"/>
      <c r="GPJ89" s="996"/>
      <c r="GPK89" s="996"/>
      <c r="GPL89" s="996"/>
      <c r="GPM89" s="996"/>
      <c r="GPN89" s="996"/>
      <c r="GPO89" s="996"/>
      <c r="GPP89" s="996"/>
      <c r="GPQ89" s="996"/>
      <c r="GPR89" s="996"/>
      <c r="GPS89" s="996"/>
      <c r="GPT89" s="996"/>
      <c r="GPU89" s="996"/>
      <c r="GPV89" s="996"/>
      <c r="GPW89" s="996"/>
      <c r="GPX89" s="996"/>
      <c r="GPY89" s="996"/>
      <c r="GPZ89" s="996"/>
      <c r="GQA89" s="996"/>
      <c r="GQB89" s="996"/>
      <c r="GQC89" s="996"/>
      <c r="GQD89" s="996"/>
      <c r="GQE89" s="996"/>
      <c r="GQF89" s="996"/>
      <c r="GQG89" s="996"/>
      <c r="GQH89" s="996"/>
      <c r="GQI89" s="996"/>
      <c r="GQJ89" s="996"/>
      <c r="GQK89" s="996"/>
      <c r="GQL89" s="996"/>
      <c r="GQM89" s="996"/>
      <c r="GQN89" s="996"/>
      <c r="GQO89" s="996"/>
      <c r="GQP89" s="996"/>
      <c r="GQQ89" s="996"/>
      <c r="GQR89" s="996"/>
      <c r="GQS89" s="996"/>
      <c r="GQT89" s="996"/>
      <c r="GQU89" s="996"/>
      <c r="GQV89" s="996"/>
      <c r="GQW89" s="996"/>
      <c r="GQX89" s="996"/>
      <c r="GQY89" s="996"/>
      <c r="GQZ89" s="996"/>
      <c r="GRA89" s="996"/>
      <c r="GRB89" s="996"/>
      <c r="GRC89" s="996"/>
      <c r="GRD89" s="996"/>
      <c r="GRE89" s="996"/>
      <c r="GRF89" s="996"/>
      <c r="GRG89" s="996"/>
      <c r="GRH89" s="996"/>
      <c r="GRI89" s="996"/>
      <c r="GRJ89" s="996"/>
      <c r="GRK89" s="996"/>
      <c r="GRL89" s="996"/>
      <c r="GRM89" s="996"/>
      <c r="GRN89" s="996"/>
      <c r="GRO89" s="996"/>
      <c r="GRP89" s="996"/>
      <c r="GRQ89" s="996"/>
      <c r="GRR89" s="996"/>
      <c r="GRS89" s="996"/>
      <c r="GRT89" s="996"/>
      <c r="GRU89" s="996"/>
      <c r="GRV89" s="996"/>
      <c r="GRW89" s="996"/>
      <c r="GRX89" s="996"/>
      <c r="GRY89" s="996"/>
      <c r="GRZ89" s="996"/>
      <c r="GSA89" s="996"/>
      <c r="GSB89" s="996"/>
      <c r="GSC89" s="996"/>
      <c r="GSD89" s="996"/>
      <c r="GSE89" s="996"/>
      <c r="GSF89" s="996"/>
      <c r="GSG89" s="996"/>
      <c r="GSH89" s="996"/>
      <c r="GSI89" s="996"/>
      <c r="GSJ89" s="996"/>
      <c r="GSK89" s="996"/>
      <c r="GSL89" s="996"/>
      <c r="GSM89" s="996"/>
      <c r="GSN89" s="996"/>
      <c r="GSO89" s="996"/>
      <c r="GSP89" s="996"/>
      <c r="GSQ89" s="996"/>
      <c r="GSR89" s="996"/>
      <c r="GSS89" s="996"/>
      <c r="GST89" s="996"/>
      <c r="GSU89" s="996"/>
      <c r="GSV89" s="996"/>
      <c r="GSW89" s="996"/>
      <c r="GSX89" s="996"/>
      <c r="GSY89" s="996"/>
      <c r="GSZ89" s="996"/>
      <c r="GTA89" s="996"/>
      <c r="GTB89" s="996"/>
      <c r="GTC89" s="996"/>
      <c r="GTD89" s="996"/>
      <c r="GTE89" s="996"/>
      <c r="GTF89" s="996"/>
      <c r="GTG89" s="996"/>
      <c r="GTH89" s="996"/>
      <c r="GTI89" s="996"/>
      <c r="GTJ89" s="996"/>
      <c r="GTK89" s="996"/>
      <c r="GTL89" s="996"/>
      <c r="GTM89" s="996"/>
      <c r="GTN89" s="996"/>
      <c r="GTO89" s="996"/>
      <c r="GTP89" s="996"/>
      <c r="GTQ89" s="996"/>
      <c r="GTR89" s="996"/>
      <c r="GTS89" s="996"/>
      <c r="GTT89" s="996"/>
      <c r="GTU89" s="996"/>
      <c r="GTV89" s="996"/>
      <c r="GTW89" s="996"/>
      <c r="GTX89" s="996"/>
      <c r="GTY89" s="996"/>
      <c r="GTZ89" s="996"/>
      <c r="GUA89" s="996"/>
      <c r="GUB89" s="996"/>
      <c r="GUC89" s="996"/>
      <c r="GUD89" s="996"/>
      <c r="GUE89" s="996"/>
      <c r="GUF89" s="996"/>
      <c r="GUG89" s="996"/>
      <c r="GUH89" s="996"/>
      <c r="GUI89" s="996"/>
      <c r="GUJ89" s="996"/>
      <c r="GUK89" s="996"/>
      <c r="GUL89" s="996"/>
      <c r="GUM89" s="996"/>
      <c r="GUN89" s="996"/>
      <c r="GUO89" s="996"/>
      <c r="GUP89" s="996"/>
      <c r="GUQ89" s="996"/>
      <c r="GUR89" s="996"/>
      <c r="GUS89" s="996"/>
      <c r="GUT89" s="996"/>
      <c r="GUU89" s="996"/>
      <c r="GUV89" s="996"/>
      <c r="GUW89" s="996"/>
      <c r="GUX89" s="996"/>
      <c r="GUY89" s="996"/>
      <c r="GUZ89" s="996"/>
      <c r="GVA89" s="996"/>
      <c r="GVB89" s="996"/>
      <c r="GVC89" s="996"/>
      <c r="GVD89" s="996"/>
      <c r="GVE89" s="996"/>
      <c r="GVF89" s="996"/>
      <c r="GVG89" s="996"/>
      <c r="GVH89" s="996"/>
      <c r="GVI89" s="996"/>
      <c r="GVJ89" s="996"/>
      <c r="GVK89" s="996"/>
      <c r="GVL89" s="996"/>
      <c r="GVM89" s="996"/>
      <c r="GVN89" s="996"/>
      <c r="GVO89" s="996"/>
      <c r="GVP89" s="996"/>
      <c r="GVQ89" s="996"/>
      <c r="GVR89" s="996"/>
      <c r="GVS89" s="996"/>
      <c r="GVT89" s="996"/>
      <c r="GVU89" s="996"/>
      <c r="GVV89" s="996"/>
      <c r="GVW89" s="996"/>
      <c r="GVX89" s="996"/>
      <c r="GVY89" s="996"/>
      <c r="GVZ89" s="996"/>
      <c r="GWA89" s="996"/>
      <c r="GWB89" s="996"/>
      <c r="GWC89" s="996"/>
      <c r="GWD89" s="996"/>
      <c r="GWE89" s="996"/>
      <c r="GWF89" s="996"/>
      <c r="GWG89" s="996"/>
      <c r="GWH89" s="996"/>
      <c r="GWI89" s="996"/>
      <c r="GWJ89" s="996"/>
      <c r="GWK89" s="996"/>
      <c r="GWL89" s="996"/>
      <c r="GWM89" s="996"/>
      <c r="GWN89" s="996"/>
      <c r="GWO89" s="996"/>
      <c r="GWP89" s="996"/>
      <c r="GWQ89" s="996"/>
      <c r="GWR89" s="996"/>
      <c r="GWS89" s="996"/>
      <c r="GWT89" s="996"/>
      <c r="GWU89" s="996"/>
      <c r="GWV89" s="996"/>
      <c r="GWW89" s="996"/>
      <c r="GWX89" s="996"/>
      <c r="GWY89" s="996"/>
      <c r="GWZ89" s="996"/>
      <c r="GXA89" s="996"/>
      <c r="GXB89" s="996"/>
      <c r="GXC89" s="996"/>
      <c r="GXD89" s="996"/>
      <c r="GXE89" s="996"/>
      <c r="GXF89" s="996"/>
      <c r="GXG89" s="996"/>
      <c r="GXH89" s="996"/>
      <c r="GXI89" s="996"/>
      <c r="GXJ89" s="996"/>
      <c r="GXK89" s="996"/>
      <c r="GXL89" s="996"/>
      <c r="GXM89" s="996"/>
      <c r="GXN89" s="996"/>
      <c r="GXO89" s="996"/>
      <c r="GXP89" s="996"/>
      <c r="GXQ89" s="996"/>
      <c r="GXR89" s="996"/>
      <c r="GXS89" s="996"/>
      <c r="GXT89" s="996"/>
      <c r="GXU89" s="996"/>
      <c r="GXV89" s="996"/>
      <c r="GXW89" s="996"/>
      <c r="GXX89" s="996"/>
      <c r="GXY89" s="996"/>
      <c r="GXZ89" s="996"/>
      <c r="GYA89" s="996"/>
      <c r="GYB89" s="996"/>
      <c r="GYC89" s="996"/>
      <c r="GYD89" s="996"/>
      <c r="GYE89" s="996"/>
      <c r="GYF89" s="996"/>
      <c r="GYG89" s="996"/>
      <c r="GYH89" s="996"/>
      <c r="GYI89" s="996"/>
      <c r="GYJ89" s="996"/>
      <c r="GYK89" s="996"/>
      <c r="GYL89" s="996"/>
      <c r="GYM89" s="996"/>
      <c r="GYN89" s="996"/>
      <c r="GYO89" s="996"/>
      <c r="GYP89" s="996"/>
      <c r="GYQ89" s="996"/>
      <c r="GYR89" s="996"/>
      <c r="GYS89" s="996"/>
      <c r="GYT89" s="996"/>
      <c r="GYU89" s="996"/>
      <c r="GYV89" s="996"/>
      <c r="GYW89" s="996"/>
      <c r="GYX89" s="996"/>
      <c r="GYY89" s="996"/>
      <c r="GYZ89" s="996"/>
      <c r="GZA89" s="996"/>
      <c r="GZB89" s="996"/>
      <c r="GZC89" s="996"/>
      <c r="GZD89" s="996"/>
      <c r="GZE89" s="996"/>
      <c r="GZF89" s="996"/>
      <c r="GZG89" s="996"/>
      <c r="GZH89" s="996"/>
      <c r="GZI89" s="996"/>
      <c r="GZJ89" s="996"/>
      <c r="GZK89" s="996"/>
      <c r="GZL89" s="996"/>
      <c r="GZM89" s="996"/>
      <c r="GZN89" s="996"/>
      <c r="GZO89" s="996"/>
      <c r="GZP89" s="996"/>
      <c r="GZQ89" s="996"/>
      <c r="GZR89" s="996"/>
      <c r="GZS89" s="996"/>
      <c r="GZT89" s="996"/>
      <c r="GZU89" s="996"/>
      <c r="GZV89" s="996"/>
      <c r="GZW89" s="996"/>
      <c r="GZX89" s="996"/>
      <c r="GZY89" s="996"/>
      <c r="GZZ89" s="996"/>
      <c r="HAA89" s="996"/>
      <c r="HAB89" s="996"/>
      <c r="HAC89" s="996"/>
      <c r="HAD89" s="996"/>
      <c r="HAE89" s="996"/>
      <c r="HAF89" s="996"/>
      <c r="HAG89" s="996"/>
      <c r="HAH89" s="996"/>
      <c r="HAI89" s="996"/>
      <c r="HAJ89" s="996"/>
      <c r="HAK89" s="996"/>
      <c r="HAL89" s="996"/>
      <c r="HAM89" s="996"/>
      <c r="HAN89" s="996"/>
      <c r="HAO89" s="996"/>
      <c r="HAP89" s="996"/>
      <c r="HAQ89" s="996"/>
      <c r="HAR89" s="996"/>
      <c r="HAS89" s="996"/>
      <c r="HAT89" s="996"/>
      <c r="HAU89" s="996"/>
      <c r="HAV89" s="996"/>
      <c r="HAW89" s="996"/>
      <c r="HAX89" s="996"/>
      <c r="HAY89" s="996"/>
      <c r="HAZ89" s="996"/>
      <c r="HBA89" s="996"/>
      <c r="HBB89" s="996"/>
      <c r="HBC89" s="996"/>
      <c r="HBD89" s="996"/>
      <c r="HBE89" s="996"/>
      <c r="HBF89" s="996"/>
      <c r="HBG89" s="996"/>
      <c r="HBH89" s="996"/>
      <c r="HBI89" s="996"/>
      <c r="HBJ89" s="996"/>
      <c r="HBK89" s="996"/>
      <c r="HBL89" s="996"/>
      <c r="HBM89" s="996"/>
      <c r="HBN89" s="996"/>
      <c r="HBO89" s="996"/>
      <c r="HBP89" s="996"/>
      <c r="HBQ89" s="996"/>
      <c r="HBR89" s="996"/>
      <c r="HBS89" s="996"/>
      <c r="HBT89" s="996"/>
      <c r="HBU89" s="996"/>
      <c r="HBV89" s="996"/>
      <c r="HBW89" s="996"/>
      <c r="HBX89" s="996"/>
      <c r="HBY89" s="996"/>
      <c r="HBZ89" s="996"/>
      <c r="HCA89" s="996"/>
      <c r="HCB89" s="996"/>
      <c r="HCC89" s="996"/>
      <c r="HCD89" s="996"/>
      <c r="HCE89" s="996"/>
      <c r="HCF89" s="996"/>
      <c r="HCG89" s="996"/>
      <c r="HCH89" s="996"/>
      <c r="HCI89" s="996"/>
      <c r="HCJ89" s="996"/>
      <c r="HCK89" s="996"/>
      <c r="HCL89" s="996"/>
      <c r="HCM89" s="996"/>
      <c r="HCN89" s="996"/>
      <c r="HCO89" s="996"/>
      <c r="HCP89" s="996"/>
      <c r="HCQ89" s="996"/>
      <c r="HCR89" s="996"/>
      <c r="HCS89" s="996"/>
      <c r="HCT89" s="996"/>
      <c r="HCU89" s="996"/>
      <c r="HCV89" s="996"/>
      <c r="HCW89" s="996"/>
      <c r="HCX89" s="996"/>
      <c r="HCY89" s="996"/>
      <c r="HCZ89" s="996"/>
      <c r="HDA89" s="996"/>
      <c r="HDB89" s="996"/>
      <c r="HDC89" s="996"/>
      <c r="HDD89" s="996"/>
      <c r="HDE89" s="996"/>
      <c r="HDF89" s="996"/>
      <c r="HDG89" s="996"/>
      <c r="HDH89" s="996"/>
      <c r="HDI89" s="996"/>
      <c r="HDJ89" s="996"/>
      <c r="HDK89" s="996"/>
      <c r="HDL89" s="996"/>
      <c r="HDM89" s="996"/>
      <c r="HDN89" s="996"/>
      <c r="HDO89" s="996"/>
      <c r="HDP89" s="996"/>
      <c r="HDQ89" s="996"/>
      <c r="HDR89" s="996"/>
      <c r="HDS89" s="996"/>
      <c r="HDT89" s="996"/>
      <c r="HDU89" s="996"/>
      <c r="HDV89" s="996"/>
      <c r="HDW89" s="996"/>
      <c r="HDX89" s="996"/>
      <c r="HDY89" s="996"/>
      <c r="HDZ89" s="996"/>
      <c r="HEA89" s="996"/>
      <c r="HEB89" s="996"/>
      <c r="HEC89" s="996"/>
      <c r="HED89" s="996"/>
      <c r="HEE89" s="996"/>
      <c r="HEF89" s="996"/>
      <c r="HEG89" s="996"/>
      <c r="HEH89" s="996"/>
      <c r="HEI89" s="996"/>
      <c r="HEJ89" s="996"/>
      <c r="HEK89" s="996"/>
      <c r="HEL89" s="996"/>
      <c r="HEM89" s="996"/>
      <c r="HEN89" s="996"/>
      <c r="HEO89" s="996"/>
      <c r="HEP89" s="996"/>
      <c r="HEQ89" s="996"/>
      <c r="HER89" s="996"/>
      <c r="HES89" s="996"/>
      <c r="HET89" s="996"/>
      <c r="HEU89" s="996"/>
      <c r="HEV89" s="996"/>
      <c r="HEW89" s="996"/>
      <c r="HEX89" s="996"/>
      <c r="HEY89" s="996"/>
      <c r="HEZ89" s="996"/>
      <c r="HFA89" s="996"/>
      <c r="HFB89" s="996"/>
      <c r="HFC89" s="996"/>
      <c r="HFD89" s="996"/>
      <c r="HFE89" s="996"/>
      <c r="HFF89" s="996"/>
      <c r="HFG89" s="996"/>
      <c r="HFH89" s="996"/>
      <c r="HFI89" s="996"/>
      <c r="HFJ89" s="996"/>
      <c r="HFK89" s="996"/>
      <c r="HFL89" s="996"/>
      <c r="HFM89" s="996"/>
      <c r="HFN89" s="996"/>
      <c r="HFO89" s="996"/>
      <c r="HFP89" s="996"/>
      <c r="HFQ89" s="996"/>
      <c r="HFR89" s="996"/>
      <c r="HFS89" s="996"/>
      <c r="HFT89" s="996"/>
      <c r="HFU89" s="996"/>
      <c r="HFV89" s="996"/>
      <c r="HFW89" s="996"/>
      <c r="HFX89" s="996"/>
      <c r="HFY89" s="996"/>
      <c r="HFZ89" s="996"/>
      <c r="HGA89" s="996"/>
      <c r="HGB89" s="996"/>
      <c r="HGC89" s="996"/>
      <c r="HGD89" s="996"/>
      <c r="HGE89" s="996"/>
      <c r="HGF89" s="996"/>
      <c r="HGG89" s="996"/>
      <c r="HGH89" s="996"/>
      <c r="HGI89" s="996"/>
      <c r="HGJ89" s="996"/>
      <c r="HGK89" s="996"/>
      <c r="HGL89" s="996"/>
      <c r="HGM89" s="996"/>
      <c r="HGN89" s="996"/>
      <c r="HGO89" s="996"/>
      <c r="HGP89" s="996"/>
      <c r="HGQ89" s="996"/>
      <c r="HGR89" s="996"/>
      <c r="HGS89" s="996"/>
      <c r="HGT89" s="996"/>
      <c r="HGU89" s="996"/>
      <c r="HGV89" s="996"/>
      <c r="HGW89" s="996"/>
      <c r="HGX89" s="996"/>
      <c r="HGY89" s="996"/>
      <c r="HGZ89" s="996"/>
      <c r="HHA89" s="996"/>
      <c r="HHB89" s="996"/>
      <c r="HHC89" s="996"/>
      <c r="HHD89" s="996"/>
      <c r="HHE89" s="996"/>
      <c r="HHF89" s="996"/>
      <c r="HHG89" s="996"/>
      <c r="HHH89" s="996"/>
      <c r="HHI89" s="996"/>
      <c r="HHJ89" s="996"/>
      <c r="HHK89" s="996"/>
      <c r="HHL89" s="996"/>
      <c r="HHM89" s="996"/>
      <c r="HHN89" s="996"/>
      <c r="HHO89" s="996"/>
      <c r="HHP89" s="996"/>
      <c r="HHQ89" s="996"/>
      <c r="HHR89" s="996"/>
      <c r="HHS89" s="996"/>
      <c r="HHT89" s="996"/>
      <c r="HHU89" s="996"/>
      <c r="HHV89" s="996"/>
      <c r="HHW89" s="996"/>
      <c r="HHX89" s="996"/>
      <c r="HHY89" s="996"/>
      <c r="HHZ89" s="996"/>
      <c r="HIA89" s="996"/>
      <c r="HIB89" s="996"/>
      <c r="HIC89" s="996"/>
      <c r="HID89" s="996"/>
      <c r="HIE89" s="996"/>
      <c r="HIF89" s="996"/>
      <c r="HIG89" s="996"/>
      <c r="HIH89" s="996"/>
      <c r="HII89" s="996"/>
      <c r="HIJ89" s="996"/>
      <c r="HIK89" s="996"/>
      <c r="HIL89" s="996"/>
      <c r="HIM89" s="996"/>
      <c r="HIN89" s="996"/>
      <c r="HIO89" s="996"/>
      <c r="HIP89" s="996"/>
      <c r="HIQ89" s="996"/>
      <c r="HIR89" s="996"/>
      <c r="HIS89" s="996"/>
      <c r="HIT89" s="996"/>
      <c r="HIU89" s="996"/>
      <c r="HIV89" s="996"/>
      <c r="HIW89" s="996"/>
      <c r="HIX89" s="996"/>
      <c r="HIY89" s="996"/>
      <c r="HIZ89" s="996"/>
      <c r="HJA89" s="996"/>
      <c r="HJB89" s="996"/>
      <c r="HJC89" s="996"/>
      <c r="HJD89" s="996"/>
      <c r="HJE89" s="996"/>
      <c r="HJF89" s="996"/>
      <c r="HJG89" s="996"/>
      <c r="HJH89" s="996"/>
      <c r="HJI89" s="996"/>
      <c r="HJJ89" s="996"/>
      <c r="HJK89" s="996"/>
      <c r="HJL89" s="996"/>
      <c r="HJM89" s="996"/>
      <c r="HJN89" s="996"/>
      <c r="HJO89" s="996"/>
      <c r="HJP89" s="996"/>
      <c r="HJQ89" s="996"/>
      <c r="HJR89" s="996"/>
      <c r="HJS89" s="996"/>
      <c r="HJT89" s="996"/>
      <c r="HJU89" s="996"/>
      <c r="HJV89" s="996"/>
      <c r="HJW89" s="996"/>
      <c r="HJX89" s="996"/>
      <c r="HJY89" s="996"/>
      <c r="HJZ89" s="996"/>
      <c r="HKA89" s="996"/>
      <c r="HKB89" s="996"/>
      <c r="HKC89" s="996"/>
      <c r="HKD89" s="996"/>
      <c r="HKE89" s="996"/>
      <c r="HKF89" s="996"/>
      <c r="HKG89" s="996"/>
      <c r="HKH89" s="996"/>
      <c r="HKI89" s="996"/>
      <c r="HKJ89" s="996"/>
      <c r="HKK89" s="996"/>
      <c r="HKL89" s="996"/>
      <c r="HKM89" s="996"/>
      <c r="HKN89" s="996"/>
      <c r="HKO89" s="996"/>
      <c r="HKP89" s="996"/>
      <c r="HKQ89" s="996"/>
      <c r="HKR89" s="996"/>
      <c r="HKS89" s="996"/>
      <c r="HKT89" s="996"/>
      <c r="HKU89" s="996"/>
      <c r="HKV89" s="996"/>
      <c r="HKW89" s="996"/>
      <c r="HKX89" s="996"/>
      <c r="HKY89" s="996"/>
      <c r="HKZ89" s="996"/>
      <c r="HLA89" s="996"/>
      <c r="HLB89" s="996"/>
      <c r="HLC89" s="996"/>
      <c r="HLD89" s="996"/>
      <c r="HLE89" s="996"/>
      <c r="HLF89" s="996"/>
      <c r="HLG89" s="996"/>
      <c r="HLH89" s="996"/>
      <c r="HLI89" s="996"/>
      <c r="HLJ89" s="996"/>
      <c r="HLK89" s="996"/>
      <c r="HLL89" s="996"/>
      <c r="HLM89" s="996"/>
      <c r="HLN89" s="996"/>
      <c r="HLO89" s="996"/>
      <c r="HLP89" s="996"/>
      <c r="HLQ89" s="996"/>
      <c r="HLR89" s="996"/>
      <c r="HLS89" s="996"/>
      <c r="HLT89" s="996"/>
      <c r="HLU89" s="996"/>
      <c r="HLV89" s="996"/>
      <c r="HLW89" s="996"/>
      <c r="HLX89" s="996"/>
      <c r="HLY89" s="996"/>
      <c r="HLZ89" s="996"/>
      <c r="HMA89" s="996"/>
      <c r="HMB89" s="996"/>
      <c r="HMC89" s="996"/>
      <c r="HMD89" s="996"/>
      <c r="HME89" s="996"/>
      <c r="HMF89" s="996"/>
      <c r="HMG89" s="996"/>
      <c r="HMH89" s="996"/>
      <c r="HMI89" s="996"/>
      <c r="HMJ89" s="996"/>
      <c r="HMK89" s="996"/>
      <c r="HML89" s="996"/>
      <c r="HMM89" s="996"/>
      <c r="HMN89" s="996"/>
      <c r="HMO89" s="996"/>
      <c r="HMP89" s="996"/>
      <c r="HMQ89" s="996"/>
      <c r="HMR89" s="996"/>
      <c r="HMS89" s="996"/>
      <c r="HMT89" s="996"/>
      <c r="HMU89" s="996"/>
      <c r="HMV89" s="996"/>
      <c r="HMW89" s="996"/>
      <c r="HMX89" s="996"/>
      <c r="HMY89" s="996"/>
      <c r="HMZ89" s="996"/>
      <c r="HNA89" s="996"/>
      <c r="HNB89" s="996"/>
      <c r="HNC89" s="996"/>
      <c r="HND89" s="996"/>
      <c r="HNE89" s="996"/>
      <c r="HNF89" s="996"/>
      <c r="HNG89" s="996"/>
      <c r="HNH89" s="996"/>
      <c r="HNI89" s="996"/>
      <c r="HNJ89" s="996"/>
      <c r="HNK89" s="996"/>
      <c r="HNL89" s="996"/>
      <c r="HNM89" s="996"/>
      <c r="HNN89" s="996"/>
      <c r="HNO89" s="996"/>
      <c r="HNP89" s="996"/>
      <c r="HNQ89" s="996"/>
      <c r="HNR89" s="996"/>
      <c r="HNS89" s="996"/>
      <c r="HNT89" s="996"/>
      <c r="HNU89" s="996"/>
      <c r="HNV89" s="996"/>
      <c r="HNW89" s="996"/>
      <c r="HNX89" s="996"/>
      <c r="HNY89" s="996"/>
      <c r="HNZ89" s="996"/>
      <c r="HOA89" s="996"/>
      <c r="HOB89" s="996"/>
      <c r="HOC89" s="996"/>
      <c r="HOD89" s="996"/>
      <c r="HOE89" s="996"/>
      <c r="HOF89" s="996"/>
      <c r="HOG89" s="996"/>
      <c r="HOH89" s="996"/>
      <c r="HOI89" s="996"/>
      <c r="HOJ89" s="996"/>
      <c r="HOK89" s="996"/>
      <c r="HOL89" s="996"/>
      <c r="HOM89" s="996"/>
      <c r="HON89" s="996"/>
      <c r="HOO89" s="996"/>
      <c r="HOP89" s="996"/>
      <c r="HOQ89" s="996"/>
      <c r="HOR89" s="996"/>
      <c r="HOS89" s="996"/>
      <c r="HOT89" s="996"/>
      <c r="HOU89" s="996"/>
      <c r="HOV89" s="996"/>
      <c r="HOW89" s="996"/>
      <c r="HOX89" s="996"/>
      <c r="HOY89" s="996"/>
      <c r="HOZ89" s="996"/>
      <c r="HPA89" s="996"/>
      <c r="HPB89" s="996"/>
      <c r="HPC89" s="996"/>
      <c r="HPD89" s="996"/>
      <c r="HPE89" s="996"/>
      <c r="HPF89" s="996"/>
      <c r="HPG89" s="996"/>
      <c r="HPH89" s="996"/>
      <c r="HPI89" s="996"/>
      <c r="HPJ89" s="996"/>
      <c r="HPK89" s="996"/>
      <c r="HPL89" s="996"/>
      <c r="HPM89" s="996"/>
      <c r="HPN89" s="996"/>
      <c r="HPO89" s="996"/>
      <c r="HPP89" s="996"/>
      <c r="HPQ89" s="996"/>
      <c r="HPR89" s="996"/>
      <c r="HPS89" s="996"/>
      <c r="HPT89" s="996"/>
      <c r="HPU89" s="996"/>
      <c r="HPV89" s="996"/>
      <c r="HPW89" s="996"/>
      <c r="HPX89" s="996"/>
      <c r="HPY89" s="996"/>
      <c r="HPZ89" s="996"/>
      <c r="HQA89" s="996"/>
      <c r="HQB89" s="996"/>
      <c r="HQC89" s="996"/>
      <c r="HQD89" s="996"/>
      <c r="HQE89" s="996"/>
      <c r="HQF89" s="996"/>
      <c r="HQG89" s="996"/>
      <c r="HQH89" s="996"/>
      <c r="HQI89" s="996"/>
      <c r="HQJ89" s="996"/>
      <c r="HQK89" s="996"/>
      <c r="HQL89" s="996"/>
      <c r="HQM89" s="996"/>
      <c r="HQN89" s="996"/>
      <c r="HQO89" s="996"/>
      <c r="HQP89" s="996"/>
      <c r="HQQ89" s="996"/>
      <c r="HQR89" s="996"/>
      <c r="HQS89" s="996"/>
      <c r="HQT89" s="996"/>
      <c r="HQU89" s="996"/>
      <c r="HQV89" s="996"/>
      <c r="HQW89" s="996"/>
      <c r="HQX89" s="996"/>
      <c r="HQY89" s="996"/>
      <c r="HQZ89" s="996"/>
      <c r="HRA89" s="996"/>
      <c r="HRB89" s="996"/>
      <c r="HRC89" s="996"/>
      <c r="HRD89" s="996"/>
      <c r="HRE89" s="996"/>
      <c r="HRF89" s="996"/>
      <c r="HRG89" s="996"/>
      <c r="HRH89" s="996"/>
      <c r="HRI89" s="996"/>
      <c r="HRJ89" s="996"/>
      <c r="HRK89" s="996"/>
      <c r="HRL89" s="996"/>
      <c r="HRM89" s="996"/>
      <c r="HRN89" s="996"/>
      <c r="HRO89" s="996"/>
      <c r="HRP89" s="996"/>
      <c r="HRQ89" s="996"/>
      <c r="HRR89" s="996"/>
      <c r="HRS89" s="996"/>
      <c r="HRT89" s="996"/>
      <c r="HRU89" s="996"/>
      <c r="HRV89" s="996"/>
      <c r="HRW89" s="996"/>
      <c r="HRX89" s="996"/>
      <c r="HRY89" s="996"/>
      <c r="HRZ89" s="996"/>
      <c r="HSA89" s="996"/>
      <c r="HSB89" s="996"/>
      <c r="HSC89" s="996"/>
      <c r="HSD89" s="996"/>
      <c r="HSE89" s="996"/>
      <c r="HSF89" s="996"/>
      <c r="HSG89" s="996"/>
      <c r="HSH89" s="996"/>
      <c r="HSI89" s="996"/>
      <c r="HSJ89" s="996"/>
      <c r="HSK89" s="996"/>
      <c r="HSL89" s="996"/>
      <c r="HSM89" s="996"/>
      <c r="HSN89" s="996"/>
      <c r="HSO89" s="996"/>
      <c r="HSP89" s="996"/>
      <c r="HSQ89" s="996"/>
      <c r="HSR89" s="996"/>
      <c r="HSS89" s="996"/>
      <c r="HST89" s="996"/>
      <c r="HSU89" s="996"/>
      <c r="HSV89" s="996"/>
      <c r="HSW89" s="996"/>
      <c r="HSX89" s="996"/>
      <c r="HSY89" s="996"/>
      <c r="HSZ89" s="996"/>
      <c r="HTA89" s="996"/>
      <c r="HTB89" s="996"/>
      <c r="HTC89" s="996"/>
      <c r="HTD89" s="996"/>
      <c r="HTE89" s="996"/>
      <c r="HTF89" s="996"/>
      <c r="HTG89" s="996"/>
      <c r="HTH89" s="996"/>
      <c r="HTI89" s="996"/>
      <c r="HTJ89" s="996"/>
      <c r="HTK89" s="996"/>
      <c r="HTL89" s="996"/>
      <c r="HTM89" s="996"/>
      <c r="HTN89" s="996"/>
      <c r="HTO89" s="996"/>
      <c r="HTP89" s="996"/>
      <c r="HTQ89" s="996"/>
      <c r="HTR89" s="996"/>
      <c r="HTS89" s="996"/>
      <c r="HTT89" s="996"/>
      <c r="HTU89" s="996"/>
      <c r="HTV89" s="996"/>
      <c r="HTW89" s="996"/>
      <c r="HTX89" s="996"/>
      <c r="HTY89" s="996"/>
      <c r="HTZ89" s="996"/>
      <c r="HUA89" s="996"/>
      <c r="HUB89" s="996"/>
      <c r="HUC89" s="996"/>
      <c r="HUD89" s="996"/>
      <c r="HUE89" s="996"/>
      <c r="HUF89" s="996"/>
      <c r="HUG89" s="996"/>
      <c r="HUH89" s="996"/>
      <c r="HUI89" s="996"/>
      <c r="HUJ89" s="996"/>
      <c r="HUK89" s="996"/>
      <c r="HUL89" s="996"/>
      <c r="HUM89" s="996"/>
      <c r="HUN89" s="996"/>
      <c r="HUO89" s="996"/>
      <c r="HUP89" s="996"/>
      <c r="HUQ89" s="996"/>
      <c r="HUR89" s="996"/>
      <c r="HUS89" s="996"/>
      <c r="HUT89" s="996"/>
      <c r="HUU89" s="996"/>
      <c r="HUV89" s="996"/>
      <c r="HUW89" s="996"/>
      <c r="HUX89" s="996"/>
      <c r="HUY89" s="996"/>
      <c r="HUZ89" s="996"/>
      <c r="HVA89" s="996"/>
      <c r="HVB89" s="996"/>
      <c r="HVC89" s="996"/>
      <c r="HVD89" s="996"/>
      <c r="HVE89" s="996"/>
      <c r="HVF89" s="996"/>
      <c r="HVG89" s="996"/>
      <c r="HVH89" s="996"/>
      <c r="HVI89" s="996"/>
      <c r="HVJ89" s="996"/>
      <c r="HVK89" s="996"/>
      <c r="HVL89" s="996"/>
      <c r="HVM89" s="996"/>
      <c r="HVN89" s="996"/>
      <c r="HVO89" s="996"/>
      <c r="HVP89" s="996"/>
      <c r="HVQ89" s="996"/>
      <c r="HVR89" s="996"/>
      <c r="HVS89" s="996"/>
      <c r="HVT89" s="996"/>
      <c r="HVU89" s="996"/>
      <c r="HVV89" s="996"/>
      <c r="HVW89" s="996"/>
      <c r="HVX89" s="996"/>
      <c r="HVY89" s="996"/>
      <c r="HVZ89" s="996"/>
      <c r="HWA89" s="996"/>
      <c r="HWB89" s="996"/>
      <c r="HWC89" s="996"/>
      <c r="HWD89" s="996"/>
      <c r="HWE89" s="996"/>
      <c r="HWF89" s="996"/>
      <c r="HWG89" s="996"/>
      <c r="HWH89" s="996"/>
      <c r="HWI89" s="996"/>
      <c r="HWJ89" s="996"/>
      <c r="HWK89" s="996"/>
      <c r="HWL89" s="996"/>
      <c r="HWM89" s="996"/>
      <c r="HWN89" s="996"/>
      <c r="HWO89" s="996"/>
      <c r="HWP89" s="996"/>
      <c r="HWQ89" s="996"/>
      <c r="HWR89" s="996"/>
      <c r="HWS89" s="996"/>
      <c r="HWT89" s="996"/>
      <c r="HWU89" s="996"/>
      <c r="HWV89" s="996"/>
      <c r="HWW89" s="996"/>
      <c r="HWX89" s="996"/>
      <c r="HWY89" s="996"/>
      <c r="HWZ89" s="996"/>
      <c r="HXA89" s="996"/>
      <c r="HXB89" s="996"/>
      <c r="HXC89" s="996"/>
      <c r="HXD89" s="996"/>
      <c r="HXE89" s="996"/>
      <c r="HXF89" s="996"/>
      <c r="HXG89" s="996"/>
      <c r="HXH89" s="996"/>
      <c r="HXI89" s="996"/>
      <c r="HXJ89" s="996"/>
      <c r="HXK89" s="996"/>
      <c r="HXL89" s="996"/>
      <c r="HXM89" s="996"/>
      <c r="HXN89" s="996"/>
      <c r="HXO89" s="996"/>
      <c r="HXP89" s="996"/>
      <c r="HXQ89" s="996"/>
      <c r="HXR89" s="996"/>
      <c r="HXS89" s="996"/>
      <c r="HXT89" s="996"/>
      <c r="HXU89" s="996"/>
      <c r="HXV89" s="996"/>
      <c r="HXW89" s="996"/>
      <c r="HXX89" s="996"/>
      <c r="HXY89" s="996"/>
      <c r="HXZ89" s="996"/>
      <c r="HYA89" s="996"/>
      <c r="HYB89" s="996"/>
      <c r="HYC89" s="996"/>
      <c r="HYD89" s="996"/>
      <c r="HYE89" s="996"/>
      <c r="HYF89" s="996"/>
      <c r="HYG89" s="996"/>
      <c r="HYH89" s="996"/>
      <c r="HYI89" s="996"/>
      <c r="HYJ89" s="996"/>
      <c r="HYK89" s="996"/>
      <c r="HYL89" s="996"/>
      <c r="HYM89" s="996"/>
      <c r="HYN89" s="996"/>
      <c r="HYO89" s="996"/>
      <c r="HYP89" s="996"/>
      <c r="HYQ89" s="996"/>
      <c r="HYR89" s="996"/>
      <c r="HYS89" s="996"/>
      <c r="HYT89" s="996"/>
      <c r="HYU89" s="996"/>
      <c r="HYV89" s="996"/>
      <c r="HYW89" s="996"/>
      <c r="HYX89" s="996"/>
      <c r="HYY89" s="996"/>
      <c r="HYZ89" s="996"/>
      <c r="HZA89" s="996"/>
      <c r="HZB89" s="996"/>
      <c r="HZC89" s="996"/>
      <c r="HZD89" s="996"/>
      <c r="HZE89" s="996"/>
      <c r="HZF89" s="996"/>
      <c r="HZG89" s="996"/>
      <c r="HZH89" s="996"/>
      <c r="HZI89" s="996"/>
      <c r="HZJ89" s="996"/>
      <c r="HZK89" s="996"/>
      <c r="HZL89" s="996"/>
      <c r="HZM89" s="996"/>
      <c r="HZN89" s="996"/>
      <c r="HZO89" s="996"/>
      <c r="HZP89" s="996"/>
      <c r="HZQ89" s="996"/>
      <c r="HZR89" s="996"/>
      <c r="HZS89" s="996"/>
      <c r="HZT89" s="996"/>
      <c r="HZU89" s="996"/>
      <c r="HZV89" s="996"/>
      <c r="HZW89" s="996"/>
      <c r="HZX89" s="996"/>
      <c r="HZY89" s="996"/>
      <c r="HZZ89" s="996"/>
      <c r="IAA89" s="996"/>
      <c r="IAB89" s="996"/>
      <c r="IAC89" s="996"/>
      <c r="IAD89" s="996"/>
      <c r="IAE89" s="996"/>
      <c r="IAF89" s="996"/>
      <c r="IAG89" s="996"/>
      <c r="IAH89" s="996"/>
      <c r="IAI89" s="996"/>
      <c r="IAJ89" s="996"/>
      <c r="IAK89" s="996"/>
      <c r="IAL89" s="996"/>
      <c r="IAM89" s="996"/>
      <c r="IAN89" s="996"/>
      <c r="IAO89" s="996"/>
      <c r="IAP89" s="996"/>
      <c r="IAQ89" s="996"/>
      <c r="IAR89" s="996"/>
      <c r="IAS89" s="996"/>
      <c r="IAT89" s="996"/>
      <c r="IAU89" s="996"/>
      <c r="IAV89" s="996"/>
      <c r="IAW89" s="996"/>
      <c r="IAX89" s="996"/>
      <c r="IAY89" s="996"/>
      <c r="IAZ89" s="996"/>
      <c r="IBA89" s="996"/>
      <c r="IBB89" s="996"/>
      <c r="IBC89" s="996"/>
      <c r="IBD89" s="996"/>
      <c r="IBE89" s="996"/>
      <c r="IBF89" s="996"/>
      <c r="IBG89" s="996"/>
      <c r="IBH89" s="996"/>
      <c r="IBI89" s="996"/>
      <c r="IBJ89" s="996"/>
      <c r="IBK89" s="996"/>
      <c r="IBL89" s="996"/>
      <c r="IBM89" s="996"/>
      <c r="IBN89" s="996"/>
      <c r="IBO89" s="996"/>
      <c r="IBP89" s="996"/>
      <c r="IBQ89" s="996"/>
      <c r="IBR89" s="996"/>
      <c r="IBS89" s="996"/>
      <c r="IBT89" s="996"/>
      <c r="IBU89" s="996"/>
      <c r="IBV89" s="996"/>
      <c r="IBW89" s="996"/>
      <c r="IBX89" s="996"/>
      <c r="IBY89" s="996"/>
      <c r="IBZ89" s="996"/>
      <c r="ICA89" s="996"/>
      <c r="ICB89" s="996"/>
      <c r="ICC89" s="996"/>
      <c r="ICD89" s="996"/>
      <c r="ICE89" s="996"/>
      <c r="ICF89" s="996"/>
      <c r="ICG89" s="996"/>
      <c r="ICH89" s="996"/>
      <c r="ICI89" s="996"/>
      <c r="ICJ89" s="996"/>
      <c r="ICK89" s="996"/>
      <c r="ICL89" s="996"/>
      <c r="ICM89" s="996"/>
      <c r="ICN89" s="996"/>
      <c r="ICO89" s="996"/>
      <c r="ICP89" s="996"/>
      <c r="ICQ89" s="996"/>
      <c r="ICR89" s="996"/>
      <c r="ICS89" s="996"/>
      <c r="ICT89" s="996"/>
      <c r="ICU89" s="996"/>
      <c r="ICV89" s="996"/>
      <c r="ICW89" s="996"/>
      <c r="ICX89" s="996"/>
      <c r="ICY89" s="996"/>
      <c r="ICZ89" s="996"/>
      <c r="IDA89" s="996"/>
      <c r="IDB89" s="996"/>
      <c r="IDC89" s="996"/>
      <c r="IDD89" s="996"/>
      <c r="IDE89" s="996"/>
      <c r="IDF89" s="996"/>
      <c r="IDG89" s="996"/>
      <c r="IDH89" s="996"/>
      <c r="IDI89" s="996"/>
      <c r="IDJ89" s="996"/>
      <c r="IDK89" s="996"/>
      <c r="IDL89" s="996"/>
      <c r="IDM89" s="996"/>
      <c r="IDN89" s="996"/>
      <c r="IDO89" s="996"/>
      <c r="IDP89" s="996"/>
      <c r="IDQ89" s="996"/>
      <c r="IDR89" s="996"/>
      <c r="IDS89" s="996"/>
      <c r="IDT89" s="996"/>
      <c r="IDU89" s="996"/>
      <c r="IDV89" s="996"/>
      <c r="IDW89" s="996"/>
      <c r="IDX89" s="996"/>
      <c r="IDY89" s="996"/>
      <c r="IDZ89" s="996"/>
      <c r="IEA89" s="996"/>
      <c r="IEB89" s="996"/>
      <c r="IEC89" s="996"/>
      <c r="IED89" s="996"/>
      <c r="IEE89" s="996"/>
      <c r="IEF89" s="996"/>
      <c r="IEG89" s="996"/>
      <c r="IEH89" s="996"/>
      <c r="IEI89" s="996"/>
      <c r="IEJ89" s="996"/>
      <c r="IEK89" s="996"/>
      <c r="IEL89" s="996"/>
      <c r="IEM89" s="996"/>
      <c r="IEN89" s="996"/>
      <c r="IEO89" s="996"/>
      <c r="IEP89" s="996"/>
      <c r="IEQ89" s="996"/>
      <c r="IER89" s="996"/>
      <c r="IES89" s="996"/>
      <c r="IET89" s="996"/>
      <c r="IEU89" s="996"/>
      <c r="IEV89" s="996"/>
      <c r="IEW89" s="996"/>
      <c r="IEX89" s="996"/>
      <c r="IEY89" s="996"/>
      <c r="IEZ89" s="996"/>
      <c r="IFA89" s="996"/>
      <c r="IFB89" s="996"/>
      <c r="IFC89" s="996"/>
      <c r="IFD89" s="996"/>
      <c r="IFE89" s="996"/>
      <c r="IFF89" s="996"/>
      <c r="IFG89" s="996"/>
      <c r="IFH89" s="996"/>
      <c r="IFI89" s="996"/>
      <c r="IFJ89" s="996"/>
      <c r="IFK89" s="996"/>
      <c r="IFL89" s="996"/>
      <c r="IFM89" s="996"/>
      <c r="IFN89" s="996"/>
      <c r="IFO89" s="996"/>
      <c r="IFP89" s="996"/>
      <c r="IFQ89" s="996"/>
      <c r="IFR89" s="996"/>
      <c r="IFS89" s="996"/>
      <c r="IFT89" s="996"/>
      <c r="IFU89" s="996"/>
      <c r="IFV89" s="996"/>
      <c r="IFW89" s="996"/>
      <c r="IFX89" s="996"/>
      <c r="IFY89" s="996"/>
      <c r="IFZ89" s="996"/>
      <c r="IGA89" s="996"/>
      <c r="IGB89" s="996"/>
      <c r="IGC89" s="996"/>
      <c r="IGD89" s="996"/>
      <c r="IGE89" s="996"/>
      <c r="IGF89" s="996"/>
      <c r="IGG89" s="996"/>
      <c r="IGH89" s="996"/>
      <c r="IGI89" s="996"/>
      <c r="IGJ89" s="996"/>
      <c r="IGK89" s="996"/>
      <c r="IGL89" s="996"/>
      <c r="IGM89" s="996"/>
      <c r="IGN89" s="996"/>
      <c r="IGO89" s="996"/>
      <c r="IGP89" s="996"/>
      <c r="IGQ89" s="996"/>
      <c r="IGR89" s="996"/>
      <c r="IGS89" s="996"/>
      <c r="IGT89" s="996"/>
      <c r="IGU89" s="996"/>
      <c r="IGV89" s="996"/>
      <c r="IGW89" s="996"/>
      <c r="IGX89" s="996"/>
      <c r="IGY89" s="996"/>
      <c r="IGZ89" s="996"/>
      <c r="IHA89" s="996"/>
      <c r="IHB89" s="996"/>
      <c r="IHC89" s="996"/>
      <c r="IHD89" s="996"/>
      <c r="IHE89" s="996"/>
      <c r="IHF89" s="996"/>
      <c r="IHG89" s="996"/>
      <c r="IHH89" s="996"/>
      <c r="IHI89" s="996"/>
      <c r="IHJ89" s="996"/>
      <c r="IHK89" s="996"/>
      <c r="IHL89" s="996"/>
      <c r="IHM89" s="996"/>
      <c r="IHN89" s="996"/>
      <c r="IHO89" s="996"/>
      <c r="IHP89" s="996"/>
      <c r="IHQ89" s="996"/>
      <c r="IHR89" s="996"/>
      <c r="IHS89" s="996"/>
      <c r="IHT89" s="996"/>
      <c r="IHU89" s="996"/>
      <c r="IHV89" s="996"/>
      <c r="IHW89" s="996"/>
      <c r="IHX89" s="996"/>
      <c r="IHY89" s="996"/>
      <c r="IHZ89" s="996"/>
      <c r="IIA89" s="996"/>
      <c r="IIB89" s="996"/>
      <c r="IIC89" s="996"/>
      <c r="IID89" s="996"/>
      <c r="IIE89" s="996"/>
      <c r="IIF89" s="996"/>
      <c r="IIG89" s="996"/>
      <c r="IIH89" s="996"/>
      <c r="III89" s="996"/>
      <c r="IIJ89" s="996"/>
      <c r="IIK89" s="996"/>
      <c r="IIL89" s="996"/>
      <c r="IIM89" s="996"/>
      <c r="IIN89" s="996"/>
      <c r="IIO89" s="996"/>
      <c r="IIP89" s="996"/>
      <c r="IIQ89" s="996"/>
      <c r="IIR89" s="996"/>
      <c r="IIS89" s="996"/>
      <c r="IIT89" s="996"/>
      <c r="IIU89" s="996"/>
      <c r="IIV89" s="996"/>
      <c r="IIW89" s="996"/>
      <c r="IIX89" s="996"/>
      <c r="IIY89" s="996"/>
      <c r="IIZ89" s="996"/>
      <c r="IJA89" s="996"/>
      <c r="IJB89" s="996"/>
      <c r="IJC89" s="996"/>
      <c r="IJD89" s="996"/>
      <c r="IJE89" s="996"/>
      <c r="IJF89" s="996"/>
      <c r="IJG89" s="996"/>
      <c r="IJH89" s="996"/>
      <c r="IJI89" s="996"/>
      <c r="IJJ89" s="996"/>
      <c r="IJK89" s="996"/>
      <c r="IJL89" s="996"/>
      <c r="IJM89" s="996"/>
      <c r="IJN89" s="996"/>
      <c r="IJO89" s="996"/>
      <c r="IJP89" s="996"/>
      <c r="IJQ89" s="996"/>
      <c r="IJR89" s="996"/>
      <c r="IJS89" s="996"/>
      <c r="IJT89" s="996"/>
      <c r="IJU89" s="996"/>
      <c r="IJV89" s="996"/>
      <c r="IJW89" s="996"/>
      <c r="IJX89" s="996"/>
      <c r="IJY89" s="996"/>
      <c r="IJZ89" s="996"/>
      <c r="IKA89" s="996"/>
      <c r="IKB89" s="996"/>
      <c r="IKC89" s="996"/>
      <c r="IKD89" s="996"/>
      <c r="IKE89" s="996"/>
      <c r="IKF89" s="996"/>
      <c r="IKG89" s="996"/>
      <c r="IKH89" s="996"/>
      <c r="IKI89" s="996"/>
      <c r="IKJ89" s="996"/>
      <c r="IKK89" s="996"/>
      <c r="IKL89" s="996"/>
      <c r="IKM89" s="996"/>
      <c r="IKN89" s="996"/>
      <c r="IKO89" s="996"/>
      <c r="IKP89" s="996"/>
      <c r="IKQ89" s="996"/>
      <c r="IKR89" s="996"/>
      <c r="IKS89" s="996"/>
      <c r="IKT89" s="996"/>
      <c r="IKU89" s="996"/>
      <c r="IKV89" s="996"/>
      <c r="IKW89" s="996"/>
      <c r="IKX89" s="996"/>
      <c r="IKY89" s="996"/>
      <c r="IKZ89" s="996"/>
      <c r="ILA89" s="996"/>
      <c r="ILB89" s="996"/>
      <c r="ILC89" s="996"/>
      <c r="ILD89" s="996"/>
      <c r="ILE89" s="996"/>
      <c r="ILF89" s="996"/>
      <c r="ILG89" s="996"/>
      <c r="ILH89" s="996"/>
      <c r="ILI89" s="996"/>
      <c r="ILJ89" s="996"/>
      <c r="ILK89" s="996"/>
      <c r="ILL89" s="996"/>
      <c r="ILM89" s="996"/>
      <c r="ILN89" s="996"/>
      <c r="ILO89" s="996"/>
      <c r="ILP89" s="996"/>
      <c r="ILQ89" s="996"/>
      <c r="ILR89" s="996"/>
      <c r="ILS89" s="996"/>
      <c r="ILT89" s="996"/>
      <c r="ILU89" s="996"/>
      <c r="ILV89" s="996"/>
      <c r="ILW89" s="996"/>
      <c r="ILX89" s="996"/>
      <c r="ILY89" s="996"/>
      <c r="ILZ89" s="996"/>
      <c r="IMA89" s="996"/>
      <c r="IMB89" s="996"/>
      <c r="IMC89" s="996"/>
      <c r="IMD89" s="996"/>
      <c r="IME89" s="996"/>
      <c r="IMF89" s="996"/>
      <c r="IMG89" s="996"/>
      <c r="IMH89" s="996"/>
      <c r="IMI89" s="996"/>
      <c r="IMJ89" s="996"/>
      <c r="IMK89" s="996"/>
      <c r="IML89" s="996"/>
      <c r="IMM89" s="996"/>
      <c r="IMN89" s="996"/>
      <c r="IMO89" s="996"/>
      <c r="IMP89" s="996"/>
      <c r="IMQ89" s="996"/>
      <c r="IMR89" s="996"/>
      <c r="IMS89" s="996"/>
      <c r="IMT89" s="996"/>
      <c r="IMU89" s="996"/>
      <c r="IMV89" s="996"/>
      <c r="IMW89" s="996"/>
      <c r="IMX89" s="996"/>
      <c r="IMY89" s="996"/>
      <c r="IMZ89" s="996"/>
      <c r="INA89" s="996"/>
      <c r="INB89" s="996"/>
      <c r="INC89" s="996"/>
      <c r="IND89" s="996"/>
      <c r="INE89" s="996"/>
      <c r="INF89" s="996"/>
      <c r="ING89" s="996"/>
      <c r="INH89" s="996"/>
      <c r="INI89" s="996"/>
      <c r="INJ89" s="996"/>
      <c r="INK89" s="996"/>
      <c r="INL89" s="996"/>
      <c r="INM89" s="996"/>
      <c r="INN89" s="996"/>
      <c r="INO89" s="996"/>
      <c r="INP89" s="996"/>
      <c r="INQ89" s="996"/>
      <c r="INR89" s="996"/>
      <c r="INS89" s="996"/>
      <c r="INT89" s="996"/>
      <c r="INU89" s="996"/>
      <c r="INV89" s="996"/>
      <c r="INW89" s="996"/>
      <c r="INX89" s="996"/>
      <c r="INY89" s="996"/>
      <c r="INZ89" s="996"/>
      <c r="IOA89" s="996"/>
      <c r="IOB89" s="996"/>
      <c r="IOC89" s="996"/>
      <c r="IOD89" s="996"/>
      <c r="IOE89" s="996"/>
      <c r="IOF89" s="996"/>
      <c r="IOG89" s="996"/>
      <c r="IOH89" s="996"/>
      <c r="IOI89" s="996"/>
      <c r="IOJ89" s="996"/>
      <c r="IOK89" s="996"/>
      <c r="IOL89" s="996"/>
      <c r="IOM89" s="996"/>
      <c r="ION89" s="996"/>
      <c r="IOO89" s="996"/>
      <c r="IOP89" s="996"/>
      <c r="IOQ89" s="996"/>
      <c r="IOR89" s="996"/>
      <c r="IOS89" s="996"/>
      <c r="IOT89" s="996"/>
      <c r="IOU89" s="996"/>
      <c r="IOV89" s="996"/>
      <c r="IOW89" s="996"/>
      <c r="IOX89" s="996"/>
      <c r="IOY89" s="996"/>
      <c r="IOZ89" s="996"/>
      <c r="IPA89" s="996"/>
      <c r="IPB89" s="996"/>
      <c r="IPC89" s="996"/>
      <c r="IPD89" s="996"/>
      <c r="IPE89" s="996"/>
      <c r="IPF89" s="996"/>
      <c r="IPG89" s="996"/>
      <c r="IPH89" s="996"/>
      <c r="IPI89" s="996"/>
      <c r="IPJ89" s="996"/>
      <c r="IPK89" s="996"/>
      <c r="IPL89" s="996"/>
      <c r="IPM89" s="996"/>
      <c r="IPN89" s="996"/>
      <c r="IPO89" s="996"/>
      <c r="IPP89" s="996"/>
      <c r="IPQ89" s="996"/>
      <c r="IPR89" s="996"/>
      <c r="IPS89" s="996"/>
      <c r="IPT89" s="996"/>
      <c r="IPU89" s="996"/>
      <c r="IPV89" s="996"/>
      <c r="IPW89" s="996"/>
      <c r="IPX89" s="996"/>
      <c r="IPY89" s="996"/>
      <c r="IPZ89" s="996"/>
      <c r="IQA89" s="996"/>
      <c r="IQB89" s="996"/>
      <c r="IQC89" s="996"/>
      <c r="IQD89" s="996"/>
      <c r="IQE89" s="996"/>
      <c r="IQF89" s="996"/>
      <c r="IQG89" s="996"/>
      <c r="IQH89" s="996"/>
      <c r="IQI89" s="996"/>
      <c r="IQJ89" s="996"/>
      <c r="IQK89" s="996"/>
      <c r="IQL89" s="996"/>
      <c r="IQM89" s="996"/>
      <c r="IQN89" s="996"/>
      <c r="IQO89" s="996"/>
      <c r="IQP89" s="996"/>
      <c r="IQQ89" s="996"/>
      <c r="IQR89" s="996"/>
      <c r="IQS89" s="996"/>
      <c r="IQT89" s="996"/>
      <c r="IQU89" s="996"/>
      <c r="IQV89" s="996"/>
      <c r="IQW89" s="996"/>
      <c r="IQX89" s="996"/>
      <c r="IQY89" s="996"/>
      <c r="IQZ89" s="996"/>
      <c r="IRA89" s="996"/>
      <c r="IRB89" s="996"/>
      <c r="IRC89" s="996"/>
      <c r="IRD89" s="996"/>
      <c r="IRE89" s="996"/>
      <c r="IRF89" s="996"/>
      <c r="IRG89" s="996"/>
      <c r="IRH89" s="996"/>
      <c r="IRI89" s="996"/>
      <c r="IRJ89" s="996"/>
      <c r="IRK89" s="996"/>
      <c r="IRL89" s="996"/>
      <c r="IRM89" s="996"/>
      <c r="IRN89" s="996"/>
      <c r="IRO89" s="996"/>
      <c r="IRP89" s="996"/>
      <c r="IRQ89" s="996"/>
      <c r="IRR89" s="996"/>
      <c r="IRS89" s="996"/>
      <c r="IRT89" s="996"/>
      <c r="IRU89" s="996"/>
      <c r="IRV89" s="996"/>
      <c r="IRW89" s="996"/>
      <c r="IRX89" s="996"/>
      <c r="IRY89" s="996"/>
      <c r="IRZ89" s="996"/>
      <c r="ISA89" s="996"/>
      <c r="ISB89" s="996"/>
      <c r="ISC89" s="996"/>
      <c r="ISD89" s="996"/>
      <c r="ISE89" s="996"/>
      <c r="ISF89" s="996"/>
      <c r="ISG89" s="996"/>
      <c r="ISH89" s="996"/>
      <c r="ISI89" s="996"/>
      <c r="ISJ89" s="996"/>
      <c r="ISK89" s="996"/>
      <c r="ISL89" s="996"/>
      <c r="ISM89" s="996"/>
      <c r="ISN89" s="996"/>
      <c r="ISO89" s="996"/>
      <c r="ISP89" s="996"/>
      <c r="ISQ89" s="996"/>
      <c r="ISR89" s="996"/>
      <c r="ISS89" s="996"/>
      <c r="IST89" s="996"/>
      <c r="ISU89" s="996"/>
      <c r="ISV89" s="996"/>
      <c r="ISW89" s="996"/>
      <c r="ISX89" s="996"/>
      <c r="ISY89" s="996"/>
      <c r="ISZ89" s="996"/>
      <c r="ITA89" s="996"/>
      <c r="ITB89" s="996"/>
      <c r="ITC89" s="996"/>
      <c r="ITD89" s="996"/>
      <c r="ITE89" s="996"/>
      <c r="ITF89" s="996"/>
      <c r="ITG89" s="996"/>
      <c r="ITH89" s="996"/>
      <c r="ITI89" s="996"/>
      <c r="ITJ89" s="996"/>
      <c r="ITK89" s="996"/>
      <c r="ITL89" s="996"/>
      <c r="ITM89" s="996"/>
      <c r="ITN89" s="996"/>
      <c r="ITO89" s="996"/>
      <c r="ITP89" s="996"/>
      <c r="ITQ89" s="996"/>
      <c r="ITR89" s="996"/>
      <c r="ITS89" s="996"/>
      <c r="ITT89" s="996"/>
      <c r="ITU89" s="996"/>
      <c r="ITV89" s="996"/>
      <c r="ITW89" s="996"/>
      <c r="ITX89" s="996"/>
      <c r="ITY89" s="996"/>
      <c r="ITZ89" s="996"/>
      <c r="IUA89" s="996"/>
      <c r="IUB89" s="996"/>
      <c r="IUC89" s="996"/>
      <c r="IUD89" s="996"/>
      <c r="IUE89" s="996"/>
      <c r="IUF89" s="996"/>
      <c r="IUG89" s="996"/>
      <c r="IUH89" s="996"/>
      <c r="IUI89" s="996"/>
      <c r="IUJ89" s="996"/>
      <c r="IUK89" s="996"/>
      <c r="IUL89" s="996"/>
      <c r="IUM89" s="996"/>
      <c r="IUN89" s="996"/>
      <c r="IUO89" s="996"/>
      <c r="IUP89" s="996"/>
      <c r="IUQ89" s="996"/>
      <c r="IUR89" s="996"/>
      <c r="IUS89" s="996"/>
      <c r="IUT89" s="996"/>
      <c r="IUU89" s="996"/>
      <c r="IUV89" s="996"/>
      <c r="IUW89" s="996"/>
      <c r="IUX89" s="996"/>
      <c r="IUY89" s="996"/>
      <c r="IUZ89" s="996"/>
      <c r="IVA89" s="996"/>
      <c r="IVB89" s="996"/>
      <c r="IVC89" s="996"/>
      <c r="IVD89" s="996"/>
      <c r="IVE89" s="996"/>
      <c r="IVF89" s="996"/>
      <c r="IVG89" s="996"/>
      <c r="IVH89" s="996"/>
      <c r="IVI89" s="996"/>
      <c r="IVJ89" s="996"/>
      <c r="IVK89" s="996"/>
      <c r="IVL89" s="996"/>
      <c r="IVM89" s="996"/>
      <c r="IVN89" s="996"/>
      <c r="IVO89" s="996"/>
      <c r="IVP89" s="996"/>
      <c r="IVQ89" s="996"/>
      <c r="IVR89" s="996"/>
      <c r="IVS89" s="996"/>
      <c r="IVT89" s="996"/>
      <c r="IVU89" s="996"/>
      <c r="IVV89" s="996"/>
      <c r="IVW89" s="996"/>
      <c r="IVX89" s="996"/>
      <c r="IVY89" s="996"/>
      <c r="IVZ89" s="996"/>
      <c r="IWA89" s="996"/>
      <c r="IWB89" s="996"/>
      <c r="IWC89" s="996"/>
      <c r="IWD89" s="996"/>
      <c r="IWE89" s="996"/>
      <c r="IWF89" s="996"/>
      <c r="IWG89" s="996"/>
      <c r="IWH89" s="996"/>
      <c r="IWI89" s="996"/>
      <c r="IWJ89" s="996"/>
      <c r="IWK89" s="996"/>
      <c r="IWL89" s="996"/>
      <c r="IWM89" s="996"/>
      <c r="IWN89" s="996"/>
      <c r="IWO89" s="996"/>
      <c r="IWP89" s="996"/>
      <c r="IWQ89" s="996"/>
      <c r="IWR89" s="996"/>
      <c r="IWS89" s="996"/>
      <c r="IWT89" s="996"/>
      <c r="IWU89" s="996"/>
      <c r="IWV89" s="996"/>
      <c r="IWW89" s="996"/>
      <c r="IWX89" s="996"/>
      <c r="IWY89" s="996"/>
      <c r="IWZ89" s="996"/>
      <c r="IXA89" s="996"/>
      <c r="IXB89" s="996"/>
      <c r="IXC89" s="996"/>
      <c r="IXD89" s="996"/>
      <c r="IXE89" s="996"/>
      <c r="IXF89" s="996"/>
      <c r="IXG89" s="996"/>
      <c r="IXH89" s="996"/>
      <c r="IXI89" s="996"/>
      <c r="IXJ89" s="996"/>
      <c r="IXK89" s="996"/>
      <c r="IXL89" s="996"/>
      <c r="IXM89" s="996"/>
      <c r="IXN89" s="996"/>
      <c r="IXO89" s="996"/>
      <c r="IXP89" s="996"/>
      <c r="IXQ89" s="996"/>
      <c r="IXR89" s="996"/>
      <c r="IXS89" s="996"/>
      <c r="IXT89" s="996"/>
      <c r="IXU89" s="996"/>
      <c r="IXV89" s="996"/>
      <c r="IXW89" s="996"/>
      <c r="IXX89" s="996"/>
      <c r="IXY89" s="996"/>
      <c r="IXZ89" s="996"/>
      <c r="IYA89" s="996"/>
      <c r="IYB89" s="996"/>
      <c r="IYC89" s="996"/>
      <c r="IYD89" s="996"/>
      <c r="IYE89" s="996"/>
      <c r="IYF89" s="996"/>
      <c r="IYG89" s="996"/>
      <c r="IYH89" s="996"/>
      <c r="IYI89" s="996"/>
      <c r="IYJ89" s="996"/>
      <c r="IYK89" s="996"/>
      <c r="IYL89" s="996"/>
      <c r="IYM89" s="996"/>
      <c r="IYN89" s="996"/>
      <c r="IYO89" s="996"/>
      <c r="IYP89" s="996"/>
      <c r="IYQ89" s="996"/>
      <c r="IYR89" s="996"/>
      <c r="IYS89" s="996"/>
      <c r="IYT89" s="996"/>
      <c r="IYU89" s="996"/>
      <c r="IYV89" s="996"/>
      <c r="IYW89" s="996"/>
      <c r="IYX89" s="996"/>
      <c r="IYY89" s="996"/>
      <c r="IYZ89" s="996"/>
      <c r="IZA89" s="996"/>
      <c r="IZB89" s="996"/>
      <c r="IZC89" s="996"/>
      <c r="IZD89" s="996"/>
      <c r="IZE89" s="996"/>
      <c r="IZF89" s="996"/>
      <c r="IZG89" s="996"/>
      <c r="IZH89" s="996"/>
      <c r="IZI89" s="996"/>
      <c r="IZJ89" s="996"/>
      <c r="IZK89" s="996"/>
      <c r="IZL89" s="996"/>
      <c r="IZM89" s="996"/>
      <c r="IZN89" s="996"/>
      <c r="IZO89" s="996"/>
      <c r="IZP89" s="996"/>
      <c r="IZQ89" s="996"/>
      <c r="IZR89" s="996"/>
      <c r="IZS89" s="996"/>
      <c r="IZT89" s="996"/>
      <c r="IZU89" s="996"/>
      <c r="IZV89" s="996"/>
      <c r="IZW89" s="996"/>
      <c r="IZX89" s="996"/>
      <c r="IZY89" s="996"/>
      <c r="IZZ89" s="996"/>
      <c r="JAA89" s="996"/>
      <c r="JAB89" s="996"/>
      <c r="JAC89" s="996"/>
      <c r="JAD89" s="996"/>
      <c r="JAE89" s="996"/>
      <c r="JAF89" s="996"/>
      <c r="JAG89" s="996"/>
      <c r="JAH89" s="996"/>
      <c r="JAI89" s="996"/>
      <c r="JAJ89" s="996"/>
      <c r="JAK89" s="996"/>
      <c r="JAL89" s="996"/>
      <c r="JAM89" s="996"/>
      <c r="JAN89" s="996"/>
      <c r="JAO89" s="996"/>
      <c r="JAP89" s="996"/>
      <c r="JAQ89" s="996"/>
      <c r="JAR89" s="996"/>
      <c r="JAS89" s="996"/>
      <c r="JAT89" s="996"/>
      <c r="JAU89" s="996"/>
      <c r="JAV89" s="996"/>
      <c r="JAW89" s="996"/>
      <c r="JAX89" s="996"/>
      <c r="JAY89" s="996"/>
      <c r="JAZ89" s="996"/>
      <c r="JBA89" s="996"/>
      <c r="JBB89" s="996"/>
      <c r="JBC89" s="996"/>
      <c r="JBD89" s="996"/>
      <c r="JBE89" s="996"/>
      <c r="JBF89" s="996"/>
      <c r="JBG89" s="996"/>
      <c r="JBH89" s="996"/>
      <c r="JBI89" s="996"/>
      <c r="JBJ89" s="996"/>
      <c r="JBK89" s="996"/>
      <c r="JBL89" s="996"/>
      <c r="JBM89" s="996"/>
      <c r="JBN89" s="996"/>
      <c r="JBO89" s="996"/>
      <c r="JBP89" s="996"/>
      <c r="JBQ89" s="996"/>
      <c r="JBR89" s="996"/>
      <c r="JBS89" s="996"/>
      <c r="JBT89" s="996"/>
      <c r="JBU89" s="996"/>
      <c r="JBV89" s="996"/>
      <c r="JBW89" s="996"/>
      <c r="JBX89" s="996"/>
      <c r="JBY89" s="996"/>
      <c r="JBZ89" s="996"/>
      <c r="JCA89" s="996"/>
      <c r="JCB89" s="996"/>
      <c r="JCC89" s="996"/>
      <c r="JCD89" s="996"/>
      <c r="JCE89" s="996"/>
      <c r="JCF89" s="996"/>
      <c r="JCG89" s="996"/>
      <c r="JCH89" s="996"/>
      <c r="JCI89" s="996"/>
      <c r="JCJ89" s="996"/>
      <c r="JCK89" s="996"/>
      <c r="JCL89" s="996"/>
      <c r="JCM89" s="996"/>
      <c r="JCN89" s="996"/>
      <c r="JCO89" s="996"/>
      <c r="JCP89" s="996"/>
      <c r="JCQ89" s="996"/>
      <c r="JCR89" s="996"/>
      <c r="JCS89" s="996"/>
      <c r="JCT89" s="996"/>
      <c r="JCU89" s="996"/>
      <c r="JCV89" s="996"/>
      <c r="JCW89" s="996"/>
      <c r="JCX89" s="996"/>
      <c r="JCY89" s="996"/>
      <c r="JCZ89" s="996"/>
      <c r="JDA89" s="996"/>
      <c r="JDB89" s="996"/>
      <c r="JDC89" s="996"/>
      <c r="JDD89" s="996"/>
      <c r="JDE89" s="996"/>
      <c r="JDF89" s="996"/>
      <c r="JDG89" s="996"/>
      <c r="JDH89" s="996"/>
      <c r="JDI89" s="996"/>
      <c r="JDJ89" s="996"/>
      <c r="JDK89" s="996"/>
      <c r="JDL89" s="996"/>
      <c r="JDM89" s="996"/>
      <c r="JDN89" s="996"/>
      <c r="JDO89" s="996"/>
      <c r="JDP89" s="996"/>
      <c r="JDQ89" s="996"/>
      <c r="JDR89" s="996"/>
      <c r="JDS89" s="996"/>
      <c r="JDT89" s="996"/>
      <c r="JDU89" s="996"/>
      <c r="JDV89" s="996"/>
      <c r="JDW89" s="996"/>
      <c r="JDX89" s="996"/>
      <c r="JDY89" s="996"/>
      <c r="JDZ89" s="996"/>
      <c r="JEA89" s="996"/>
      <c r="JEB89" s="996"/>
      <c r="JEC89" s="996"/>
      <c r="JED89" s="996"/>
      <c r="JEE89" s="996"/>
      <c r="JEF89" s="996"/>
      <c r="JEG89" s="996"/>
      <c r="JEH89" s="996"/>
      <c r="JEI89" s="996"/>
      <c r="JEJ89" s="996"/>
      <c r="JEK89" s="996"/>
      <c r="JEL89" s="996"/>
      <c r="JEM89" s="996"/>
      <c r="JEN89" s="996"/>
      <c r="JEO89" s="996"/>
      <c r="JEP89" s="996"/>
      <c r="JEQ89" s="996"/>
      <c r="JER89" s="996"/>
      <c r="JES89" s="996"/>
      <c r="JET89" s="996"/>
      <c r="JEU89" s="996"/>
      <c r="JEV89" s="996"/>
      <c r="JEW89" s="996"/>
      <c r="JEX89" s="996"/>
      <c r="JEY89" s="996"/>
      <c r="JEZ89" s="996"/>
      <c r="JFA89" s="996"/>
      <c r="JFB89" s="996"/>
      <c r="JFC89" s="996"/>
      <c r="JFD89" s="996"/>
      <c r="JFE89" s="996"/>
      <c r="JFF89" s="996"/>
      <c r="JFG89" s="996"/>
      <c r="JFH89" s="996"/>
      <c r="JFI89" s="996"/>
      <c r="JFJ89" s="996"/>
      <c r="JFK89" s="996"/>
      <c r="JFL89" s="996"/>
      <c r="JFM89" s="996"/>
      <c r="JFN89" s="996"/>
      <c r="JFO89" s="996"/>
      <c r="JFP89" s="996"/>
      <c r="JFQ89" s="996"/>
      <c r="JFR89" s="996"/>
      <c r="JFS89" s="996"/>
      <c r="JFT89" s="996"/>
      <c r="JFU89" s="996"/>
      <c r="JFV89" s="996"/>
      <c r="JFW89" s="996"/>
      <c r="JFX89" s="996"/>
      <c r="JFY89" s="996"/>
      <c r="JFZ89" s="996"/>
      <c r="JGA89" s="996"/>
      <c r="JGB89" s="996"/>
      <c r="JGC89" s="996"/>
      <c r="JGD89" s="996"/>
      <c r="JGE89" s="996"/>
      <c r="JGF89" s="996"/>
      <c r="JGG89" s="996"/>
      <c r="JGH89" s="996"/>
      <c r="JGI89" s="996"/>
      <c r="JGJ89" s="996"/>
      <c r="JGK89" s="996"/>
      <c r="JGL89" s="996"/>
      <c r="JGM89" s="996"/>
      <c r="JGN89" s="996"/>
      <c r="JGO89" s="996"/>
      <c r="JGP89" s="996"/>
      <c r="JGQ89" s="996"/>
      <c r="JGR89" s="996"/>
      <c r="JGS89" s="996"/>
      <c r="JGT89" s="996"/>
      <c r="JGU89" s="996"/>
      <c r="JGV89" s="996"/>
      <c r="JGW89" s="996"/>
      <c r="JGX89" s="996"/>
      <c r="JGY89" s="996"/>
      <c r="JGZ89" s="996"/>
      <c r="JHA89" s="996"/>
      <c r="JHB89" s="996"/>
      <c r="JHC89" s="996"/>
      <c r="JHD89" s="996"/>
      <c r="JHE89" s="996"/>
      <c r="JHF89" s="996"/>
      <c r="JHG89" s="996"/>
      <c r="JHH89" s="996"/>
      <c r="JHI89" s="996"/>
      <c r="JHJ89" s="996"/>
      <c r="JHK89" s="996"/>
      <c r="JHL89" s="996"/>
      <c r="JHM89" s="996"/>
      <c r="JHN89" s="996"/>
      <c r="JHO89" s="996"/>
      <c r="JHP89" s="996"/>
      <c r="JHQ89" s="996"/>
      <c r="JHR89" s="996"/>
      <c r="JHS89" s="996"/>
      <c r="JHT89" s="996"/>
      <c r="JHU89" s="996"/>
      <c r="JHV89" s="996"/>
      <c r="JHW89" s="996"/>
      <c r="JHX89" s="996"/>
      <c r="JHY89" s="996"/>
      <c r="JHZ89" s="996"/>
      <c r="JIA89" s="996"/>
      <c r="JIB89" s="996"/>
      <c r="JIC89" s="996"/>
      <c r="JID89" s="996"/>
      <c r="JIE89" s="996"/>
      <c r="JIF89" s="996"/>
      <c r="JIG89" s="996"/>
      <c r="JIH89" s="996"/>
      <c r="JII89" s="996"/>
      <c r="JIJ89" s="996"/>
      <c r="JIK89" s="996"/>
      <c r="JIL89" s="996"/>
      <c r="JIM89" s="996"/>
      <c r="JIN89" s="996"/>
      <c r="JIO89" s="996"/>
      <c r="JIP89" s="996"/>
      <c r="JIQ89" s="996"/>
      <c r="JIR89" s="996"/>
      <c r="JIS89" s="996"/>
      <c r="JIT89" s="996"/>
      <c r="JIU89" s="996"/>
      <c r="JIV89" s="996"/>
      <c r="JIW89" s="996"/>
      <c r="JIX89" s="996"/>
      <c r="JIY89" s="996"/>
      <c r="JIZ89" s="996"/>
      <c r="JJA89" s="996"/>
      <c r="JJB89" s="996"/>
      <c r="JJC89" s="996"/>
      <c r="JJD89" s="996"/>
      <c r="JJE89" s="996"/>
      <c r="JJF89" s="996"/>
      <c r="JJG89" s="996"/>
      <c r="JJH89" s="996"/>
      <c r="JJI89" s="996"/>
      <c r="JJJ89" s="996"/>
      <c r="JJK89" s="996"/>
      <c r="JJL89" s="996"/>
      <c r="JJM89" s="996"/>
      <c r="JJN89" s="996"/>
      <c r="JJO89" s="996"/>
      <c r="JJP89" s="996"/>
      <c r="JJQ89" s="996"/>
      <c r="JJR89" s="996"/>
      <c r="JJS89" s="996"/>
      <c r="JJT89" s="996"/>
      <c r="JJU89" s="996"/>
      <c r="JJV89" s="996"/>
      <c r="JJW89" s="996"/>
      <c r="JJX89" s="996"/>
      <c r="JJY89" s="996"/>
      <c r="JJZ89" s="996"/>
      <c r="JKA89" s="996"/>
      <c r="JKB89" s="996"/>
      <c r="JKC89" s="996"/>
      <c r="JKD89" s="996"/>
      <c r="JKE89" s="996"/>
      <c r="JKF89" s="996"/>
      <c r="JKG89" s="996"/>
      <c r="JKH89" s="996"/>
      <c r="JKI89" s="996"/>
      <c r="JKJ89" s="996"/>
      <c r="JKK89" s="996"/>
      <c r="JKL89" s="996"/>
      <c r="JKM89" s="996"/>
      <c r="JKN89" s="996"/>
      <c r="JKO89" s="996"/>
      <c r="JKP89" s="996"/>
      <c r="JKQ89" s="996"/>
      <c r="JKR89" s="996"/>
      <c r="JKS89" s="996"/>
      <c r="JKT89" s="996"/>
      <c r="JKU89" s="996"/>
      <c r="JKV89" s="996"/>
      <c r="JKW89" s="996"/>
      <c r="JKX89" s="996"/>
      <c r="JKY89" s="996"/>
      <c r="JKZ89" s="996"/>
      <c r="JLA89" s="996"/>
      <c r="JLB89" s="996"/>
      <c r="JLC89" s="996"/>
      <c r="JLD89" s="996"/>
      <c r="JLE89" s="996"/>
      <c r="JLF89" s="996"/>
      <c r="JLG89" s="996"/>
      <c r="JLH89" s="996"/>
      <c r="JLI89" s="996"/>
      <c r="JLJ89" s="996"/>
      <c r="JLK89" s="996"/>
      <c r="JLL89" s="996"/>
      <c r="JLM89" s="996"/>
      <c r="JLN89" s="996"/>
      <c r="JLO89" s="996"/>
      <c r="JLP89" s="996"/>
      <c r="JLQ89" s="996"/>
      <c r="JLR89" s="996"/>
      <c r="JLS89" s="996"/>
      <c r="JLT89" s="996"/>
      <c r="JLU89" s="996"/>
      <c r="JLV89" s="996"/>
      <c r="JLW89" s="996"/>
      <c r="JLX89" s="996"/>
      <c r="JLY89" s="996"/>
      <c r="JLZ89" s="996"/>
      <c r="JMA89" s="996"/>
      <c r="JMB89" s="996"/>
      <c r="JMC89" s="996"/>
      <c r="JMD89" s="996"/>
      <c r="JME89" s="996"/>
      <c r="JMF89" s="996"/>
      <c r="JMG89" s="996"/>
      <c r="JMH89" s="996"/>
      <c r="JMI89" s="996"/>
      <c r="JMJ89" s="996"/>
      <c r="JMK89" s="996"/>
      <c r="JML89" s="996"/>
      <c r="JMM89" s="996"/>
      <c r="JMN89" s="996"/>
      <c r="JMO89" s="996"/>
      <c r="JMP89" s="996"/>
      <c r="JMQ89" s="996"/>
      <c r="JMR89" s="996"/>
      <c r="JMS89" s="996"/>
      <c r="JMT89" s="996"/>
      <c r="JMU89" s="996"/>
      <c r="JMV89" s="996"/>
      <c r="JMW89" s="996"/>
      <c r="JMX89" s="996"/>
      <c r="JMY89" s="996"/>
      <c r="JMZ89" s="996"/>
      <c r="JNA89" s="996"/>
      <c r="JNB89" s="996"/>
      <c r="JNC89" s="996"/>
      <c r="JND89" s="996"/>
      <c r="JNE89" s="996"/>
      <c r="JNF89" s="996"/>
      <c r="JNG89" s="996"/>
      <c r="JNH89" s="996"/>
      <c r="JNI89" s="996"/>
      <c r="JNJ89" s="996"/>
      <c r="JNK89" s="996"/>
      <c r="JNL89" s="996"/>
      <c r="JNM89" s="996"/>
      <c r="JNN89" s="996"/>
      <c r="JNO89" s="996"/>
      <c r="JNP89" s="996"/>
      <c r="JNQ89" s="996"/>
      <c r="JNR89" s="996"/>
      <c r="JNS89" s="996"/>
      <c r="JNT89" s="996"/>
      <c r="JNU89" s="996"/>
      <c r="JNV89" s="996"/>
      <c r="JNW89" s="996"/>
      <c r="JNX89" s="996"/>
      <c r="JNY89" s="996"/>
      <c r="JNZ89" s="996"/>
      <c r="JOA89" s="996"/>
      <c r="JOB89" s="996"/>
      <c r="JOC89" s="996"/>
      <c r="JOD89" s="996"/>
      <c r="JOE89" s="996"/>
      <c r="JOF89" s="996"/>
      <c r="JOG89" s="996"/>
      <c r="JOH89" s="996"/>
      <c r="JOI89" s="996"/>
      <c r="JOJ89" s="996"/>
      <c r="JOK89" s="996"/>
      <c r="JOL89" s="996"/>
      <c r="JOM89" s="996"/>
      <c r="JON89" s="996"/>
      <c r="JOO89" s="996"/>
      <c r="JOP89" s="996"/>
      <c r="JOQ89" s="996"/>
      <c r="JOR89" s="996"/>
      <c r="JOS89" s="996"/>
      <c r="JOT89" s="996"/>
      <c r="JOU89" s="996"/>
      <c r="JOV89" s="996"/>
      <c r="JOW89" s="996"/>
      <c r="JOX89" s="996"/>
      <c r="JOY89" s="996"/>
      <c r="JOZ89" s="996"/>
      <c r="JPA89" s="996"/>
      <c r="JPB89" s="996"/>
      <c r="JPC89" s="996"/>
      <c r="JPD89" s="996"/>
      <c r="JPE89" s="996"/>
      <c r="JPF89" s="996"/>
      <c r="JPG89" s="996"/>
      <c r="JPH89" s="996"/>
      <c r="JPI89" s="996"/>
      <c r="JPJ89" s="996"/>
      <c r="JPK89" s="996"/>
      <c r="JPL89" s="996"/>
      <c r="JPM89" s="996"/>
      <c r="JPN89" s="996"/>
      <c r="JPO89" s="996"/>
      <c r="JPP89" s="996"/>
      <c r="JPQ89" s="996"/>
      <c r="JPR89" s="996"/>
      <c r="JPS89" s="996"/>
      <c r="JPT89" s="996"/>
      <c r="JPU89" s="996"/>
      <c r="JPV89" s="996"/>
      <c r="JPW89" s="996"/>
      <c r="JPX89" s="996"/>
      <c r="JPY89" s="996"/>
      <c r="JPZ89" s="996"/>
      <c r="JQA89" s="996"/>
      <c r="JQB89" s="996"/>
      <c r="JQC89" s="996"/>
      <c r="JQD89" s="996"/>
      <c r="JQE89" s="996"/>
      <c r="JQF89" s="996"/>
      <c r="JQG89" s="996"/>
      <c r="JQH89" s="996"/>
      <c r="JQI89" s="996"/>
      <c r="JQJ89" s="996"/>
      <c r="JQK89" s="996"/>
      <c r="JQL89" s="996"/>
      <c r="JQM89" s="996"/>
      <c r="JQN89" s="996"/>
      <c r="JQO89" s="996"/>
      <c r="JQP89" s="996"/>
      <c r="JQQ89" s="996"/>
      <c r="JQR89" s="996"/>
      <c r="JQS89" s="996"/>
      <c r="JQT89" s="996"/>
      <c r="JQU89" s="996"/>
      <c r="JQV89" s="996"/>
      <c r="JQW89" s="996"/>
      <c r="JQX89" s="996"/>
      <c r="JQY89" s="996"/>
      <c r="JQZ89" s="996"/>
      <c r="JRA89" s="996"/>
      <c r="JRB89" s="996"/>
      <c r="JRC89" s="996"/>
      <c r="JRD89" s="996"/>
      <c r="JRE89" s="996"/>
      <c r="JRF89" s="996"/>
      <c r="JRG89" s="996"/>
      <c r="JRH89" s="996"/>
      <c r="JRI89" s="996"/>
      <c r="JRJ89" s="996"/>
      <c r="JRK89" s="996"/>
      <c r="JRL89" s="996"/>
      <c r="JRM89" s="996"/>
      <c r="JRN89" s="996"/>
      <c r="JRO89" s="996"/>
      <c r="JRP89" s="996"/>
      <c r="JRQ89" s="996"/>
      <c r="JRR89" s="996"/>
      <c r="JRS89" s="996"/>
      <c r="JRT89" s="996"/>
      <c r="JRU89" s="996"/>
      <c r="JRV89" s="996"/>
      <c r="JRW89" s="996"/>
      <c r="JRX89" s="996"/>
      <c r="JRY89" s="996"/>
      <c r="JRZ89" s="996"/>
      <c r="JSA89" s="996"/>
      <c r="JSB89" s="996"/>
      <c r="JSC89" s="996"/>
      <c r="JSD89" s="996"/>
      <c r="JSE89" s="996"/>
      <c r="JSF89" s="996"/>
      <c r="JSG89" s="996"/>
      <c r="JSH89" s="996"/>
      <c r="JSI89" s="996"/>
      <c r="JSJ89" s="996"/>
      <c r="JSK89" s="996"/>
      <c r="JSL89" s="996"/>
      <c r="JSM89" s="996"/>
      <c r="JSN89" s="996"/>
      <c r="JSO89" s="996"/>
      <c r="JSP89" s="996"/>
      <c r="JSQ89" s="996"/>
      <c r="JSR89" s="996"/>
      <c r="JSS89" s="996"/>
      <c r="JST89" s="996"/>
      <c r="JSU89" s="996"/>
      <c r="JSV89" s="996"/>
      <c r="JSW89" s="996"/>
      <c r="JSX89" s="996"/>
      <c r="JSY89" s="996"/>
      <c r="JSZ89" s="996"/>
      <c r="JTA89" s="996"/>
      <c r="JTB89" s="996"/>
      <c r="JTC89" s="996"/>
      <c r="JTD89" s="996"/>
      <c r="JTE89" s="996"/>
      <c r="JTF89" s="996"/>
      <c r="JTG89" s="996"/>
      <c r="JTH89" s="996"/>
      <c r="JTI89" s="996"/>
      <c r="JTJ89" s="996"/>
      <c r="JTK89" s="996"/>
      <c r="JTL89" s="996"/>
      <c r="JTM89" s="996"/>
      <c r="JTN89" s="996"/>
      <c r="JTO89" s="996"/>
      <c r="JTP89" s="996"/>
      <c r="JTQ89" s="996"/>
      <c r="JTR89" s="996"/>
      <c r="JTS89" s="996"/>
      <c r="JTT89" s="996"/>
      <c r="JTU89" s="996"/>
      <c r="JTV89" s="996"/>
      <c r="JTW89" s="996"/>
      <c r="JTX89" s="996"/>
      <c r="JTY89" s="996"/>
      <c r="JTZ89" s="996"/>
      <c r="JUA89" s="996"/>
      <c r="JUB89" s="996"/>
      <c r="JUC89" s="996"/>
      <c r="JUD89" s="996"/>
      <c r="JUE89" s="996"/>
      <c r="JUF89" s="996"/>
      <c r="JUG89" s="996"/>
      <c r="JUH89" s="996"/>
      <c r="JUI89" s="996"/>
      <c r="JUJ89" s="996"/>
      <c r="JUK89" s="996"/>
      <c r="JUL89" s="996"/>
      <c r="JUM89" s="996"/>
      <c r="JUN89" s="996"/>
      <c r="JUO89" s="996"/>
      <c r="JUP89" s="996"/>
      <c r="JUQ89" s="996"/>
      <c r="JUR89" s="996"/>
      <c r="JUS89" s="996"/>
      <c r="JUT89" s="996"/>
      <c r="JUU89" s="996"/>
      <c r="JUV89" s="996"/>
      <c r="JUW89" s="996"/>
      <c r="JUX89" s="996"/>
      <c r="JUY89" s="996"/>
      <c r="JUZ89" s="996"/>
      <c r="JVA89" s="996"/>
      <c r="JVB89" s="996"/>
      <c r="JVC89" s="996"/>
      <c r="JVD89" s="996"/>
      <c r="JVE89" s="996"/>
      <c r="JVF89" s="996"/>
      <c r="JVG89" s="996"/>
      <c r="JVH89" s="996"/>
      <c r="JVI89" s="996"/>
      <c r="JVJ89" s="996"/>
      <c r="JVK89" s="996"/>
      <c r="JVL89" s="996"/>
      <c r="JVM89" s="996"/>
      <c r="JVN89" s="996"/>
      <c r="JVO89" s="996"/>
      <c r="JVP89" s="996"/>
      <c r="JVQ89" s="996"/>
      <c r="JVR89" s="996"/>
      <c r="JVS89" s="996"/>
      <c r="JVT89" s="996"/>
      <c r="JVU89" s="996"/>
      <c r="JVV89" s="996"/>
      <c r="JVW89" s="996"/>
      <c r="JVX89" s="996"/>
      <c r="JVY89" s="996"/>
      <c r="JVZ89" s="996"/>
      <c r="JWA89" s="996"/>
      <c r="JWB89" s="996"/>
      <c r="JWC89" s="996"/>
      <c r="JWD89" s="996"/>
      <c r="JWE89" s="996"/>
      <c r="JWF89" s="996"/>
      <c r="JWG89" s="996"/>
      <c r="JWH89" s="996"/>
      <c r="JWI89" s="996"/>
      <c r="JWJ89" s="996"/>
      <c r="JWK89" s="996"/>
      <c r="JWL89" s="996"/>
      <c r="JWM89" s="996"/>
      <c r="JWN89" s="996"/>
      <c r="JWO89" s="996"/>
      <c r="JWP89" s="996"/>
      <c r="JWQ89" s="996"/>
      <c r="JWR89" s="996"/>
      <c r="JWS89" s="996"/>
      <c r="JWT89" s="996"/>
      <c r="JWU89" s="996"/>
      <c r="JWV89" s="996"/>
      <c r="JWW89" s="996"/>
      <c r="JWX89" s="996"/>
      <c r="JWY89" s="996"/>
      <c r="JWZ89" s="996"/>
      <c r="JXA89" s="996"/>
      <c r="JXB89" s="996"/>
      <c r="JXC89" s="996"/>
      <c r="JXD89" s="996"/>
      <c r="JXE89" s="996"/>
      <c r="JXF89" s="996"/>
      <c r="JXG89" s="996"/>
      <c r="JXH89" s="996"/>
      <c r="JXI89" s="996"/>
      <c r="JXJ89" s="996"/>
      <c r="JXK89" s="996"/>
      <c r="JXL89" s="996"/>
      <c r="JXM89" s="996"/>
      <c r="JXN89" s="996"/>
      <c r="JXO89" s="996"/>
      <c r="JXP89" s="996"/>
      <c r="JXQ89" s="996"/>
      <c r="JXR89" s="996"/>
      <c r="JXS89" s="996"/>
      <c r="JXT89" s="996"/>
      <c r="JXU89" s="996"/>
      <c r="JXV89" s="996"/>
      <c r="JXW89" s="996"/>
      <c r="JXX89" s="996"/>
      <c r="JXY89" s="996"/>
      <c r="JXZ89" s="996"/>
      <c r="JYA89" s="996"/>
      <c r="JYB89" s="996"/>
      <c r="JYC89" s="996"/>
      <c r="JYD89" s="996"/>
      <c r="JYE89" s="996"/>
      <c r="JYF89" s="996"/>
      <c r="JYG89" s="996"/>
      <c r="JYH89" s="996"/>
      <c r="JYI89" s="996"/>
      <c r="JYJ89" s="996"/>
      <c r="JYK89" s="996"/>
      <c r="JYL89" s="996"/>
      <c r="JYM89" s="996"/>
      <c r="JYN89" s="996"/>
      <c r="JYO89" s="996"/>
      <c r="JYP89" s="996"/>
      <c r="JYQ89" s="996"/>
      <c r="JYR89" s="996"/>
      <c r="JYS89" s="996"/>
      <c r="JYT89" s="996"/>
      <c r="JYU89" s="996"/>
      <c r="JYV89" s="996"/>
      <c r="JYW89" s="996"/>
      <c r="JYX89" s="996"/>
      <c r="JYY89" s="996"/>
      <c r="JYZ89" s="996"/>
      <c r="JZA89" s="996"/>
      <c r="JZB89" s="996"/>
      <c r="JZC89" s="996"/>
      <c r="JZD89" s="996"/>
      <c r="JZE89" s="996"/>
      <c r="JZF89" s="996"/>
      <c r="JZG89" s="996"/>
      <c r="JZH89" s="996"/>
      <c r="JZI89" s="996"/>
      <c r="JZJ89" s="996"/>
      <c r="JZK89" s="996"/>
      <c r="JZL89" s="996"/>
      <c r="JZM89" s="996"/>
      <c r="JZN89" s="996"/>
      <c r="JZO89" s="996"/>
      <c r="JZP89" s="996"/>
      <c r="JZQ89" s="996"/>
      <c r="JZR89" s="996"/>
      <c r="JZS89" s="996"/>
      <c r="JZT89" s="996"/>
      <c r="JZU89" s="996"/>
      <c r="JZV89" s="996"/>
      <c r="JZW89" s="996"/>
      <c r="JZX89" s="996"/>
      <c r="JZY89" s="996"/>
      <c r="JZZ89" s="996"/>
      <c r="KAA89" s="996"/>
      <c r="KAB89" s="996"/>
      <c r="KAC89" s="996"/>
      <c r="KAD89" s="996"/>
      <c r="KAE89" s="996"/>
      <c r="KAF89" s="996"/>
      <c r="KAG89" s="996"/>
      <c r="KAH89" s="996"/>
      <c r="KAI89" s="996"/>
      <c r="KAJ89" s="996"/>
      <c r="KAK89" s="996"/>
      <c r="KAL89" s="996"/>
      <c r="KAM89" s="996"/>
      <c r="KAN89" s="996"/>
      <c r="KAO89" s="996"/>
      <c r="KAP89" s="996"/>
      <c r="KAQ89" s="996"/>
      <c r="KAR89" s="996"/>
      <c r="KAS89" s="996"/>
      <c r="KAT89" s="996"/>
      <c r="KAU89" s="996"/>
      <c r="KAV89" s="996"/>
      <c r="KAW89" s="996"/>
      <c r="KAX89" s="996"/>
      <c r="KAY89" s="996"/>
      <c r="KAZ89" s="996"/>
      <c r="KBA89" s="996"/>
      <c r="KBB89" s="996"/>
      <c r="KBC89" s="996"/>
      <c r="KBD89" s="996"/>
      <c r="KBE89" s="996"/>
      <c r="KBF89" s="996"/>
      <c r="KBG89" s="996"/>
      <c r="KBH89" s="996"/>
      <c r="KBI89" s="996"/>
      <c r="KBJ89" s="996"/>
      <c r="KBK89" s="996"/>
      <c r="KBL89" s="996"/>
      <c r="KBM89" s="996"/>
      <c r="KBN89" s="996"/>
      <c r="KBO89" s="996"/>
      <c r="KBP89" s="996"/>
      <c r="KBQ89" s="996"/>
      <c r="KBR89" s="996"/>
      <c r="KBS89" s="996"/>
      <c r="KBT89" s="996"/>
      <c r="KBU89" s="996"/>
      <c r="KBV89" s="996"/>
      <c r="KBW89" s="996"/>
      <c r="KBX89" s="996"/>
      <c r="KBY89" s="996"/>
      <c r="KBZ89" s="996"/>
      <c r="KCA89" s="996"/>
      <c r="KCB89" s="996"/>
      <c r="KCC89" s="996"/>
      <c r="KCD89" s="996"/>
      <c r="KCE89" s="996"/>
      <c r="KCF89" s="996"/>
      <c r="KCG89" s="996"/>
      <c r="KCH89" s="996"/>
      <c r="KCI89" s="996"/>
      <c r="KCJ89" s="996"/>
      <c r="KCK89" s="996"/>
      <c r="KCL89" s="996"/>
      <c r="KCM89" s="996"/>
      <c r="KCN89" s="996"/>
      <c r="KCO89" s="996"/>
      <c r="KCP89" s="996"/>
      <c r="KCQ89" s="996"/>
      <c r="KCR89" s="996"/>
      <c r="KCS89" s="996"/>
      <c r="KCT89" s="996"/>
      <c r="KCU89" s="996"/>
      <c r="KCV89" s="996"/>
      <c r="KCW89" s="996"/>
      <c r="KCX89" s="996"/>
      <c r="KCY89" s="996"/>
      <c r="KCZ89" s="996"/>
      <c r="KDA89" s="996"/>
      <c r="KDB89" s="996"/>
      <c r="KDC89" s="996"/>
      <c r="KDD89" s="996"/>
      <c r="KDE89" s="996"/>
      <c r="KDF89" s="996"/>
      <c r="KDG89" s="996"/>
      <c r="KDH89" s="996"/>
      <c r="KDI89" s="996"/>
      <c r="KDJ89" s="996"/>
      <c r="KDK89" s="996"/>
      <c r="KDL89" s="996"/>
      <c r="KDM89" s="996"/>
      <c r="KDN89" s="996"/>
      <c r="KDO89" s="996"/>
      <c r="KDP89" s="996"/>
      <c r="KDQ89" s="996"/>
      <c r="KDR89" s="996"/>
      <c r="KDS89" s="996"/>
      <c r="KDT89" s="996"/>
      <c r="KDU89" s="996"/>
      <c r="KDV89" s="996"/>
      <c r="KDW89" s="996"/>
      <c r="KDX89" s="996"/>
      <c r="KDY89" s="996"/>
      <c r="KDZ89" s="996"/>
      <c r="KEA89" s="996"/>
      <c r="KEB89" s="996"/>
      <c r="KEC89" s="996"/>
      <c r="KED89" s="996"/>
      <c r="KEE89" s="996"/>
      <c r="KEF89" s="996"/>
      <c r="KEG89" s="996"/>
      <c r="KEH89" s="996"/>
      <c r="KEI89" s="996"/>
      <c r="KEJ89" s="996"/>
      <c r="KEK89" s="996"/>
      <c r="KEL89" s="996"/>
      <c r="KEM89" s="996"/>
      <c r="KEN89" s="996"/>
      <c r="KEO89" s="996"/>
      <c r="KEP89" s="996"/>
      <c r="KEQ89" s="996"/>
      <c r="KER89" s="996"/>
      <c r="KES89" s="996"/>
      <c r="KET89" s="996"/>
      <c r="KEU89" s="996"/>
      <c r="KEV89" s="996"/>
      <c r="KEW89" s="996"/>
      <c r="KEX89" s="996"/>
      <c r="KEY89" s="996"/>
      <c r="KEZ89" s="996"/>
      <c r="KFA89" s="996"/>
      <c r="KFB89" s="996"/>
      <c r="KFC89" s="996"/>
      <c r="KFD89" s="996"/>
      <c r="KFE89" s="996"/>
      <c r="KFF89" s="996"/>
      <c r="KFG89" s="996"/>
      <c r="KFH89" s="996"/>
      <c r="KFI89" s="996"/>
      <c r="KFJ89" s="996"/>
      <c r="KFK89" s="996"/>
      <c r="KFL89" s="996"/>
      <c r="KFM89" s="996"/>
      <c r="KFN89" s="996"/>
      <c r="KFO89" s="996"/>
      <c r="KFP89" s="996"/>
      <c r="KFQ89" s="996"/>
      <c r="KFR89" s="996"/>
      <c r="KFS89" s="996"/>
      <c r="KFT89" s="996"/>
      <c r="KFU89" s="996"/>
      <c r="KFV89" s="996"/>
      <c r="KFW89" s="996"/>
      <c r="KFX89" s="996"/>
      <c r="KFY89" s="996"/>
      <c r="KFZ89" s="996"/>
      <c r="KGA89" s="996"/>
      <c r="KGB89" s="996"/>
      <c r="KGC89" s="996"/>
      <c r="KGD89" s="996"/>
      <c r="KGE89" s="996"/>
      <c r="KGF89" s="996"/>
      <c r="KGG89" s="996"/>
      <c r="KGH89" s="996"/>
      <c r="KGI89" s="996"/>
      <c r="KGJ89" s="996"/>
      <c r="KGK89" s="996"/>
      <c r="KGL89" s="996"/>
      <c r="KGM89" s="996"/>
      <c r="KGN89" s="996"/>
      <c r="KGO89" s="996"/>
      <c r="KGP89" s="996"/>
      <c r="KGQ89" s="996"/>
      <c r="KGR89" s="996"/>
      <c r="KGS89" s="996"/>
      <c r="KGT89" s="996"/>
      <c r="KGU89" s="996"/>
      <c r="KGV89" s="996"/>
      <c r="KGW89" s="996"/>
      <c r="KGX89" s="996"/>
      <c r="KGY89" s="996"/>
      <c r="KGZ89" s="996"/>
      <c r="KHA89" s="996"/>
      <c r="KHB89" s="996"/>
      <c r="KHC89" s="996"/>
      <c r="KHD89" s="996"/>
      <c r="KHE89" s="996"/>
      <c r="KHF89" s="996"/>
      <c r="KHG89" s="996"/>
      <c r="KHH89" s="996"/>
      <c r="KHI89" s="996"/>
      <c r="KHJ89" s="996"/>
      <c r="KHK89" s="996"/>
      <c r="KHL89" s="996"/>
      <c r="KHM89" s="996"/>
      <c r="KHN89" s="996"/>
      <c r="KHO89" s="996"/>
      <c r="KHP89" s="996"/>
      <c r="KHQ89" s="996"/>
      <c r="KHR89" s="996"/>
      <c r="KHS89" s="996"/>
      <c r="KHT89" s="996"/>
      <c r="KHU89" s="996"/>
      <c r="KHV89" s="996"/>
      <c r="KHW89" s="996"/>
      <c r="KHX89" s="996"/>
      <c r="KHY89" s="996"/>
      <c r="KHZ89" s="996"/>
      <c r="KIA89" s="996"/>
      <c r="KIB89" s="996"/>
      <c r="KIC89" s="996"/>
      <c r="KID89" s="996"/>
      <c r="KIE89" s="996"/>
      <c r="KIF89" s="996"/>
      <c r="KIG89" s="996"/>
      <c r="KIH89" s="996"/>
      <c r="KII89" s="996"/>
      <c r="KIJ89" s="996"/>
      <c r="KIK89" s="996"/>
      <c r="KIL89" s="996"/>
      <c r="KIM89" s="996"/>
      <c r="KIN89" s="996"/>
      <c r="KIO89" s="996"/>
      <c r="KIP89" s="996"/>
      <c r="KIQ89" s="996"/>
      <c r="KIR89" s="996"/>
      <c r="KIS89" s="996"/>
      <c r="KIT89" s="996"/>
      <c r="KIU89" s="996"/>
      <c r="KIV89" s="996"/>
      <c r="KIW89" s="996"/>
      <c r="KIX89" s="996"/>
      <c r="KIY89" s="996"/>
      <c r="KIZ89" s="996"/>
      <c r="KJA89" s="996"/>
      <c r="KJB89" s="996"/>
      <c r="KJC89" s="996"/>
      <c r="KJD89" s="996"/>
      <c r="KJE89" s="996"/>
      <c r="KJF89" s="996"/>
      <c r="KJG89" s="996"/>
      <c r="KJH89" s="996"/>
      <c r="KJI89" s="996"/>
      <c r="KJJ89" s="996"/>
      <c r="KJK89" s="996"/>
      <c r="KJL89" s="996"/>
      <c r="KJM89" s="996"/>
      <c r="KJN89" s="996"/>
      <c r="KJO89" s="996"/>
      <c r="KJP89" s="996"/>
      <c r="KJQ89" s="996"/>
      <c r="KJR89" s="996"/>
      <c r="KJS89" s="996"/>
      <c r="KJT89" s="996"/>
      <c r="KJU89" s="996"/>
      <c r="KJV89" s="996"/>
      <c r="KJW89" s="996"/>
      <c r="KJX89" s="996"/>
      <c r="KJY89" s="996"/>
      <c r="KJZ89" s="996"/>
      <c r="KKA89" s="996"/>
      <c r="KKB89" s="996"/>
      <c r="KKC89" s="996"/>
      <c r="KKD89" s="996"/>
      <c r="KKE89" s="996"/>
      <c r="KKF89" s="996"/>
      <c r="KKG89" s="996"/>
      <c r="KKH89" s="996"/>
      <c r="KKI89" s="996"/>
      <c r="KKJ89" s="996"/>
      <c r="KKK89" s="996"/>
      <c r="KKL89" s="996"/>
      <c r="KKM89" s="996"/>
      <c r="KKN89" s="996"/>
      <c r="KKO89" s="996"/>
      <c r="KKP89" s="996"/>
      <c r="KKQ89" s="996"/>
      <c r="KKR89" s="996"/>
      <c r="KKS89" s="996"/>
      <c r="KKT89" s="996"/>
      <c r="KKU89" s="996"/>
      <c r="KKV89" s="996"/>
      <c r="KKW89" s="996"/>
      <c r="KKX89" s="996"/>
      <c r="KKY89" s="996"/>
      <c r="KKZ89" s="996"/>
      <c r="KLA89" s="996"/>
      <c r="KLB89" s="996"/>
      <c r="KLC89" s="996"/>
      <c r="KLD89" s="996"/>
      <c r="KLE89" s="996"/>
      <c r="KLF89" s="996"/>
      <c r="KLG89" s="996"/>
      <c r="KLH89" s="996"/>
      <c r="KLI89" s="996"/>
      <c r="KLJ89" s="996"/>
      <c r="KLK89" s="996"/>
      <c r="KLL89" s="996"/>
      <c r="KLM89" s="996"/>
      <c r="KLN89" s="996"/>
      <c r="KLO89" s="996"/>
      <c r="KLP89" s="996"/>
      <c r="KLQ89" s="996"/>
      <c r="KLR89" s="996"/>
      <c r="KLS89" s="996"/>
      <c r="KLT89" s="996"/>
      <c r="KLU89" s="996"/>
      <c r="KLV89" s="996"/>
      <c r="KLW89" s="996"/>
      <c r="KLX89" s="996"/>
      <c r="KLY89" s="996"/>
      <c r="KLZ89" s="996"/>
      <c r="KMA89" s="996"/>
      <c r="KMB89" s="996"/>
      <c r="KMC89" s="996"/>
      <c r="KMD89" s="996"/>
      <c r="KME89" s="996"/>
      <c r="KMF89" s="996"/>
      <c r="KMG89" s="996"/>
      <c r="KMH89" s="996"/>
      <c r="KMI89" s="996"/>
      <c r="KMJ89" s="996"/>
      <c r="KMK89" s="996"/>
      <c r="KML89" s="996"/>
      <c r="KMM89" s="996"/>
      <c r="KMN89" s="996"/>
      <c r="KMO89" s="996"/>
      <c r="KMP89" s="996"/>
      <c r="KMQ89" s="996"/>
      <c r="KMR89" s="996"/>
      <c r="KMS89" s="996"/>
      <c r="KMT89" s="996"/>
      <c r="KMU89" s="996"/>
      <c r="KMV89" s="996"/>
      <c r="KMW89" s="996"/>
      <c r="KMX89" s="996"/>
      <c r="KMY89" s="996"/>
      <c r="KMZ89" s="996"/>
      <c r="KNA89" s="996"/>
      <c r="KNB89" s="996"/>
      <c r="KNC89" s="996"/>
      <c r="KND89" s="996"/>
      <c r="KNE89" s="996"/>
      <c r="KNF89" s="996"/>
      <c r="KNG89" s="996"/>
      <c r="KNH89" s="996"/>
      <c r="KNI89" s="996"/>
      <c r="KNJ89" s="996"/>
      <c r="KNK89" s="996"/>
      <c r="KNL89" s="996"/>
      <c r="KNM89" s="996"/>
      <c r="KNN89" s="996"/>
      <c r="KNO89" s="996"/>
      <c r="KNP89" s="996"/>
      <c r="KNQ89" s="996"/>
      <c r="KNR89" s="996"/>
      <c r="KNS89" s="996"/>
      <c r="KNT89" s="996"/>
      <c r="KNU89" s="996"/>
      <c r="KNV89" s="996"/>
      <c r="KNW89" s="996"/>
      <c r="KNX89" s="996"/>
      <c r="KNY89" s="996"/>
      <c r="KNZ89" s="996"/>
      <c r="KOA89" s="996"/>
      <c r="KOB89" s="996"/>
      <c r="KOC89" s="996"/>
      <c r="KOD89" s="996"/>
      <c r="KOE89" s="996"/>
      <c r="KOF89" s="996"/>
      <c r="KOG89" s="996"/>
      <c r="KOH89" s="996"/>
      <c r="KOI89" s="996"/>
      <c r="KOJ89" s="996"/>
      <c r="KOK89" s="996"/>
      <c r="KOL89" s="996"/>
      <c r="KOM89" s="996"/>
      <c r="KON89" s="996"/>
      <c r="KOO89" s="996"/>
      <c r="KOP89" s="996"/>
      <c r="KOQ89" s="996"/>
      <c r="KOR89" s="996"/>
      <c r="KOS89" s="996"/>
      <c r="KOT89" s="996"/>
      <c r="KOU89" s="996"/>
      <c r="KOV89" s="996"/>
      <c r="KOW89" s="996"/>
      <c r="KOX89" s="996"/>
      <c r="KOY89" s="996"/>
      <c r="KOZ89" s="996"/>
      <c r="KPA89" s="996"/>
      <c r="KPB89" s="996"/>
      <c r="KPC89" s="996"/>
      <c r="KPD89" s="996"/>
      <c r="KPE89" s="996"/>
      <c r="KPF89" s="996"/>
      <c r="KPG89" s="996"/>
      <c r="KPH89" s="996"/>
      <c r="KPI89" s="996"/>
      <c r="KPJ89" s="996"/>
      <c r="KPK89" s="996"/>
      <c r="KPL89" s="996"/>
      <c r="KPM89" s="996"/>
      <c r="KPN89" s="996"/>
      <c r="KPO89" s="996"/>
      <c r="KPP89" s="996"/>
      <c r="KPQ89" s="996"/>
      <c r="KPR89" s="996"/>
      <c r="KPS89" s="996"/>
      <c r="KPT89" s="996"/>
      <c r="KPU89" s="996"/>
      <c r="KPV89" s="996"/>
      <c r="KPW89" s="996"/>
      <c r="KPX89" s="996"/>
      <c r="KPY89" s="996"/>
      <c r="KPZ89" s="996"/>
      <c r="KQA89" s="996"/>
      <c r="KQB89" s="996"/>
      <c r="KQC89" s="996"/>
      <c r="KQD89" s="996"/>
      <c r="KQE89" s="996"/>
      <c r="KQF89" s="996"/>
      <c r="KQG89" s="996"/>
      <c r="KQH89" s="996"/>
      <c r="KQI89" s="996"/>
      <c r="KQJ89" s="996"/>
      <c r="KQK89" s="996"/>
      <c r="KQL89" s="996"/>
      <c r="KQM89" s="996"/>
      <c r="KQN89" s="996"/>
      <c r="KQO89" s="996"/>
      <c r="KQP89" s="996"/>
      <c r="KQQ89" s="996"/>
      <c r="KQR89" s="996"/>
      <c r="KQS89" s="996"/>
      <c r="KQT89" s="996"/>
      <c r="KQU89" s="996"/>
      <c r="KQV89" s="996"/>
      <c r="KQW89" s="996"/>
      <c r="KQX89" s="996"/>
      <c r="KQY89" s="996"/>
      <c r="KQZ89" s="996"/>
      <c r="KRA89" s="996"/>
      <c r="KRB89" s="996"/>
      <c r="KRC89" s="996"/>
      <c r="KRD89" s="996"/>
      <c r="KRE89" s="996"/>
      <c r="KRF89" s="996"/>
      <c r="KRG89" s="996"/>
      <c r="KRH89" s="996"/>
      <c r="KRI89" s="996"/>
      <c r="KRJ89" s="996"/>
      <c r="KRK89" s="996"/>
      <c r="KRL89" s="996"/>
      <c r="KRM89" s="996"/>
      <c r="KRN89" s="996"/>
      <c r="KRO89" s="996"/>
      <c r="KRP89" s="996"/>
      <c r="KRQ89" s="996"/>
      <c r="KRR89" s="996"/>
      <c r="KRS89" s="996"/>
      <c r="KRT89" s="996"/>
      <c r="KRU89" s="996"/>
      <c r="KRV89" s="996"/>
      <c r="KRW89" s="996"/>
      <c r="KRX89" s="996"/>
      <c r="KRY89" s="996"/>
      <c r="KRZ89" s="996"/>
      <c r="KSA89" s="996"/>
      <c r="KSB89" s="996"/>
      <c r="KSC89" s="996"/>
      <c r="KSD89" s="996"/>
      <c r="KSE89" s="996"/>
      <c r="KSF89" s="996"/>
      <c r="KSG89" s="996"/>
      <c r="KSH89" s="996"/>
      <c r="KSI89" s="996"/>
      <c r="KSJ89" s="996"/>
      <c r="KSK89" s="996"/>
      <c r="KSL89" s="996"/>
      <c r="KSM89" s="996"/>
      <c r="KSN89" s="996"/>
      <c r="KSO89" s="996"/>
      <c r="KSP89" s="996"/>
      <c r="KSQ89" s="996"/>
      <c r="KSR89" s="996"/>
      <c r="KSS89" s="996"/>
      <c r="KST89" s="996"/>
      <c r="KSU89" s="996"/>
      <c r="KSV89" s="996"/>
      <c r="KSW89" s="996"/>
      <c r="KSX89" s="996"/>
      <c r="KSY89" s="996"/>
      <c r="KSZ89" s="996"/>
      <c r="KTA89" s="996"/>
      <c r="KTB89" s="996"/>
      <c r="KTC89" s="996"/>
      <c r="KTD89" s="996"/>
      <c r="KTE89" s="996"/>
      <c r="KTF89" s="996"/>
      <c r="KTG89" s="996"/>
      <c r="KTH89" s="996"/>
      <c r="KTI89" s="996"/>
      <c r="KTJ89" s="996"/>
      <c r="KTK89" s="996"/>
      <c r="KTL89" s="996"/>
      <c r="KTM89" s="996"/>
      <c r="KTN89" s="996"/>
      <c r="KTO89" s="996"/>
      <c r="KTP89" s="996"/>
      <c r="KTQ89" s="996"/>
      <c r="KTR89" s="996"/>
      <c r="KTS89" s="996"/>
      <c r="KTT89" s="996"/>
      <c r="KTU89" s="996"/>
      <c r="KTV89" s="996"/>
      <c r="KTW89" s="996"/>
      <c r="KTX89" s="996"/>
      <c r="KTY89" s="996"/>
      <c r="KTZ89" s="996"/>
      <c r="KUA89" s="996"/>
      <c r="KUB89" s="996"/>
      <c r="KUC89" s="996"/>
      <c r="KUD89" s="996"/>
      <c r="KUE89" s="996"/>
      <c r="KUF89" s="996"/>
      <c r="KUG89" s="996"/>
      <c r="KUH89" s="996"/>
      <c r="KUI89" s="996"/>
      <c r="KUJ89" s="996"/>
      <c r="KUK89" s="996"/>
      <c r="KUL89" s="996"/>
      <c r="KUM89" s="996"/>
      <c r="KUN89" s="996"/>
      <c r="KUO89" s="996"/>
      <c r="KUP89" s="996"/>
      <c r="KUQ89" s="996"/>
      <c r="KUR89" s="996"/>
      <c r="KUS89" s="996"/>
      <c r="KUT89" s="996"/>
      <c r="KUU89" s="996"/>
      <c r="KUV89" s="996"/>
      <c r="KUW89" s="996"/>
      <c r="KUX89" s="996"/>
      <c r="KUY89" s="996"/>
      <c r="KUZ89" s="996"/>
      <c r="KVA89" s="996"/>
      <c r="KVB89" s="996"/>
      <c r="KVC89" s="996"/>
      <c r="KVD89" s="996"/>
      <c r="KVE89" s="996"/>
      <c r="KVF89" s="996"/>
      <c r="KVG89" s="996"/>
      <c r="KVH89" s="996"/>
      <c r="KVI89" s="996"/>
      <c r="KVJ89" s="996"/>
      <c r="KVK89" s="996"/>
      <c r="KVL89" s="996"/>
      <c r="KVM89" s="996"/>
      <c r="KVN89" s="996"/>
      <c r="KVO89" s="996"/>
      <c r="KVP89" s="996"/>
      <c r="KVQ89" s="996"/>
      <c r="KVR89" s="996"/>
      <c r="KVS89" s="996"/>
      <c r="KVT89" s="996"/>
      <c r="KVU89" s="996"/>
      <c r="KVV89" s="996"/>
      <c r="KVW89" s="996"/>
      <c r="KVX89" s="996"/>
      <c r="KVY89" s="996"/>
      <c r="KVZ89" s="996"/>
      <c r="KWA89" s="996"/>
      <c r="KWB89" s="996"/>
      <c r="KWC89" s="996"/>
      <c r="KWD89" s="996"/>
      <c r="KWE89" s="996"/>
      <c r="KWF89" s="996"/>
      <c r="KWG89" s="996"/>
      <c r="KWH89" s="996"/>
      <c r="KWI89" s="996"/>
      <c r="KWJ89" s="996"/>
      <c r="KWK89" s="996"/>
      <c r="KWL89" s="996"/>
      <c r="KWM89" s="996"/>
      <c r="KWN89" s="996"/>
      <c r="KWO89" s="996"/>
      <c r="KWP89" s="996"/>
      <c r="KWQ89" s="996"/>
      <c r="KWR89" s="996"/>
      <c r="KWS89" s="996"/>
      <c r="KWT89" s="996"/>
      <c r="KWU89" s="996"/>
      <c r="KWV89" s="996"/>
      <c r="KWW89" s="996"/>
      <c r="KWX89" s="996"/>
      <c r="KWY89" s="996"/>
      <c r="KWZ89" s="996"/>
      <c r="KXA89" s="996"/>
      <c r="KXB89" s="996"/>
      <c r="KXC89" s="996"/>
      <c r="KXD89" s="996"/>
      <c r="KXE89" s="996"/>
      <c r="KXF89" s="996"/>
      <c r="KXG89" s="996"/>
      <c r="KXH89" s="996"/>
      <c r="KXI89" s="996"/>
      <c r="KXJ89" s="996"/>
      <c r="KXK89" s="996"/>
      <c r="KXL89" s="996"/>
      <c r="KXM89" s="996"/>
      <c r="KXN89" s="996"/>
      <c r="KXO89" s="996"/>
      <c r="KXP89" s="996"/>
      <c r="KXQ89" s="996"/>
      <c r="KXR89" s="996"/>
      <c r="KXS89" s="996"/>
      <c r="KXT89" s="996"/>
      <c r="KXU89" s="996"/>
      <c r="KXV89" s="996"/>
      <c r="KXW89" s="996"/>
      <c r="KXX89" s="996"/>
      <c r="KXY89" s="996"/>
      <c r="KXZ89" s="996"/>
      <c r="KYA89" s="996"/>
      <c r="KYB89" s="996"/>
      <c r="KYC89" s="996"/>
      <c r="KYD89" s="996"/>
      <c r="KYE89" s="996"/>
      <c r="KYF89" s="996"/>
      <c r="KYG89" s="996"/>
      <c r="KYH89" s="996"/>
      <c r="KYI89" s="996"/>
      <c r="KYJ89" s="996"/>
      <c r="KYK89" s="996"/>
      <c r="KYL89" s="996"/>
      <c r="KYM89" s="996"/>
      <c r="KYN89" s="996"/>
      <c r="KYO89" s="996"/>
      <c r="KYP89" s="996"/>
      <c r="KYQ89" s="996"/>
      <c r="KYR89" s="996"/>
      <c r="KYS89" s="996"/>
      <c r="KYT89" s="996"/>
      <c r="KYU89" s="996"/>
      <c r="KYV89" s="996"/>
      <c r="KYW89" s="996"/>
      <c r="KYX89" s="996"/>
      <c r="KYY89" s="996"/>
      <c r="KYZ89" s="996"/>
      <c r="KZA89" s="996"/>
      <c r="KZB89" s="996"/>
      <c r="KZC89" s="996"/>
      <c r="KZD89" s="996"/>
      <c r="KZE89" s="996"/>
      <c r="KZF89" s="996"/>
      <c r="KZG89" s="996"/>
      <c r="KZH89" s="996"/>
      <c r="KZI89" s="996"/>
      <c r="KZJ89" s="996"/>
      <c r="KZK89" s="996"/>
      <c r="KZL89" s="996"/>
      <c r="KZM89" s="996"/>
      <c r="KZN89" s="996"/>
      <c r="KZO89" s="996"/>
      <c r="KZP89" s="996"/>
      <c r="KZQ89" s="996"/>
      <c r="KZR89" s="996"/>
      <c r="KZS89" s="996"/>
      <c r="KZT89" s="996"/>
      <c r="KZU89" s="996"/>
      <c r="KZV89" s="996"/>
      <c r="KZW89" s="996"/>
      <c r="KZX89" s="996"/>
      <c r="KZY89" s="996"/>
      <c r="KZZ89" s="996"/>
      <c r="LAA89" s="996"/>
      <c r="LAB89" s="996"/>
      <c r="LAC89" s="996"/>
      <c r="LAD89" s="996"/>
      <c r="LAE89" s="996"/>
      <c r="LAF89" s="996"/>
      <c r="LAG89" s="996"/>
      <c r="LAH89" s="996"/>
      <c r="LAI89" s="996"/>
      <c r="LAJ89" s="996"/>
      <c r="LAK89" s="996"/>
      <c r="LAL89" s="996"/>
      <c r="LAM89" s="996"/>
      <c r="LAN89" s="996"/>
      <c r="LAO89" s="996"/>
      <c r="LAP89" s="996"/>
      <c r="LAQ89" s="996"/>
      <c r="LAR89" s="996"/>
      <c r="LAS89" s="996"/>
      <c r="LAT89" s="996"/>
      <c r="LAU89" s="996"/>
      <c r="LAV89" s="996"/>
      <c r="LAW89" s="996"/>
      <c r="LAX89" s="996"/>
      <c r="LAY89" s="996"/>
      <c r="LAZ89" s="996"/>
      <c r="LBA89" s="996"/>
      <c r="LBB89" s="996"/>
      <c r="LBC89" s="996"/>
      <c r="LBD89" s="996"/>
      <c r="LBE89" s="996"/>
      <c r="LBF89" s="996"/>
      <c r="LBG89" s="996"/>
      <c r="LBH89" s="996"/>
      <c r="LBI89" s="996"/>
      <c r="LBJ89" s="996"/>
      <c r="LBK89" s="996"/>
      <c r="LBL89" s="996"/>
      <c r="LBM89" s="996"/>
      <c r="LBN89" s="996"/>
      <c r="LBO89" s="996"/>
      <c r="LBP89" s="996"/>
      <c r="LBQ89" s="996"/>
      <c r="LBR89" s="996"/>
      <c r="LBS89" s="996"/>
      <c r="LBT89" s="996"/>
      <c r="LBU89" s="996"/>
      <c r="LBV89" s="996"/>
      <c r="LBW89" s="996"/>
      <c r="LBX89" s="996"/>
      <c r="LBY89" s="996"/>
      <c r="LBZ89" s="996"/>
      <c r="LCA89" s="996"/>
      <c r="LCB89" s="996"/>
      <c r="LCC89" s="996"/>
      <c r="LCD89" s="996"/>
      <c r="LCE89" s="996"/>
      <c r="LCF89" s="996"/>
      <c r="LCG89" s="996"/>
      <c r="LCH89" s="996"/>
      <c r="LCI89" s="996"/>
      <c r="LCJ89" s="996"/>
      <c r="LCK89" s="996"/>
      <c r="LCL89" s="996"/>
      <c r="LCM89" s="996"/>
      <c r="LCN89" s="996"/>
      <c r="LCO89" s="996"/>
      <c r="LCP89" s="996"/>
      <c r="LCQ89" s="996"/>
      <c r="LCR89" s="996"/>
      <c r="LCS89" s="996"/>
      <c r="LCT89" s="996"/>
      <c r="LCU89" s="996"/>
      <c r="LCV89" s="996"/>
      <c r="LCW89" s="996"/>
      <c r="LCX89" s="996"/>
      <c r="LCY89" s="996"/>
      <c r="LCZ89" s="996"/>
      <c r="LDA89" s="996"/>
      <c r="LDB89" s="996"/>
      <c r="LDC89" s="996"/>
      <c r="LDD89" s="996"/>
      <c r="LDE89" s="996"/>
      <c r="LDF89" s="996"/>
      <c r="LDG89" s="996"/>
      <c r="LDH89" s="996"/>
      <c r="LDI89" s="996"/>
      <c r="LDJ89" s="996"/>
      <c r="LDK89" s="996"/>
      <c r="LDL89" s="996"/>
      <c r="LDM89" s="996"/>
      <c r="LDN89" s="996"/>
      <c r="LDO89" s="996"/>
      <c r="LDP89" s="996"/>
      <c r="LDQ89" s="996"/>
      <c r="LDR89" s="996"/>
      <c r="LDS89" s="996"/>
      <c r="LDT89" s="996"/>
      <c r="LDU89" s="996"/>
      <c r="LDV89" s="996"/>
      <c r="LDW89" s="996"/>
      <c r="LDX89" s="996"/>
      <c r="LDY89" s="996"/>
      <c r="LDZ89" s="996"/>
      <c r="LEA89" s="996"/>
      <c r="LEB89" s="996"/>
      <c r="LEC89" s="996"/>
      <c r="LED89" s="996"/>
      <c r="LEE89" s="996"/>
      <c r="LEF89" s="996"/>
      <c r="LEG89" s="996"/>
      <c r="LEH89" s="996"/>
      <c r="LEI89" s="996"/>
      <c r="LEJ89" s="996"/>
      <c r="LEK89" s="996"/>
      <c r="LEL89" s="996"/>
      <c r="LEM89" s="996"/>
      <c r="LEN89" s="996"/>
      <c r="LEO89" s="996"/>
      <c r="LEP89" s="996"/>
      <c r="LEQ89" s="996"/>
      <c r="LER89" s="996"/>
      <c r="LES89" s="996"/>
      <c r="LET89" s="996"/>
      <c r="LEU89" s="996"/>
      <c r="LEV89" s="996"/>
      <c r="LEW89" s="996"/>
      <c r="LEX89" s="996"/>
      <c r="LEY89" s="996"/>
      <c r="LEZ89" s="996"/>
      <c r="LFA89" s="996"/>
      <c r="LFB89" s="996"/>
      <c r="LFC89" s="996"/>
      <c r="LFD89" s="996"/>
      <c r="LFE89" s="996"/>
      <c r="LFF89" s="996"/>
      <c r="LFG89" s="996"/>
      <c r="LFH89" s="996"/>
      <c r="LFI89" s="996"/>
      <c r="LFJ89" s="996"/>
      <c r="LFK89" s="996"/>
      <c r="LFL89" s="996"/>
      <c r="LFM89" s="996"/>
      <c r="LFN89" s="996"/>
      <c r="LFO89" s="996"/>
      <c r="LFP89" s="996"/>
      <c r="LFQ89" s="996"/>
      <c r="LFR89" s="996"/>
      <c r="LFS89" s="996"/>
      <c r="LFT89" s="996"/>
      <c r="LFU89" s="996"/>
      <c r="LFV89" s="996"/>
      <c r="LFW89" s="996"/>
      <c r="LFX89" s="996"/>
      <c r="LFY89" s="996"/>
      <c r="LFZ89" s="996"/>
      <c r="LGA89" s="996"/>
      <c r="LGB89" s="996"/>
      <c r="LGC89" s="996"/>
      <c r="LGD89" s="996"/>
      <c r="LGE89" s="996"/>
      <c r="LGF89" s="996"/>
      <c r="LGG89" s="996"/>
      <c r="LGH89" s="996"/>
      <c r="LGI89" s="996"/>
      <c r="LGJ89" s="996"/>
      <c r="LGK89" s="996"/>
      <c r="LGL89" s="996"/>
      <c r="LGM89" s="996"/>
      <c r="LGN89" s="996"/>
      <c r="LGO89" s="996"/>
      <c r="LGP89" s="996"/>
      <c r="LGQ89" s="996"/>
      <c r="LGR89" s="996"/>
      <c r="LGS89" s="996"/>
      <c r="LGT89" s="996"/>
      <c r="LGU89" s="996"/>
      <c r="LGV89" s="996"/>
      <c r="LGW89" s="996"/>
      <c r="LGX89" s="996"/>
      <c r="LGY89" s="996"/>
      <c r="LGZ89" s="996"/>
      <c r="LHA89" s="996"/>
      <c r="LHB89" s="996"/>
      <c r="LHC89" s="996"/>
      <c r="LHD89" s="996"/>
      <c r="LHE89" s="996"/>
      <c r="LHF89" s="996"/>
      <c r="LHG89" s="996"/>
      <c r="LHH89" s="996"/>
      <c r="LHI89" s="996"/>
      <c r="LHJ89" s="996"/>
      <c r="LHK89" s="996"/>
      <c r="LHL89" s="996"/>
      <c r="LHM89" s="996"/>
      <c r="LHN89" s="996"/>
      <c r="LHO89" s="996"/>
      <c r="LHP89" s="996"/>
      <c r="LHQ89" s="996"/>
      <c r="LHR89" s="996"/>
      <c r="LHS89" s="996"/>
      <c r="LHT89" s="996"/>
      <c r="LHU89" s="996"/>
      <c r="LHV89" s="996"/>
      <c r="LHW89" s="996"/>
      <c r="LHX89" s="996"/>
      <c r="LHY89" s="996"/>
      <c r="LHZ89" s="996"/>
      <c r="LIA89" s="996"/>
      <c r="LIB89" s="996"/>
      <c r="LIC89" s="996"/>
      <c r="LID89" s="996"/>
      <c r="LIE89" s="996"/>
      <c r="LIF89" s="996"/>
      <c r="LIG89" s="996"/>
      <c r="LIH89" s="996"/>
      <c r="LII89" s="996"/>
      <c r="LIJ89" s="996"/>
      <c r="LIK89" s="996"/>
      <c r="LIL89" s="996"/>
      <c r="LIM89" s="996"/>
      <c r="LIN89" s="996"/>
      <c r="LIO89" s="996"/>
      <c r="LIP89" s="996"/>
      <c r="LIQ89" s="996"/>
      <c r="LIR89" s="996"/>
      <c r="LIS89" s="996"/>
      <c r="LIT89" s="996"/>
      <c r="LIU89" s="996"/>
      <c r="LIV89" s="996"/>
      <c r="LIW89" s="996"/>
      <c r="LIX89" s="996"/>
      <c r="LIY89" s="996"/>
      <c r="LIZ89" s="996"/>
      <c r="LJA89" s="996"/>
      <c r="LJB89" s="996"/>
      <c r="LJC89" s="996"/>
      <c r="LJD89" s="996"/>
      <c r="LJE89" s="996"/>
      <c r="LJF89" s="996"/>
      <c r="LJG89" s="996"/>
      <c r="LJH89" s="996"/>
      <c r="LJI89" s="996"/>
      <c r="LJJ89" s="996"/>
      <c r="LJK89" s="996"/>
      <c r="LJL89" s="996"/>
      <c r="LJM89" s="996"/>
      <c r="LJN89" s="996"/>
      <c r="LJO89" s="996"/>
      <c r="LJP89" s="996"/>
      <c r="LJQ89" s="996"/>
      <c r="LJR89" s="996"/>
      <c r="LJS89" s="996"/>
      <c r="LJT89" s="996"/>
      <c r="LJU89" s="996"/>
      <c r="LJV89" s="996"/>
      <c r="LJW89" s="996"/>
      <c r="LJX89" s="996"/>
      <c r="LJY89" s="996"/>
      <c r="LJZ89" s="996"/>
      <c r="LKA89" s="996"/>
      <c r="LKB89" s="996"/>
      <c r="LKC89" s="996"/>
      <c r="LKD89" s="996"/>
      <c r="LKE89" s="996"/>
      <c r="LKF89" s="996"/>
      <c r="LKG89" s="996"/>
      <c r="LKH89" s="996"/>
      <c r="LKI89" s="996"/>
      <c r="LKJ89" s="996"/>
      <c r="LKK89" s="996"/>
      <c r="LKL89" s="996"/>
      <c r="LKM89" s="996"/>
      <c r="LKN89" s="996"/>
      <c r="LKO89" s="996"/>
      <c r="LKP89" s="996"/>
      <c r="LKQ89" s="996"/>
      <c r="LKR89" s="996"/>
      <c r="LKS89" s="996"/>
      <c r="LKT89" s="996"/>
      <c r="LKU89" s="996"/>
      <c r="LKV89" s="996"/>
      <c r="LKW89" s="996"/>
      <c r="LKX89" s="996"/>
      <c r="LKY89" s="996"/>
      <c r="LKZ89" s="996"/>
      <c r="LLA89" s="996"/>
      <c r="LLB89" s="996"/>
      <c r="LLC89" s="996"/>
      <c r="LLD89" s="996"/>
      <c r="LLE89" s="996"/>
      <c r="LLF89" s="996"/>
      <c r="LLG89" s="996"/>
      <c r="LLH89" s="996"/>
      <c r="LLI89" s="996"/>
      <c r="LLJ89" s="996"/>
      <c r="LLK89" s="996"/>
      <c r="LLL89" s="996"/>
      <c r="LLM89" s="996"/>
      <c r="LLN89" s="996"/>
      <c r="LLO89" s="996"/>
      <c r="LLP89" s="996"/>
      <c r="LLQ89" s="996"/>
      <c r="LLR89" s="996"/>
      <c r="LLS89" s="996"/>
      <c r="LLT89" s="996"/>
      <c r="LLU89" s="996"/>
      <c r="LLV89" s="996"/>
      <c r="LLW89" s="996"/>
      <c r="LLX89" s="996"/>
      <c r="LLY89" s="996"/>
      <c r="LLZ89" s="996"/>
      <c r="LMA89" s="996"/>
      <c r="LMB89" s="996"/>
      <c r="LMC89" s="996"/>
      <c r="LMD89" s="996"/>
      <c r="LME89" s="996"/>
      <c r="LMF89" s="996"/>
      <c r="LMG89" s="996"/>
      <c r="LMH89" s="996"/>
      <c r="LMI89" s="996"/>
      <c r="LMJ89" s="996"/>
      <c r="LMK89" s="996"/>
      <c r="LML89" s="996"/>
      <c r="LMM89" s="996"/>
      <c r="LMN89" s="996"/>
      <c r="LMO89" s="996"/>
      <c r="LMP89" s="996"/>
      <c r="LMQ89" s="996"/>
      <c r="LMR89" s="996"/>
      <c r="LMS89" s="996"/>
      <c r="LMT89" s="996"/>
      <c r="LMU89" s="996"/>
      <c r="LMV89" s="996"/>
      <c r="LMW89" s="996"/>
      <c r="LMX89" s="996"/>
      <c r="LMY89" s="996"/>
      <c r="LMZ89" s="996"/>
      <c r="LNA89" s="996"/>
      <c r="LNB89" s="996"/>
      <c r="LNC89" s="996"/>
      <c r="LND89" s="996"/>
      <c r="LNE89" s="996"/>
      <c r="LNF89" s="996"/>
      <c r="LNG89" s="996"/>
      <c r="LNH89" s="996"/>
      <c r="LNI89" s="996"/>
      <c r="LNJ89" s="996"/>
      <c r="LNK89" s="996"/>
      <c r="LNL89" s="996"/>
      <c r="LNM89" s="996"/>
      <c r="LNN89" s="996"/>
      <c r="LNO89" s="996"/>
      <c r="LNP89" s="996"/>
      <c r="LNQ89" s="996"/>
      <c r="LNR89" s="996"/>
      <c r="LNS89" s="996"/>
      <c r="LNT89" s="996"/>
      <c r="LNU89" s="996"/>
      <c r="LNV89" s="996"/>
      <c r="LNW89" s="996"/>
      <c r="LNX89" s="996"/>
      <c r="LNY89" s="996"/>
      <c r="LNZ89" s="996"/>
      <c r="LOA89" s="996"/>
      <c r="LOB89" s="996"/>
      <c r="LOC89" s="996"/>
      <c r="LOD89" s="996"/>
      <c r="LOE89" s="996"/>
      <c r="LOF89" s="996"/>
      <c r="LOG89" s="996"/>
      <c r="LOH89" s="996"/>
      <c r="LOI89" s="996"/>
      <c r="LOJ89" s="996"/>
      <c r="LOK89" s="996"/>
      <c r="LOL89" s="996"/>
      <c r="LOM89" s="996"/>
      <c r="LON89" s="996"/>
      <c r="LOO89" s="996"/>
      <c r="LOP89" s="996"/>
      <c r="LOQ89" s="996"/>
      <c r="LOR89" s="996"/>
      <c r="LOS89" s="996"/>
      <c r="LOT89" s="996"/>
      <c r="LOU89" s="996"/>
      <c r="LOV89" s="996"/>
      <c r="LOW89" s="996"/>
      <c r="LOX89" s="996"/>
      <c r="LOY89" s="996"/>
      <c r="LOZ89" s="996"/>
      <c r="LPA89" s="996"/>
      <c r="LPB89" s="996"/>
      <c r="LPC89" s="996"/>
      <c r="LPD89" s="996"/>
      <c r="LPE89" s="996"/>
      <c r="LPF89" s="996"/>
      <c r="LPG89" s="996"/>
      <c r="LPH89" s="996"/>
      <c r="LPI89" s="996"/>
      <c r="LPJ89" s="996"/>
      <c r="LPK89" s="996"/>
      <c r="LPL89" s="996"/>
      <c r="LPM89" s="996"/>
      <c r="LPN89" s="996"/>
      <c r="LPO89" s="996"/>
      <c r="LPP89" s="996"/>
      <c r="LPQ89" s="996"/>
      <c r="LPR89" s="996"/>
      <c r="LPS89" s="996"/>
      <c r="LPT89" s="996"/>
      <c r="LPU89" s="996"/>
      <c r="LPV89" s="996"/>
      <c r="LPW89" s="996"/>
      <c r="LPX89" s="996"/>
      <c r="LPY89" s="996"/>
      <c r="LPZ89" s="996"/>
      <c r="LQA89" s="996"/>
      <c r="LQB89" s="996"/>
      <c r="LQC89" s="996"/>
      <c r="LQD89" s="996"/>
      <c r="LQE89" s="996"/>
      <c r="LQF89" s="996"/>
      <c r="LQG89" s="996"/>
      <c r="LQH89" s="996"/>
      <c r="LQI89" s="996"/>
      <c r="LQJ89" s="996"/>
      <c r="LQK89" s="996"/>
      <c r="LQL89" s="996"/>
      <c r="LQM89" s="996"/>
      <c r="LQN89" s="996"/>
      <c r="LQO89" s="996"/>
      <c r="LQP89" s="996"/>
      <c r="LQQ89" s="996"/>
      <c r="LQR89" s="996"/>
      <c r="LQS89" s="996"/>
      <c r="LQT89" s="996"/>
      <c r="LQU89" s="996"/>
      <c r="LQV89" s="996"/>
      <c r="LQW89" s="996"/>
      <c r="LQX89" s="996"/>
      <c r="LQY89" s="996"/>
      <c r="LQZ89" s="996"/>
      <c r="LRA89" s="996"/>
      <c r="LRB89" s="996"/>
      <c r="LRC89" s="996"/>
      <c r="LRD89" s="996"/>
      <c r="LRE89" s="996"/>
      <c r="LRF89" s="996"/>
      <c r="LRG89" s="996"/>
      <c r="LRH89" s="996"/>
      <c r="LRI89" s="996"/>
      <c r="LRJ89" s="996"/>
      <c r="LRK89" s="996"/>
      <c r="LRL89" s="996"/>
      <c r="LRM89" s="996"/>
      <c r="LRN89" s="996"/>
      <c r="LRO89" s="996"/>
      <c r="LRP89" s="996"/>
      <c r="LRQ89" s="996"/>
      <c r="LRR89" s="996"/>
      <c r="LRS89" s="996"/>
      <c r="LRT89" s="996"/>
      <c r="LRU89" s="996"/>
      <c r="LRV89" s="996"/>
      <c r="LRW89" s="996"/>
      <c r="LRX89" s="996"/>
      <c r="LRY89" s="996"/>
      <c r="LRZ89" s="996"/>
      <c r="LSA89" s="996"/>
      <c r="LSB89" s="996"/>
      <c r="LSC89" s="996"/>
      <c r="LSD89" s="996"/>
      <c r="LSE89" s="996"/>
      <c r="LSF89" s="996"/>
      <c r="LSG89" s="996"/>
      <c r="LSH89" s="996"/>
      <c r="LSI89" s="996"/>
      <c r="LSJ89" s="996"/>
      <c r="LSK89" s="996"/>
      <c r="LSL89" s="996"/>
      <c r="LSM89" s="996"/>
      <c r="LSN89" s="996"/>
      <c r="LSO89" s="996"/>
      <c r="LSP89" s="996"/>
      <c r="LSQ89" s="996"/>
      <c r="LSR89" s="996"/>
      <c r="LSS89" s="996"/>
      <c r="LST89" s="996"/>
      <c r="LSU89" s="996"/>
      <c r="LSV89" s="996"/>
      <c r="LSW89" s="996"/>
      <c r="LSX89" s="996"/>
      <c r="LSY89" s="996"/>
      <c r="LSZ89" s="996"/>
      <c r="LTA89" s="996"/>
      <c r="LTB89" s="996"/>
      <c r="LTC89" s="996"/>
      <c r="LTD89" s="996"/>
      <c r="LTE89" s="996"/>
      <c r="LTF89" s="996"/>
      <c r="LTG89" s="996"/>
      <c r="LTH89" s="996"/>
      <c r="LTI89" s="996"/>
      <c r="LTJ89" s="996"/>
      <c r="LTK89" s="996"/>
      <c r="LTL89" s="996"/>
      <c r="LTM89" s="996"/>
      <c r="LTN89" s="996"/>
      <c r="LTO89" s="996"/>
      <c r="LTP89" s="996"/>
      <c r="LTQ89" s="996"/>
      <c r="LTR89" s="996"/>
      <c r="LTS89" s="996"/>
      <c r="LTT89" s="996"/>
      <c r="LTU89" s="996"/>
      <c r="LTV89" s="996"/>
      <c r="LTW89" s="996"/>
      <c r="LTX89" s="996"/>
      <c r="LTY89" s="996"/>
      <c r="LTZ89" s="996"/>
      <c r="LUA89" s="996"/>
      <c r="LUB89" s="996"/>
      <c r="LUC89" s="996"/>
      <c r="LUD89" s="996"/>
      <c r="LUE89" s="996"/>
      <c r="LUF89" s="996"/>
      <c r="LUG89" s="996"/>
      <c r="LUH89" s="996"/>
      <c r="LUI89" s="996"/>
      <c r="LUJ89" s="996"/>
      <c r="LUK89" s="996"/>
      <c r="LUL89" s="996"/>
      <c r="LUM89" s="996"/>
      <c r="LUN89" s="996"/>
      <c r="LUO89" s="996"/>
      <c r="LUP89" s="996"/>
      <c r="LUQ89" s="996"/>
      <c r="LUR89" s="996"/>
      <c r="LUS89" s="996"/>
      <c r="LUT89" s="996"/>
      <c r="LUU89" s="996"/>
      <c r="LUV89" s="996"/>
      <c r="LUW89" s="996"/>
      <c r="LUX89" s="996"/>
      <c r="LUY89" s="996"/>
      <c r="LUZ89" s="996"/>
      <c r="LVA89" s="996"/>
      <c r="LVB89" s="996"/>
      <c r="LVC89" s="996"/>
      <c r="LVD89" s="996"/>
      <c r="LVE89" s="996"/>
      <c r="LVF89" s="996"/>
      <c r="LVG89" s="996"/>
      <c r="LVH89" s="996"/>
      <c r="LVI89" s="996"/>
      <c r="LVJ89" s="996"/>
      <c r="LVK89" s="996"/>
      <c r="LVL89" s="996"/>
      <c r="LVM89" s="996"/>
      <c r="LVN89" s="996"/>
      <c r="LVO89" s="996"/>
      <c r="LVP89" s="996"/>
      <c r="LVQ89" s="996"/>
      <c r="LVR89" s="996"/>
      <c r="LVS89" s="996"/>
      <c r="LVT89" s="996"/>
      <c r="LVU89" s="996"/>
      <c r="LVV89" s="996"/>
      <c r="LVW89" s="996"/>
      <c r="LVX89" s="996"/>
      <c r="LVY89" s="996"/>
      <c r="LVZ89" s="996"/>
      <c r="LWA89" s="996"/>
      <c r="LWB89" s="996"/>
      <c r="LWC89" s="996"/>
      <c r="LWD89" s="996"/>
      <c r="LWE89" s="996"/>
      <c r="LWF89" s="996"/>
      <c r="LWG89" s="996"/>
      <c r="LWH89" s="996"/>
      <c r="LWI89" s="996"/>
      <c r="LWJ89" s="996"/>
      <c r="LWK89" s="996"/>
      <c r="LWL89" s="996"/>
      <c r="LWM89" s="996"/>
      <c r="LWN89" s="996"/>
      <c r="LWO89" s="996"/>
      <c r="LWP89" s="996"/>
      <c r="LWQ89" s="996"/>
      <c r="LWR89" s="996"/>
      <c r="LWS89" s="996"/>
      <c r="LWT89" s="996"/>
      <c r="LWU89" s="996"/>
      <c r="LWV89" s="996"/>
      <c r="LWW89" s="996"/>
      <c r="LWX89" s="996"/>
      <c r="LWY89" s="996"/>
      <c r="LWZ89" s="996"/>
      <c r="LXA89" s="996"/>
      <c r="LXB89" s="996"/>
      <c r="LXC89" s="996"/>
      <c r="LXD89" s="996"/>
      <c r="LXE89" s="996"/>
      <c r="LXF89" s="996"/>
      <c r="LXG89" s="996"/>
      <c r="LXH89" s="996"/>
      <c r="LXI89" s="996"/>
      <c r="LXJ89" s="996"/>
      <c r="LXK89" s="996"/>
      <c r="LXL89" s="996"/>
      <c r="LXM89" s="996"/>
      <c r="LXN89" s="996"/>
      <c r="LXO89" s="996"/>
      <c r="LXP89" s="996"/>
      <c r="LXQ89" s="996"/>
      <c r="LXR89" s="996"/>
      <c r="LXS89" s="996"/>
      <c r="LXT89" s="996"/>
      <c r="LXU89" s="996"/>
      <c r="LXV89" s="996"/>
      <c r="LXW89" s="996"/>
      <c r="LXX89" s="996"/>
      <c r="LXY89" s="996"/>
      <c r="LXZ89" s="996"/>
      <c r="LYA89" s="996"/>
      <c r="LYB89" s="996"/>
      <c r="LYC89" s="996"/>
      <c r="LYD89" s="996"/>
      <c r="LYE89" s="996"/>
      <c r="LYF89" s="996"/>
      <c r="LYG89" s="996"/>
      <c r="LYH89" s="996"/>
      <c r="LYI89" s="996"/>
      <c r="LYJ89" s="996"/>
      <c r="LYK89" s="996"/>
      <c r="LYL89" s="996"/>
      <c r="LYM89" s="996"/>
      <c r="LYN89" s="996"/>
      <c r="LYO89" s="996"/>
      <c r="LYP89" s="996"/>
      <c r="LYQ89" s="996"/>
      <c r="LYR89" s="996"/>
      <c r="LYS89" s="996"/>
      <c r="LYT89" s="996"/>
      <c r="LYU89" s="996"/>
      <c r="LYV89" s="996"/>
      <c r="LYW89" s="996"/>
      <c r="LYX89" s="996"/>
      <c r="LYY89" s="996"/>
      <c r="LYZ89" s="996"/>
      <c r="LZA89" s="996"/>
      <c r="LZB89" s="996"/>
      <c r="LZC89" s="996"/>
      <c r="LZD89" s="996"/>
      <c r="LZE89" s="996"/>
      <c r="LZF89" s="996"/>
      <c r="LZG89" s="996"/>
      <c r="LZH89" s="996"/>
      <c r="LZI89" s="996"/>
      <c r="LZJ89" s="996"/>
      <c r="LZK89" s="996"/>
      <c r="LZL89" s="996"/>
      <c r="LZM89" s="996"/>
      <c r="LZN89" s="996"/>
      <c r="LZO89" s="996"/>
      <c r="LZP89" s="996"/>
      <c r="LZQ89" s="996"/>
      <c r="LZR89" s="996"/>
      <c r="LZS89" s="996"/>
      <c r="LZT89" s="996"/>
      <c r="LZU89" s="996"/>
      <c r="LZV89" s="996"/>
      <c r="LZW89" s="996"/>
      <c r="LZX89" s="996"/>
      <c r="LZY89" s="996"/>
      <c r="LZZ89" s="996"/>
      <c r="MAA89" s="996"/>
      <c r="MAB89" s="996"/>
      <c r="MAC89" s="996"/>
      <c r="MAD89" s="996"/>
      <c r="MAE89" s="996"/>
      <c r="MAF89" s="996"/>
      <c r="MAG89" s="996"/>
      <c r="MAH89" s="996"/>
      <c r="MAI89" s="996"/>
      <c r="MAJ89" s="996"/>
      <c r="MAK89" s="996"/>
      <c r="MAL89" s="996"/>
      <c r="MAM89" s="996"/>
      <c r="MAN89" s="996"/>
      <c r="MAO89" s="996"/>
      <c r="MAP89" s="996"/>
      <c r="MAQ89" s="996"/>
      <c r="MAR89" s="996"/>
      <c r="MAS89" s="996"/>
      <c r="MAT89" s="996"/>
      <c r="MAU89" s="996"/>
      <c r="MAV89" s="996"/>
      <c r="MAW89" s="996"/>
      <c r="MAX89" s="996"/>
      <c r="MAY89" s="996"/>
      <c r="MAZ89" s="996"/>
      <c r="MBA89" s="996"/>
      <c r="MBB89" s="996"/>
      <c r="MBC89" s="996"/>
      <c r="MBD89" s="996"/>
      <c r="MBE89" s="996"/>
      <c r="MBF89" s="996"/>
      <c r="MBG89" s="996"/>
      <c r="MBH89" s="996"/>
      <c r="MBI89" s="996"/>
      <c r="MBJ89" s="996"/>
      <c r="MBK89" s="996"/>
      <c r="MBL89" s="996"/>
      <c r="MBM89" s="996"/>
      <c r="MBN89" s="996"/>
      <c r="MBO89" s="996"/>
      <c r="MBP89" s="996"/>
      <c r="MBQ89" s="996"/>
      <c r="MBR89" s="996"/>
      <c r="MBS89" s="996"/>
      <c r="MBT89" s="996"/>
      <c r="MBU89" s="996"/>
      <c r="MBV89" s="996"/>
      <c r="MBW89" s="996"/>
      <c r="MBX89" s="996"/>
      <c r="MBY89" s="996"/>
      <c r="MBZ89" s="996"/>
      <c r="MCA89" s="996"/>
      <c r="MCB89" s="996"/>
      <c r="MCC89" s="996"/>
      <c r="MCD89" s="996"/>
      <c r="MCE89" s="996"/>
      <c r="MCF89" s="996"/>
      <c r="MCG89" s="996"/>
      <c r="MCH89" s="996"/>
      <c r="MCI89" s="996"/>
      <c r="MCJ89" s="996"/>
      <c r="MCK89" s="996"/>
      <c r="MCL89" s="996"/>
      <c r="MCM89" s="996"/>
      <c r="MCN89" s="996"/>
      <c r="MCO89" s="996"/>
      <c r="MCP89" s="996"/>
      <c r="MCQ89" s="996"/>
      <c r="MCR89" s="996"/>
      <c r="MCS89" s="996"/>
      <c r="MCT89" s="996"/>
      <c r="MCU89" s="996"/>
      <c r="MCV89" s="996"/>
      <c r="MCW89" s="996"/>
      <c r="MCX89" s="996"/>
      <c r="MCY89" s="996"/>
      <c r="MCZ89" s="996"/>
      <c r="MDA89" s="996"/>
      <c r="MDB89" s="996"/>
      <c r="MDC89" s="996"/>
      <c r="MDD89" s="996"/>
      <c r="MDE89" s="996"/>
      <c r="MDF89" s="996"/>
      <c r="MDG89" s="996"/>
      <c r="MDH89" s="996"/>
      <c r="MDI89" s="996"/>
      <c r="MDJ89" s="996"/>
      <c r="MDK89" s="996"/>
      <c r="MDL89" s="996"/>
      <c r="MDM89" s="996"/>
      <c r="MDN89" s="996"/>
      <c r="MDO89" s="996"/>
      <c r="MDP89" s="996"/>
      <c r="MDQ89" s="996"/>
      <c r="MDR89" s="996"/>
      <c r="MDS89" s="996"/>
      <c r="MDT89" s="996"/>
      <c r="MDU89" s="996"/>
      <c r="MDV89" s="996"/>
      <c r="MDW89" s="996"/>
      <c r="MDX89" s="996"/>
      <c r="MDY89" s="996"/>
      <c r="MDZ89" s="996"/>
      <c r="MEA89" s="996"/>
      <c r="MEB89" s="996"/>
      <c r="MEC89" s="996"/>
      <c r="MED89" s="996"/>
      <c r="MEE89" s="996"/>
      <c r="MEF89" s="996"/>
      <c r="MEG89" s="996"/>
      <c r="MEH89" s="996"/>
      <c r="MEI89" s="996"/>
      <c r="MEJ89" s="996"/>
      <c r="MEK89" s="996"/>
      <c r="MEL89" s="996"/>
      <c r="MEM89" s="996"/>
      <c r="MEN89" s="996"/>
      <c r="MEO89" s="996"/>
      <c r="MEP89" s="996"/>
      <c r="MEQ89" s="996"/>
      <c r="MER89" s="996"/>
      <c r="MES89" s="996"/>
      <c r="MET89" s="996"/>
      <c r="MEU89" s="996"/>
      <c r="MEV89" s="996"/>
      <c r="MEW89" s="996"/>
      <c r="MEX89" s="996"/>
      <c r="MEY89" s="996"/>
      <c r="MEZ89" s="996"/>
      <c r="MFA89" s="996"/>
      <c r="MFB89" s="996"/>
      <c r="MFC89" s="996"/>
      <c r="MFD89" s="996"/>
      <c r="MFE89" s="996"/>
      <c r="MFF89" s="996"/>
      <c r="MFG89" s="996"/>
      <c r="MFH89" s="996"/>
      <c r="MFI89" s="996"/>
      <c r="MFJ89" s="996"/>
      <c r="MFK89" s="996"/>
      <c r="MFL89" s="996"/>
      <c r="MFM89" s="996"/>
      <c r="MFN89" s="996"/>
      <c r="MFO89" s="996"/>
      <c r="MFP89" s="996"/>
      <c r="MFQ89" s="996"/>
      <c r="MFR89" s="996"/>
      <c r="MFS89" s="996"/>
      <c r="MFT89" s="996"/>
      <c r="MFU89" s="996"/>
      <c r="MFV89" s="996"/>
      <c r="MFW89" s="996"/>
      <c r="MFX89" s="996"/>
      <c r="MFY89" s="996"/>
      <c r="MFZ89" s="996"/>
      <c r="MGA89" s="996"/>
      <c r="MGB89" s="996"/>
      <c r="MGC89" s="996"/>
      <c r="MGD89" s="996"/>
      <c r="MGE89" s="996"/>
      <c r="MGF89" s="996"/>
      <c r="MGG89" s="996"/>
      <c r="MGH89" s="996"/>
      <c r="MGI89" s="996"/>
      <c r="MGJ89" s="996"/>
      <c r="MGK89" s="996"/>
      <c r="MGL89" s="996"/>
      <c r="MGM89" s="996"/>
      <c r="MGN89" s="996"/>
      <c r="MGO89" s="996"/>
      <c r="MGP89" s="996"/>
      <c r="MGQ89" s="996"/>
      <c r="MGR89" s="996"/>
      <c r="MGS89" s="996"/>
      <c r="MGT89" s="996"/>
      <c r="MGU89" s="996"/>
      <c r="MGV89" s="996"/>
      <c r="MGW89" s="996"/>
      <c r="MGX89" s="996"/>
      <c r="MGY89" s="996"/>
      <c r="MGZ89" s="996"/>
      <c r="MHA89" s="996"/>
      <c r="MHB89" s="996"/>
      <c r="MHC89" s="996"/>
      <c r="MHD89" s="996"/>
      <c r="MHE89" s="996"/>
      <c r="MHF89" s="996"/>
      <c r="MHG89" s="996"/>
      <c r="MHH89" s="996"/>
      <c r="MHI89" s="996"/>
      <c r="MHJ89" s="996"/>
      <c r="MHK89" s="996"/>
      <c r="MHL89" s="996"/>
      <c r="MHM89" s="996"/>
      <c r="MHN89" s="996"/>
      <c r="MHO89" s="996"/>
      <c r="MHP89" s="996"/>
      <c r="MHQ89" s="996"/>
      <c r="MHR89" s="996"/>
      <c r="MHS89" s="996"/>
      <c r="MHT89" s="996"/>
      <c r="MHU89" s="996"/>
      <c r="MHV89" s="996"/>
      <c r="MHW89" s="996"/>
      <c r="MHX89" s="996"/>
      <c r="MHY89" s="996"/>
      <c r="MHZ89" s="996"/>
      <c r="MIA89" s="996"/>
      <c r="MIB89" s="996"/>
      <c r="MIC89" s="996"/>
      <c r="MID89" s="996"/>
      <c r="MIE89" s="996"/>
      <c r="MIF89" s="996"/>
      <c r="MIG89" s="996"/>
      <c r="MIH89" s="996"/>
      <c r="MII89" s="996"/>
      <c r="MIJ89" s="996"/>
      <c r="MIK89" s="996"/>
      <c r="MIL89" s="996"/>
      <c r="MIM89" s="996"/>
      <c r="MIN89" s="996"/>
      <c r="MIO89" s="996"/>
      <c r="MIP89" s="996"/>
      <c r="MIQ89" s="996"/>
      <c r="MIR89" s="996"/>
      <c r="MIS89" s="996"/>
      <c r="MIT89" s="996"/>
      <c r="MIU89" s="996"/>
      <c r="MIV89" s="996"/>
      <c r="MIW89" s="996"/>
      <c r="MIX89" s="996"/>
      <c r="MIY89" s="996"/>
      <c r="MIZ89" s="996"/>
      <c r="MJA89" s="996"/>
      <c r="MJB89" s="996"/>
      <c r="MJC89" s="996"/>
      <c r="MJD89" s="996"/>
      <c r="MJE89" s="996"/>
      <c r="MJF89" s="996"/>
      <c r="MJG89" s="996"/>
      <c r="MJH89" s="996"/>
      <c r="MJI89" s="996"/>
      <c r="MJJ89" s="996"/>
      <c r="MJK89" s="996"/>
      <c r="MJL89" s="996"/>
      <c r="MJM89" s="996"/>
      <c r="MJN89" s="996"/>
      <c r="MJO89" s="996"/>
      <c r="MJP89" s="996"/>
      <c r="MJQ89" s="996"/>
      <c r="MJR89" s="996"/>
      <c r="MJS89" s="996"/>
      <c r="MJT89" s="996"/>
      <c r="MJU89" s="996"/>
      <c r="MJV89" s="996"/>
      <c r="MJW89" s="996"/>
      <c r="MJX89" s="996"/>
      <c r="MJY89" s="996"/>
      <c r="MJZ89" s="996"/>
      <c r="MKA89" s="996"/>
      <c r="MKB89" s="996"/>
      <c r="MKC89" s="996"/>
      <c r="MKD89" s="996"/>
      <c r="MKE89" s="996"/>
      <c r="MKF89" s="996"/>
      <c r="MKG89" s="996"/>
      <c r="MKH89" s="996"/>
      <c r="MKI89" s="996"/>
      <c r="MKJ89" s="996"/>
      <c r="MKK89" s="996"/>
      <c r="MKL89" s="996"/>
      <c r="MKM89" s="996"/>
      <c r="MKN89" s="996"/>
      <c r="MKO89" s="996"/>
      <c r="MKP89" s="996"/>
      <c r="MKQ89" s="996"/>
      <c r="MKR89" s="996"/>
      <c r="MKS89" s="996"/>
      <c r="MKT89" s="996"/>
      <c r="MKU89" s="996"/>
      <c r="MKV89" s="996"/>
      <c r="MKW89" s="996"/>
      <c r="MKX89" s="996"/>
      <c r="MKY89" s="996"/>
      <c r="MKZ89" s="996"/>
      <c r="MLA89" s="996"/>
      <c r="MLB89" s="996"/>
      <c r="MLC89" s="996"/>
      <c r="MLD89" s="996"/>
      <c r="MLE89" s="996"/>
      <c r="MLF89" s="996"/>
      <c r="MLG89" s="996"/>
      <c r="MLH89" s="996"/>
      <c r="MLI89" s="996"/>
      <c r="MLJ89" s="996"/>
      <c r="MLK89" s="996"/>
      <c r="MLL89" s="996"/>
      <c r="MLM89" s="996"/>
      <c r="MLN89" s="996"/>
      <c r="MLO89" s="996"/>
      <c r="MLP89" s="996"/>
      <c r="MLQ89" s="996"/>
      <c r="MLR89" s="996"/>
      <c r="MLS89" s="996"/>
      <c r="MLT89" s="996"/>
      <c r="MLU89" s="996"/>
      <c r="MLV89" s="996"/>
      <c r="MLW89" s="996"/>
      <c r="MLX89" s="996"/>
      <c r="MLY89" s="996"/>
      <c r="MLZ89" s="996"/>
      <c r="MMA89" s="996"/>
      <c r="MMB89" s="996"/>
      <c r="MMC89" s="996"/>
      <c r="MMD89" s="996"/>
      <c r="MME89" s="996"/>
      <c r="MMF89" s="996"/>
      <c r="MMG89" s="996"/>
      <c r="MMH89" s="996"/>
      <c r="MMI89" s="996"/>
      <c r="MMJ89" s="996"/>
      <c r="MMK89" s="996"/>
      <c r="MML89" s="996"/>
      <c r="MMM89" s="996"/>
      <c r="MMN89" s="996"/>
      <c r="MMO89" s="996"/>
      <c r="MMP89" s="996"/>
      <c r="MMQ89" s="996"/>
      <c r="MMR89" s="996"/>
      <c r="MMS89" s="996"/>
      <c r="MMT89" s="996"/>
      <c r="MMU89" s="996"/>
      <c r="MMV89" s="996"/>
      <c r="MMW89" s="996"/>
      <c r="MMX89" s="996"/>
      <c r="MMY89" s="996"/>
      <c r="MMZ89" s="996"/>
      <c r="MNA89" s="996"/>
      <c r="MNB89" s="996"/>
      <c r="MNC89" s="996"/>
      <c r="MND89" s="996"/>
      <c r="MNE89" s="996"/>
      <c r="MNF89" s="996"/>
      <c r="MNG89" s="996"/>
      <c r="MNH89" s="996"/>
      <c r="MNI89" s="996"/>
      <c r="MNJ89" s="996"/>
      <c r="MNK89" s="996"/>
      <c r="MNL89" s="996"/>
      <c r="MNM89" s="996"/>
      <c r="MNN89" s="996"/>
      <c r="MNO89" s="996"/>
      <c r="MNP89" s="996"/>
      <c r="MNQ89" s="996"/>
      <c r="MNR89" s="996"/>
      <c r="MNS89" s="996"/>
      <c r="MNT89" s="996"/>
      <c r="MNU89" s="996"/>
      <c r="MNV89" s="996"/>
      <c r="MNW89" s="996"/>
      <c r="MNX89" s="996"/>
      <c r="MNY89" s="996"/>
      <c r="MNZ89" s="996"/>
      <c r="MOA89" s="996"/>
      <c r="MOB89" s="996"/>
      <c r="MOC89" s="996"/>
      <c r="MOD89" s="996"/>
      <c r="MOE89" s="996"/>
      <c r="MOF89" s="996"/>
      <c r="MOG89" s="996"/>
      <c r="MOH89" s="996"/>
      <c r="MOI89" s="996"/>
      <c r="MOJ89" s="996"/>
      <c r="MOK89" s="996"/>
      <c r="MOL89" s="996"/>
      <c r="MOM89" s="996"/>
      <c r="MON89" s="996"/>
      <c r="MOO89" s="996"/>
      <c r="MOP89" s="996"/>
      <c r="MOQ89" s="996"/>
      <c r="MOR89" s="996"/>
      <c r="MOS89" s="996"/>
      <c r="MOT89" s="996"/>
      <c r="MOU89" s="996"/>
      <c r="MOV89" s="996"/>
      <c r="MOW89" s="996"/>
      <c r="MOX89" s="996"/>
      <c r="MOY89" s="996"/>
      <c r="MOZ89" s="996"/>
      <c r="MPA89" s="996"/>
      <c r="MPB89" s="996"/>
      <c r="MPC89" s="996"/>
      <c r="MPD89" s="996"/>
      <c r="MPE89" s="996"/>
      <c r="MPF89" s="996"/>
      <c r="MPG89" s="996"/>
      <c r="MPH89" s="996"/>
      <c r="MPI89" s="996"/>
      <c r="MPJ89" s="996"/>
      <c r="MPK89" s="996"/>
      <c r="MPL89" s="996"/>
      <c r="MPM89" s="996"/>
      <c r="MPN89" s="996"/>
      <c r="MPO89" s="996"/>
      <c r="MPP89" s="996"/>
      <c r="MPQ89" s="996"/>
      <c r="MPR89" s="996"/>
      <c r="MPS89" s="996"/>
      <c r="MPT89" s="996"/>
      <c r="MPU89" s="996"/>
      <c r="MPV89" s="996"/>
      <c r="MPW89" s="996"/>
      <c r="MPX89" s="996"/>
      <c r="MPY89" s="996"/>
      <c r="MPZ89" s="996"/>
      <c r="MQA89" s="996"/>
      <c r="MQB89" s="996"/>
      <c r="MQC89" s="996"/>
      <c r="MQD89" s="996"/>
      <c r="MQE89" s="996"/>
      <c r="MQF89" s="996"/>
      <c r="MQG89" s="996"/>
      <c r="MQH89" s="996"/>
      <c r="MQI89" s="996"/>
      <c r="MQJ89" s="996"/>
      <c r="MQK89" s="996"/>
      <c r="MQL89" s="996"/>
      <c r="MQM89" s="996"/>
      <c r="MQN89" s="996"/>
      <c r="MQO89" s="996"/>
      <c r="MQP89" s="996"/>
      <c r="MQQ89" s="996"/>
      <c r="MQR89" s="996"/>
      <c r="MQS89" s="996"/>
      <c r="MQT89" s="996"/>
      <c r="MQU89" s="996"/>
      <c r="MQV89" s="996"/>
      <c r="MQW89" s="996"/>
      <c r="MQX89" s="996"/>
      <c r="MQY89" s="996"/>
      <c r="MQZ89" s="996"/>
      <c r="MRA89" s="996"/>
      <c r="MRB89" s="996"/>
      <c r="MRC89" s="996"/>
      <c r="MRD89" s="996"/>
      <c r="MRE89" s="996"/>
      <c r="MRF89" s="996"/>
      <c r="MRG89" s="996"/>
      <c r="MRH89" s="996"/>
      <c r="MRI89" s="996"/>
      <c r="MRJ89" s="996"/>
      <c r="MRK89" s="996"/>
      <c r="MRL89" s="996"/>
      <c r="MRM89" s="996"/>
      <c r="MRN89" s="996"/>
      <c r="MRO89" s="996"/>
      <c r="MRP89" s="996"/>
      <c r="MRQ89" s="996"/>
      <c r="MRR89" s="996"/>
      <c r="MRS89" s="996"/>
      <c r="MRT89" s="996"/>
      <c r="MRU89" s="996"/>
      <c r="MRV89" s="996"/>
      <c r="MRW89" s="996"/>
      <c r="MRX89" s="996"/>
      <c r="MRY89" s="996"/>
      <c r="MRZ89" s="996"/>
      <c r="MSA89" s="996"/>
      <c r="MSB89" s="996"/>
      <c r="MSC89" s="996"/>
      <c r="MSD89" s="996"/>
      <c r="MSE89" s="996"/>
      <c r="MSF89" s="996"/>
      <c r="MSG89" s="996"/>
      <c r="MSH89" s="996"/>
      <c r="MSI89" s="996"/>
      <c r="MSJ89" s="996"/>
      <c r="MSK89" s="996"/>
      <c r="MSL89" s="996"/>
      <c r="MSM89" s="996"/>
      <c r="MSN89" s="996"/>
      <c r="MSO89" s="996"/>
      <c r="MSP89" s="996"/>
      <c r="MSQ89" s="996"/>
      <c r="MSR89" s="996"/>
      <c r="MSS89" s="996"/>
      <c r="MST89" s="996"/>
      <c r="MSU89" s="996"/>
      <c r="MSV89" s="996"/>
      <c r="MSW89" s="996"/>
      <c r="MSX89" s="996"/>
      <c r="MSY89" s="996"/>
      <c r="MSZ89" s="996"/>
      <c r="MTA89" s="996"/>
      <c r="MTB89" s="996"/>
      <c r="MTC89" s="996"/>
      <c r="MTD89" s="996"/>
      <c r="MTE89" s="996"/>
      <c r="MTF89" s="996"/>
      <c r="MTG89" s="996"/>
      <c r="MTH89" s="996"/>
      <c r="MTI89" s="996"/>
      <c r="MTJ89" s="996"/>
      <c r="MTK89" s="996"/>
      <c r="MTL89" s="996"/>
      <c r="MTM89" s="996"/>
      <c r="MTN89" s="996"/>
      <c r="MTO89" s="996"/>
      <c r="MTP89" s="996"/>
      <c r="MTQ89" s="996"/>
      <c r="MTR89" s="996"/>
      <c r="MTS89" s="996"/>
      <c r="MTT89" s="996"/>
      <c r="MTU89" s="996"/>
      <c r="MTV89" s="996"/>
      <c r="MTW89" s="996"/>
      <c r="MTX89" s="996"/>
      <c r="MTY89" s="996"/>
      <c r="MTZ89" s="996"/>
      <c r="MUA89" s="996"/>
      <c r="MUB89" s="996"/>
      <c r="MUC89" s="996"/>
      <c r="MUD89" s="996"/>
      <c r="MUE89" s="996"/>
      <c r="MUF89" s="996"/>
      <c r="MUG89" s="996"/>
      <c r="MUH89" s="996"/>
      <c r="MUI89" s="996"/>
      <c r="MUJ89" s="996"/>
      <c r="MUK89" s="996"/>
      <c r="MUL89" s="996"/>
      <c r="MUM89" s="996"/>
      <c r="MUN89" s="996"/>
      <c r="MUO89" s="996"/>
      <c r="MUP89" s="996"/>
      <c r="MUQ89" s="996"/>
      <c r="MUR89" s="996"/>
      <c r="MUS89" s="996"/>
      <c r="MUT89" s="996"/>
      <c r="MUU89" s="996"/>
      <c r="MUV89" s="996"/>
      <c r="MUW89" s="996"/>
      <c r="MUX89" s="996"/>
      <c r="MUY89" s="996"/>
      <c r="MUZ89" s="996"/>
      <c r="MVA89" s="996"/>
      <c r="MVB89" s="996"/>
      <c r="MVC89" s="996"/>
      <c r="MVD89" s="996"/>
      <c r="MVE89" s="996"/>
      <c r="MVF89" s="996"/>
      <c r="MVG89" s="996"/>
      <c r="MVH89" s="996"/>
      <c r="MVI89" s="996"/>
      <c r="MVJ89" s="996"/>
      <c r="MVK89" s="996"/>
      <c r="MVL89" s="996"/>
      <c r="MVM89" s="996"/>
      <c r="MVN89" s="996"/>
      <c r="MVO89" s="996"/>
      <c r="MVP89" s="996"/>
      <c r="MVQ89" s="996"/>
      <c r="MVR89" s="996"/>
      <c r="MVS89" s="996"/>
      <c r="MVT89" s="996"/>
      <c r="MVU89" s="996"/>
      <c r="MVV89" s="996"/>
      <c r="MVW89" s="996"/>
      <c r="MVX89" s="996"/>
      <c r="MVY89" s="996"/>
      <c r="MVZ89" s="996"/>
      <c r="MWA89" s="996"/>
      <c r="MWB89" s="996"/>
      <c r="MWC89" s="996"/>
      <c r="MWD89" s="996"/>
      <c r="MWE89" s="996"/>
      <c r="MWF89" s="996"/>
      <c r="MWG89" s="996"/>
      <c r="MWH89" s="996"/>
      <c r="MWI89" s="996"/>
      <c r="MWJ89" s="996"/>
      <c r="MWK89" s="996"/>
      <c r="MWL89" s="996"/>
      <c r="MWM89" s="996"/>
      <c r="MWN89" s="996"/>
      <c r="MWO89" s="996"/>
      <c r="MWP89" s="996"/>
      <c r="MWQ89" s="996"/>
      <c r="MWR89" s="996"/>
      <c r="MWS89" s="996"/>
      <c r="MWT89" s="996"/>
      <c r="MWU89" s="996"/>
      <c r="MWV89" s="996"/>
      <c r="MWW89" s="996"/>
      <c r="MWX89" s="996"/>
      <c r="MWY89" s="996"/>
      <c r="MWZ89" s="996"/>
      <c r="MXA89" s="996"/>
      <c r="MXB89" s="996"/>
      <c r="MXC89" s="996"/>
      <c r="MXD89" s="996"/>
      <c r="MXE89" s="996"/>
      <c r="MXF89" s="996"/>
      <c r="MXG89" s="996"/>
      <c r="MXH89" s="996"/>
      <c r="MXI89" s="996"/>
      <c r="MXJ89" s="996"/>
      <c r="MXK89" s="996"/>
      <c r="MXL89" s="996"/>
      <c r="MXM89" s="996"/>
      <c r="MXN89" s="996"/>
      <c r="MXO89" s="996"/>
      <c r="MXP89" s="996"/>
      <c r="MXQ89" s="996"/>
      <c r="MXR89" s="996"/>
      <c r="MXS89" s="996"/>
      <c r="MXT89" s="996"/>
      <c r="MXU89" s="996"/>
      <c r="MXV89" s="996"/>
      <c r="MXW89" s="996"/>
      <c r="MXX89" s="996"/>
      <c r="MXY89" s="996"/>
      <c r="MXZ89" s="996"/>
      <c r="MYA89" s="996"/>
      <c r="MYB89" s="996"/>
      <c r="MYC89" s="996"/>
      <c r="MYD89" s="996"/>
      <c r="MYE89" s="996"/>
      <c r="MYF89" s="996"/>
      <c r="MYG89" s="996"/>
      <c r="MYH89" s="996"/>
      <c r="MYI89" s="996"/>
      <c r="MYJ89" s="996"/>
      <c r="MYK89" s="996"/>
      <c r="MYL89" s="996"/>
      <c r="MYM89" s="996"/>
      <c r="MYN89" s="996"/>
      <c r="MYO89" s="996"/>
      <c r="MYP89" s="996"/>
      <c r="MYQ89" s="996"/>
      <c r="MYR89" s="996"/>
      <c r="MYS89" s="996"/>
      <c r="MYT89" s="996"/>
      <c r="MYU89" s="996"/>
      <c r="MYV89" s="996"/>
      <c r="MYW89" s="996"/>
      <c r="MYX89" s="996"/>
      <c r="MYY89" s="996"/>
      <c r="MYZ89" s="996"/>
      <c r="MZA89" s="996"/>
      <c r="MZB89" s="996"/>
      <c r="MZC89" s="996"/>
      <c r="MZD89" s="996"/>
      <c r="MZE89" s="996"/>
      <c r="MZF89" s="996"/>
      <c r="MZG89" s="996"/>
      <c r="MZH89" s="996"/>
      <c r="MZI89" s="996"/>
      <c r="MZJ89" s="996"/>
      <c r="MZK89" s="996"/>
      <c r="MZL89" s="996"/>
      <c r="MZM89" s="996"/>
      <c r="MZN89" s="996"/>
      <c r="MZO89" s="996"/>
      <c r="MZP89" s="996"/>
      <c r="MZQ89" s="996"/>
      <c r="MZR89" s="996"/>
      <c r="MZS89" s="996"/>
      <c r="MZT89" s="996"/>
      <c r="MZU89" s="996"/>
      <c r="MZV89" s="996"/>
      <c r="MZW89" s="996"/>
      <c r="MZX89" s="996"/>
      <c r="MZY89" s="996"/>
      <c r="MZZ89" s="996"/>
      <c r="NAA89" s="996"/>
      <c r="NAB89" s="996"/>
      <c r="NAC89" s="996"/>
      <c r="NAD89" s="996"/>
      <c r="NAE89" s="996"/>
      <c r="NAF89" s="996"/>
      <c r="NAG89" s="996"/>
      <c r="NAH89" s="996"/>
      <c r="NAI89" s="996"/>
      <c r="NAJ89" s="996"/>
      <c r="NAK89" s="996"/>
      <c r="NAL89" s="996"/>
      <c r="NAM89" s="996"/>
      <c r="NAN89" s="996"/>
      <c r="NAO89" s="996"/>
      <c r="NAP89" s="996"/>
      <c r="NAQ89" s="996"/>
      <c r="NAR89" s="996"/>
      <c r="NAS89" s="996"/>
      <c r="NAT89" s="996"/>
      <c r="NAU89" s="996"/>
      <c r="NAV89" s="996"/>
      <c r="NAW89" s="996"/>
      <c r="NAX89" s="996"/>
      <c r="NAY89" s="996"/>
      <c r="NAZ89" s="996"/>
      <c r="NBA89" s="996"/>
      <c r="NBB89" s="996"/>
      <c r="NBC89" s="996"/>
      <c r="NBD89" s="996"/>
      <c r="NBE89" s="996"/>
      <c r="NBF89" s="996"/>
      <c r="NBG89" s="996"/>
      <c r="NBH89" s="996"/>
      <c r="NBI89" s="996"/>
      <c r="NBJ89" s="996"/>
      <c r="NBK89" s="996"/>
      <c r="NBL89" s="996"/>
      <c r="NBM89" s="996"/>
      <c r="NBN89" s="996"/>
      <c r="NBO89" s="996"/>
      <c r="NBP89" s="996"/>
      <c r="NBQ89" s="996"/>
      <c r="NBR89" s="996"/>
      <c r="NBS89" s="996"/>
      <c r="NBT89" s="996"/>
      <c r="NBU89" s="996"/>
      <c r="NBV89" s="996"/>
      <c r="NBW89" s="996"/>
      <c r="NBX89" s="996"/>
      <c r="NBY89" s="996"/>
      <c r="NBZ89" s="996"/>
      <c r="NCA89" s="996"/>
      <c r="NCB89" s="996"/>
      <c r="NCC89" s="996"/>
      <c r="NCD89" s="996"/>
      <c r="NCE89" s="996"/>
      <c r="NCF89" s="996"/>
      <c r="NCG89" s="996"/>
      <c r="NCH89" s="996"/>
      <c r="NCI89" s="996"/>
      <c r="NCJ89" s="996"/>
      <c r="NCK89" s="996"/>
      <c r="NCL89" s="996"/>
      <c r="NCM89" s="996"/>
      <c r="NCN89" s="996"/>
      <c r="NCO89" s="996"/>
      <c r="NCP89" s="996"/>
      <c r="NCQ89" s="996"/>
      <c r="NCR89" s="996"/>
      <c r="NCS89" s="996"/>
      <c r="NCT89" s="996"/>
      <c r="NCU89" s="996"/>
      <c r="NCV89" s="996"/>
      <c r="NCW89" s="996"/>
      <c r="NCX89" s="996"/>
      <c r="NCY89" s="996"/>
      <c r="NCZ89" s="996"/>
      <c r="NDA89" s="996"/>
      <c r="NDB89" s="996"/>
      <c r="NDC89" s="996"/>
      <c r="NDD89" s="996"/>
      <c r="NDE89" s="996"/>
      <c r="NDF89" s="996"/>
      <c r="NDG89" s="996"/>
      <c r="NDH89" s="996"/>
      <c r="NDI89" s="996"/>
      <c r="NDJ89" s="996"/>
      <c r="NDK89" s="996"/>
      <c r="NDL89" s="996"/>
      <c r="NDM89" s="996"/>
      <c r="NDN89" s="996"/>
      <c r="NDO89" s="996"/>
      <c r="NDP89" s="996"/>
      <c r="NDQ89" s="996"/>
      <c r="NDR89" s="996"/>
      <c r="NDS89" s="996"/>
      <c r="NDT89" s="996"/>
      <c r="NDU89" s="996"/>
      <c r="NDV89" s="996"/>
      <c r="NDW89" s="996"/>
      <c r="NDX89" s="996"/>
      <c r="NDY89" s="996"/>
      <c r="NDZ89" s="996"/>
      <c r="NEA89" s="996"/>
      <c r="NEB89" s="996"/>
      <c r="NEC89" s="996"/>
      <c r="NED89" s="996"/>
      <c r="NEE89" s="996"/>
      <c r="NEF89" s="996"/>
      <c r="NEG89" s="996"/>
      <c r="NEH89" s="996"/>
      <c r="NEI89" s="996"/>
      <c r="NEJ89" s="996"/>
      <c r="NEK89" s="996"/>
      <c r="NEL89" s="996"/>
      <c r="NEM89" s="996"/>
      <c r="NEN89" s="996"/>
      <c r="NEO89" s="996"/>
      <c r="NEP89" s="996"/>
      <c r="NEQ89" s="996"/>
      <c r="NER89" s="996"/>
      <c r="NES89" s="996"/>
      <c r="NET89" s="996"/>
      <c r="NEU89" s="996"/>
      <c r="NEV89" s="996"/>
      <c r="NEW89" s="996"/>
      <c r="NEX89" s="996"/>
      <c r="NEY89" s="996"/>
      <c r="NEZ89" s="996"/>
      <c r="NFA89" s="996"/>
      <c r="NFB89" s="996"/>
      <c r="NFC89" s="996"/>
      <c r="NFD89" s="996"/>
      <c r="NFE89" s="996"/>
      <c r="NFF89" s="996"/>
      <c r="NFG89" s="996"/>
      <c r="NFH89" s="996"/>
      <c r="NFI89" s="996"/>
      <c r="NFJ89" s="996"/>
      <c r="NFK89" s="996"/>
      <c r="NFL89" s="996"/>
      <c r="NFM89" s="996"/>
      <c r="NFN89" s="996"/>
      <c r="NFO89" s="996"/>
      <c r="NFP89" s="996"/>
      <c r="NFQ89" s="996"/>
      <c r="NFR89" s="996"/>
      <c r="NFS89" s="996"/>
      <c r="NFT89" s="996"/>
      <c r="NFU89" s="996"/>
      <c r="NFV89" s="996"/>
      <c r="NFW89" s="996"/>
      <c r="NFX89" s="996"/>
      <c r="NFY89" s="996"/>
      <c r="NFZ89" s="996"/>
      <c r="NGA89" s="996"/>
      <c r="NGB89" s="996"/>
      <c r="NGC89" s="996"/>
      <c r="NGD89" s="996"/>
      <c r="NGE89" s="996"/>
      <c r="NGF89" s="996"/>
      <c r="NGG89" s="996"/>
      <c r="NGH89" s="996"/>
      <c r="NGI89" s="996"/>
      <c r="NGJ89" s="996"/>
      <c r="NGK89" s="996"/>
      <c r="NGL89" s="996"/>
      <c r="NGM89" s="996"/>
      <c r="NGN89" s="996"/>
      <c r="NGO89" s="996"/>
      <c r="NGP89" s="996"/>
      <c r="NGQ89" s="996"/>
      <c r="NGR89" s="996"/>
      <c r="NGS89" s="996"/>
      <c r="NGT89" s="996"/>
      <c r="NGU89" s="996"/>
      <c r="NGV89" s="996"/>
      <c r="NGW89" s="996"/>
      <c r="NGX89" s="996"/>
      <c r="NGY89" s="996"/>
      <c r="NGZ89" s="996"/>
      <c r="NHA89" s="996"/>
      <c r="NHB89" s="996"/>
      <c r="NHC89" s="996"/>
      <c r="NHD89" s="996"/>
      <c r="NHE89" s="996"/>
      <c r="NHF89" s="996"/>
      <c r="NHG89" s="996"/>
      <c r="NHH89" s="996"/>
      <c r="NHI89" s="996"/>
      <c r="NHJ89" s="996"/>
      <c r="NHK89" s="996"/>
      <c r="NHL89" s="996"/>
      <c r="NHM89" s="996"/>
      <c r="NHN89" s="996"/>
      <c r="NHO89" s="996"/>
      <c r="NHP89" s="996"/>
      <c r="NHQ89" s="996"/>
      <c r="NHR89" s="996"/>
      <c r="NHS89" s="996"/>
      <c r="NHT89" s="996"/>
      <c r="NHU89" s="996"/>
      <c r="NHV89" s="996"/>
      <c r="NHW89" s="996"/>
      <c r="NHX89" s="996"/>
      <c r="NHY89" s="996"/>
      <c r="NHZ89" s="996"/>
      <c r="NIA89" s="996"/>
      <c r="NIB89" s="996"/>
      <c r="NIC89" s="996"/>
      <c r="NID89" s="996"/>
      <c r="NIE89" s="996"/>
      <c r="NIF89" s="996"/>
      <c r="NIG89" s="996"/>
      <c r="NIH89" s="996"/>
      <c r="NII89" s="996"/>
      <c r="NIJ89" s="996"/>
      <c r="NIK89" s="996"/>
      <c r="NIL89" s="996"/>
      <c r="NIM89" s="996"/>
      <c r="NIN89" s="996"/>
      <c r="NIO89" s="996"/>
      <c r="NIP89" s="996"/>
      <c r="NIQ89" s="996"/>
      <c r="NIR89" s="996"/>
      <c r="NIS89" s="996"/>
      <c r="NIT89" s="996"/>
      <c r="NIU89" s="996"/>
      <c r="NIV89" s="996"/>
      <c r="NIW89" s="996"/>
      <c r="NIX89" s="996"/>
      <c r="NIY89" s="996"/>
      <c r="NIZ89" s="996"/>
      <c r="NJA89" s="996"/>
      <c r="NJB89" s="996"/>
      <c r="NJC89" s="996"/>
      <c r="NJD89" s="996"/>
      <c r="NJE89" s="996"/>
      <c r="NJF89" s="996"/>
      <c r="NJG89" s="996"/>
      <c r="NJH89" s="996"/>
      <c r="NJI89" s="996"/>
      <c r="NJJ89" s="996"/>
      <c r="NJK89" s="996"/>
      <c r="NJL89" s="996"/>
      <c r="NJM89" s="996"/>
      <c r="NJN89" s="996"/>
      <c r="NJO89" s="996"/>
      <c r="NJP89" s="996"/>
      <c r="NJQ89" s="996"/>
      <c r="NJR89" s="996"/>
      <c r="NJS89" s="996"/>
      <c r="NJT89" s="996"/>
      <c r="NJU89" s="996"/>
      <c r="NJV89" s="996"/>
      <c r="NJW89" s="996"/>
      <c r="NJX89" s="996"/>
      <c r="NJY89" s="996"/>
      <c r="NJZ89" s="996"/>
      <c r="NKA89" s="996"/>
      <c r="NKB89" s="996"/>
      <c r="NKC89" s="996"/>
      <c r="NKD89" s="996"/>
      <c r="NKE89" s="996"/>
      <c r="NKF89" s="996"/>
      <c r="NKG89" s="996"/>
      <c r="NKH89" s="996"/>
      <c r="NKI89" s="996"/>
      <c r="NKJ89" s="996"/>
      <c r="NKK89" s="996"/>
      <c r="NKL89" s="996"/>
      <c r="NKM89" s="996"/>
      <c r="NKN89" s="996"/>
      <c r="NKO89" s="996"/>
      <c r="NKP89" s="996"/>
      <c r="NKQ89" s="996"/>
      <c r="NKR89" s="996"/>
      <c r="NKS89" s="996"/>
      <c r="NKT89" s="996"/>
      <c r="NKU89" s="996"/>
      <c r="NKV89" s="996"/>
      <c r="NKW89" s="996"/>
      <c r="NKX89" s="996"/>
      <c r="NKY89" s="996"/>
      <c r="NKZ89" s="996"/>
      <c r="NLA89" s="996"/>
      <c r="NLB89" s="996"/>
      <c r="NLC89" s="996"/>
      <c r="NLD89" s="996"/>
      <c r="NLE89" s="996"/>
      <c r="NLF89" s="996"/>
      <c r="NLG89" s="996"/>
      <c r="NLH89" s="996"/>
      <c r="NLI89" s="996"/>
      <c r="NLJ89" s="996"/>
      <c r="NLK89" s="996"/>
      <c r="NLL89" s="996"/>
      <c r="NLM89" s="996"/>
      <c r="NLN89" s="996"/>
      <c r="NLO89" s="996"/>
      <c r="NLP89" s="996"/>
      <c r="NLQ89" s="996"/>
      <c r="NLR89" s="996"/>
      <c r="NLS89" s="996"/>
      <c r="NLT89" s="996"/>
      <c r="NLU89" s="996"/>
      <c r="NLV89" s="996"/>
      <c r="NLW89" s="996"/>
      <c r="NLX89" s="996"/>
      <c r="NLY89" s="996"/>
      <c r="NLZ89" s="996"/>
      <c r="NMA89" s="996"/>
      <c r="NMB89" s="996"/>
      <c r="NMC89" s="996"/>
      <c r="NMD89" s="996"/>
      <c r="NME89" s="996"/>
      <c r="NMF89" s="996"/>
      <c r="NMG89" s="996"/>
      <c r="NMH89" s="996"/>
      <c r="NMI89" s="996"/>
      <c r="NMJ89" s="996"/>
      <c r="NMK89" s="996"/>
      <c r="NML89" s="996"/>
      <c r="NMM89" s="996"/>
      <c r="NMN89" s="996"/>
      <c r="NMO89" s="996"/>
      <c r="NMP89" s="996"/>
      <c r="NMQ89" s="996"/>
      <c r="NMR89" s="996"/>
      <c r="NMS89" s="996"/>
      <c r="NMT89" s="996"/>
      <c r="NMU89" s="996"/>
      <c r="NMV89" s="996"/>
      <c r="NMW89" s="996"/>
      <c r="NMX89" s="996"/>
      <c r="NMY89" s="996"/>
      <c r="NMZ89" s="996"/>
      <c r="NNA89" s="996"/>
      <c r="NNB89" s="996"/>
      <c r="NNC89" s="996"/>
      <c r="NND89" s="996"/>
      <c r="NNE89" s="996"/>
      <c r="NNF89" s="996"/>
      <c r="NNG89" s="996"/>
      <c r="NNH89" s="996"/>
      <c r="NNI89" s="996"/>
      <c r="NNJ89" s="996"/>
      <c r="NNK89" s="996"/>
      <c r="NNL89" s="996"/>
      <c r="NNM89" s="996"/>
      <c r="NNN89" s="996"/>
      <c r="NNO89" s="996"/>
      <c r="NNP89" s="996"/>
      <c r="NNQ89" s="996"/>
      <c r="NNR89" s="996"/>
      <c r="NNS89" s="996"/>
      <c r="NNT89" s="996"/>
      <c r="NNU89" s="996"/>
      <c r="NNV89" s="996"/>
      <c r="NNW89" s="996"/>
      <c r="NNX89" s="996"/>
      <c r="NNY89" s="996"/>
      <c r="NNZ89" s="996"/>
      <c r="NOA89" s="996"/>
      <c r="NOB89" s="996"/>
      <c r="NOC89" s="996"/>
      <c r="NOD89" s="996"/>
      <c r="NOE89" s="996"/>
      <c r="NOF89" s="996"/>
      <c r="NOG89" s="996"/>
      <c r="NOH89" s="996"/>
      <c r="NOI89" s="996"/>
      <c r="NOJ89" s="996"/>
      <c r="NOK89" s="996"/>
      <c r="NOL89" s="996"/>
      <c r="NOM89" s="996"/>
      <c r="NON89" s="996"/>
      <c r="NOO89" s="996"/>
      <c r="NOP89" s="996"/>
      <c r="NOQ89" s="996"/>
      <c r="NOR89" s="996"/>
      <c r="NOS89" s="996"/>
      <c r="NOT89" s="996"/>
      <c r="NOU89" s="996"/>
      <c r="NOV89" s="996"/>
      <c r="NOW89" s="996"/>
      <c r="NOX89" s="996"/>
      <c r="NOY89" s="996"/>
      <c r="NOZ89" s="996"/>
      <c r="NPA89" s="996"/>
      <c r="NPB89" s="996"/>
      <c r="NPC89" s="996"/>
      <c r="NPD89" s="996"/>
      <c r="NPE89" s="996"/>
      <c r="NPF89" s="996"/>
      <c r="NPG89" s="996"/>
      <c r="NPH89" s="996"/>
      <c r="NPI89" s="996"/>
      <c r="NPJ89" s="996"/>
      <c r="NPK89" s="996"/>
      <c r="NPL89" s="996"/>
      <c r="NPM89" s="996"/>
      <c r="NPN89" s="996"/>
      <c r="NPO89" s="996"/>
      <c r="NPP89" s="996"/>
      <c r="NPQ89" s="996"/>
      <c r="NPR89" s="996"/>
      <c r="NPS89" s="996"/>
      <c r="NPT89" s="996"/>
      <c r="NPU89" s="996"/>
      <c r="NPV89" s="996"/>
      <c r="NPW89" s="996"/>
      <c r="NPX89" s="996"/>
      <c r="NPY89" s="996"/>
      <c r="NPZ89" s="996"/>
      <c r="NQA89" s="996"/>
      <c r="NQB89" s="996"/>
      <c r="NQC89" s="996"/>
      <c r="NQD89" s="996"/>
      <c r="NQE89" s="996"/>
      <c r="NQF89" s="996"/>
      <c r="NQG89" s="996"/>
      <c r="NQH89" s="996"/>
      <c r="NQI89" s="996"/>
      <c r="NQJ89" s="996"/>
      <c r="NQK89" s="996"/>
      <c r="NQL89" s="996"/>
      <c r="NQM89" s="996"/>
      <c r="NQN89" s="996"/>
      <c r="NQO89" s="996"/>
      <c r="NQP89" s="996"/>
      <c r="NQQ89" s="996"/>
      <c r="NQR89" s="996"/>
      <c r="NQS89" s="996"/>
      <c r="NQT89" s="996"/>
      <c r="NQU89" s="996"/>
      <c r="NQV89" s="996"/>
      <c r="NQW89" s="996"/>
      <c r="NQX89" s="996"/>
      <c r="NQY89" s="996"/>
      <c r="NQZ89" s="996"/>
      <c r="NRA89" s="996"/>
      <c r="NRB89" s="996"/>
      <c r="NRC89" s="996"/>
      <c r="NRD89" s="996"/>
      <c r="NRE89" s="996"/>
      <c r="NRF89" s="996"/>
      <c r="NRG89" s="996"/>
      <c r="NRH89" s="996"/>
      <c r="NRI89" s="996"/>
      <c r="NRJ89" s="996"/>
      <c r="NRK89" s="996"/>
      <c r="NRL89" s="996"/>
      <c r="NRM89" s="996"/>
      <c r="NRN89" s="996"/>
      <c r="NRO89" s="996"/>
      <c r="NRP89" s="996"/>
      <c r="NRQ89" s="996"/>
      <c r="NRR89" s="996"/>
      <c r="NRS89" s="996"/>
      <c r="NRT89" s="996"/>
      <c r="NRU89" s="996"/>
      <c r="NRV89" s="996"/>
      <c r="NRW89" s="996"/>
      <c r="NRX89" s="996"/>
      <c r="NRY89" s="996"/>
      <c r="NRZ89" s="996"/>
      <c r="NSA89" s="996"/>
      <c r="NSB89" s="996"/>
      <c r="NSC89" s="996"/>
      <c r="NSD89" s="996"/>
      <c r="NSE89" s="996"/>
      <c r="NSF89" s="996"/>
      <c r="NSG89" s="996"/>
      <c r="NSH89" s="996"/>
      <c r="NSI89" s="996"/>
      <c r="NSJ89" s="996"/>
      <c r="NSK89" s="996"/>
      <c r="NSL89" s="996"/>
      <c r="NSM89" s="996"/>
      <c r="NSN89" s="996"/>
      <c r="NSO89" s="996"/>
      <c r="NSP89" s="996"/>
      <c r="NSQ89" s="996"/>
      <c r="NSR89" s="996"/>
      <c r="NSS89" s="996"/>
      <c r="NST89" s="996"/>
      <c r="NSU89" s="996"/>
      <c r="NSV89" s="996"/>
      <c r="NSW89" s="996"/>
      <c r="NSX89" s="996"/>
      <c r="NSY89" s="996"/>
      <c r="NSZ89" s="996"/>
      <c r="NTA89" s="996"/>
      <c r="NTB89" s="996"/>
      <c r="NTC89" s="996"/>
      <c r="NTD89" s="996"/>
      <c r="NTE89" s="996"/>
      <c r="NTF89" s="996"/>
      <c r="NTG89" s="996"/>
      <c r="NTH89" s="996"/>
      <c r="NTI89" s="996"/>
      <c r="NTJ89" s="996"/>
      <c r="NTK89" s="996"/>
      <c r="NTL89" s="996"/>
      <c r="NTM89" s="996"/>
      <c r="NTN89" s="996"/>
      <c r="NTO89" s="996"/>
      <c r="NTP89" s="996"/>
      <c r="NTQ89" s="996"/>
      <c r="NTR89" s="996"/>
      <c r="NTS89" s="996"/>
      <c r="NTT89" s="996"/>
      <c r="NTU89" s="996"/>
      <c r="NTV89" s="996"/>
      <c r="NTW89" s="996"/>
      <c r="NTX89" s="996"/>
      <c r="NTY89" s="996"/>
      <c r="NTZ89" s="996"/>
      <c r="NUA89" s="996"/>
      <c r="NUB89" s="996"/>
      <c r="NUC89" s="996"/>
      <c r="NUD89" s="996"/>
      <c r="NUE89" s="996"/>
      <c r="NUF89" s="996"/>
      <c r="NUG89" s="996"/>
      <c r="NUH89" s="996"/>
      <c r="NUI89" s="996"/>
      <c r="NUJ89" s="996"/>
      <c r="NUK89" s="996"/>
      <c r="NUL89" s="996"/>
      <c r="NUM89" s="996"/>
      <c r="NUN89" s="996"/>
      <c r="NUO89" s="996"/>
      <c r="NUP89" s="996"/>
      <c r="NUQ89" s="996"/>
      <c r="NUR89" s="996"/>
      <c r="NUS89" s="996"/>
      <c r="NUT89" s="996"/>
      <c r="NUU89" s="996"/>
      <c r="NUV89" s="996"/>
      <c r="NUW89" s="996"/>
      <c r="NUX89" s="996"/>
      <c r="NUY89" s="996"/>
      <c r="NUZ89" s="996"/>
      <c r="NVA89" s="996"/>
      <c r="NVB89" s="996"/>
      <c r="NVC89" s="996"/>
      <c r="NVD89" s="996"/>
      <c r="NVE89" s="996"/>
      <c r="NVF89" s="996"/>
      <c r="NVG89" s="996"/>
      <c r="NVH89" s="996"/>
      <c r="NVI89" s="996"/>
      <c r="NVJ89" s="996"/>
      <c r="NVK89" s="996"/>
      <c r="NVL89" s="996"/>
      <c r="NVM89" s="996"/>
      <c r="NVN89" s="996"/>
      <c r="NVO89" s="996"/>
      <c r="NVP89" s="996"/>
      <c r="NVQ89" s="996"/>
      <c r="NVR89" s="996"/>
      <c r="NVS89" s="996"/>
      <c r="NVT89" s="996"/>
      <c r="NVU89" s="996"/>
      <c r="NVV89" s="996"/>
      <c r="NVW89" s="996"/>
      <c r="NVX89" s="996"/>
      <c r="NVY89" s="996"/>
      <c r="NVZ89" s="996"/>
      <c r="NWA89" s="996"/>
      <c r="NWB89" s="996"/>
      <c r="NWC89" s="996"/>
      <c r="NWD89" s="996"/>
      <c r="NWE89" s="996"/>
      <c r="NWF89" s="996"/>
      <c r="NWG89" s="996"/>
      <c r="NWH89" s="996"/>
      <c r="NWI89" s="996"/>
      <c r="NWJ89" s="996"/>
      <c r="NWK89" s="996"/>
      <c r="NWL89" s="996"/>
      <c r="NWM89" s="996"/>
      <c r="NWN89" s="996"/>
      <c r="NWO89" s="996"/>
      <c r="NWP89" s="996"/>
      <c r="NWQ89" s="996"/>
      <c r="NWR89" s="996"/>
      <c r="NWS89" s="996"/>
      <c r="NWT89" s="996"/>
      <c r="NWU89" s="996"/>
      <c r="NWV89" s="996"/>
      <c r="NWW89" s="996"/>
      <c r="NWX89" s="996"/>
      <c r="NWY89" s="996"/>
      <c r="NWZ89" s="996"/>
      <c r="NXA89" s="996"/>
      <c r="NXB89" s="996"/>
      <c r="NXC89" s="996"/>
      <c r="NXD89" s="996"/>
      <c r="NXE89" s="996"/>
      <c r="NXF89" s="996"/>
      <c r="NXG89" s="996"/>
      <c r="NXH89" s="996"/>
      <c r="NXI89" s="996"/>
      <c r="NXJ89" s="996"/>
      <c r="NXK89" s="996"/>
      <c r="NXL89" s="996"/>
      <c r="NXM89" s="996"/>
      <c r="NXN89" s="996"/>
      <c r="NXO89" s="996"/>
      <c r="NXP89" s="996"/>
      <c r="NXQ89" s="996"/>
      <c r="NXR89" s="996"/>
      <c r="NXS89" s="996"/>
      <c r="NXT89" s="996"/>
      <c r="NXU89" s="996"/>
      <c r="NXV89" s="996"/>
      <c r="NXW89" s="996"/>
      <c r="NXX89" s="996"/>
      <c r="NXY89" s="996"/>
      <c r="NXZ89" s="996"/>
      <c r="NYA89" s="996"/>
      <c r="NYB89" s="996"/>
      <c r="NYC89" s="996"/>
      <c r="NYD89" s="996"/>
      <c r="NYE89" s="996"/>
      <c r="NYF89" s="996"/>
      <c r="NYG89" s="996"/>
      <c r="NYH89" s="996"/>
      <c r="NYI89" s="996"/>
      <c r="NYJ89" s="996"/>
      <c r="NYK89" s="996"/>
      <c r="NYL89" s="996"/>
      <c r="NYM89" s="996"/>
      <c r="NYN89" s="996"/>
      <c r="NYO89" s="996"/>
      <c r="NYP89" s="996"/>
      <c r="NYQ89" s="996"/>
      <c r="NYR89" s="996"/>
      <c r="NYS89" s="996"/>
      <c r="NYT89" s="996"/>
      <c r="NYU89" s="996"/>
      <c r="NYV89" s="996"/>
      <c r="NYW89" s="996"/>
      <c r="NYX89" s="996"/>
      <c r="NYY89" s="996"/>
      <c r="NYZ89" s="996"/>
      <c r="NZA89" s="996"/>
      <c r="NZB89" s="996"/>
      <c r="NZC89" s="996"/>
      <c r="NZD89" s="996"/>
      <c r="NZE89" s="996"/>
      <c r="NZF89" s="996"/>
      <c r="NZG89" s="996"/>
      <c r="NZH89" s="996"/>
      <c r="NZI89" s="996"/>
      <c r="NZJ89" s="996"/>
      <c r="NZK89" s="996"/>
      <c r="NZL89" s="996"/>
      <c r="NZM89" s="996"/>
      <c r="NZN89" s="996"/>
      <c r="NZO89" s="996"/>
      <c r="NZP89" s="996"/>
      <c r="NZQ89" s="996"/>
      <c r="NZR89" s="996"/>
      <c r="NZS89" s="996"/>
      <c r="NZT89" s="996"/>
      <c r="NZU89" s="996"/>
      <c r="NZV89" s="996"/>
      <c r="NZW89" s="996"/>
      <c r="NZX89" s="996"/>
      <c r="NZY89" s="996"/>
      <c r="NZZ89" s="996"/>
      <c r="OAA89" s="996"/>
      <c r="OAB89" s="996"/>
      <c r="OAC89" s="996"/>
      <c r="OAD89" s="996"/>
      <c r="OAE89" s="996"/>
      <c r="OAF89" s="996"/>
      <c r="OAG89" s="996"/>
      <c r="OAH89" s="996"/>
      <c r="OAI89" s="996"/>
      <c r="OAJ89" s="996"/>
      <c r="OAK89" s="996"/>
      <c r="OAL89" s="996"/>
      <c r="OAM89" s="996"/>
      <c r="OAN89" s="996"/>
      <c r="OAO89" s="996"/>
      <c r="OAP89" s="996"/>
      <c r="OAQ89" s="996"/>
      <c r="OAR89" s="996"/>
      <c r="OAS89" s="996"/>
      <c r="OAT89" s="996"/>
      <c r="OAU89" s="996"/>
      <c r="OAV89" s="996"/>
      <c r="OAW89" s="996"/>
      <c r="OAX89" s="996"/>
      <c r="OAY89" s="996"/>
      <c r="OAZ89" s="996"/>
      <c r="OBA89" s="996"/>
      <c r="OBB89" s="996"/>
      <c r="OBC89" s="996"/>
      <c r="OBD89" s="996"/>
      <c r="OBE89" s="996"/>
      <c r="OBF89" s="996"/>
      <c r="OBG89" s="996"/>
      <c r="OBH89" s="996"/>
      <c r="OBI89" s="996"/>
      <c r="OBJ89" s="996"/>
      <c r="OBK89" s="996"/>
      <c r="OBL89" s="996"/>
      <c r="OBM89" s="996"/>
      <c r="OBN89" s="996"/>
      <c r="OBO89" s="996"/>
      <c r="OBP89" s="996"/>
      <c r="OBQ89" s="996"/>
      <c r="OBR89" s="996"/>
      <c r="OBS89" s="996"/>
      <c r="OBT89" s="996"/>
      <c r="OBU89" s="996"/>
      <c r="OBV89" s="996"/>
      <c r="OBW89" s="996"/>
      <c r="OBX89" s="996"/>
      <c r="OBY89" s="996"/>
      <c r="OBZ89" s="996"/>
      <c r="OCA89" s="996"/>
      <c r="OCB89" s="996"/>
      <c r="OCC89" s="996"/>
      <c r="OCD89" s="996"/>
      <c r="OCE89" s="996"/>
      <c r="OCF89" s="996"/>
      <c r="OCG89" s="996"/>
      <c r="OCH89" s="996"/>
      <c r="OCI89" s="996"/>
      <c r="OCJ89" s="996"/>
      <c r="OCK89" s="996"/>
      <c r="OCL89" s="996"/>
      <c r="OCM89" s="996"/>
      <c r="OCN89" s="996"/>
      <c r="OCO89" s="996"/>
      <c r="OCP89" s="996"/>
      <c r="OCQ89" s="996"/>
      <c r="OCR89" s="996"/>
      <c r="OCS89" s="996"/>
      <c r="OCT89" s="996"/>
      <c r="OCU89" s="996"/>
      <c r="OCV89" s="996"/>
      <c r="OCW89" s="996"/>
      <c r="OCX89" s="996"/>
      <c r="OCY89" s="996"/>
      <c r="OCZ89" s="996"/>
      <c r="ODA89" s="996"/>
      <c r="ODB89" s="996"/>
      <c r="ODC89" s="996"/>
      <c r="ODD89" s="996"/>
      <c r="ODE89" s="996"/>
      <c r="ODF89" s="996"/>
      <c r="ODG89" s="996"/>
      <c r="ODH89" s="996"/>
      <c r="ODI89" s="996"/>
      <c r="ODJ89" s="996"/>
      <c r="ODK89" s="996"/>
      <c r="ODL89" s="996"/>
      <c r="ODM89" s="996"/>
      <c r="ODN89" s="996"/>
      <c r="ODO89" s="996"/>
      <c r="ODP89" s="996"/>
      <c r="ODQ89" s="996"/>
      <c r="ODR89" s="996"/>
      <c r="ODS89" s="996"/>
      <c r="ODT89" s="996"/>
      <c r="ODU89" s="996"/>
      <c r="ODV89" s="996"/>
      <c r="ODW89" s="996"/>
      <c r="ODX89" s="996"/>
      <c r="ODY89" s="996"/>
      <c r="ODZ89" s="996"/>
      <c r="OEA89" s="996"/>
      <c r="OEB89" s="996"/>
      <c r="OEC89" s="996"/>
      <c r="OED89" s="996"/>
      <c r="OEE89" s="996"/>
      <c r="OEF89" s="996"/>
      <c r="OEG89" s="996"/>
      <c r="OEH89" s="996"/>
      <c r="OEI89" s="996"/>
      <c r="OEJ89" s="996"/>
      <c r="OEK89" s="996"/>
      <c r="OEL89" s="996"/>
      <c r="OEM89" s="996"/>
      <c r="OEN89" s="996"/>
      <c r="OEO89" s="996"/>
      <c r="OEP89" s="996"/>
      <c r="OEQ89" s="996"/>
      <c r="OER89" s="996"/>
      <c r="OES89" s="996"/>
      <c r="OET89" s="996"/>
      <c r="OEU89" s="996"/>
      <c r="OEV89" s="996"/>
      <c r="OEW89" s="996"/>
      <c r="OEX89" s="996"/>
      <c r="OEY89" s="996"/>
      <c r="OEZ89" s="996"/>
      <c r="OFA89" s="996"/>
      <c r="OFB89" s="996"/>
      <c r="OFC89" s="996"/>
      <c r="OFD89" s="996"/>
      <c r="OFE89" s="996"/>
      <c r="OFF89" s="996"/>
      <c r="OFG89" s="996"/>
      <c r="OFH89" s="996"/>
      <c r="OFI89" s="996"/>
      <c r="OFJ89" s="996"/>
      <c r="OFK89" s="996"/>
      <c r="OFL89" s="996"/>
      <c r="OFM89" s="996"/>
      <c r="OFN89" s="996"/>
      <c r="OFO89" s="996"/>
      <c r="OFP89" s="996"/>
      <c r="OFQ89" s="996"/>
      <c r="OFR89" s="996"/>
      <c r="OFS89" s="996"/>
      <c r="OFT89" s="996"/>
      <c r="OFU89" s="996"/>
      <c r="OFV89" s="996"/>
      <c r="OFW89" s="996"/>
      <c r="OFX89" s="996"/>
      <c r="OFY89" s="996"/>
      <c r="OFZ89" s="996"/>
      <c r="OGA89" s="996"/>
      <c r="OGB89" s="996"/>
      <c r="OGC89" s="996"/>
      <c r="OGD89" s="996"/>
      <c r="OGE89" s="996"/>
      <c r="OGF89" s="996"/>
      <c r="OGG89" s="996"/>
      <c r="OGH89" s="996"/>
      <c r="OGI89" s="996"/>
      <c r="OGJ89" s="996"/>
      <c r="OGK89" s="996"/>
      <c r="OGL89" s="996"/>
      <c r="OGM89" s="996"/>
      <c r="OGN89" s="996"/>
      <c r="OGO89" s="996"/>
      <c r="OGP89" s="996"/>
      <c r="OGQ89" s="996"/>
      <c r="OGR89" s="996"/>
      <c r="OGS89" s="996"/>
      <c r="OGT89" s="996"/>
      <c r="OGU89" s="996"/>
      <c r="OGV89" s="996"/>
      <c r="OGW89" s="996"/>
      <c r="OGX89" s="996"/>
      <c r="OGY89" s="996"/>
      <c r="OGZ89" s="996"/>
      <c r="OHA89" s="996"/>
      <c r="OHB89" s="996"/>
      <c r="OHC89" s="996"/>
      <c r="OHD89" s="996"/>
      <c r="OHE89" s="996"/>
      <c r="OHF89" s="996"/>
      <c r="OHG89" s="996"/>
      <c r="OHH89" s="996"/>
      <c r="OHI89" s="996"/>
      <c r="OHJ89" s="996"/>
      <c r="OHK89" s="996"/>
      <c r="OHL89" s="996"/>
      <c r="OHM89" s="996"/>
      <c r="OHN89" s="996"/>
      <c r="OHO89" s="996"/>
      <c r="OHP89" s="996"/>
      <c r="OHQ89" s="996"/>
      <c r="OHR89" s="996"/>
      <c r="OHS89" s="996"/>
      <c r="OHT89" s="996"/>
      <c r="OHU89" s="996"/>
      <c r="OHV89" s="996"/>
      <c r="OHW89" s="996"/>
      <c r="OHX89" s="996"/>
      <c r="OHY89" s="996"/>
      <c r="OHZ89" s="996"/>
      <c r="OIA89" s="996"/>
      <c r="OIB89" s="996"/>
      <c r="OIC89" s="996"/>
      <c r="OID89" s="996"/>
      <c r="OIE89" s="996"/>
      <c r="OIF89" s="996"/>
      <c r="OIG89" s="996"/>
      <c r="OIH89" s="996"/>
      <c r="OII89" s="996"/>
      <c r="OIJ89" s="996"/>
      <c r="OIK89" s="996"/>
      <c r="OIL89" s="996"/>
      <c r="OIM89" s="996"/>
      <c r="OIN89" s="996"/>
      <c r="OIO89" s="996"/>
      <c r="OIP89" s="996"/>
      <c r="OIQ89" s="996"/>
      <c r="OIR89" s="996"/>
      <c r="OIS89" s="996"/>
      <c r="OIT89" s="996"/>
      <c r="OIU89" s="996"/>
      <c r="OIV89" s="996"/>
      <c r="OIW89" s="996"/>
      <c r="OIX89" s="996"/>
      <c r="OIY89" s="996"/>
      <c r="OIZ89" s="996"/>
      <c r="OJA89" s="996"/>
      <c r="OJB89" s="996"/>
      <c r="OJC89" s="996"/>
      <c r="OJD89" s="996"/>
      <c r="OJE89" s="996"/>
      <c r="OJF89" s="996"/>
      <c r="OJG89" s="996"/>
      <c r="OJH89" s="996"/>
      <c r="OJI89" s="996"/>
      <c r="OJJ89" s="996"/>
      <c r="OJK89" s="996"/>
      <c r="OJL89" s="996"/>
      <c r="OJM89" s="996"/>
      <c r="OJN89" s="996"/>
      <c r="OJO89" s="996"/>
      <c r="OJP89" s="996"/>
      <c r="OJQ89" s="996"/>
      <c r="OJR89" s="996"/>
      <c r="OJS89" s="996"/>
      <c r="OJT89" s="996"/>
      <c r="OJU89" s="996"/>
      <c r="OJV89" s="996"/>
      <c r="OJW89" s="996"/>
      <c r="OJX89" s="996"/>
      <c r="OJY89" s="996"/>
      <c r="OJZ89" s="996"/>
      <c r="OKA89" s="996"/>
      <c r="OKB89" s="996"/>
      <c r="OKC89" s="996"/>
      <c r="OKD89" s="996"/>
      <c r="OKE89" s="996"/>
      <c r="OKF89" s="996"/>
      <c r="OKG89" s="996"/>
      <c r="OKH89" s="996"/>
      <c r="OKI89" s="996"/>
      <c r="OKJ89" s="996"/>
      <c r="OKK89" s="996"/>
      <c r="OKL89" s="996"/>
      <c r="OKM89" s="996"/>
      <c r="OKN89" s="996"/>
      <c r="OKO89" s="996"/>
      <c r="OKP89" s="996"/>
      <c r="OKQ89" s="996"/>
      <c r="OKR89" s="996"/>
      <c r="OKS89" s="996"/>
      <c r="OKT89" s="996"/>
      <c r="OKU89" s="996"/>
      <c r="OKV89" s="996"/>
      <c r="OKW89" s="996"/>
      <c r="OKX89" s="996"/>
      <c r="OKY89" s="996"/>
      <c r="OKZ89" s="996"/>
      <c r="OLA89" s="996"/>
      <c r="OLB89" s="996"/>
      <c r="OLC89" s="996"/>
      <c r="OLD89" s="996"/>
      <c r="OLE89" s="996"/>
      <c r="OLF89" s="996"/>
      <c r="OLG89" s="996"/>
      <c r="OLH89" s="996"/>
      <c r="OLI89" s="996"/>
      <c r="OLJ89" s="996"/>
      <c r="OLK89" s="996"/>
      <c r="OLL89" s="996"/>
      <c r="OLM89" s="996"/>
      <c r="OLN89" s="996"/>
      <c r="OLO89" s="996"/>
      <c r="OLP89" s="996"/>
      <c r="OLQ89" s="996"/>
      <c r="OLR89" s="996"/>
      <c r="OLS89" s="996"/>
      <c r="OLT89" s="996"/>
      <c r="OLU89" s="996"/>
      <c r="OLV89" s="996"/>
      <c r="OLW89" s="996"/>
      <c r="OLX89" s="996"/>
      <c r="OLY89" s="996"/>
      <c r="OLZ89" s="996"/>
      <c r="OMA89" s="996"/>
      <c r="OMB89" s="996"/>
      <c r="OMC89" s="996"/>
      <c r="OMD89" s="996"/>
      <c r="OME89" s="996"/>
      <c r="OMF89" s="996"/>
      <c r="OMG89" s="996"/>
      <c r="OMH89" s="996"/>
      <c r="OMI89" s="996"/>
      <c r="OMJ89" s="996"/>
      <c r="OMK89" s="996"/>
      <c r="OML89" s="996"/>
      <c r="OMM89" s="996"/>
      <c r="OMN89" s="996"/>
      <c r="OMO89" s="996"/>
      <c r="OMP89" s="996"/>
      <c r="OMQ89" s="996"/>
      <c r="OMR89" s="996"/>
      <c r="OMS89" s="996"/>
      <c r="OMT89" s="996"/>
      <c r="OMU89" s="996"/>
      <c r="OMV89" s="996"/>
      <c r="OMW89" s="996"/>
      <c r="OMX89" s="996"/>
      <c r="OMY89" s="996"/>
      <c r="OMZ89" s="996"/>
      <c r="ONA89" s="996"/>
      <c r="ONB89" s="996"/>
      <c r="ONC89" s="996"/>
      <c r="OND89" s="996"/>
      <c r="ONE89" s="996"/>
      <c r="ONF89" s="996"/>
      <c r="ONG89" s="996"/>
      <c r="ONH89" s="996"/>
      <c r="ONI89" s="996"/>
      <c r="ONJ89" s="996"/>
      <c r="ONK89" s="996"/>
      <c r="ONL89" s="996"/>
      <c r="ONM89" s="996"/>
      <c r="ONN89" s="996"/>
      <c r="ONO89" s="996"/>
      <c r="ONP89" s="996"/>
      <c r="ONQ89" s="996"/>
      <c r="ONR89" s="996"/>
      <c r="ONS89" s="996"/>
      <c r="ONT89" s="996"/>
      <c r="ONU89" s="996"/>
      <c r="ONV89" s="996"/>
      <c r="ONW89" s="996"/>
      <c r="ONX89" s="996"/>
      <c r="ONY89" s="996"/>
      <c r="ONZ89" s="996"/>
      <c r="OOA89" s="996"/>
      <c r="OOB89" s="996"/>
      <c r="OOC89" s="996"/>
      <c r="OOD89" s="996"/>
      <c r="OOE89" s="996"/>
      <c r="OOF89" s="996"/>
      <c r="OOG89" s="996"/>
      <c r="OOH89" s="996"/>
      <c r="OOI89" s="996"/>
      <c r="OOJ89" s="996"/>
      <c r="OOK89" s="996"/>
      <c r="OOL89" s="996"/>
      <c r="OOM89" s="996"/>
      <c r="OON89" s="996"/>
      <c r="OOO89" s="996"/>
      <c r="OOP89" s="996"/>
      <c r="OOQ89" s="996"/>
      <c r="OOR89" s="996"/>
      <c r="OOS89" s="996"/>
      <c r="OOT89" s="996"/>
      <c r="OOU89" s="996"/>
      <c r="OOV89" s="996"/>
      <c r="OOW89" s="996"/>
      <c r="OOX89" s="996"/>
      <c r="OOY89" s="996"/>
      <c r="OOZ89" s="996"/>
      <c r="OPA89" s="996"/>
      <c r="OPB89" s="996"/>
      <c r="OPC89" s="996"/>
      <c r="OPD89" s="996"/>
      <c r="OPE89" s="996"/>
      <c r="OPF89" s="996"/>
      <c r="OPG89" s="996"/>
      <c r="OPH89" s="996"/>
      <c r="OPI89" s="996"/>
      <c r="OPJ89" s="996"/>
      <c r="OPK89" s="996"/>
      <c r="OPL89" s="996"/>
      <c r="OPM89" s="996"/>
      <c r="OPN89" s="996"/>
      <c r="OPO89" s="996"/>
      <c r="OPP89" s="996"/>
      <c r="OPQ89" s="996"/>
      <c r="OPR89" s="996"/>
      <c r="OPS89" s="996"/>
      <c r="OPT89" s="996"/>
      <c r="OPU89" s="996"/>
      <c r="OPV89" s="996"/>
      <c r="OPW89" s="996"/>
      <c r="OPX89" s="996"/>
      <c r="OPY89" s="996"/>
      <c r="OPZ89" s="996"/>
      <c r="OQA89" s="996"/>
      <c r="OQB89" s="996"/>
      <c r="OQC89" s="996"/>
      <c r="OQD89" s="996"/>
      <c r="OQE89" s="996"/>
      <c r="OQF89" s="996"/>
      <c r="OQG89" s="996"/>
      <c r="OQH89" s="996"/>
      <c r="OQI89" s="996"/>
      <c r="OQJ89" s="996"/>
      <c r="OQK89" s="996"/>
      <c r="OQL89" s="996"/>
      <c r="OQM89" s="996"/>
      <c r="OQN89" s="996"/>
      <c r="OQO89" s="996"/>
      <c r="OQP89" s="996"/>
      <c r="OQQ89" s="996"/>
      <c r="OQR89" s="996"/>
      <c r="OQS89" s="996"/>
      <c r="OQT89" s="996"/>
      <c r="OQU89" s="996"/>
      <c r="OQV89" s="996"/>
      <c r="OQW89" s="996"/>
      <c r="OQX89" s="996"/>
      <c r="OQY89" s="996"/>
      <c r="OQZ89" s="996"/>
      <c r="ORA89" s="996"/>
      <c r="ORB89" s="996"/>
      <c r="ORC89" s="996"/>
      <c r="ORD89" s="996"/>
      <c r="ORE89" s="996"/>
      <c r="ORF89" s="996"/>
      <c r="ORG89" s="996"/>
      <c r="ORH89" s="996"/>
      <c r="ORI89" s="996"/>
      <c r="ORJ89" s="996"/>
      <c r="ORK89" s="996"/>
      <c r="ORL89" s="996"/>
      <c r="ORM89" s="996"/>
      <c r="ORN89" s="996"/>
      <c r="ORO89" s="996"/>
      <c r="ORP89" s="996"/>
      <c r="ORQ89" s="996"/>
      <c r="ORR89" s="996"/>
      <c r="ORS89" s="996"/>
      <c r="ORT89" s="996"/>
      <c r="ORU89" s="996"/>
      <c r="ORV89" s="996"/>
      <c r="ORW89" s="996"/>
      <c r="ORX89" s="996"/>
      <c r="ORY89" s="996"/>
      <c r="ORZ89" s="996"/>
      <c r="OSA89" s="996"/>
      <c r="OSB89" s="996"/>
      <c r="OSC89" s="996"/>
      <c r="OSD89" s="996"/>
      <c r="OSE89" s="996"/>
      <c r="OSF89" s="996"/>
      <c r="OSG89" s="996"/>
      <c r="OSH89" s="996"/>
      <c r="OSI89" s="996"/>
      <c r="OSJ89" s="996"/>
      <c r="OSK89" s="996"/>
      <c r="OSL89" s="996"/>
      <c r="OSM89" s="996"/>
      <c r="OSN89" s="996"/>
      <c r="OSO89" s="996"/>
      <c r="OSP89" s="996"/>
      <c r="OSQ89" s="996"/>
      <c r="OSR89" s="996"/>
      <c r="OSS89" s="996"/>
      <c r="OST89" s="996"/>
      <c r="OSU89" s="996"/>
      <c r="OSV89" s="996"/>
      <c r="OSW89" s="996"/>
      <c r="OSX89" s="996"/>
      <c r="OSY89" s="996"/>
      <c r="OSZ89" s="996"/>
      <c r="OTA89" s="996"/>
      <c r="OTB89" s="996"/>
      <c r="OTC89" s="996"/>
      <c r="OTD89" s="996"/>
      <c r="OTE89" s="996"/>
      <c r="OTF89" s="996"/>
      <c r="OTG89" s="996"/>
      <c r="OTH89" s="996"/>
      <c r="OTI89" s="996"/>
      <c r="OTJ89" s="996"/>
      <c r="OTK89" s="996"/>
      <c r="OTL89" s="996"/>
      <c r="OTM89" s="996"/>
      <c r="OTN89" s="996"/>
      <c r="OTO89" s="996"/>
      <c r="OTP89" s="996"/>
      <c r="OTQ89" s="996"/>
      <c r="OTR89" s="996"/>
      <c r="OTS89" s="996"/>
      <c r="OTT89" s="996"/>
      <c r="OTU89" s="996"/>
      <c r="OTV89" s="996"/>
      <c r="OTW89" s="996"/>
      <c r="OTX89" s="996"/>
      <c r="OTY89" s="996"/>
      <c r="OTZ89" s="996"/>
      <c r="OUA89" s="996"/>
      <c r="OUB89" s="996"/>
      <c r="OUC89" s="996"/>
      <c r="OUD89" s="996"/>
      <c r="OUE89" s="996"/>
      <c r="OUF89" s="996"/>
      <c r="OUG89" s="996"/>
      <c r="OUH89" s="996"/>
      <c r="OUI89" s="996"/>
      <c r="OUJ89" s="996"/>
      <c r="OUK89" s="996"/>
      <c r="OUL89" s="996"/>
      <c r="OUM89" s="996"/>
      <c r="OUN89" s="996"/>
      <c r="OUO89" s="996"/>
      <c r="OUP89" s="996"/>
      <c r="OUQ89" s="996"/>
      <c r="OUR89" s="996"/>
      <c r="OUS89" s="996"/>
      <c r="OUT89" s="996"/>
      <c r="OUU89" s="996"/>
      <c r="OUV89" s="996"/>
      <c r="OUW89" s="996"/>
      <c r="OUX89" s="996"/>
      <c r="OUY89" s="996"/>
      <c r="OUZ89" s="996"/>
      <c r="OVA89" s="996"/>
      <c r="OVB89" s="996"/>
      <c r="OVC89" s="996"/>
      <c r="OVD89" s="996"/>
      <c r="OVE89" s="996"/>
      <c r="OVF89" s="996"/>
      <c r="OVG89" s="996"/>
      <c r="OVH89" s="996"/>
      <c r="OVI89" s="996"/>
      <c r="OVJ89" s="996"/>
      <c r="OVK89" s="996"/>
      <c r="OVL89" s="996"/>
      <c r="OVM89" s="996"/>
      <c r="OVN89" s="996"/>
      <c r="OVO89" s="996"/>
      <c r="OVP89" s="996"/>
      <c r="OVQ89" s="996"/>
      <c r="OVR89" s="996"/>
      <c r="OVS89" s="996"/>
      <c r="OVT89" s="996"/>
      <c r="OVU89" s="996"/>
      <c r="OVV89" s="996"/>
      <c r="OVW89" s="996"/>
      <c r="OVX89" s="996"/>
      <c r="OVY89" s="996"/>
      <c r="OVZ89" s="996"/>
      <c r="OWA89" s="996"/>
      <c r="OWB89" s="996"/>
      <c r="OWC89" s="996"/>
      <c r="OWD89" s="996"/>
      <c r="OWE89" s="996"/>
      <c r="OWF89" s="996"/>
      <c r="OWG89" s="996"/>
      <c r="OWH89" s="996"/>
      <c r="OWI89" s="996"/>
      <c r="OWJ89" s="996"/>
      <c r="OWK89" s="996"/>
      <c r="OWL89" s="996"/>
      <c r="OWM89" s="996"/>
      <c r="OWN89" s="996"/>
      <c r="OWO89" s="996"/>
      <c r="OWP89" s="996"/>
      <c r="OWQ89" s="996"/>
      <c r="OWR89" s="996"/>
      <c r="OWS89" s="996"/>
      <c r="OWT89" s="996"/>
      <c r="OWU89" s="996"/>
      <c r="OWV89" s="996"/>
      <c r="OWW89" s="996"/>
      <c r="OWX89" s="996"/>
      <c r="OWY89" s="996"/>
      <c r="OWZ89" s="996"/>
      <c r="OXA89" s="996"/>
      <c r="OXB89" s="996"/>
      <c r="OXC89" s="996"/>
      <c r="OXD89" s="996"/>
      <c r="OXE89" s="996"/>
      <c r="OXF89" s="996"/>
      <c r="OXG89" s="996"/>
      <c r="OXH89" s="996"/>
      <c r="OXI89" s="996"/>
      <c r="OXJ89" s="996"/>
      <c r="OXK89" s="996"/>
      <c r="OXL89" s="996"/>
      <c r="OXM89" s="996"/>
      <c r="OXN89" s="996"/>
      <c r="OXO89" s="996"/>
      <c r="OXP89" s="996"/>
      <c r="OXQ89" s="996"/>
      <c r="OXR89" s="996"/>
      <c r="OXS89" s="996"/>
      <c r="OXT89" s="996"/>
      <c r="OXU89" s="996"/>
      <c r="OXV89" s="996"/>
      <c r="OXW89" s="996"/>
      <c r="OXX89" s="996"/>
      <c r="OXY89" s="996"/>
      <c r="OXZ89" s="996"/>
      <c r="OYA89" s="996"/>
      <c r="OYB89" s="996"/>
      <c r="OYC89" s="996"/>
      <c r="OYD89" s="996"/>
      <c r="OYE89" s="996"/>
      <c r="OYF89" s="996"/>
      <c r="OYG89" s="996"/>
      <c r="OYH89" s="996"/>
      <c r="OYI89" s="996"/>
      <c r="OYJ89" s="996"/>
      <c r="OYK89" s="996"/>
      <c r="OYL89" s="996"/>
      <c r="OYM89" s="996"/>
      <c r="OYN89" s="996"/>
      <c r="OYO89" s="996"/>
      <c r="OYP89" s="996"/>
      <c r="OYQ89" s="996"/>
      <c r="OYR89" s="996"/>
      <c r="OYS89" s="996"/>
      <c r="OYT89" s="996"/>
      <c r="OYU89" s="996"/>
      <c r="OYV89" s="996"/>
      <c r="OYW89" s="996"/>
      <c r="OYX89" s="996"/>
      <c r="OYY89" s="996"/>
      <c r="OYZ89" s="996"/>
      <c r="OZA89" s="996"/>
      <c r="OZB89" s="996"/>
      <c r="OZC89" s="996"/>
      <c r="OZD89" s="996"/>
      <c r="OZE89" s="996"/>
      <c r="OZF89" s="996"/>
      <c r="OZG89" s="996"/>
      <c r="OZH89" s="996"/>
      <c r="OZI89" s="996"/>
      <c r="OZJ89" s="996"/>
      <c r="OZK89" s="996"/>
      <c r="OZL89" s="996"/>
      <c r="OZM89" s="996"/>
      <c r="OZN89" s="996"/>
      <c r="OZO89" s="996"/>
      <c r="OZP89" s="996"/>
      <c r="OZQ89" s="996"/>
      <c r="OZR89" s="996"/>
      <c r="OZS89" s="996"/>
      <c r="OZT89" s="996"/>
      <c r="OZU89" s="996"/>
      <c r="OZV89" s="996"/>
      <c r="OZW89" s="996"/>
      <c r="OZX89" s="996"/>
      <c r="OZY89" s="996"/>
      <c r="OZZ89" s="996"/>
      <c r="PAA89" s="996"/>
      <c r="PAB89" s="996"/>
      <c r="PAC89" s="996"/>
      <c r="PAD89" s="996"/>
      <c r="PAE89" s="996"/>
      <c r="PAF89" s="996"/>
      <c r="PAG89" s="996"/>
      <c r="PAH89" s="996"/>
      <c r="PAI89" s="996"/>
      <c r="PAJ89" s="996"/>
      <c r="PAK89" s="996"/>
      <c r="PAL89" s="996"/>
      <c r="PAM89" s="996"/>
      <c r="PAN89" s="996"/>
      <c r="PAO89" s="996"/>
      <c r="PAP89" s="996"/>
      <c r="PAQ89" s="996"/>
      <c r="PAR89" s="996"/>
      <c r="PAS89" s="996"/>
      <c r="PAT89" s="996"/>
      <c r="PAU89" s="996"/>
      <c r="PAV89" s="996"/>
      <c r="PAW89" s="996"/>
      <c r="PAX89" s="996"/>
      <c r="PAY89" s="996"/>
      <c r="PAZ89" s="996"/>
      <c r="PBA89" s="996"/>
      <c r="PBB89" s="996"/>
      <c r="PBC89" s="996"/>
      <c r="PBD89" s="996"/>
      <c r="PBE89" s="996"/>
      <c r="PBF89" s="996"/>
      <c r="PBG89" s="996"/>
      <c r="PBH89" s="996"/>
      <c r="PBI89" s="996"/>
      <c r="PBJ89" s="996"/>
      <c r="PBK89" s="996"/>
      <c r="PBL89" s="996"/>
      <c r="PBM89" s="996"/>
      <c r="PBN89" s="996"/>
      <c r="PBO89" s="996"/>
      <c r="PBP89" s="996"/>
      <c r="PBQ89" s="996"/>
      <c r="PBR89" s="996"/>
      <c r="PBS89" s="996"/>
      <c r="PBT89" s="996"/>
      <c r="PBU89" s="996"/>
      <c r="PBV89" s="996"/>
      <c r="PBW89" s="996"/>
      <c r="PBX89" s="996"/>
      <c r="PBY89" s="996"/>
      <c r="PBZ89" s="996"/>
      <c r="PCA89" s="996"/>
      <c r="PCB89" s="996"/>
      <c r="PCC89" s="996"/>
      <c r="PCD89" s="996"/>
      <c r="PCE89" s="996"/>
      <c r="PCF89" s="996"/>
      <c r="PCG89" s="996"/>
      <c r="PCH89" s="996"/>
      <c r="PCI89" s="996"/>
      <c r="PCJ89" s="996"/>
      <c r="PCK89" s="996"/>
      <c r="PCL89" s="996"/>
      <c r="PCM89" s="996"/>
      <c r="PCN89" s="996"/>
      <c r="PCO89" s="996"/>
      <c r="PCP89" s="996"/>
      <c r="PCQ89" s="996"/>
      <c r="PCR89" s="996"/>
      <c r="PCS89" s="996"/>
      <c r="PCT89" s="996"/>
      <c r="PCU89" s="996"/>
      <c r="PCV89" s="996"/>
      <c r="PCW89" s="996"/>
      <c r="PCX89" s="996"/>
      <c r="PCY89" s="996"/>
      <c r="PCZ89" s="996"/>
      <c r="PDA89" s="996"/>
      <c r="PDB89" s="996"/>
      <c r="PDC89" s="996"/>
      <c r="PDD89" s="996"/>
      <c r="PDE89" s="996"/>
      <c r="PDF89" s="996"/>
      <c r="PDG89" s="996"/>
      <c r="PDH89" s="996"/>
      <c r="PDI89" s="996"/>
      <c r="PDJ89" s="996"/>
      <c r="PDK89" s="996"/>
      <c r="PDL89" s="996"/>
      <c r="PDM89" s="996"/>
      <c r="PDN89" s="996"/>
      <c r="PDO89" s="996"/>
      <c r="PDP89" s="996"/>
      <c r="PDQ89" s="996"/>
      <c r="PDR89" s="996"/>
      <c r="PDS89" s="996"/>
      <c r="PDT89" s="996"/>
      <c r="PDU89" s="996"/>
      <c r="PDV89" s="996"/>
      <c r="PDW89" s="996"/>
      <c r="PDX89" s="996"/>
      <c r="PDY89" s="996"/>
      <c r="PDZ89" s="996"/>
      <c r="PEA89" s="996"/>
      <c r="PEB89" s="996"/>
      <c r="PEC89" s="996"/>
      <c r="PED89" s="996"/>
      <c r="PEE89" s="996"/>
      <c r="PEF89" s="996"/>
      <c r="PEG89" s="996"/>
      <c r="PEH89" s="996"/>
      <c r="PEI89" s="996"/>
      <c r="PEJ89" s="996"/>
      <c r="PEK89" s="996"/>
      <c r="PEL89" s="996"/>
      <c r="PEM89" s="996"/>
      <c r="PEN89" s="996"/>
      <c r="PEO89" s="996"/>
      <c r="PEP89" s="996"/>
      <c r="PEQ89" s="996"/>
      <c r="PER89" s="996"/>
      <c r="PES89" s="996"/>
      <c r="PET89" s="996"/>
      <c r="PEU89" s="996"/>
      <c r="PEV89" s="996"/>
      <c r="PEW89" s="996"/>
      <c r="PEX89" s="996"/>
      <c r="PEY89" s="996"/>
      <c r="PEZ89" s="996"/>
      <c r="PFA89" s="996"/>
      <c r="PFB89" s="996"/>
      <c r="PFC89" s="996"/>
      <c r="PFD89" s="996"/>
      <c r="PFE89" s="996"/>
      <c r="PFF89" s="996"/>
      <c r="PFG89" s="996"/>
      <c r="PFH89" s="996"/>
      <c r="PFI89" s="996"/>
      <c r="PFJ89" s="996"/>
      <c r="PFK89" s="996"/>
      <c r="PFL89" s="996"/>
      <c r="PFM89" s="996"/>
      <c r="PFN89" s="996"/>
      <c r="PFO89" s="996"/>
      <c r="PFP89" s="996"/>
      <c r="PFQ89" s="996"/>
      <c r="PFR89" s="996"/>
      <c r="PFS89" s="996"/>
      <c r="PFT89" s="996"/>
      <c r="PFU89" s="996"/>
      <c r="PFV89" s="996"/>
      <c r="PFW89" s="996"/>
      <c r="PFX89" s="996"/>
      <c r="PFY89" s="996"/>
      <c r="PFZ89" s="996"/>
      <c r="PGA89" s="996"/>
      <c r="PGB89" s="996"/>
      <c r="PGC89" s="996"/>
      <c r="PGD89" s="996"/>
      <c r="PGE89" s="996"/>
      <c r="PGF89" s="996"/>
      <c r="PGG89" s="996"/>
      <c r="PGH89" s="996"/>
      <c r="PGI89" s="996"/>
      <c r="PGJ89" s="996"/>
      <c r="PGK89" s="996"/>
      <c r="PGL89" s="996"/>
      <c r="PGM89" s="996"/>
      <c r="PGN89" s="996"/>
      <c r="PGO89" s="996"/>
      <c r="PGP89" s="996"/>
      <c r="PGQ89" s="996"/>
      <c r="PGR89" s="996"/>
      <c r="PGS89" s="996"/>
      <c r="PGT89" s="996"/>
      <c r="PGU89" s="996"/>
      <c r="PGV89" s="996"/>
      <c r="PGW89" s="996"/>
      <c r="PGX89" s="996"/>
      <c r="PGY89" s="996"/>
      <c r="PGZ89" s="996"/>
      <c r="PHA89" s="996"/>
      <c r="PHB89" s="996"/>
      <c r="PHC89" s="996"/>
      <c r="PHD89" s="996"/>
      <c r="PHE89" s="996"/>
      <c r="PHF89" s="996"/>
      <c r="PHG89" s="996"/>
      <c r="PHH89" s="996"/>
      <c r="PHI89" s="996"/>
      <c r="PHJ89" s="996"/>
      <c r="PHK89" s="996"/>
      <c r="PHL89" s="996"/>
      <c r="PHM89" s="996"/>
      <c r="PHN89" s="996"/>
      <c r="PHO89" s="996"/>
      <c r="PHP89" s="996"/>
      <c r="PHQ89" s="996"/>
      <c r="PHR89" s="996"/>
      <c r="PHS89" s="996"/>
      <c r="PHT89" s="996"/>
      <c r="PHU89" s="996"/>
      <c r="PHV89" s="996"/>
      <c r="PHW89" s="996"/>
      <c r="PHX89" s="996"/>
      <c r="PHY89" s="996"/>
      <c r="PHZ89" s="996"/>
      <c r="PIA89" s="996"/>
      <c r="PIB89" s="996"/>
      <c r="PIC89" s="996"/>
      <c r="PID89" s="996"/>
      <c r="PIE89" s="996"/>
      <c r="PIF89" s="996"/>
      <c r="PIG89" s="996"/>
      <c r="PIH89" s="996"/>
      <c r="PII89" s="996"/>
      <c r="PIJ89" s="996"/>
      <c r="PIK89" s="996"/>
      <c r="PIL89" s="996"/>
      <c r="PIM89" s="996"/>
      <c r="PIN89" s="996"/>
      <c r="PIO89" s="996"/>
      <c r="PIP89" s="996"/>
      <c r="PIQ89" s="996"/>
      <c r="PIR89" s="996"/>
      <c r="PIS89" s="996"/>
      <c r="PIT89" s="996"/>
      <c r="PIU89" s="996"/>
      <c r="PIV89" s="996"/>
      <c r="PIW89" s="996"/>
      <c r="PIX89" s="996"/>
      <c r="PIY89" s="996"/>
      <c r="PIZ89" s="996"/>
      <c r="PJA89" s="996"/>
      <c r="PJB89" s="996"/>
      <c r="PJC89" s="996"/>
      <c r="PJD89" s="996"/>
      <c r="PJE89" s="996"/>
      <c r="PJF89" s="996"/>
      <c r="PJG89" s="996"/>
      <c r="PJH89" s="996"/>
      <c r="PJI89" s="996"/>
      <c r="PJJ89" s="996"/>
      <c r="PJK89" s="996"/>
      <c r="PJL89" s="996"/>
      <c r="PJM89" s="996"/>
      <c r="PJN89" s="996"/>
      <c r="PJO89" s="996"/>
      <c r="PJP89" s="996"/>
      <c r="PJQ89" s="996"/>
      <c r="PJR89" s="996"/>
      <c r="PJS89" s="996"/>
      <c r="PJT89" s="996"/>
      <c r="PJU89" s="996"/>
      <c r="PJV89" s="996"/>
      <c r="PJW89" s="996"/>
      <c r="PJX89" s="996"/>
      <c r="PJY89" s="996"/>
      <c r="PJZ89" s="996"/>
      <c r="PKA89" s="996"/>
      <c r="PKB89" s="996"/>
      <c r="PKC89" s="996"/>
      <c r="PKD89" s="996"/>
      <c r="PKE89" s="996"/>
      <c r="PKF89" s="996"/>
      <c r="PKG89" s="996"/>
      <c r="PKH89" s="996"/>
      <c r="PKI89" s="996"/>
      <c r="PKJ89" s="996"/>
      <c r="PKK89" s="996"/>
      <c r="PKL89" s="996"/>
      <c r="PKM89" s="996"/>
      <c r="PKN89" s="996"/>
      <c r="PKO89" s="996"/>
      <c r="PKP89" s="996"/>
      <c r="PKQ89" s="996"/>
      <c r="PKR89" s="996"/>
      <c r="PKS89" s="996"/>
      <c r="PKT89" s="996"/>
      <c r="PKU89" s="996"/>
      <c r="PKV89" s="996"/>
      <c r="PKW89" s="996"/>
      <c r="PKX89" s="996"/>
      <c r="PKY89" s="996"/>
      <c r="PKZ89" s="996"/>
      <c r="PLA89" s="996"/>
      <c r="PLB89" s="996"/>
      <c r="PLC89" s="996"/>
      <c r="PLD89" s="996"/>
      <c r="PLE89" s="996"/>
      <c r="PLF89" s="996"/>
      <c r="PLG89" s="996"/>
      <c r="PLH89" s="996"/>
      <c r="PLI89" s="996"/>
      <c r="PLJ89" s="996"/>
      <c r="PLK89" s="996"/>
      <c r="PLL89" s="996"/>
      <c r="PLM89" s="996"/>
      <c r="PLN89" s="996"/>
      <c r="PLO89" s="996"/>
      <c r="PLP89" s="996"/>
      <c r="PLQ89" s="996"/>
      <c r="PLR89" s="996"/>
      <c r="PLS89" s="996"/>
      <c r="PLT89" s="996"/>
      <c r="PLU89" s="996"/>
      <c r="PLV89" s="996"/>
      <c r="PLW89" s="996"/>
      <c r="PLX89" s="996"/>
      <c r="PLY89" s="996"/>
      <c r="PLZ89" s="996"/>
      <c r="PMA89" s="996"/>
      <c r="PMB89" s="996"/>
      <c r="PMC89" s="996"/>
      <c r="PMD89" s="996"/>
      <c r="PME89" s="996"/>
      <c r="PMF89" s="996"/>
      <c r="PMG89" s="996"/>
      <c r="PMH89" s="996"/>
      <c r="PMI89" s="996"/>
      <c r="PMJ89" s="996"/>
      <c r="PMK89" s="996"/>
      <c r="PML89" s="996"/>
      <c r="PMM89" s="996"/>
      <c r="PMN89" s="996"/>
      <c r="PMO89" s="996"/>
      <c r="PMP89" s="996"/>
      <c r="PMQ89" s="996"/>
      <c r="PMR89" s="996"/>
      <c r="PMS89" s="996"/>
      <c r="PMT89" s="996"/>
      <c r="PMU89" s="996"/>
      <c r="PMV89" s="996"/>
      <c r="PMW89" s="996"/>
      <c r="PMX89" s="996"/>
      <c r="PMY89" s="996"/>
      <c r="PMZ89" s="996"/>
      <c r="PNA89" s="996"/>
      <c r="PNB89" s="996"/>
      <c r="PNC89" s="996"/>
      <c r="PND89" s="996"/>
      <c r="PNE89" s="996"/>
      <c r="PNF89" s="996"/>
      <c r="PNG89" s="996"/>
      <c r="PNH89" s="996"/>
      <c r="PNI89" s="996"/>
      <c r="PNJ89" s="996"/>
      <c r="PNK89" s="996"/>
      <c r="PNL89" s="996"/>
      <c r="PNM89" s="996"/>
      <c r="PNN89" s="996"/>
      <c r="PNO89" s="996"/>
      <c r="PNP89" s="996"/>
      <c r="PNQ89" s="996"/>
      <c r="PNR89" s="996"/>
      <c r="PNS89" s="996"/>
      <c r="PNT89" s="996"/>
      <c r="PNU89" s="996"/>
      <c r="PNV89" s="996"/>
      <c r="PNW89" s="996"/>
      <c r="PNX89" s="996"/>
      <c r="PNY89" s="996"/>
      <c r="PNZ89" s="996"/>
      <c r="POA89" s="996"/>
      <c r="POB89" s="996"/>
      <c r="POC89" s="996"/>
      <c r="POD89" s="996"/>
      <c r="POE89" s="996"/>
      <c r="POF89" s="996"/>
      <c r="POG89" s="996"/>
      <c r="POH89" s="996"/>
      <c r="POI89" s="996"/>
      <c r="POJ89" s="996"/>
      <c r="POK89" s="996"/>
      <c r="POL89" s="996"/>
      <c r="POM89" s="996"/>
      <c r="PON89" s="996"/>
      <c r="POO89" s="996"/>
      <c r="POP89" s="996"/>
      <c r="POQ89" s="996"/>
      <c r="POR89" s="996"/>
      <c r="POS89" s="996"/>
      <c r="POT89" s="996"/>
      <c r="POU89" s="996"/>
      <c r="POV89" s="996"/>
      <c r="POW89" s="996"/>
      <c r="POX89" s="996"/>
      <c r="POY89" s="996"/>
      <c r="POZ89" s="996"/>
      <c r="PPA89" s="996"/>
      <c r="PPB89" s="996"/>
      <c r="PPC89" s="996"/>
      <c r="PPD89" s="996"/>
      <c r="PPE89" s="996"/>
      <c r="PPF89" s="996"/>
      <c r="PPG89" s="996"/>
      <c r="PPH89" s="996"/>
      <c r="PPI89" s="996"/>
      <c r="PPJ89" s="996"/>
      <c r="PPK89" s="996"/>
      <c r="PPL89" s="996"/>
      <c r="PPM89" s="996"/>
      <c r="PPN89" s="996"/>
      <c r="PPO89" s="996"/>
      <c r="PPP89" s="996"/>
      <c r="PPQ89" s="996"/>
      <c r="PPR89" s="996"/>
      <c r="PPS89" s="996"/>
      <c r="PPT89" s="996"/>
      <c r="PPU89" s="996"/>
      <c r="PPV89" s="996"/>
      <c r="PPW89" s="996"/>
      <c r="PPX89" s="996"/>
      <c r="PPY89" s="996"/>
      <c r="PPZ89" s="996"/>
      <c r="PQA89" s="996"/>
      <c r="PQB89" s="996"/>
      <c r="PQC89" s="996"/>
      <c r="PQD89" s="996"/>
      <c r="PQE89" s="996"/>
      <c r="PQF89" s="996"/>
      <c r="PQG89" s="996"/>
      <c r="PQH89" s="996"/>
      <c r="PQI89" s="996"/>
      <c r="PQJ89" s="996"/>
      <c r="PQK89" s="996"/>
      <c r="PQL89" s="996"/>
      <c r="PQM89" s="996"/>
      <c r="PQN89" s="996"/>
      <c r="PQO89" s="996"/>
      <c r="PQP89" s="996"/>
      <c r="PQQ89" s="996"/>
      <c r="PQR89" s="996"/>
      <c r="PQS89" s="996"/>
      <c r="PQT89" s="996"/>
      <c r="PQU89" s="996"/>
      <c r="PQV89" s="996"/>
      <c r="PQW89" s="996"/>
      <c r="PQX89" s="996"/>
      <c r="PQY89" s="996"/>
      <c r="PQZ89" s="996"/>
      <c r="PRA89" s="996"/>
      <c r="PRB89" s="996"/>
      <c r="PRC89" s="996"/>
      <c r="PRD89" s="996"/>
      <c r="PRE89" s="996"/>
      <c r="PRF89" s="996"/>
      <c r="PRG89" s="996"/>
      <c r="PRH89" s="996"/>
      <c r="PRI89" s="996"/>
      <c r="PRJ89" s="996"/>
      <c r="PRK89" s="996"/>
      <c r="PRL89" s="996"/>
      <c r="PRM89" s="996"/>
      <c r="PRN89" s="996"/>
      <c r="PRO89" s="996"/>
      <c r="PRP89" s="996"/>
      <c r="PRQ89" s="996"/>
      <c r="PRR89" s="996"/>
      <c r="PRS89" s="996"/>
      <c r="PRT89" s="996"/>
      <c r="PRU89" s="996"/>
      <c r="PRV89" s="996"/>
      <c r="PRW89" s="996"/>
      <c r="PRX89" s="996"/>
      <c r="PRY89" s="996"/>
      <c r="PRZ89" s="996"/>
      <c r="PSA89" s="996"/>
      <c r="PSB89" s="996"/>
      <c r="PSC89" s="996"/>
      <c r="PSD89" s="996"/>
      <c r="PSE89" s="996"/>
      <c r="PSF89" s="996"/>
      <c r="PSG89" s="996"/>
      <c r="PSH89" s="996"/>
      <c r="PSI89" s="996"/>
      <c r="PSJ89" s="996"/>
      <c r="PSK89" s="996"/>
      <c r="PSL89" s="996"/>
      <c r="PSM89" s="996"/>
      <c r="PSN89" s="996"/>
      <c r="PSO89" s="996"/>
      <c r="PSP89" s="996"/>
      <c r="PSQ89" s="996"/>
      <c r="PSR89" s="996"/>
      <c r="PSS89" s="996"/>
      <c r="PST89" s="996"/>
      <c r="PSU89" s="996"/>
      <c r="PSV89" s="996"/>
      <c r="PSW89" s="996"/>
      <c r="PSX89" s="996"/>
      <c r="PSY89" s="996"/>
      <c r="PSZ89" s="996"/>
      <c r="PTA89" s="996"/>
      <c r="PTB89" s="996"/>
      <c r="PTC89" s="996"/>
      <c r="PTD89" s="996"/>
      <c r="PTE89" s="996"/>
      <c r="PTF89" s="996"/>
      <c r="PTG89" s="996"/>
      <c r="PTH89" s="996"/>
      <c r="PTI89" s="996"/>
      <c r="PTJ89" s="996"/>
      <c r="PTK89" s="996"/>
      <c r="PTL89" s="996"/>
      <c r="PTM89" s="996"/>
      <c r="PTN89" s="996"/>
      <c r="PTO89" s="996"/>
      <c r="PTP89" s="996"/>
      <c r="PTQ89" s="996"/>
      <c r="PTR89" s="996"/>
      <c r="PTS89" s="996"/>
      <c r="PTT89" s="996"/>
      <c r="PTU89" s="996"/>
      <c r="PTV89" s="996"/>
      <c r="PTW89" s="996"/>
      <c r="PTX89" s="996"/>
      <c r="PTY89" s="996"/>
      <c r="PTZ89" s="996"/>
      <c r="PUA89" s="996"/>
      <c r="PUB89" s="996"/>
      <c r="PUC89" s="996"/>
      <c r="PUD89" s="996"/>
      <c r="PUE89" s="996"/>
      <c r="PUF89" s="996"/>
      <c r="PUG89" s="996"/>
      <c r="PUH89" s="996"/>
      <c r="PUI89" s="996"/>
      <c r="PUJ89" s="996"/>
      <c r="PUK89" s="996"/>
      <c r="PUL89" s="996"/>
      <c r="PUM89" s="996"/>
      <c r="PUN89" s="996"/>
      <c r="PUO89" s="996"/>
      <c r="PUP89" s="996"/>
      <c r="PUQ89" s="996"/>
      <c r="PUR89" s="996"/>
      <c r="PUS89" s="996"/>
      <c r="PUT89" s="996"/>
      <c r="PUU89" s="996"/>
      <c r="PUV89" s="996"/>
      <c r="PUW89" s="996"/>
      <c r="PUX89" s="996"/>
      <c r="PUY89" s="996"/>
      <c r="PUZ89" s="996"/>
      <c r="PVA89" s="996"/>
      <c r="PVB89" s="996"/>
      <c r="PVC89" s="996"/>
      <c r="PVD89" s="996"/>
      <c r="PVE89" s="996"/>
      <c r="PVF89" s="996"/>
      <c r="PVG89" s="996"/>
      <c r="PVH89" s="996"/>
      <c r="PVI89" s="996"/>
      <c r="PVJ89" s="996"/>
      <c r="PVK89" s="996"/>
      <c r="PVL89" s="996"/>
      <c r="PVM89" s="996"/>
      <c r="PVN89" s="996"/>
      <c r="PVO89" s="996"/>
      <c r="PVP89" s="996"/>
      <c r="PVQ89" s="996"/>
      <c r="PVR89" s="996"/>
      <c r="PVS89" s="996"/>
      <c r="PVT89" s="996"/>
      <c r="PVU89" s="996"/>
      <c r="PVV89" s="996"/>
      <c r="PVW89" s="996"/>
      <c r="PVX89" s="996"/>
      <c r="PVY89" s="996"/>
      <c r="PVZ89" s="996"/>
      <c r="PWA89" s="996"/>
      <c r="PWB89" s="996"/>
      <c r="PWC89" s="996"/>
      <c r="PWD89" s="996"/>
      <c r="PWE89" s="996"/>
      <c r="PWF89" s="996"/>
      <c r="PWG89" s="996"/>
      <c r="PWH89" s="996"/>
      <c r="PWI89" s="996"/>
      <c r="PWJ89" s="996"/>
      <c r="PWK89" s="996"/>
      <c r="PWL89" s="996"/>
      <c r="PWM89" s="996"/>
      <c r="PWN89" s="996"/>
      <c r="PWO89" s="996"/>
      <c r="PWP89" s="996"/>
      <c r="PWQ89" s="996"/>
      <c r="PWR89" s="996"/>
      <c r="PWS89" s="996"/>
      <c r="PWT89" s="996"/>
      <c r="PWU89" s="996"/>
      <c r="PWV89" s="996"/>
      <c r="PWW89" s="996"/>
      <c r="PWX89" s="996"/>
      <c r="PWY89" s="996"/>
      <c r="PWZ89" s="996"/>
      <c r="PXA89" s="996"/>
      <c r="PXB89" s="996"/>
      <c r="PXC89" s="996"/>
      <c r="PXD89" s="996"/>
      <c r="PXE89" s="996"/>
      <c r="PXF89" s="996"/>
      <c r="PXG89" s="996"/>
      <c r="PXH89" s="996"/>
      <c r="PXI89" s="996"/>
      <c r="PXJ89" s="996"/>
      <c r="PXK89" s="996"/>
      <c r="PXL89" s="996"/>
      <c r="PXM89" s="996"/>
      <c r="PXN89" s="996"/>
      <c r="PXO89" s="996"/>
      <c r="PXP89" s="996"/>
      <c r="PXQ89" s="996"/>
      <c r="PXR89" s="996"/>
      <c r="PXS89" s="996"/>
      <c r="PXT89" s="996"/>
      <c r="PXU89" s="996"/>
      <c r="PXV89" s="996"/>
      <c r="PXW89" s="996"/>
      <c r="PXX89" s="996"/>
      <c r="PXY89" s="996"/>
      <c r="PXZ89" s="996"/>
      <c r="PYA89" s="996"/>
      <c r="PYB89" s="996"/>
      <c r="PYC89" s="996"/>
      <c r="PYD89" s="996"/>
      <c r="PYE89" s="996"/>
      <c r="PYF89" s="996"/>
      <c r="PYG89" s="996"/>
      <c r="PYH89" s="996"/>
      <c r="PYI89" s="996"/>
      <c r="PYJ89" s="996"/>
      <c r="PYK89" s="996"/>
      <c r="PYL89" s="996"/>
      <c r="PYM89" s="996"/>
      <c r="PYN89" s="996"/>
      <c r="PYO89" s="996"/>
      <c r="PYP89" s="996"/>
      <c r="PYQ89" s="996"/>
      <c r="PYR89" s="996"/>
      <c r="PYS89" s="996"/>
      <c r="PYT89" s="996"/>
      <c r="PYU89" s="996"/>
      <c r="PYV89" s="996"/>
      <c r="PYW89" s="996"/>
      <c r="PYX89" s="996"/>
      <c r="PYY89" s="996"/>
      <c r="PYZ89" s="996"/>
      <c r="PZA89" s="996"/>
      <c r="PZB89" s="996"/>
      <c r="PZC89" s="996"/>
      <c r="PZD89" s="996"/>
      <c r="PZE89" s="996"/>
      <c r="PZF89" s="996"/>
      <c r="PZG89" s="996"/>
      <c r="PZH89" s="996"/>
      <c r="PZI89" s="996"/>
      <c r="PZJ89" s="996"/>
      <c r="PZK89" s="996"/>
      <c r="PZL89" s="996"/>
      <c r="PZM89" s="996"/>
      <c r="PZN89" s="996"/>
      <c r="PZO89" s="996"/>
      <c r="PZP89" s="996"/>
      <c r="PZQ89" s="996"/>
      <c r="PZR89" s="996"/>
      <c r="PZS89" s="996"/>
      <c r="PZT89" s="996"/>
      <c r="PZU89" s="996"/>
      <c r="PZV89" s="996"/>
      <c r="PZW89" s="996"/>
      <c r="PZX89" s="996"/>
      <c r="PZY89" s="996"/>
      <c r="PZZ89" s="996"/>
      <c r="QAA89" s="996"/>
      <c r="QAB89" s="996"/>
      <c r="QAC89" s="996"/>
      <c r="QAD89" s="996"/>
      <c r="QAE89" s="996"/>
      <c r="QAF89" s="996"/>
      <c r="QAG89" s="996"/>
      <c r="QAH89" s="996"/>
      <c r="QAI89" s="996"/>
      <c r="QAJ89" s="996"/>
      <c r="QAK89" s="996"/>
      <c r="QAL89" s="996"/>
      <c r="QAM89" s="996"/>
      <c r="QAN89" s="996"/>
      <c r="QAO89" s="996"/>
      <c r="QAP89" s="996"/>
      <c r="QAQ89" s="996"/>
      <c r="QAR89" s="996"/>
      <c r="QAS89" s="996"/>
      <c r="QAT89" s="996"/>
      <c r="QAU89" s="996"/>
      <c r="QAV89" s="996"/>
      <c r="QAW89" s="996"/>
      <c r="QAX89" s="996"/>
      <c r="QAY89" s="996"/>
      <c r="QAZ89" s="996"/>
      <c r="QBA89" s="996"/>
      <c r="QBB89" s="996"/>
      <c r="QBC89" s="996"/>
      <c r="QBD89" s="996"/>
      <c r="QBE89" s="996"/>
      <c r="QBF89" s="996"/>
      <c r="QBG89" s="996"/>
      <c r="QBH89" s="996"/>
      <c r="QBI89" s="996"/>
      <c r="QBJ89" s="996"/>
      <c r="QBK89" s="996"/>
      <c r="QBL89" s="996"/>
      <c r="QBM89" s="996"/>
      <c r="QBN89" s="996"/>
      <c r="QBO89" s="996"/>
      <c r="QBP89" s="996"/>
      <c r="QBQ89" s="996"/>
      <c r="QBR89" s="996"/>
      <c r="QBS89" s="996"/>
      <c r="QBT89" s="996"/>
      <c r="QBU89" s="996"/>
      <c r="QBV89" s="996"/>
      <c r="QBW89" s="996"/>
      <c r="QBX89" s="996"/>
      <c r="QBY89" s="996"/>
      <c r="QBZ89" s="996"/>
      <c r="QCA89" s="996"/>
      <c r="QCB89" s="996"/>
      <c r="QCC89" s="996"/>
      <c r="QCD89" s="996"/>
      <c r="QCE89" s="996"/>
      <c r="QCF89" s="996"/>
      <c r="QCG89" s="996"/>
      <c r="QCH89" s="996"/>
      <c r="QCI89" s="996"/>
      <c r="QCJ89" s="996"/>
      <c r="QCK89" s="996"/>
      <c r="QCL89" s="996"/>
      <c r="QCM89" s="996"/>
      <c r="QCN89" s="996"/>
      <c r="QCO89" s="996"/>
      <c r="QCP89" s="996"/>
      <c r="QCQ89" s="996"/>
      <c r="QCR89" s="996"/>
      <c r="QCS89" s="996"/>
      <c r="QCT89" s="996"/>
      <c r="QCU89" s="996"/>
      <c r="QCV89" s="996"/>
      <c r="QCW89" s="996"/>
      <c r="QCX89" s="996"/>
      <c r="QCY89" s="996"/>
      <c r="QCZ89" s="996"/>
      <c r="QDA89" s="996"/>
      <c r="QDB89" s="996"/>
      <c r="QDC89" s="996"/>
      <c r="QDD89" s="996"/>
      <c r="QDE89" s="996"/>
      <c r="QDF89" s="996"/>
      <c r="QDG89" s="996"/>
      <c r="QDH89" s="996"/>
      <c r="QDI89" s="996"/>
      <c r="QDJ89" s="996"/>
      <c r="QDK89" s="996"/>
      <c r="QDL89" s="996"/>
      <c r="QDM89" s="996"/>
      <c r="QDN89" s="996"/>
      <c r="QDO89" s="996"/>
      <c r="QDP89" s="996"/>
      <c r="QDQ89" s="996"/>
      <c r="QDR89" s="996"/>
      <c r="QDS89" s="996"/>
      <c r="QDT89" s="996"/>
      <c r="QDU89" s="996"/>
      <c r="QDV89" s="996"/>
      <c r="QDW89" s="996"/>
      <c r="QDX89" s="996"/>
      <c r="QDY89" s="996"/>
      <c r="QDZ89" s="996"/>
      <c r="QEA89" s="996"/>
      <c r="QEB89" s="996"/>
      <c r="QEC89" s="996"/>
      <c r="QED89" s="996"/>
      <c r="QEE89" s="996"/>
      <c r="QEF89" s="996"/>
      <c r="QEG89" s="996"/>
      <c r="QEH89" s="996"/>
      <c r="QEI89" s="996"/>
      <c r="QEJ89" s="996"/>
      <c r="QEK89" s="996"/>
      <c r="QEL89" s="996"/>
      <c r="QEM89" s="996"/>
      <c r="QEN89" s="996"/>
      <c r="QEO89" s="996"/>
      <c r="QEP89" s="996"/>
      <c r="QEQ89" s="996"/>
      <c r="QER89" s="996"/>
      <c r="QES89" s="996"/>
      <c r="QET89" s="996"/>
      <c r="QEU89" s="996"/>
      <c r="QEV89" s="996"/>
      <c r="QEW89" s="996"/>
      <c r="QEX89" s="996"/>
      <c r="QEY89" s="996"/>
      <c r="QEZ89" s="996"/>
      <c r="QFA89" s="996"/>
      <c r="QFB89" s="996"/>
      <c r="QFC89" s="996"/>
      <c r="QFD89" s="996"/>
      <c r="QFE89" s="996"/>
      <c r="QFF89" s="996"/>
      <c r="QFG89" s="996"/>
      <c r="QFH89" s="996"/>
      <c r="QFI89" s="996"/>
      <c r="QFJ89" s="996"/>
      <c r="QFK89" s="996"/>
      <c r="QFL89" s="996"/>
      <c r="QFM89" s="996"/>
      <c r="QFN89" s="996"/>
      <c r="QFO89" s="996"/>
      <c r="QFP89" s="996"/>
      <c r="QFQ89" s="996"/>
      <c r="QFR89" s="996"/>
      <c r="QFS89" s="996"/>
      <c r="QFT89" s="996"/>
      <c r="QFU89" s="996"/>
      <c r="QFV89" s="996"/>
      <c r="QFW89" s="996"/>
      <c r="QFX89" s="996"/>
      <c r="QFY89" s="996"/>
      <c r="QFZ89" s="996"/>
      <c r="QGA89" s="996"/>
      <c r="QGB89" s="996"/>
      <c r="QGC89" s="996"/>
      <c r="QGD89" s="996"/>
      <c r="QGE89" s="996"/>
      <c r="QGF89" s="996"/>
      <c r="QGG89" s="996"/>
      <c r="QGH89" s="996"/>
      <c r="QGI89" s="996"/>
      <c r="QGJ89" s="996"/>
      <c r="QGK89" s="996"/>
      <c r="QGL89" s="996"/>
      <c r="QGM89" s="996"/>
      <c r="QGN89" s="996"/>
      <c r="QGO89" s="996"/>
      <c r="QGP89" s="996"/>
      <c r="QGQ89" s="996"/>
      <c r="QGR89" s="996"/>
      <c r="QGS89" s="996"/>
      <c r="QGT89" s="996"/>
      <c r="QGU89" s="996"/>
      <c r="QGV89" s="996"/>
      <c r="QGW89" s="996"/>
      <c r="QGX89" s="996"/>
      <c r="QGY89" s="996"/>
      <c r="QGZ89" s="996"/>
      <c r="QHA89" s="996"/>
      <c r="QHB89" s="996"/>
      <c r="QHC89" s="996"/>
      <c r="QHD89" s="996"/>
      <c r="QHE89" s="996"/>
      <c r="QHF89" s="996"/>
      <c r="QHG89" s="996"/>
      <c r="QHH89" s="996"/>
      <c r="QHI89" s="996"/>
      <c r="QHJ89" s="996"/>
      <c r="QHK89" s="996"/>
      <c r="QHL89" s="996"/>
      <c r="QHM89" s="996"/>
      <c r="QHN89" s="996"/>
      <c r="QHO89" s="996"/>
      <c r="QHP89" s="996"/>
      <c r="QHQ89" s="996"/>
      <c r="QHR89" s="996"/>
      <c r="QHS89" s="996"/>
      <c r="QHT89" s="996"/>
      <c r="QHU89" s="996"/>
      <c r="QHV89" s="996"/>
      <c r="QHW89" s="996"/>
      <c r="QHX89" s="996"/>
      <c r="QHY89" s="996"/>
      <c r="QHZ89" s="996"/>
      <c r="QIA89" s="996"/>
      <c r="QIB89" s="996"/>
      <c r="QIC89" s="996"/>
      <c r="QID89" s="996"/>
      <c r="QIE89" s="996"/>
      <c r="QIF89" s="996"/>
      <c r="QIG89" s="996"/>
      <c r="QIH89" s="996"/>
      <c r="QII89" s="996"/>
      <c r="QIJ89" s="996"/>
      <c r="QIK89" s="996"/>
      <c r="QIL89" s="996"/>
      <c r="QIM89" s="996"/>
      <c r="QIN89" s="996"/>
      <c r="QIO89" s="996"/>
      <c r="QIP89" s="996"/>
      <c r="QIQ89" s="996"/>
      <c r="QIR89" s="996"/>
      <c r="QIS89" s="996"/>
      <c r="QIT89" s="996"/>
      <c r="QIU89" s="996"/>
      <c r="QIV89" s="996"/>
      <c r="QIW89" s="996"/>
      <c r="QIX89" s="996"/>
      <c r="QIY89" s="996"/>
      <c r="QIZ89" s="996"/>
      <c r="QJA89" s="996"/>
      <c r="QJB89" s="996"/>
      <c r="QJC89" s="996"/>
      <c r="QJD89" s="996"/>
      <c r="QJE89" s="996"/>
      <c r="QJF89" s="996"/>
      <c r="QJG89" s="996"/>
      <c r="QJH89" s="996"/>
      <c r="QJI89" s="996"/>
      <c r="QJJ89" s="996"/>
      <c r="QJK89" s="996"/>
      <c r="QJL89" s="996"/>
      <c r="QJM89" s="996"/>
      <c r="QJN89" s="996"/>
      <c r="QJO89" s="996"/>
      <c r="QJP89" s="996"/>
      <c r="QJQ89" s="996"/>
      <c r="QJR89" s="996"/>
      <c r="QJS89" s="996"/>
      <c r="QJT89" s="996"/>
      <c r="QJU89" s="996"/>
      <c r="QJV89" s="996"/>
      <c r="QJW89" s="996"/>
      <c r="QJX89" s="996"/>
      <c r="QJY89" s="996"/>
      <c r="QJZ89" s="996"/>
      <c r="QKA89" s="996"/>
      <c r="QKB89" s="996"/>
      <c r="QKC89" s="996"/>
      <c r="QKD89" s="996"/>
      <c r="QKE89" s="996"/>
      <c r="QKF89" s="996"/>
      <c r="QKG89" s="996"/>
      <c r="QKH89" s="996"/>
      <c r="QKI89" s="996"/>
      <c r="QKJ89" s="996"/>
      <c r="QKK89" s="996"/>
      <c r="QKL89" s="996"/>
      <c r="QKM89" s="996"/>
      <c r="QKN89" s="996"/>
      <c r="QKO89" s="996"/>
      <c r="QKP89" s="996"/>
      <c r="QKQ89" s="996"/>
      <c r="QKR89" s="996"/>
      <c r="QKS89" s="996"/>
      <c r="QKT89" s="996"/>
      <c r="QKU89" s="996"/>
      <c r="QKV89" s="996"/>
      <c r="QKW89" s="996"/>
      <c r="QKX89" s="996"/>
      <c r="QKY89" s="996"/>
      <c r="QKZ89" s="996"/>
      <c r="QLA89" s="996"/>
      <c r="QLB89" s="996"/>
      <c r="QLC89" s="996"/>
      <c r="QLD89" s="996"/>
      <c r="QLE89" s="996"/>
      <c r="QLF89" s="996"/>
      <c r="QLG89" s="996"/>
      <c r="QLH89" s="996"/>
      <c r="QLI89" s="996"/>
      <c r="QLJ89" s="996"/>
      <c r="QLK89" s="996"/>
      <c r="QLL89" s="996"/>
      <c r="QLM89" s="996"/>
      <c r="QLN89" s="996"/>
      <c r="QLO89" s="996"/>
      <c r="QLP89" s="996"/>
      <c r="QLQ89" s="996"/>
      <c r="QLR89" s="996"/>
      <c r="QLS89" s="996"/>
      <c r="QLT89" s="996"/>
      <c r="QLU89" s="996"/>
      <c r="QLV89" s="996"/>
      <c r="QLW89" s="996"/>
      <c r="QLX89" s="996"/>
      <c r="QLY89" s="996"/>
      <c r="QLZ89" s="996"/>
      <c r="QMA89" s="996"/>
      <c r="QMB89" s="996"/>
      <c r="QMC89" s="996"/>
      <c r="QMD89" s="996"/>
      <c r="QME89" s="996"/>
      <c r="QMF89" s="996"/>
      <c r="QMG89" s="996"/>
      <c r="QMH89" s="996"/>
      <c r="QMI89" s="996"/>
      <c r="QMJ89" s="996"/>
      <c r="QMK89" s="996"/>
      <c r="QML89" s="996"/>
      <c r="QMM89" s="996"/>
      <c r="QMN89" s="996"/>
      <c r="QMO89" s="996"/>
      <c r="QMP89" s="996"/>
      <c r="QMQ89" s="996"/>
      <c r="QMR89" s="996"/>
      <c r="QMS89" s="996"/>
      <c r="QMT89" s="996"/>
      <c r="QMU89" s="996"/>
      <c r="QMV89" s="996"/>
      <c r="QMW89" s="996"/>
      <c r="QMX89" s="996"/>
      <c r="QMY89" s="996"/>
      <c r="QMZ89" s="996"/>
      <c r="QNA89" s="996"/>
      <c r="QNB89" s="996"/>
      <c r="QNC89" s="996"/>
      <c r="QND89" s="996"/>
      <c r="QNE89" s="996"/>
      <c r="QNF89" s="996"/>
      <c r="QNG89" s="996"/>
      <c r="QNH89" s="996"/>
      <c r="QNI89" s="996"/>
      <c r="QNJ89" s="996"/>
      <c r="QNK89" s="996"/>
      <c r="QNL89" s="996"/>
      <c r="QNM89" s="996"/>
      <c r="QNN89" s="996"/>
      <c r="QNO89" s="996"/>
      <c r="QNP89" s="996"/>
      <c r="QNQ89" s="996"/>
      <c r="QNR89" s="996"/>
      <c r="QNS89" s="996"/>
      <c r="QNT89" s="996"/>
      <c r="QNU89" s="996"/>
      <c r="QNV89" s="996"/>
      <c r="QNW89" s="996"/>
      <c r="QNX89" s="996"/>
      <c r="QNY89" s="996"/>
      <c r="QNZ89" s="996"/>
      <c r="QOA89" s="996"/>
      <c r="QOB89" s="996"/>
      <c r="QOC89" s="996"/>
      <c r="QOD89" s="996"/>
      <c r="QOE89" s="996"/>
      <c r="QOF89" s="996"/>
      <c r="QOG89" s="996"/>
      <c r="QOH89" s="996"/>
      <c r="QOI89" s="996"/>
      <c r="QOJ89" s="996"/>
      <c r="QOK89" s="996"/>
      <c r="QOL89" s="996"/>
      <c r="QOM89" s="996"/>
      <c r="QON89" s="996"/>
      <c r="QOO89" s="996"/>
      <c r="QOP89" s="996"/>
      <c r="QOQ89" s="996"/>
      <c r="QOR89" s="996"/>
      <c r="QOS89" s="996"/>
      <c r="QOT89" s="996"/>
      <c r="QOU89" s="996"/>
      <c r="QOV89" s="996"/>
      <c r="QOW89" s="996"/>
      <c r="QOX89" s="996"/>
      <c r="QOY89" s="996"/>
      <c r="QOZ89" s="996"/>
      <c r="QPA89" s="996"/>
      <c r="QPB89" s="996"/>
      <c r="QPC89" s="996"/>
      <c r="QPD89" s="996"/>
      <c r="QPE89" s="996"/>
      <c r="QPF89" s="996"/>
      <c r="QPG89" s="996"/>
      <c r="QPH89" s="996"/>
      <c r="QPI89" s="996"/>
      <c r="QPJ89" s="996"/>
      <c r="QPK89" s="996"/>
      <c r="QPL89" s="996"/>
      <c r="QPM89" s="996"/>
      <c r="QPN89" s="996"/>
      <c r="QPO89" s="996"/>
      <c r="QPP89" s="996"/>
      <c r="QPQ89" s="996"/>
      <c r="QPR89" s="996"/>
      <c r="QPS89" s="996"/>
      <c r="QPT89" s="996"/>
      <c r="QPU89" s="996"/>
      <c r="QPV89" s="996"/>
      <c r="QPW89" s="996"/>
      <c r="QPX89" s="996"/>
      <c r="QPY89" s="996"/>
      <c r="QPZ89" s="996"/>
      <c r="QQA89" s="996"/>
      <c r="QQB89" s="996"/>
      <c r="QQC89" s="996"/>
      <c r="QQD89" s="996"/>
      <c r="QQE89" s="996"/>
      <c r="QQF89" s="996"/>
      <c r="QQG89" s="996"/>
      <c r="QQH89" s="996"/>
      <c r="QQI89" s="996"/>
      <c r="QQJ89" s="996"/>
      <c r="QQK89" s="996"/>
      <c r="QQL89" s="996"/>
      <c r="QQM89" s="996"/>
      <c r="QQN89" s="996"/>
      <c r="QQO89" s="996"/>
      <c r="QQP89" s="996"/>
      <c r="QQQ89" s="996"/>
      <c r="QQR89" s="996"/>
      <c r="QQS89" s="996"/>
      <c r="QQT89" s="996"/>
      <c r="QQU89" s="996"/>
      <c r="QQV89" s="996"/>
      <c r="QQW89" s="996"/>
      <c r="QQX89" s="996"/>
      <c r="QQY89" s="996"/>
      <c r="QQZ89" s="996"/>
      <c r="QRA89" s="996"/>
      <c r="QRB89" s="996"/>
      <c r="QRC89" s="996"/>
      <c r="QRD89" s="996"/>
      <c r="QRE89" s="996"/>
      <c r="QRF89" s="996"/>
      <c r="QRG89" s="996"/>
      <c r="QRH89" s="996"/>
      <c r="QRI89" s="996"/>
      <c r="QRJ89" s="996"/>
      <c r="QRK89" s="996"/>
      <c r="QRL89" s="996"/>
      <c r="QRM89" s="996"/>
      <c r="QRN89" s="996"/>
      <c r="QRO89" s="996"/>
      <c r="QRP89" s="996"/>
      <c r="QRQ89" s="996"/>
      <c r="QRR89" s="996"/>
      <c r="QRS89" s="996"/>
      <c r="QRT89" s="996"/>
      <c r="QRU89" s="996"/>
      <c r="QRV89" s="996"/>
      <c r="QRW89" s="996"/>
      <c r="QRX89" s="996"/>
      <c r="QRY89" s="996"/>
      <c r="QRZ89" s="996"/>
      <c r="QSA89" s="996"/>
      <c r="QSB89" s="996"/>
      <c r="QSC89" s="996"/>
      <c r="QSD89" s="996"/>
      <c r="QSE89" s="996"/>
      <c r="QSF89" s="996"/>
      <c r="QSG89" s="996"/>
      <c r="QSH89" s="996"/>
      <c r="QSI89" s="996"/>
      <c r="QSJ89" s="996"/>
      <c r="QSK89" s="996"/>
      <c r="QSL89" s="996"/>
      <c r="QSM89" s="996"/>
      <c r="QSN89" s="996"/>
      <c r="QSO89" s="996"/>
      <c r="QSP89" s="996"/>
      <c r="QSQ89" s="996"/>
      <c r="QSR89" s="996"/>
      <c r="QSS89" s="996"/>
      <c r="QST89" s="996"/>
      <c r="QSU89" s="996"/>
      <c r="QSV89" s="996"/>
      <c r="QSW89" s="996"/>
      <c r="QSX89" s="996"/>
      <c r="QSY89" s="996"/>
      <c r="QSZ89" s="996"/>
      <c r="QTA89" s="996"/>
      <c r="QTB89" s="996"/>
      <c r="QTC89" s="996"/>
      <c r="QTD89" s="996"/>
      <c r="QTE89" s="996"/>
      <c r="QTF89" s="996"/>
      <c r="QTG89" s="996"/>
      <c r="QTH89" s="996"/>
      <c r="QTI89" s="996"/>
      <c r="QTJ89" s="996"/>
      <c r="QTK89" s="996"/>
      <c r="QTL89" s="996"/>
      <c r="QTM89" s="996"/>
      <c r="QTN89" s="996"/>
      <c r="QTO89" s="996"/>
      <c r="QTP89" s="996"/>
      <c r="QTQ89" s="996"/>
      <c r="QTR89" s="996"/>
      <c r="QTS89" s="996"/>
      <c r="QTT89" s="996"/>
      <c r="QTU89" s="996"/>
      <c r="QTV89" s="996"/>
      <c r="QTW89" s="996"/>
      <c r="QTX89" s="996"/>
      <c r="QTY89" s="996"/>
      <c r="QTZ89" s="996"/>
      <c r="QUA89" s="996"/>
      <c r="QUB89" s="996"/>
      <c r="QUC89" s="996"/>
      <c r="QUD89" s="996"/>
      <c r="QUE89" s="996"/>
      <c r="QUF89" s="996"/>
      <c r="QUG89" s="996"/>
      <c r="QUH89" s="996"/>
      <c r="QUI89" s="996"/>
      <c r="QUJ89" s="996"/>
      <c r="QUK89" s="996"/>
      <c r="QUL89" s="996"/>
      <c r="QUM89" s="996"/>
      <c r="QUN89" s="996"/>
      <c r="QUO89" s="996"/>
      <c r="QUP89" s="996"/>
      <c r="QUQ89" s="996"/>
      <c r="QUR89" s="996"/>
      <c r="QUS89" s="996"/>
      <c r="QUT89" s="996"/>
      <c r="QUU89" s="996"/>
      <c r="QUV89" s="996"/>
      <c r="QUW89" s="996"/>
      <c r="QUX89" s="996"/>
      <c r="QUY89" s="996"/>
      <c r="QUZ89" s="996"/>
      <c r="QVA89" s="996"/>
      <c r="QVB89" s="996"/>
      <c r="QVC89" s="996"/>
      <c r="QVD89" s="996"/>
      <c r="QVE89" s="996"/>
      <c r="QVF89" s="996"/>
      <c r="QVG89" s="996"/>
      <c r="QVH89" s="996"/>
      <c r="QVI89" s="996"/>
      <c r="QVJ89" s="996"/>
      <c r="QVK89" s="996"/>
      <c r="QVL89" s="996"/>
      <c r="QVM89" s="996"/>
      <c r="QVN89" s="996"/>
      <c r="QVO89" s="996"/>
      <c r="QVP89" s="996"/>
      <c r="QVQ89" s="996"/>
      <c r="QVR89" s="996"/>
      <c r="QVS89" s="996"/>
      <c r="QVT89" s="996"/>
      <c r="QVU89" s="996"/>
      <c r="QVV89" s="996"/>
      <c r="QVW89" s="996"/>
      <c r="QVX89" s="996"/>
      <c r="QVY89" s="996"/>
      <c r="QVZ89" s="996"/>
      <c r="QWA89" s="996"/>
      <c r="QWB89" s="996"/>
      <c r="QWC89" s="996"/>
      <c r="QWD89" s="996"/>
      <c r="QWE89" s="996"/>
      <c r="QWF89" s="996"/>
      <c r="QWG89" s="996"/>
      <c r="QWH89" s="996"/>
      <c r="QWI89" s="996"/>
      <c r="QWJ89" s="996"/>
      <c r="QWK89" s="996"/>
      <c r="QWL89" s="996"/>
      <c r="QWM89" s="996"/>
      <c r="QWN89" s="996"/>
      <c r="QWO89" s="996"/>
      <c r="QWP89" s="996"/>
      <c r="QWQ89" s="996"/>
      <c r="QWR89" s="996"/>
      <c r="QWS89" s="996"/>
      <c r="QWT89" s="996"/>
      <c r="QWU89" s="996"/>
      <c r="QWV89" s="996"/>
      <c r="QWW89" s="996"/>
      <c r="QWX89" s="996"/>
      <c r="QWY89" s="996"/>
      <c r="QWZ89" s="996"/>
      <c r="QXA89" s="996"/>
      <c r="QXB89" s="996"/>
      <c r="QXC89" s="996"/>
      <c r="QXD89" s="996"/>
      <c r="QXE89" s="996"/>
      <c r="QXF89" s="996"/>
      <c r="QXG89" s="996"/>
      <c r="QXH89" s="996"/>
      <c r="QXI89" s="996"/>
      <c r="QXJ89" s="996"/>
      <c r="QXK89" s="996"/>
      <c r="QXL89" s="996"/>
      <c r="QXM89" s="996"/>
      <c r="QXN89" s="996"/>
      <c r="QXO89" s="996"/>
      <c r="QXP89" s="996"/>
      <c r="QXQ89" s="996"/>
      <c r="QXR89" s="996"/>
      <c r="QXS89" s="996"/>
      <c r="QXT89" s="996"/>
      <c r="QXU89" s="996"/>
      <c r="QXV89" s="996"/>
      <c r="QXW89" s="996"/>
      <c r="QXX89" s="996"/>
      <c r="QXY89" s="996"/>
      <c r="QXZ89" s="996"/>
      <c r="QYA89" s="996"/>
      <c r="QYB89" s="996"/>
      <c r="QYC89" s="996"/>
      <c r="QYD89" s="996"/>
      <c r="QYE89" s="996"/>
      <c r="QYF89" s="996"/>
      <c r="QYG89" s="996"/>
      <c r="QYH89" s="996"/>
      <c r="QYI89" s="996"/>
      <c r="QYJ89" s="996"/>
      <c r="QYK89" s="996"/>
      <c r="QYL89" s="996"/>
      <c r="QYM89" s="996"/>
      <c r="QYN89" s="996"/>
      <c r="QYO89" s="996"/>
      <c r="QYP89" s="996"/>
      <c r="QYQ89" s="996"/>
      <c r="QYR89" s="996"/>
      <c r="QYS89" s="996"/>
      <c r="QYT89" s="996"/>
      <c r="QYU89" s="996"/>
      <c r="QYV89" s="996"/>
      <c r="QYW89" s="996"/>
      <c r="QYX89" s="996"/>
      <c r="QYY89" s="996"/>
      <c r="QYZ89" s="996"/>
      <c r="QZA89" s="996"/>
      <c r="QZB89" s="996"/>
      <c r="QZC89" s="996"/>
      <c r="QZD89" s="996"/>
      <c r="QZE89" s="996"/>
      <c r="QZF89" s="996"/>
      <c r="QZG89" s="996"/>
      <c r="QZH89" s="996"/>
      <c r="QZI89" s="996"/>
      <c r="QZJ89" s="996"/>
      <c r="QZK89" s="996"/>
      <c r="QZL89" s="996"/>
      <c r="QZM89" s="996"/>
      <c r="QZN89" s="996"/>
      <c r="QZO89" s="996"/>
      <c r="QZP89" s="996"/>
      <c r="QZQ89" s="996"/>
      <c r="QZR89" s="996"/>
      <c r="QZS89" s="996"/>
      <c r="QZT89" s="996"/>
      <c r="QZU89" s="996"/>
      <c r="QZV89" s="996"/>
      <c r="QZW89" s="996"/>
      <c r="QZX89" s="996"/>
      <c r="QZY89" s="996"/>
      <c r="QZZ89" s="996"/>
      <c r="RAA89" s="996"/>
      <c r="RAB89" s="996"/>
      <c r="RAC89" s="996"/>
      <c r="RAD89" s="996"/>
      <c r="RAE89" s="996"/>
      <c r="RAF89" s="996"/>
      <c r="RAG89" s="996"/>
      <c r="RAH89" s="996"/>
      <c r="RAI89" s="996"/>
      <c r="RAJ89" s="996"/>
      <c r="RAK89" s="996"/>
      <c r="RAL89" s="996"/>
      <c r="RAM89" s="996"/>
      <c r="RAN89" s="996"/>
      <c r="RAO89" s="996"/>
      <c r="RAP89" s="996"/>
      <c r="RAQ89" s="996"/>
      <c r="RAR89" s="996"/>
      <c r="RAS89" s="996"/>
      <c r="RAT89" s="996"/>
      <c r="RAU89" s="996"/>
      <c r="RAV89" s="996"/>
      <c r="RAW89" s="996"/>
      <c r="RAX89" s="996"/>
      <c r="RAY89" s="996"/>
      <c r="RAZ89" s="996"/>
      <c r="RBA89" s="996"/>
      <c r="RBB89" s="996"/>
      <c r="RBC89" s="996"/>
      <c r="RBD89" s="996"/>
      <c r="RBE89" s="996"/>
      <c r="RBF89" s="996"/>
      <c r="RBG89" s="996"/>
      <c r="RBH89" s="996"/>
      <c r="RBI89" s="996"/>
      <c r="RBJ89" s="996"/>
      <c r="RBK89" s="996"/>
      <c r="RBL89" s="996"/>
      <c r="RBM89" s="996"/>
      <c r="RBN89" s="996"/>
      <c r="RBO89" s="996"/>
      <c r="RBP89" s="996"/>
      <c r="RBQ89" s="996"/>
      <c r="RBR89" s="996"/>
      <c r="RBS89" s="996"/>
      <c r="RBT89" s="996"/>
      <c r="RBU89" s="996"/>
      <c r="RBV89" s="996"/>
      <c r="RBW89" s="996"/>
      <c r="RBX89" s="996"/>
      <c r="RBY89" s="996"/>
      <c r="RBZ89" s="996"/>
      <c r="RCA89" s="996"/>
      <c r="RCB89" s="996"/>
      <c r="RCC89" s="996"/>
      <c r="RCD89" s="996"/>
      <c r="RCE89" s="996"/>
      <c r="RCF89" s="996"/>
      <c r="RCG89" s="996"/>
      <c r="RCH89" s="996"/>
      <c r="RCI89" s="996"/>
      <c r="RCJ89" s="996"/>
      <c r="RCK89" s="996"/>
      <c r="RCL89" s="996"/>
      <c r="RCM89" s="996"/>
      <c r="RCN89" s="996"/>
      <c r="RCO89" s="996"/>
      <c r="RCP89" s="996"/>
      <c r="RCQ89" s="996"/>
      <c r="RCR89" s="996"/>
      <c r="RCS89" s="996"/>
      <c r="RCT89" s="996"/>
      <c r="RCU89" s="996"/>
      <c r="RCV89" s="996"/>
      <c r="RCW89" s="996"/>
      <c r="RCX89" s="996"/>
      <c r="RCY89" s="996"/>
      <c r="RCZ89" s="996"/>
      <c r="RDA89" s="996"/>
      <c r="RDB89" s="996"/>
      <c r="RDC89" s="996"/>
      <c r="RDD89" s="996"/>
      <c r="RDE89" s="996"/>
      <c r="RDF89" s="996"/>
      <c r="RDG89" s="996"/>
      <c r="RDH89" s="996"/>
      <c r="RDI89" s="996"/>
      <c r="RDJ89" s="996"/>
      <c r="RDK89" s="996"/>
      <c r="RDL89" s="996"/>
      <c r="RDM89" s="996"/>
      <c r="RDN89" s="996"/>
      <c r="RDO89" s="996"/>
      <c r="RDP89" s="996"/>
      <c r="RDQ89" s="996"/>
      <c r="RDR89" s="996"/>
      <c r="RDS89" s="996"/>
      <c r="RDT89" s="996"/>
      <c r="RDU89" s="996"/>
      <c r="RDV89" s="996"/>
      <c r="RDW89" s="996"/>
      <c r="RDX89" s="996"/>
      <c r="RDY89" s="996"/>
      <c r="RDZ89" s="996"/>
      <c r="REA89" s="996"/>
      <c r="REB89" s="996"/>
      <c r="REC89" s="996"/>
      <c r="RED89" s="996"/>
      <c r="REE89" s="996"/>
      <c r="REF89" s="996"/>
      <c r="REG89" s="996"/>
      <c r="REH89" s="996"/>
      <c r="REI89" s="996"/>
      <c r="REJ89" s="996"/>
      <c r="REK89" s="996"/>
      <c r="REL89" s="996"/>
      <c r="REM89" s="996"/>
      <c r="REN89" s="996"/>
      <c r="REO89" s="996"/>
      <c r="REP89" s="996"/>
      <c r="REQ89" s="996"/>
      <c r="RER89" s="996"/>
      <c r="RES89" s="996"/>
      <c r="RET89" s="996"/>
      <c r="REU89" s="996"/>
      <c r="REV89" s="996"/>
      <c r="REW89" s="996"/>
      <c r="REX89" s="996"/>
      <c r="REY89" s="996"/>
      <c r="REZ89" s="996"/>
      <c r="RFA89" s="996"/>
      <c r="RFB89" s="996"/>
      <c r="RFC89" s="996"/>
      <c r="RFD89" s="996"/>
      <c r="RFE89" s="996"/>
      <c r="RFF89" s="996"/>
      <c r="RFG89" s="996"/>
      <c r="RFH89" s="996"/>
      <c r="RFI89" s="996"/>
      <c r="RFJ89" s="996"/>
      <c r="RFK89" s="996"/>
      <c r="RFL89" s="996"/>
      <c r="RFM89" s="996"/>
      <c r="RFN89" s="996"/>
      <c r="RFO89" s="996"/>
      <c r="RFP89" s="996"/>
      <c r="RFQ89" s="996"/>
      <c r="RFR89" s="996"/>
      <c r="RFS89" s="996"/>
      <c r="RFT89" s="996"/>
      <c r="RFU89" s="996"/>
      <c r="RFV89" s="996"/>
      <c r="RFW89" s="996"/>
      <c r="RFX89" s="996"/>
      <c r="RFY89" s="996"/>
      <c r="RFZ89" s="996"/>
      <c r="RGA89" s="996"/>
      <c r="RGB89" s="996"/>
      <c r="RGC89" s="996"/>
      <c r="RGD89" s="996"/>
      <c r="RGE89" s="996"/>
      <c r="RGF89" s="996"/>
      <c r="RGG89" s="996"/>
      <c r="RGH89" s="996"/>
      <c r="RGI89" s="996"/>
      <c r="RGJ89" s="996"/>
      <c r="RGK89" s="996"/>
      <c r="RGL89" s="996"/>
      <c r="RGM89" s="996"/>
      <c r="RGN89" s="996"/>
      <c r="RGO89" s="996"/>
      <c r="RGP89" s="996"/>
      <c r="RGQ89" s="996"/>
      <c r="RGR89" s="996"/>
      <c r="RGS89" s="996"/>
      <c r="RGT89" s="996"/>
      <c r="RGU89" s="996"/>
      <c r="RGV89" s="996"/>
      <c r="RGW89" s="996"/>
      <c r="RGX89" s="996"/>
      <c r="RGY89" s="996"/>
      <c r="RGZ89" s="996"/>
      <c r="RHA89" s="996"/>
      <c r="RHB89" s="996"/>
      <c r="RHC89" s="996"/>
      <c r="RHD89" s="996"/>
      <c r="RHE89" s="996"/>
      <c r="RHF89" s="996"/>
      <c r="RHG89" s="996"/>
      <c r="RHH89" s="996"/>
      <c r="RHI89" s="996"/>
      <c r="RHJ89" s="996"/>
      <c r="RHK89" s="996"/>
      <c r="RHL89" s="996"/>
      <c r="RHM89" s="996"/>
      <c r="RHN89" s="996"/>
      <c r="RHO89" s="996"/>
      <c r="RHP89" s="996"/>
      <c r="RHQ89" s="996"/>
      <c r="RHR89" s="996"/>
      <c r="RHS89" s="996"/>
      <c r="RHT89" s="996"/>
      <c r="RHU89" s="996"/>
      <c r="RHV89" s="996"/>
      <c r="RHW89" s="996"/>
      <c r="RHX89" s="996"/>
      <c r="RHY89" s="996"/>
      <c r="RHZ89" s="996"/>
      <c r="RIA89" s="996"/>
      <c r="RIB89" s="996"/>
      <c r="RIC89" s="996"/>
      <c r="RID89" s="996"/>
      <c r="RIE89" s="996"/>
      <c r="RIF89" s="996"/>
      <c r="RIG89" s="996"/>
      <c r="RIH89" s="996"/>
      <c r="RII89" s="996"/>
      <c r="RIJ89" s="996"/>
      <c r="RIK89" s="996"/>
      <c r="RIL89" s="996"/>
      <c r="RIM89" s="996"/>
      <c r="RIN89" s="996"/>
      <c r="RIO89" s="996"/>
      <c r="RIP89" s="996"/>
      <c r="RIQ89" s="996"/>
      <c r="RIR89" s="996"/>
      <c r="RIS89" s="996"/>
      <c r="RIT89" s="996"/>
      <c r="RIU89" s="996"/>
      <c r="RIV89" s="996"/>
      <c r="RIW89" s="996"/>
      <c r="RIX89" s="996"/>
      <c r="RIY89" s="996"/>
      <c r="RIZ89" s="996"/>
      <c r="RJA89" s="996"/>
      <c r="RJB89" s="996"/>
      <c r="RJC89" s="996"/>
      <c r="RJD89" s="996"/>
      <c r="RJE89" s="996"/>
      <c r="RJF89" s="996"/>
      <c r="RJG89" s="996"/>
      <c r="RJH89" s="996"/>
      <c r="RJI89" s="996"/>
      <c r="RJJ89" s="996"/>
      <c r="RJK89" s="996"/>
      <c r="RJL89" s="996"/>
      <c r="RJM89" s="996"/>
      <c r="RJN89" s="996"/>
      <c r="RJO89" s="996"/>
      <c r="RJP89" s="996"/>
      <c r="RJQ89" s="996"/>
      <c r="RJR89" s="996"/>
      <c r="RJS89" s="996"/>
      <c r="RJT89" s="996"/>
      <c r="RJU89" s="996"/>
      <c r="RJV89" s="996"/>
      <c r="RJW89" s="996"/>
      <c r="RJX89" s="996"/>
      <c r="RJY89" s="996"/>
      <c r="RJZ89" s="996"/>
      <c r="RKA89" s="996"/>
      <c r="RKB89" s="996"/>
      <c r="RKC89" s="996"/>
      <c r="RKD89" s="996"/>
      <c r="RKE89" s="996"/>
      <c r="RKF89" s="996"/>
      <c r="RKG89" s="996"/>
      <c r="RKH89" s="996"/>
      <c r="RKI89" s="996"/>
      <c r="RKJ89" s="996"/>
      <c r="RKK89" s="996"/>
      <c r="RKL89" s="996"/>
      <c r="RKM89" s="996"/>
      <c r="RKN89" s="996"/>
      <c r="RKO89" s="996"/>
      <c r="RKP89" s="996"/>
      <c r="RKQ89" s="996"/>
      <c r="RKR89" s="996"/>
      <c r="RKS89" s="996"/>
      <c r="RKT89" s="996"/>
      <c r="RKU89" s="996"/>
      <c r="RKV89" s="996"/>
      <c r="RKW89" s="996"/>
      <c r="RKX89" s="996"/>
      <c r="RKY89" s="996"/>
      <c r="RKZ89" s="996"/>
      <c r="RLA89" s="996"/>
      <c r="RLB89" s="996"/>
      <c r="RLC89" s="996"/>
      <c r="RLD89" s="996"/>
      <c r="RLE89" s="996"/>
      <c r="RLF89" s="996"/>
      <c r="RLG89" s="996"/>
      <c r="RLH89" s="996"/>
      <c r="RLI89" s="996"/>
      <c r="RLJ89" s="996"/>
      <c r="RLK89" s="996"/>
      <c r="RLL89" s="996"/>
      <c r="RLM89" s="996"/>
      <c r="RLN89" s="996"/>
      <c r="RLO89" s="996"/>
      <c r="RLP89" s="996"/>
      <c r="RLQ89" s="996"/>
      <c r="RLR89" s="996"/>
      <c r="RLS89" s="996"/>
      <c r="RLT89" s="996"/>
      <c r="RLU89" s="996"/>
      <c r="RLV89" s="996"/>
      <c r="RLW89" s="996"/>
      <c r="RLX89" s="996"/>
      <c r="RLY89" s="996"/>
      <c r="RLZ89" s="996"/>
      <c r="RMA89" s="996"/>
      <c r="RMB89" s="996"/>
      <c r="RMC89" s="996"/>
      <c r="RMD89" s="996"/>
      <c r="RME89" s="996"/>
      <c r="RMF89" s="996"/>
      <c r="RMG89" s="996"/>
      <c r="RMH89" s="996"/>
      <c r="RMI89" s="996"/>
      <c r="RMJ89" s="996"/>
      <c r="RMK89" s="996"/>
      <c r="RML89" s="996"/>
      <c r="RMM89" s="996"/>
      <c r="RMN89" s="996"/>
      <c r="RMO89" s="996"/>
      <c r="RMP89" s="996"/>
      <c r="RMQ89" s="996"/>
      <c r="RMR89" s="996"/>
      <c r="RMS89" s="996"/>
      <c r="RMT89" s="996"/>
      <c r="RMU89" s="996"/>
      <c r="RMV89" s="996"/>
      <c r="RMW89" s="996"/>
      <c r="RMX89" s="996"/>
      <c r="RMY89" s="996"/>
      <c r="RMZ89" s="996"/>
      <c r="RNA89" s="996"/>
      <c r="RNB89" s="996"/>
      <c r="RNC89" s="996"/>
      <c r="RND89" s="996"/>
      <c r="RNE89" s="996"/>
      <c r="RNF89" s="996"/>
      <c r="RNG89" s="996"/>
      <c r="RNH89" s="996"/>
      <c r="RNI89" s="996"/>
      <c r="RNJ89" s="996"/>
      <c r="RNK89" s="996"/>
      <c r="RNL89" s="996"/>
      <c r="RNM89" s="996"/>
      <c r="RNN89" s="996"/>
      <c r="RNO89" s="996"/>
      <c r="RNP89" s="996"/>
      <c r="RNQ89" s="996"/>
      <c r="RNR89" s="996"/>
      <c r="RNS89" s="996"/>
      <c r="RNT89" s="996"/>
      <c r="RNU89" s="996"/>
      <c r="RNV89" s="996"/>
      <c r="RNW89" s="996"/>
      <c r="RNX89" s="996"/>
      <c r="RNY89" s="996"/>
      <c r="RNZ89" s="996"/>
      <c r="ROA89" s="996"/>
      <c r="ROB89" s="996"/>
      <c r="ROC89" s="996"/>
      <c r="ROD89" s="996"/>
      <c r="ROE89" s="996"/>
      <c r="ROF89" s="996"/>
      <c r="ROG89" s="996"/>
      <c r="ROH89" s="996"/>
      <c r="ROI89" s="996"/>
      <c r="ROJ89" s="996"/>
      <c r="ROK89" s="996"/>
      <c r="ROL89" s="996"/>
      <c r="ROM89" s="996"/>
      <c r="RON89" s="996"/>
      <c r="ROO89" s="996"/>
      <c r="ROP89" s="996"/>
      <c r="ROQ89" s="996"/>
      <c r="ROR89" s="996"/>
      <c r="ROS89" s="996"/>
      <c r="ROT89" s="996"/>
      <c r="ROU89" s="996"/>
      <c r="ROV89" s="996"/>
      <c r="ROW89" s="996"/>
      <c r="ROX89" s="996"/>
      <c r="ROY89" s="996"/>
      <c r="ROZ89" s="996"/>
      <c r="RPA89" s="996"/>
      <c r="RPB89" s="996"/>
      <c r="RPC89" s="996"/>
      <c r="RPD89" s="996"/>
      <c r="RPE89" s="996"/>
      <c r="RPF89" s="996"/>
      <c r="RPG89" s="996"/>
      <c r="RPH89" s="996"/>
      <c r="RPI89" s="996"/>
      <c r="RPJ89" s="996"/>
      <c r="RPK89" s="996"/>
      <c r="RPL89" s="996"/>
      <c r="RPM89" s="996"/>
      <c r="RPN89" s="996"/>
      <c r="RPO89" s="996"/>
      <c r="RPP89" s="996"/>
      <c r="RPQ89" s="996"/>
      <c r="RPR89" s="996"/>
      <c r="RPS89" s="996"/>
      <c r="RPT89" s="996"/>
      <c r="RPU89" s="996"/>
      <c r="RPV89" s="996"/>
      <c r="RPW89" s="996"/>
      <c r="RPX89" s="996"/>
      <c r="RPY89" s="996"/>
      <c r="RPZ89" s="996"/>
      <c r="RQA89" s="996"/>
      <c r="RQB89" s="996"/>
      <c r="RQC89" s="996"/>
      <c r="RQD89" s="996"/>
      <c r="RQE89" s="996"/>
      <c r="RQF89" s="996"/>
      <c r="RQG89" s="996"/>
      <c r="RQH89" s="996"/>
      <c r="RQI89" s="996"/>
      <c r="RQJ89" s="996"/>
      <c r="RQK89" s="996"/>
      <c r="RQL89" s="996"/>
      <c r="RQM89" s="996"/>
      <c r="RQN89" s="996"/>
      <c r="RQO89" s="996"/>
      <c r="RQP89" s="996"/>
      <c r="RQQ89" s="996"/>
      <c r="RQR89" s="996"/>
      <c r="RQS89" s="996"/>
      <c r="RQT89" s="996"/>
      <c r="RQU89" s="996"/>
      <c r="RQV89" s="996"/>
      <c r="RQW89" s="996"/>
      <c r="RQX89" s="996"/>
      <c r="RQY89" s="996"/>
      <c r="RQZ89" s="996"/>
      <c r="RRA89" s="996"/>
      <c r="RRB89" s="996"/>
      <c r="RRC89" s="996"/>
      <c r="RRD89" s="996"/>
      <c r="RRE89" s="996"/>
      <c r="RRF89" s="996"/>
      <c r="RRG89" s="996"/>
      <c r="RRH89" s="996"/>
      <c r="RRI89" s="996"/>
      <c r="RRJ89" s="996"/>
      <c r="RRK89" s="996"/>
      <c r="RRL89" s="996"/>
      <c r="RRM89" s="996"/>
      <c r="RRN89" s="996"/>
      <c r="RRO89" s="996"/>
      <c r="RRP89" s="996"/>
      <c r="RRQ89" s="996"/>
      <c r="RRR89" s="996"/>
      <c r="RRS89" s="996"/>
      <c r="RRT89" s="996"/>
      <c r="RRU89" s="996"/>
      <c r="RRV89" s="996"/>
      <c r="RRW89" s="996"/>
      <c r="RRX89" s="996"/>
      <c r="RRY89" s="996"/>
      <c r="RRZ89" s="996"/>
      <c r="RSA89" s="996"/>
      <c r="RSB89" s="996"/>
      <c r="RSC89" s="996"/>
      <c r="RSD89" s="996"/>
      <c r="RSE89" s="996"/>
      <c r="RSF89" s="996"/>
      <c r="RSG89" s="996"/>
      <c r="RSH89" s="996"/>
      <c r="RSI89" s="996"/>
      <c r="RSJ89" s="996"/>
      <c r="RSK89" s="996"/>
      <c r="RSL89" s="996"/>
      <c r="RSM89" s="996"/>
      <c r="RSN89" s="996"/>
      <c r="RSO89" s="996"/>
      <c r="RSP89" s="996"/>
      <c r="RSQ89" s="996"/>
      <c r="RSR89" s="996"/>
      <c r="RSS89" s="996"/>
      <c r="RST89" s="996"/>
      <c r="RSU89" s="996"/>
      <c r="RSV89" s="996"/>
      <c r="RSW89" s="996"/>
      <c r="RSX89" s="996"/>
      <c r="RSY89" s="996"/>
      <c r="RSZ89" s="996"/>
      <c r="RTA89" s="996"/>
      <c r="RTB89" s="996"/>
      <c r="RTC89" s="996"/>
      <c r="RTD89" s="996"/>
      <c r="RTE89" s="996"/>
      <c r="RTF89" s="996"/>
      <c r="RTG89" s="996"/>
      <c r="RTH89" s="996"/>
      <c r="RTI89" s="996"/>
      <c r="RTJ89" s="996"/>
      <c r="RTK89" s="996"/>
      <c r="RTL89" s="996"/>
      <c r="RTM89" s="996"/>
      <c r="RTN89" s="996"/>
      <c r="RTO89" s="996"/>
      <c r="RTP89" s="996"/>
      <c r="RTQ89" s="996"/>
      <c r="RTR89" s="996"/>
      <c r="RTS89" s="996"/>
      <c r="RTT89" s="996"/>
      <c r="RTU89" s="996"/>
      <c r="RTV89" s="996"/>
      <c r="RTW89" s="996"/>
      <c r="RTX89" s="996"/>
      <c r="RTY89" s="996"/>
      <c r="RTZ89" s="996"/>
      <c r="RUA89" s="996"/>
      <c r="RUB89" s="996"/>
      <c r="RUC89" s="996"/>
      <c r="RUD89" s="996"/>
      <c r="RUE89" s="996"/>
      <c r="RUF89" s="996"/>
      <c r="RUG89" s="996"/>
      <c r="RUH89" s="996"/>
      <c r="RUI89" s="996"/>
      <c r="RUJ89" s="996"/>
      <c r="RUK89" s="996"/>
      <c r="RUL89" s="996"/>
      <c r="RUM89" s="996"/>
      <c r="RUN89" s="996"/>
      <c r="RUO89" s="996"/>
      <c r="RUP89" s="996"/>
      <c r="RUQ89" s="996"/>
      <c r="RUR89" s="996"/>
      <c r="RUS89" s="996"/>
      <c r="RUT89" s="996"/>
      <c r="RUU89" s="996"/>
      <c r="RUV89" s="996"/>
      <c r="RUW89" s="996"/>
      <c r="RUX89" s="996"/>
      <c r="RUY89" s="996"/>
      <c r="RUZ89" s="996"/>
      <c r="RVA89" s="996"/>
      <c r="RVB89" s="996"/>
      <c r="RVC89" s="996"/>
      <c r="RVD89" s="996"/>
      <c r="RVE89" s="996"/>
      <c r="RVF89" s="996"/>
      <c r="RVG89" s="996"/>
      <c r="RVH89" s="996"/>
      <c r="RVI89" s="996"/>
      <c r="RVJ89" s="996"/>
      <c r="RVK89" s="996"/>
      <c r="RVL89" s="996"/>
      <c r="RVM89" s="996"/>
      <c r="RVN89" s="996"/>
      <c r="RVO89" s="996"/>
      <c r="RVP89" s="996"/>
      <c r="RVQ89" s="996"/>
      <c r="RVR89" s="996"/>
      <c r="RVS89" s="996"/>
      <c r="RVT89" s="996"/>
      <c r="RVU89" s="996"/>
      <c r="RVV89" s="996"/>
      <c r="RVW89" s="996"/>
      <c r="RVX89" s="996"/>
      <c r="RVY89" s="996"/>
      <c r="RVZ89" s="996"/>
      <c r="RWA89" s="996"/>
      <c r="RWB89" s="996"/>
      <c r="RWC89" s="996"/>
      <c r="RWD89" s="996"/>
      <c r="RWE89" s="996"/>
      <c r="RWF89" s="996"/>
      <c r="RWG89" s="996"/>
      <c r="RWH89" s="996"/>
      <c r="RWI89" s="996"/>
      <c r="RWJ89" s="996"/>
      <c r="RWK89" s="996"/>
      <c r="RWL89" s="996"/>
      <c r="RWM89" s="996"/>
      <c r="RWN89" s="996"/>
      <c r="RWO89" s="996"/>
      <c r="RWP89" s="996"/>
      <c r="RWQ89" s="996"/>
      <c r="RWR89" s="996"/>
      <c r="RWS89" s="996"/>
      <c r="RWT89" s="996"/>
      <c r="RWU89" s="996"/>
      <c r="RWV89" s="996"/>
      <c r="RWW89" s="996"/>
      <c r="RWX89" s="996"/>
      <c r="RWY89" s="996"/>
      <c r="RWZ89" s="996"/>
      <c r="RXA89" s="996"/>
      <c r="RXB89" s="996"/>
      <c r="RXC89" s="996"/>
      <c r="RXD89" s="996"/>
      <c r="RXE89" s="996"/>
      <c r="RXF89" s="996"/>
      <c r="RXG89" s="996"/>
      <c r="RXH89" s="996"/>
      <c r="RXI89" s="996"/>
      <c r="RXJ89" s="996"/>
      <c r="RXK89" s="996"/>
      <c r="RXL89" s="996"/>
      <c r="RXM89" s="996"/>
      <c r="RXN89" s="996"/>
      <c r="RXO89" s="996"/>
      <c r="RXP89" s="996"/>
      <c r="RXQ89" s="996"/>
      <c r="RXR89" s="996"/>
      <c r="RXS89" s="996"/>
      <c r="RXT89" s="996"/>
      <c r="RXU89" s="996"/>
      <c r="RXV89" s="996"/>
      <c r="RXW89" s="996"/>
      <c r="RXX89" s="996"/>
      <c r="RXY89" s="996"/>
      <c r="RXZ89" s="996"/>
      <c r="RYA89" s="996"/>
      <c r="RYB89" s="996"/>
      <c r="RYC89" s="996"/>
      <c r="RYD89" s="996"/>
      <c r="RYE89" s="996"/>
      <c r="RYF89" s="996"/>
      <c r="RYG89" s="996"/>
      <c r="RYH89" s="996"/>
      <c r="RYI89" s="996"/>
      <c r="RYJ89" s="996"/>
      <c r="RYK89" s="996"/>
      <c r="RYL89" s="996"/>
      <c r="RYM89" s="996"/>
      <c r="RYN89" s="996"/>
      <c r="RYO89" s="996"/>
      <c r="RYP89" s="996"/>
      <c r="RYQ89" s="996"/>
      <c r="RYR89" s="996"/>
      <c r="RYS89" s="996"/>
      <c r="RYT89" s="996"/>
      <c r="RYU89" s="996"/>
      <c r="RYV89" s="996"/>
      <c r="RYW89" s="996"/>
      <c r="RYX89" s="996"/>
      <c r="RYY89" s="996"/>
      <c r="RYZ89" s="996"/>
      <c r="RZA89" s="996"/>
      <c r="RZB89" s="996"/>
      <c r="RZC89" s="996"/>
      <c r="RZD89" s="996"/>
      <c r="RZE89" s="996"/>
      <c r="RZF89" s="996"/>
      <c r="RZG89" s="996"/>
      <c r="RZH89" s="996"/>
      <c r="RZI89" s="996"/>
      <c r="RZJ89" s="996"/>
      <c r="RZK89" s="996"/>
      <c r="RZL89" s="996"/>
      <c r="RZM89" s="996"/>
      <c r="RZN89" s="996"/>
      <c r="RZO89" s="996"/>
      <c r="RZP89" s="996"/>
      <c r="RZQ89" s="996"/>
      <c r="RZR89" s="996"/>
      <c r="RZS89" s="996"/>
      <c r="RZT89" s="996"/>
      <c r="RZU89" s="996"/>
      <c r="RZV89" s="996"/>
      <c r="RZW89" s="996"/>
      <c r="RZX89" s="996"/>
      <c r="RZY89" s="996"/>
      <c r="RZZ89" s="996"/>
      <c r="SAA89" s="996"/>
      <c r="SAB89" s="996"/>
      <c r="SAC89" s="996"/>
      <c r="SAD89" s="996"/>
      <c r="SAE89" s="996"/>
      <c r="SAF89" s="996"/>
      <c r="SAG89" s="996"/>
      <c r="SAH89" s="996"/>
      <c r="SAI89" s="996"/>
      <c r="SAJ89" s="996"/>
      <c r="SAK89" s="996"/>
      <c r="SAL89" s="996"/>
      <c r="SAM89" s="996"/>
      <c r="SAN89" s="996"/>
      <c r="SAO89" s="996"/>
      <c r="SAP89" s="996"/>
      <c r="SAQ89" s="996"/>
      <c r="SAR89" s="996"/>
      <c r="SAS89" s="996"/>
      <c r="SAT89" s="996"/>
      <c r="SAU89" s="996"/>
      <c r="SAV89" s="996"/>
      <c r="SAW89" s="996"/>
      <c r="SAX89" s="996"/>
      <c r="SAY89" s="996"/>
      <c r="SAZ89" s="996"/>
      <c r="SBA89" s="996"/>
      <c r="SBB89" s="996"/>
      <c r="SBC89" s="996"/>
      <c r="SBD89" s="996"/>
      <c r="SBE89" s="996"/>
      <c r="SBF89" s="996"/>
      <c r="SBG89" s="996"/>
      <c r="SBH89" s="996"/>
      <c r="SBI89" s="996"/>
      <c r="SBJ89" s="996"/>
      <c r="SBK89" s="996"/>
      <c r="SBL89" s="996"/>
      <c r="SBM89" s="996"/>
      <c r="SBN89" s="996"/>
      <c r="SBO89" s="996"/>
      <c r="SBP89" s="996"/>
      <c r="SBQ89" s="996"/>
      <c r="SBR89" s="996"/>
      <c r="SBS89" s="996"/>
      <c r="SBT89" s="996"/>
      <c r="SBU89" s="996"/>
      <c r="SBV89" s="996"/>
      <c r="SBW89" s="996"/>
      <c r="SBX89" s="996"/>
      <c r="SBY89" s="996"/>
      <c r="SBZ89" s="996"/>
      <c r="SCA89" s="996"/>
      <c r="SCB89" s="996"/>
      <c r="SCC89" s="996"/>
      <c r="SCD89" s="996"/>
      <c r="SCE89" s="996"/>
      <c r="SCF89" s="996"/>
      <c r="SCG89" s="996"/>
      <c r="SCH89" s="996"/>
      <c r="SCI89" s="996"/>
      <c r="SCJ89" s="996"/>
      <c r="SCK89" s="996"/>
      <c r="SCL89" s="996"/>
      <c r="SCM89" s="996"/>
      <c r="SCN89" s="996"/>
      <c r="SCO89" s="996"/>
      <c r="SCP89" s="996"/>
      <c r="SCQ89" s="996"/>
      <c r="SCR89" s="996"/>
      <c r="SCS89" s="996"/>
      <c r="SCT89" s="996"/>
      <c r="SCU89" s="996"/>
      <c r="SCV89" s="996"/>
      <c r="SCW89" s="996"/>
      <c r="SCX89" s="996"/>
      <c r="SCY89" s="996"/>
      <c r="SCZ89" s="996"/>
      <c r="SDA89" s="996"/>
      <c r="SDB89" s="996"/>
      <c r="SDC89" s="996"/>
      <c r="SDD89" s="996"/>
      <c r="SDE89" s="996"/>
      <c r="SDF89" s="996"/>
      <c r="SDG89" s="996"/>
      <c r="SDH89" s="996"/>
      <c r="SDI89" s="996"/>
      <c r="SDJ89" s="996"/>
      <c r="SDK89" s="996"/>
      <c r="SDL89" s="996"/>
      <c r="SDM89" s="996"/>
      <c r="SDN89" s="996"/>
      <c r="SDO89" s="996"/>
      <c r="SDP89" s="996"/>
      <c r="SDQ89" s="996"/>
      <c r="SDR89" s="996"/>
      <c r="SDS89" s="996"/>
      <c r="SDT89" s="996"/>
      <c r="SDU89" s="996"/>
      <c r="SDV89" s="996"/>
      <c r="SDW89" s="996"/>
      <c r="SDX89" s="996"/>
      <c r="SDY89" s="996"/>
      <c r="SDZ89" s="996"/>
      <c r="SEA89" s="996"/>
      <c r="SEB89" s="996"/>
      <c r="SEC89" s="996"/>
      <c r="SED89" s="996"/>
      <c r="SEE89" s="996"/>
      <c r="SEF89" s="996"/>
      <c r="SEG89" s="996"/>
      <c r="SEH89" s="996"/>
      <c r="SEI89" s="996"/>
      <c r="SEJ89" s="996"/>
      <c r="SEK89" s="996"/>
      <c r="SEL89" s="996"/>
      <c r="SEM89" s="996"/>
      <c r="SEN89" s="996"/>
      <c r="SEO89" s="996"/>
      <c r="SEP89" s="996"/>
      <c r="SEQ89" s="996"/>
      <c r="SER89" s="996"/>
      <c r="SES89" s="996"/>
      <c r="SET89" s="996"/>
      <c r="SEU89" s="996"/>
      <c r="SEV89" s="996"/>
      <c r="SEW89" s="996"/>
      <c r="SEX89" s="996"/>
      <c r="SEY89" s="996"/>
      <c r="SEZ89" s="996"/>
      <c r="SFA89" s="996"/>
      <c r="SFB89" s="996"/>
      <c r="SFC89" s="996"/>
      <c r="SFD89" s="996"/>
      <c r="SFE89" s="996"/>
      <c r="SFF89" s="996"/>
      <c r="SFG89" s="996"/>
      <c r="SFH89" s="996"/>
      <c r="SFI89" s="996"/>
      <c r="SFJ89" s="996"/>
      <c r="SFK89" s="996"/>
      <c r="SFL89" s="996"/>
      <c r="SFM89" s="996"/>
      <c r="SFN89" s="996"/>
      <c r="SFO89" s="996"/>
      <c r="SFP89" s="996"/>
      <c r="SFQ89" s="996"/>
      <c r="SFR89" s="996"/>
      <c r="SFS89" s="996"/>
      <c r="SFT89" s="996"/>
      <c r="SFU89" s="996"/>
      <c r="SFV89" s="996"/>
      <c r="SFW89" s="996"/>
      <c r="SFX89" s="996"/>
      <c r="SFY89" s="996"/>
      <c r="SFZ89" s="996"/>
      <c r="SGA89" s="996"/>
      <c r="SGB89" s="996"/>
      <c r="SGC89" s="996"/>
      <c r="SGD89" s="996"/>
      <c r="SGE89" s="996"/>
      <c r="SGF89" s="996"/>
      <c r="SGG89" s="996"/>
      <c r="SGH89" s="996"/>
      <c r="SGI89" s="996"/>
      <c r="SGJ89" s="996"/>
      <c r="SGK89" s="996"/>
      <c r="SGL89" s="996"/>
      <c r="SGM89" s="996"/>
      <c r="SGN89" s="996"/>
      <c r="SGO89" s="996"/>
      <c r="SGP89" s="996"/>
      <c r="SGQ89" s="996"/>
      <c r="SGR89" s="996"/>
      <c r="SGS89" s="996"/>
      <c r="SGT89" s="996"/>
      <c r="SGU89" s="996"/>
      <c r="SGV89" s="996"/>
      <c r="SGW89" s="996"/>
      <c r="SGX89" s="996"/>
      <c r="SGY89" s="996"/>
      <c r="SGZ89" s="996"/>
      <c r="SHA89" s="996"/>
      <c r="SHB89" s="996"/>
      <c r="SHC89" s="996"/>
      <c r="SHD89" s="996"/>
      <c r="SHE89" s="996"/>
      <c r="SHF89" s="996"/>
      <c r="SHG89" s="996"/>
      <c r="SHH89" s="996"/>
      <c r="SHI89" s="996"/>
      <c r="SHJ89" s="996"/>
      <c r="SHK89" s="996"/>
      <c r="SHL89" s="996"/>
      <c r="SHM89" s="996"/>
      <c r="SHN89" s="996"/>
      <c r="SHO89" s="996"/>
      <c r="SHP89" s="996"/>
      <c r="SHQ89" s="996"/>
      <c r="SHR89" s="996"/>
      <c r="SHS89" s="996"/>
      <c r="SHT89" s="996"/>
      <c r="SHU89" s="996"/>
      <c r="SHV89" s="996"/>
      <c r="SHW89" s="996"/>
      <c r="SHX89" s="996"/>
      <c r="SHY89" s="996"/>
      <c r="SHZ89" s="996"/>
      <c r="SIA89" s="996"/>
      <c r="SIB89" s="996"/>
      <c r="SIC89" s="996"/>
      <c r="SID89" s="996"/>
      <c r="SIE89" s="996"/>
      <c r="SIF89" s="996"/>
      <c r="SIG89" s="996"/>
      <c r="SIH89" s="996"/>
      <c r="SII89" s="996"/>
      <c r="SIJ89" s="996"/>
      <c r="SIK89" s="996"/>
      <c r="SIL89" s="996"/>
      <c r="SIM89" s="996"/>
      <c r="SIN89" s="996"/>
      <c r="SIO89" s="996"/>
      <c r="SIP89" s="996"/>
      <c r="SIQ89" s="996"/>
      <c r="SIR89" s="996"/>
      <c r="SIS89" s="996"/>
      <c r="SIT89" s="996"/>
      <c r="SIU89" s="996"/>
      <c r="SIV89" s="996"/>
      <c r="SIW89" s="996"/>
      <c r="SIX89" s="996"/>
      <c r="SIY89" s="996"/>
      <c r="SIZ89" s="996"/>
      <c r="SJA89" s="996"/>
      <c r="SJB89" s="996"/>
      <c r="SJC89" s="996"/>
      <c r="SJD89" s="996"/>
      <c r="SJE89" s="996"/>
      <c r="SJF89" s="996"/>
      <c r="SJG89" s="996"/>
      <c r="SJH89" s="996"/>
      <c r="SJI89" s="996"/>
      <c r="SJJ89" s="996"/>
      <c r="SJK89" s="996"/>
      <c r="SJL89" s="996"/>
      <c r="SJM89" s="996"/>
      <c r="SJN89" s="996"/>
      <c r="SJO89" s="996"/>
      <c r="SJP89" s="996"/>
      <c r="SJQ89" s="996"/>
      <c r="SJR89" s="996"/>
      <c r="SJS89" s="996"/>
      <c r="SJT89" s="996"/>
      <c r="SJU89" s="996"/>
      <c r="SJV89" s="996"/>
      <c r="SJW89" s="996"/>
      <c r="SJX89" s="996"/>
      <c r="SJY89" s="996"/>
      <c r="SJZ89" s="996"/>
      <c r="SKA89" s="996"/>
      <c r="SKB89" s="996"/>
      <c r="SKC89" s="996"/>
      <c r="SKD89" s="996"/>
      <c r="SKE89" s="996"/>
      <c r="SKF89" s="996"/>
      <c r="SKG89" s="996"/>
      <c r="SKH89" s="996"/>
      <c r="SKI89" s="996"/>
      <c r="SKJ89" s="996"/>
      <c r="SKK89" s="996"/>
      <c r="SKL89" s="996"/>
      <c r="SKM89" s="996"/>
      <c r="SKN89" s="996"/>
      <c r="SKO89" s="996"/>
      <c r="SKP89" s="996"/>
      <c r="SKQ89" s="996"/>
      <c r="SKR89" s="996"/>
      <c r="SKS89" s="996"/>
      <c r="SKT89" s="996"/>
      <c r="SKU89" s="996"/>
      <c r="SKV89" s="996"/>
      <c r="SKW89" s="996"/>
      <c r="SKX89" s="996"/>
      <c r="SKY89" s="996"/>
      <c r="SKZ89" s="996"/>
      <c r="SLA89" s="996"/>
      <c r="SLB89" s="996"/>
      <c r="SLC89" s="996"/>
      <c r="SLD89" s="996"/>
      <c r="SLE89" s="996"/>
      <c r="SLF89" s="996"/>
      <c r="SLG89" s="996"/>
      <c r="SLH89" s="996"/>
      <c r="SLI89" s="996"/>
      <c r="SLJ89" s="996"/>
      <c r="SLK89" s="996"/>
      <c r="SLL89" s="996"/>
      <c r="SLM89" s="996"/>
      <c r="SLN89" s="996"/>
      <c r="SLO89" s="996"/>
      <c r="SLP89" s="996"/>
      <c r="SLQ89" s="996"/>
      <c r="SLR89" s="996"/>
      <c r="SLS89" s="996"/>
      <c r="SLT89" s="996"/>
      <c r="SLU89" s="996"/>
      <c r="SLV89" s="996"/>
      <c r="SLW89" s="996"/>
      <c r="SLX89" s="996"/>
      <c r="SLY89" s="996"/>
      <c r="SLZ89" s="996"/>
      <c r="SMA89" s="996"/>
      <c r="SMB89" s="996"/>
      <c r="SMC89" s="996"/>
      <c r="SMD89" s="996"/>
      <c r="SME89" s="996"/>
      <c r="SMF89" s="996"/>
      <c r="SMG89" s="996"/>
      <c r="SMH89" s="996"/>
      <c r="SMI89" s="996"/>
      <c r="SMJ89" s="996"/>
      <c r="SMK89" s="996"/>
      <c r="SML89" s="996"/>
      <c r="SMM89" s="996"/>
      <c r="SMN89" s="996"/>
      <c r="SMO89" s="996"/>
      <c r="SMP89" s="996"/>
      <c r="SMQ89" s="996"/>
      <c r="SMR89" s="996"/>
      <c r="SMS89" s="996"/>
      <c r="SMT89" s="996"/>
      <c r="SMU89" s="996"/>
      <c r="SMV89" s="996"/>
      <c r="SMW89" s="996"/>
      <c r="SMX89" s="996"/>
      <c r="SMY89" s="996"/>
      <c r="SMZ89" s="996"/>
      <c r="SNA89" s="996"/>
      <c r="SNB89" s="996"/>
      <c r="SNC89" s="996"/>
      <c r="SND89" s="996"/>
      <c r="SNE89" s="996"/>
      <c r="SNF89" s="996"/>
      <c r="SNG89" s="996"/>
      <c r="SNH89" s="996"/>
      <c r="SNI89" s="996"/>
      <c r="SNJ89" s="996"/>
      <c r="SNK89" s="996"/>
      <c r="SNL89" s="996"/>
      <c r="SNM89" s="996"/>
      <c r="SNN89" s="996"/>
      <c r="SNO89" s="996"/>
      <c r="SNP89" s="996"/>
      <c r="SNQ89" s="996"/>
      <c r="SNR89" s="996"/>
      <c r="SNS89" s="996"/>
      <c r="SNT89" s="996"/>
      <c r="SNU89" s="996"/>
      <c r="SNV89" s="996"/>
      <c r="SNW89" s="996"/>
      <c r="SNX89" s="996"/>
      <c r="SNY89" s="996"/>
      <c r="SNZ89" s="996"/>
      <c r="SOA89" s="996"/>
      <c r="SOB89" s="996"/>
      <c r="SOC89" s="996"/>
      <c r="SOD89" s="996"/>
      <c r="SOE89" s="996"/>
      <c r="SOF89" s="996"/>
      <c r="SOG89" s="996"/>
      <c r="SOH89" s="996"/>
      <c r="SOI89" s="996"/>
      <c r="SOJ89" s="996"/>
      <c r="SOK89" s="996"/>
      <c r="SOL89" s="996"/>
      <c r="SOM89" s="996"/>
      <c r="SON89" s="996"/>
      <c r="SOO89" s="996"/>
      <c r="SOP89" s="996"/>
      <c r="SOQ89" s="996"/>
      <c r="SOR89" s="996"/>
      <c r="SOS89" s="996"/>
      <c r="SOT89" s="996"/>
      <c r="SOU89" s="996"/>
      <c r="SOV89" s="996"/>
      <c r="SOW89" s="996"/>
      <c r="SOX89" s="996"/>
      <c r="SOY89" s="996"/>
      <c r="SOZ89" s="996"/>
      <c r="SPA89" s="996"/>
      <c r="SPB89" s="996"/>
      <c r="SPC89" s="996"/>
      <c r="SPD89" s="996"/>
      <c r="SPE89" s="996"/>
      <c r="SPF89" s="996"/>
      <c r="SPG89" s="996"/>
      <c r="SPH89" s="996"/>
      <c r="SPI89" s="996"/>
      <c r="SPJ89" s="996"/>
      <c r="SPK89" s="996"/>
      <c r="SPL89" s="996"/>
      <c r="SPM89" s="996"/>
      <c r="SPN89" s="996"/>
      <c r="SPO89" s="996"/>
      <c r="SPP89" s="996"/>
      <c r="SPQ89" s="996"/>
      <c r="SPR89" s="996"/>
      <c r="SPS89" s="996"/>
      <c r="SPT89" s="996"/>
      <c r="SPU89" s="996"/>
      <c r="SPV89" s="996"/>
      <c r="SPW89" s="996"/>
      <c r="SPX89" s="996"/>
      <c r="SPY89" s="996"/>
      <c r="SPZ89" s="996"/>
      <c r="SQA89" s="996"/>
      <c r="SQB89" s="996"/>
      <c r="SQC89" s="996"/>
      <c r="SQD89" s="996"/>
      <c r="SQE89" s="996"/>
      <c r="SQF89" s="996"/>
      <c r="SQG89" s="996"/>
      <c r="SQH89" s="996"/>
      <c r="SQI89" s="996"/>
      <c r="SQJ89" s="996"/>
      <c r="SQK89" s="996"/>
      <c r="SQL89" s="996"/>
      <c r="SQM89" s="996"/>
      <c r="SQN89" s="996"/>
      <c r="SQO89" s="996"/>
      <c r="SQP89" s="996"/>
      <c r="SQQ89" s="996"/>
      <c r="SQR89" s="996"/>
      <c r="SQS89" s="996"/>
      <c r="SQT89" s="996"/>
      <c r="SQU89" s="996"/>
      <c r="SQV89" s="996"/>
      <c r="SQW89" s="996"/>
      <c r="SQX89" s="996"/>
      <c r="SQY89" s="996"/>
      <c r="SQZ89" s="996"/>
      <c r="SRA89" s="996"/>
      <c r="SRB89" s="996"/>
      <c r="SRC89" s="996"/>
      <c r="SRD89" s="996"/>
      <c r="SRE89" s="996"/>
      <c r="SRF89" s="996"/>
      <c r="SRG89" s="996"/>
      <c r="SRH89" s="996"/>
      <c r="SRI89" s="996"/>
      <c r="SRJ89" s="996"/>
      <c r="SRK89" s="996"/>
      <c r="SRL89" s="996"/>
      <c r="SRM89" s="996"/>
      <c r="SRN89" s="996"/>
      <c r="SRO89" s="996"/>
      <c r="SRP89" s="996"/>
      <c r="SRQ89" s="996"/>
      <c r="SRR89" s="996"/>
      <c r="SRS89" s="996"/>
      <c r="SRT89" s="996"/>
      <c r="SRU89" s="996"/>
      <c r="SRV89" s="996"/>
      <c r="SRW89" s="996"/>
      <c r="SRX89" s="996"/>
      <c r="SRY89" s="996"/>
      <c r="SRZ89" s="996"/>
      <c r="SSA89" s="996"/>
      <c r="SSB89" s="996"/>
      <c r="SSC89" s="996"/>
      <c r="SSD89" s="996"/>
      <c r="SSE89" s="996"/>
      <c r="SSF89" s="996"/>
      <c r="SSG89" s="996"/>
      <c r="SSH89" s="996"/>
      <c r="SSI89" s="996"/>
      <c r="SSJ89" s="996"/>
      <c r="SSK89" s="996"/>
      <c r="SSL89" s="996"/>
      <c r="SSM89" s="996"/>
      <c r="SSN89" s="996"/>
      <c r="SSO89" s="996"/>
      <c r="SSP89" s="996"/>
      <c r="SSQ89" s="996"/>
      <c r="SSR89" s="996"/>
      <c r="SSS89" s="996"/>
      <c r="SST89" s="996"/>
      <c r="SSU89" s="996"/>
      <c r="SSV89" s="996"/>
      <c r="SSW89" s="996"/>
      <c r="SSX89" s="996"/>
      <c r="SSY89" s="996"/>
      <c r="SSZ89" s="996"/>
      <c r="STA89" s="996"/>
      <c r="STB89" s="996"/>
      <c r="STC89" s="996"/>
      <c r="STD89" s="996"/>
      <c r="STE89" s="996"/>
      <c r="STF89" s="996"/>
      <c r="STG89" s="996"/>
      <c r="STH89" s="996"/>
      <c r="STI89" s="996"/>
      <c r="STJ89" s="996"/>
      <c r="STK89" s="996"/>
      <c r="STL89" s="996"/>
      <c r="STM89" s="996"/>
      <c r="STN89" s="996"/>
      <c r="STO89" s="996"/>
      <c r="STP89" s="996"/>
      <c r="STQ89" s="996"/>
      <c r="STR89" s="996"/>
      <c r="STS89" s="996"/>
      <c r="STT89" s="996"/>
      <c r="STU89" s="996"/>
      <c r="STV89" s="996"/>
      <c r="STW89" s="996"/>
      <c r="STX89" s="996"/>
      <c r="STY89" s="996"/>
      <c r="STZ89" s="996"/>
      <c r="SUA89" s="996"/>
      <c r="SUB89" s="996"/>
      <c r="SUC89" s="996"/>
      <c r="SUD89" s="996"/>
      <c r="SUE89" s="996"/>
      <c r="SUF89" s="996"/>
      <c r="SUG89" s="996"/>
      <c r="SUH89" s="996"/>
      <c r="SUI89" s="996"/>
      <c r="SUJ89" s="996"/>
      <c r="SUK89" s="996"/>
      <c r="SUL89" s="996"/>
      <c r="SUM89" s="996"/>
      <c r="SUN89" s="996"/>
      <c r="SUO89" s="996"/>
      <c r="SUP89" s="996"/>
      <c r="SUQ89" s="996"/>
      <c r="SUR89" s="996"/>
      <c r="SUS89" s="996"/>
      <c r="SUT89" s="996"/>
      <c r="SUU89" s="996"/>
      <c r="SUV89" s="996"/>
      <c r="SUW89" s="996"/>
      <c r="SUX89" s="996"/>
      <c r="SUY89" s="996"/>
      <c r="SUZ89" s="996"/>
      <c r="SVA89" s="996"/>
      <c r="SVB89" s="996"/>
      <c r="SVC89" s="996"/>
      <c r="SVD89" s="996"/>
      <c r="SVE89" s="996"/>
      <c r="SVF89" s="996"/>
      <c r="SVG89" s="996"/>
      <c r="SVH89" s="996"/>
      <c r="SVI89" s="996"/>
      <c r="SVJ89" s="996"/>
      <c r="SVK89" s="996"/>
      <c r="SVL89" s="996"/>
      <c r="SVM89" s="996"/>
      <c r="SVN89" s="996"/>
      <c r="SVO89" s="996"/>
      <c r="SVP89" s="996"/>
      <c r="SVQ89" s="996"/>
      <c r="SVR89" s="996"/>
      <c r="SVS89" s="996"/>
      <c r="SVT89" s="996"/>
      <c r="SVU89" s="996"/>
      <c r="SVV89" s="996"/>
      <c r="SVW89" s="996"/>
      <c r="SVX89" s="996"/>
      <c r="SVY89" s="996"/>
      <c r="SVZ89" s="996"/>
      <c r="SWA89" s="996"/>
      <c r="SWB89" s="996"/>
      <c r="SWC89" s="996"/>
      <c r="SWD89" s="996"/>
      <c r="SWE89" s="996"/>
      <c r="SWF89" s="996"/>
      <c r="SWG89" s="996"/>
      <c r="SWH89" s="996"/>
      <c r="SWI89" s="996"/>
      <c r="SWJ89" s="996"/>
      <c r="SWK89" s="996"/>
      <c r="SWL89" s="996"/>
      <c r="SWM89" s="996"/>
      <c r="SWN89" s="996"/>
      <c r="SWO89" s="996"/>
      <c r="SWP89" s="996"/>
      <c r="SWQ89" s="996"/>
      <c r="SWR89" s="996"/>
      <c r="SWS89" s="996"/>
      <c r="SWT89" s="996"/>
      <c r="SWU89" s="996"/>
      <c r="SWV89" s="996"/>
      <c r="SWW89" s="996"/>
      <c r="SWX89" s="996"/>
      <c r="SWY89" s="996"/>
      <c r="SWZ89" s="996"/>
      <c r="SXA89" s="996"/>
      <c r="SXB89" s="996"/>
      <c r="SXC89" s="996"/>
      <c r="SXD89" s="996"/>
      <c r="SXE89" s="996"/>
      <c r="SXF89" s="996"/>
      <c r="SXG89" s="996"/>
      <c r="SXH89" s="996"/>
      <c r="SXI89" s="996"/>
      <c r="SXJ89" s="996"/>
      <c r="SXK89" s="996"/>
      <c r="SXL89" s="996"/>
      <c r="SXM89" s="996"/>
      <c r="SXN89" s="996"/>
      <c r="SXO89" s="996"/>
      <c r="SXP89" s="996"/>
      <c r="SXQ89" s="996"/>
      <c r="SXR89" s="996"/>
      <c r="SXS89" s="996"/>
      <c r="SXT89" s="996"/>
      <c r="SXU89" s="996"/>
      <c r="SXV89" s="996"/>
      <c r="SXW89" s="996"/>
      <c r="SXX89" s="996"/>
      <c r="SXY89" s="996"/>
      <c r="SXZ89" s="996"/>
      <c r="SYA89" s="996"/>
      <c r="SYB89" s="996"/>
      <c r="SYC89" s="996"/>
      <c r="SYD89" s="996"/>
      <c r="SYE89" s="996"/>
      <c r="SYF89" s="996"/>
      <c r="SYG89" s="996"/>
      <c r="SYH89" s="996"/>
      <c r="SYI89" s="996"/>
      <c r="SYJ89" s="996"/>
      <c r="SYK89" s="996"/>
      <c r="SYL89" s="996"/>
      <c r="SYM89" s="996"/>
      <c r="SYN89" s="996"/>
      <c r="SYO89" s="996"/>
      <c r="SYP89" s="996"/>
      <c r="SYQ89" s="996"/>
      <c r="SYR89" s="996"/>
      <c r="SYS89" s="996"/>
      <c r="SYT89" s="996"/>
      <c r="SYU89" s="996"/>
      <c r="SYV89" s="996"/>
      <c r="SYW89" s="996"/>
      <c r="SYX89" s="996"/>
      <c r="SYY89" s="996"/>
      <c r="SYZ89" s="996"/>
      <c r="SZA89" s="996"/>
      <c r="SZB89" s="996"/>
      <c r="SZC89" s="996"/>
      <c r="SZD89" s="996"/>
      <c r="SZE89" s="996"/>
      <c r="SZF89" s="996"/>
      <c r="SZG89" s="996"/>
      <c r="SZH89" s="996"/>
      <c r="SZI89" s="996"/>
      <c r="SZJ89" s="996"/>
      <c r="SZK89" s="996"/>
      <c r="SZL89" s="996"/>
      <c r="SZM89" s="996"/>
      <c r="SZN89" s="996"/>
      <c r="SZO89" s="996"/>
      <c r="SZP89" s="996"/>
      <c r="SZQ89" s="996"/>
      <c r="SZR89" s="996"/>
      <c r="SZS89" s="996"/>
      <c r="SZT89" s="996"/>
      <c r="SZU89" s="996"/>
      <c r="SZV89" s="996"/>
      <c r="SZW89" s="996"/>
      <c r="SZX89" s="996"/>
      <c r="SZY89" s="996"/>
      <c r="SZZ89" s="996"/>
      <c r="TAA89" s="996"/>
      <c r="TAB89" s="996"/>
      <c r="TAC89" s="996"/>
      <c r="TAD89" s="996"/>
      <c r="TAE89" s="996"/>
      <c r="TAF89" s="996"/>
      <c r="TAG89" s="996"/>
      <c r="TAH89" s="996"/>
      <c r="TAI89" s="996"/>
      <c r="TAJ89" s="996"/>
      <c r="TAK89" s="996"/>
      <c r="TAL89" s="996"/>
      <c r="TAM89" s="996"/>
      <c r="TAN89" s="996"/>
      <c r="TAO89" s="996"/>
      <c r="TAP89" s="996"/>
      <c r="TAQ89" s="996"/>
      <c r="TAR89" s="996"/>
      <c r="TAS89" s="996"/>
      <c r="TAT89" s="996"/>
      <c r="TAU89" s="996"/>
      <c r="TAV89" s="996"/>
      <c r="TAW89" s="996"/>
      <c r="TAX89" s="996"/>
      <c r="TAY89" s="996"/>
      <c r="TAZ89" s="996"/>
      <c r="TBA89" s="996"/>
      <c r="TBB89" s="996"/>
      <c r="TBC89" s="996"/>
      <c r="TBD89" s="996"/>
      <c r="TBE89" s="996"/>
      <c r="TBF89" s="996"/>
      <c r="TBG89" s="996"/>
      <c r="TBH89" s="996"/>
      <c r="TBI89" s="996"/>
      <c r="TBJ89" s="996"/>
      <c r="TBK89" s="996"/>
      <c r="TBL89" s="996"/>
      <c r="TBM89" s="996"/>
      <c r="TBN89" s="996"/>
      <c r="TBO89" s="996"/>
      <c r="TBP89" s="996"/>
      <c r="TBQ89" s="996"/>
      <c r="TBR89" s="996"/>
      <c r="TBS89" s="996"/>
      <c r="TBT89" s="996"/>
      <c r="TBU89" s="996"/>
      <c r="TBV89" s="996"/>
      <c r="TBW89" s="996"/>
      <c r="TBX89" s="996"/>
      <c r="TBY89" s="996"/>
      <c r="TBZ89" s="996"/>
      <c r="TCA89" s="996"/>
      <c r="TCB89" s="996"/>
      <c r="TCC89" s="996"/>
      <c r="TCD89" s="996"/>
      <c r="TCE89" s="996"/>
      <c r="TCF89" s="996"/>
      <c r="TCG89" s="996"/>
      <c r="TCH89" s="996"/>
      <c r="TCI89" s="996"/>
      <c r="TCJ89" s="996"/>
      <c r="TCK89" s="996"/>
      <c r="TCL89" s="996"/>
      <c r="TCM89" s="996"/>
      <c r="TCN89" s="996"/>
      <c r="TCO89" s="996"/>
      <c r="TCP89" s="996"/>
      <c r="TCQ89" s="996"/>
      <c r="TCR89" s="996"/>
      <c r="TCS89" s="996"/>
      <c r="TCT89" s="996"/>
      <c r="TCU89" s="996"/>
      <c r="TCV89" s="996"/>
      <c r="TCW89" s="996"/>
      <c r="TCX89" s="996"/>
      <c r="TCY89" s="996"/>
      <c r="TCZ89" s="996"/>
      <c r="TDA89" s="996"/>
      <c r="TDB89" s="996"/>
      <c r="TDC89" s="996"/>
      <c r="TDD89" s="996"/>
      <c r="TDE89" s="996"/>
      <c r="TDF89" s="996"/>
      <c r="TDG89" s="996"/>
      <c r="TDH89" s="996"/>
      <c r="TDI89" s="996"/>
      <c r="TDJ89" s="996"/>
      <c r="TDK89" s="996"/>
      <c r="TDL89" s="996"/>
      <c r="TDM89" s="996"/>
      <c r="TDN89" s="996"/>
      <c r="TDO89" s="996"/>
      <c r="TDP89" s="996"/>
      <c r="TDQ89" s="996"/>
      <c r="TDR89" s="996"/>
      <c r="TDS89" s="996"/>
      <c r="TDT89" s="996"/>
      <c r="TDU89" s="996"/>
      <c r="TDV89" s="996"/>
      <c r="TDW89" s="996"/>
      <c r="TDX89" s="996"/>
      <c r="TDY89" s="996"/>
      <c r="TDZ89" s="996"/>
      <c r="TEA89" s="996"/>
      <c r="TEB89" s="996"/>
      <c r="TEC89" s="996"/>
      <c r="TED89" s="996"/>
      <c r="TEE89" s="996"/>
      <c r="TEF89" s="996"/>
      <c r="TEG89" s="996"/>
      <c r="TEH89" s="996"/>
      <c r="TEI89" s="996"/>
      <c r="TEJ89" s="996"/>
      <c r="TEK89" s="996"/>
      <c r="TEL89" s="996"/>
      <c r="TEM89" s="996"/>
      <c r="TEN89" s="996"/>
      <c r="TEO89" s="996"/>
      <c r="TEP89" s="996"/>
      <c r="TEQ89" s="996"/>
      <c r="TER89" s="996"/>
      <c r="TES89" s="996"/>
      <c r="TET89" s="996"/>
      <c r="TEU89" s="996"/>
      <c r="TEV89" s="996"/>
      <c r="TEW89" s="996"/>
      <c r="TEX89" s="996"/>
      <c r="TEY89" s="996"/>
      <c r="TEZ89" s="996"/>
      <c r="TFA89" s="996"/>
      <c r="TFB89" s="996"/>
      <c r="TFC89" s="996"/>
      <c r="TFD89" s="996"/>
      <c r="TFE89" s="996"/>
      <c r="TFF89" s="996"/>
      <c r="TFG89" s="996"/>
      <c r="TFH89" s="996"/>
      <c r="TFI89" s="996"/>
      <c r="TFJ89" s="996"/>
      <c r="TFK89" s="996"/>
      <c r="TFL89" s="996"/>
      <c r="TFM89" s="996"/>
      <c r="TFN89" s="996"/>
      <c r="TFO89" s="996"/>
      <c r="TFP89" s="996"/>
      <c r="TFQ89" s="996"/>
      <c r="TFR89" s="996"/>
      <c r="TFS89" s="996"/>
      <c r="TFT89" s="996"/>
      <c r="TFU89" s="996"/>
      <c r="TFV89" s="996"/>
      <c r="TFW89" s="996"/>
      <c r="TFX89" s="996"/>
      <c r="TFY89" s="996"/>
      <c r="TFZ89" s="996"/>
      <c r="TGA89" s="996"/>
      <c r="TGB89" s="996"/>
      <c r="TGC89" s="996"/>
      <c r="TGD89" s="996"/>
      <c r="TGE89" s="996"/>
      <c r="TGF89" s="996"/>
      <c r="TGG89" s="996"/>
      <c r="TGH89" s="996"/>
      <c r="TGI89" s="996"/>
      <c r="TGJ89" s="996"/>
      <c r="TGK89" s="996"/>
      <c r="TGL89" s="996"/>
      <c r="TGM89" s="996"/>
      <c r="TGN89" s="996"/>
      <c r="TGO89" s="996"/>
      <c r="TGP89" s="996"/>
      <c r="TGQ89" s="996"/>
      <c r="TGR89" s="996"/>
      <c r="TGS89" s="996"/>
      <c r="TGT89" s="996"/>
      <c r="TGU89" s="996"/>
      <c r="TGV89" s="996"/>
      <c r="TGW89" s="996"/>
      <c r="TGX89" s="996"/>
      <c r="TGY89" s="996"/>
      <c r="TGZ89" s="996"/>
      <c r="THA89" s="996"/>
      <c r="THB89" s="996"/>
      <c r="THC89" s="996"/>
      <c r="THD89" s="996"/>
      <c r="THE89" s="996"/>
      <c r="THF89" s="996"/>
      <c r="THG89" s="996"/>
      <c r="THH89" s="996"/>
      <c r="THI89" s="996"/>
      <c r="THJ89" s="996"/>
      <c r="THK89" s="996"/>
      <c r="THL89" s="996"/>
      <c r="THM89" s="996"/>
      <c r="THN89" s="996"/>
      <c r="THO89" s="996"/>
      <c r="THP89" s="996"/>
      <c r="THQ89" s="996"/>
      <c r="THR89" s="996"/>
      <c r="THS89" s="996"/>
      <c r="THT89" s="996"/>
      <c r="THU89" s="996"/>
      <c r="THV89" s="996"/>
      <c r="THW89" s="996"/>
      <c r="THX89" s="996"/>
      <c r="THY89" s="996"/>
      <c r="THZ89" s="996"/>
      <c r="TIA89" s="996"/>
      <c r="TIB89" s="996"/>
      <c r="TIC89" s="996"/>
      <c r="TID89" s="996"/>
      <c r="TIE89" s="996"/>
      <c r="TIF89" s="996"/>
      <c r="TIG89" s="996"/>
      <c r="TIH89" s="996"/>
      <c r="TII89" s="996"/>
      <c r="TIJ89" s="996"/>
      <c r="TIK89" s="996"/>
      <c r="TIL89" s="996"/>
      <c r="TIM89" s="996"/>
      <c r="TIN89" s="996"/>
      <c r="TIO89" s="996"/>
      <c r="TIP89" s="996"/>
      <c r="TIQ89" s="996"/>
      <c r="TIR89" s="996"/>
      <c r="TIS89" s="996"/>
      <c r="TIT89" s="996"/>
      <c r="TIU89" s="996"/>
      <c r="TIV89" s="996"/>
      <c r="TIW89" s="996"/>
      <c r="TIX89" s="996"/>
      <c r="TIY89" s="996"/>
      <c r="TIZ89" s="996"/>
      <c r="TJA89" s="996"/>
      <c r="TJB89" s="996"/>
      <c r="TJC89" s="996"/>
      <c r="TJD89" s="996"/>
      <c r="TJE89" s="996"/>
      <c r="TJF89" s="996"/>
      <c r="TJG89" s="996"/>
      <c r="TJH89" s="996"/>
      <c r="TJI89" s="996"/>
      <c r="TJJ89" s="996"/>
      <c r="TJK89" s="996"/>
      <c r="TJL89" s="996"/>
      <c r="TJM89" s="996"/>
      <c r="TJN89" s="996"/>
      <c r="TJO89" s="996"/>
      <c r="TJP89" s="996"/>
      <c r="TJQ89" s="996"/>
      <c r="TJR89" s="996"/>
      <c r="TJS89" s="996"/>
      <c r="TJT89" s="996"/>
      <c r="TJU89" s="996"/>
      <c r="TJV89" s="996"/>
      <c r="TJW89" s="996"/>
      <c r="TJX89" s="996"/>
      <c r="TJY89" s="996"/>
      <c r="TJZ89" s="996"/>
      <c r="TKA89" s="996"/>
      <c r="TKB89" s="996"/>
      <c r="TKC89" s="996"/>
      <c r="TKD89" s="996"/>
      <c r="TKE89" s="996"/>
      <c r="TKF89" s="996"/>
      <c r="TKG89" s="996"/>
      <c r="TKH89" s="996"/>
      <c r="TKI89" s="996"/>
      <c r="TKJ89" s="996"/>
      <c r="TKK89" s="996"/>
      <c r="TKL89" s="996"/>
      <c r="TKM89" s="996"/>
      <c r="TKN89" s="996"/>
      <c r="TKO89" s="996"/>
      <c r="TKP89" s="996"/>
      <c r="TKQ89" s="996"/>
      <c r="TKR89" s="996"/>
      <c r="TKS89" s="996"/>
      <c r="TKT89" s="996"/>
      <c r="TKU89" s="996"/>
      <c r="TKV89" s="996"/>
      <c r="TKW89" s="996"/>
      <c r="TKX89" s="996"/>
      <c r="TKY89" s="996"/>
      <c r="TKZ89" s="996"/>
      <c r="TLA89" s="996"/>
      <c r="TLB89" s="996"/>
      <c r="TLC89" s="996"/>
      <c r="TLD89" s="996"/>
      <c r="TLE89" s="996"/>
      <c r="TLF89" s="996"/>
      <c r="TLG89" s="996"/>
      <c r="TLH89" s="996"/>
      <c r="TLI89" s="996"/>
      <c r="TLJ89" s="996"/>
      <c r="TLK89" s="996"/>
      <c r="TLL89" s="996"/>
      <c r="TLM89" s="996"/>
      <c r="TLN89" s="996"/>
      <c r="TLO89" s="996"/>
      <c r="TLP89" s="996"/>
      <c r="TLQ89" s="996"/>
      <c r="TLR89" s="996"/>
      <c r="TLS89" s="996"/>
      <c r="TLT89" s="996"/>
      <c r="TLU89" s="996"/>
      <c r="TLV89" s="996"/>
      <c r="TLW89" s="996"/>
      <c r="TLX89" s="996"/>
      <c r="TLY89" s="996"/>
      <c r="TLZ89" s="996"/>
      <c r="TMA89" s="996"/>
      <c r="TMB89" s="996"/>
      <c r="TMC89" s="996"/>
      <c r="TMD89" s="996"/>
      <c r="TME89" s="996"/>
      <c r="TMF89" s="996"/>
      <c r="TMG89" s="996"/>
      <c r="TMH89" s="996"/>
      <c r="TMI89" s="996"/>
      <c r="TMJ89" s="996"/>
      <c r="TMK89" s="996"/>
      <c r="TML89" s="996"/>
      <c r="TMM89" s="996"/>
      <c r="TMN89" s="996"/>
      <c r="TMO89" s="996"/>
      <c r="TMP89" s="996"/>
      <c r="TMQ89" s="996"/>
      <c r="TMR89" s="996"/>
      <c r="TMS89" s="996"/>
      <c r="TMT89" s="996"/>
      <c r="TMU89" s="996"/>
      <c r="TMV89" s="996"/>
      <c r="TMW89" s="996"/>
      <c r="TMX89" s="996"/>
      <c r="TMY89" s="996"/>
      <c r="TMZ89" s="996"/>
      <c r="TNA89" s="996"/>
      <c r="TNB89" s="996"/>
      <c r="TNC89" s="996"/>
      <c r="TND89" s="996"/>
      <c r="TNE89" s="996"/>
      <c r="TNF89" s="996"/>
      <c r="TNG89" s="996"/>
      <c r="TNH89" s="996"/>
      <c r="TNI89" s="996"/>
      <c r="TNJ89" s="996"/>
      <c r="TNK89" s="996"/>
      <c r="TNL89" s="996"/>
      <c r="TNM89" s="996"/>
      <c r="TNN89" s="996"/>
      <c r="TNO89" s="996"/>
      <c r="TNP89" s="996"/>
      <c r="TNQ89" s="996"/>
      <c r="TNR89" s="996"/>
      <c r="TNS89" s="996"/>
      <c r="TNT89" s="996"/>
      <c r="TNU89" s="996"/>
      <c r="TNV89" s="996"/>
      <c r="TNW89" s="996"/>
      <c r="TNX89" s="996"/>
      <c r="TNY89" s="996"/>
      <c r="TNZ89" s="996"/>
      <c r="TOA89" s="996"/>
      <c r="TOB89" s="996"/>
      <c r="TOC89" s="996"/>
      <c r="TOD89" s="996"/>
      <c r="TOE89" s="996"/>
      <c r="TOF89" s="996"/>
      <c r="TOG89" s="996"/>
      <c r="TOH89" s="996"/>
      <c r="TOI89" s="996"/>
      <c r="TOJ89" s="996"/>
      <c r="TOK89" s="996"/>
      <c r="TOL89" s="996"/>
      <c r="TOM89" s="996"/>
      <c r="TON89" s="996"/>
      <c r="TOO89" s="996"/>
      <c r="TOP89" s="996"/>
      <c r="TOQ89" s="996"/>
      <c r="TOR89" s="996"/>
      <c r="TOS89" s="996"/>
      <c r="TOT89" s="996"/>
      <c r="TOU89" s="996"/>
      <c r="TOV89" s="996"/>
      <c r="TOW89" s="996"/>
      <c r="TOX89" s="996"/>
      <c r="TOY89" s="996"/>
      <c r="TOZ89" s="996"/>
      <c r="TPA89" s="996"/>
      <c r="TPB89" s="996"/>
      <c r="TPC89" s="996"/>
      <c r="TPD89" s="996"/>
      <c r="TPE89" s="996"/>
      <c r="TPF89" s="996"/>
      <c r="TPG89" s="996"/>
      <c r="TPH89" s="996"/>
      <c r="TPI89" s="996"/>
      <c r="TPJ89" s="996"/>
      <c r="TPK89" s="996"/>
      <c r="TPL89" s="996"/>
      <c r="TPM89" s="996"/>
      <c r="TPN89" s="996"/>
      <c r="TPO89" s="996"/>
      <c r="TPP89" s="996"/>
      <c r="TPQ89" s="996"/>
      <c r="TPR89" s="996"/>
      <c r="TPS89" s="996"/>
      <c r="TPT89" s="996"/>
      <c r="TPU89" s="996"/>
      <c r="TPV89" s="996"/>
      <c r="TPW89" s="996"/>
      <c r="TPX89" s="996"/>
      <c r="TPY89" s="996"/>
      <c r="TPZ89" s="996"/>
      <c r="TQA89" s="996"/>
      <c r="TQB89" s="996"/>
      <c r="TQC89" s="996"/>
      <c r="TQD89" s="996"/>
      <c r="TQE89" s="996"/>
      <c r="TQF89" s="996"/>
      <c r="TQG89" s="996"/>
      <c r="TQH89" s="996"/>
      <c r="TQI89" s="996"/>
      <c r="TQJ89" s="996"/>
      <c r="TQK89" s="996"/>
      <c r="TQL89" s="996"/>
      <c r="TQM89" s="996"/>
      <c r="TQN89" s="996"/>
      <c r="TQO89" s="996"/>
      <c r="TQP89" s="996"/>
      <c r="TQQ89" s="996"/>
      <c r="TQR89" s="996"/>
      <c r="TQS89" s="996"/>
      <c r="TQT89" s="996"/>
      <c r="TQU89" s="996"/>
      <c r="TQV89" s="996"/>
      <c r="TQW89" s="996"/>
      <c r="TQX89" s="996"/>
      <c r="TQY89" s="996"/>
      <c r="TQZ89" s="996"/>
      <c r="TRA89" s="996"/>
      <c r="TRB89" s="996"/>
      <c r="TRC89" s="996"/>
      <c r="TRD89" s="996"/>
      <c r="TRE89" s="996"/>
      <c r="TRF89" s="996"/>
      <c r="TRG89" s="996"/>
      <c r="TRH89" s="996"/>
      <c r="TRI89" s="996"/>
      <c r="TRJ89" s="996"/>
      <c r="TRK89" s="996"/>
      <c r="TRL89" s="996"/>
      <c r="TRM89" s="996"/>
      <c r="TRN89" s="996"/>
      <c r="TRO89" s="996"/>
      <c r="TRP89" s="996"/>
      <c r="TRQ89" s="996"/>
      <c r="TRR89" s="996"/>
      <c r="TRS89" s="996"/>
      <c r="TRT89" s="996"/>
      <c r="TRU89" s="996"/>
      <c r="TRV89" s="996"/>
      <c r="TRW89" s="996"/>
      <c r="TRX89" s="996"/>
      <c r="TRY89" s="996"/>
      <c r="TRZ89" s="996"/>
      <c r="TSA89" s="996"/>
      <c r="TSB89" s="996"/>
      <c r="TSC89" s="996"/>
      <c r="TSD89" s="996"/>
      <c r="TSE89" s="996"/>
      <c r="TSF89" s="996"/>
      <c r="TSG89" s="996"/>
      <c r="TSH89" s="996"/>
      <c r="TSI89" s="996"/>
      <c r="TSJ89" s="996"/>
      <c r="TSK89" s="996"/>
      <c r="TSL89" s="996"/>
      <c r="TSM89" s="996"/>
      <c r="TSN89" s="996"/>
      <c r="TSO89" s="996"/>
      <c r="TSP89" s="996"/>
      <c r="TSQ89" s="996"/>
      <c r="TSR89" s="996"/>
      <c r="TSS89" s="996"/>
      <c r="TST89" s="996"/>
      <c r="TSU89" s="996"/>
      <c r="TSV89" s="996"/>
      <c r="TSW89" s="996"/>
      <c r="TSX89" s="996"/>
      <c r="TSY89" s="996"/>
      <c r="TSZ89" s="996"/>
      <c r="TTA89" s="996"/>
      <c r="TTB89" s="996"/>
      <c r="TTC89" s="996"/>
      <c r="TTD89" s="996"/>
      <c r="TTE89" s="996"/>
      <c r="TTF89" s="996"/>
      <c r="TTG89" s="996"/>
      <c r="TTH89" s="996"/>
      <c r="TTI89" s="996"/>
      <c r="TTJ89" s="996"/>
      <c r="TTK89" s="996"/>
      <c r="TTL89" s="996"/>
      <c r="TTM89" s="996"/>
      <c r="TTN89" s="996"/>
      <c r="TTO89" s="996"/>
      <c r="TTP89" s="996"/>
      <c r="TTQ89" s="996"/>
      <c r="TTR89" s="996"/>
      <c r="TTS89" s="996"/>
      <c r="TTT89" s="996"/>
      <c r="TTU89" s="996"/>
      <c r="TTV89" s="996"/>
      <c r="TTW89" s="996"/>
      <c r="TTX89" s="996"/>
      <c r="TTY89" s="996"/>
      <c r="TTZ89" s="996"/>
      <c r="TUA89" s="996"/>
      <c r="TUB89" s="996"/>
      <c r="TUC89" s="996"/>
      <c r="TUD89" s="996"/>
      <c r="TUE89" s="996"/>
      <c r="TUF89" s="996"/>
      <c r="TUG89" s="996"/>
      <c r="TUH89" s="996"/>
      <c r="TUI89" s="996"/>
      <c r="TUJ89" s="996"/>
      <c r="TUK89" s="996"/>
      <c r="TUL89" s="996"/>
      <c r="TUM89" s="996"/>
      <c r="TUN89" s="996"/>
      <c r="TUO89" s="996"/>
      <c r="TUP89" s="996"/>
      <c r="TUQ89" s="996"/>
      <c r="TUR89" s="996"/>
      <c r="TUS89" s="996"/>
      <c r="TUT89" s="996"/>
      <c r="TUU89" s="996"/>
      <c r="TUV89" s="996"/>
      <c r="TUW89" s="996"/>
      <c r="TUX89" s="996"/>
      <c r="TUY89" s="996"/>
      <c r="TUZ89" s="996"/>
      <c r="TVA89" s="996"/>
      <c r="TVB89" s="996"/>
      <c r="TVC89" s="996"/>
      <c r="TVD89" s="996"/>
      <c r="TVE89" s="996"/>
      <c r="TVF89" s="996"/>
      <c r="TVG89" s="996"/>
      <c r="TVH89" s="996"/>
      <c r="TVI89" s="996"/>
      <c r="TVJ89" s="996"/>
      <c r="TVK89" s="996"/>
      <c r="TVL89" s="996"/>
      <c r="TVM89" s="996"/>
      <c r="TVN89" s="996"/>
      <c r="TVO89" s="996"/>
      <c r="TVP89" s="996"/>
      <c r="TVQ89" s="996"/>
      <c r="TVR89" s="996"/>
      <c r="TVS89" s="996"/>
      <c r="TVT89" s="996"/>
      <c r="TVU89" s="996"/>
      <c r="TVV89" s="996"/>
      <c r="TVW89" s="996"/>
      <c r="TVX89" s="996"/>
      <c r="TVY89" s="996"/>
      <c r="TVZ89" s="996"/>
      <c r="TWA89" s="996"/>
      <c r="TWB89" s="996"/>
      <c r="TWC89" s="996"/>
      <c r="TWD89" s="996"/>
      <c r="TWE89" s="996"/>
      <c r="TWF89" s="996"/>
      <c r="TWG89" s="996"/>
      <c r="TWH89" s="996"/>
      <c r="TWI89" s="996"/>
      <c r="TWJ89" s="996"/>
      <c r="TWK89" s="996"/>
      <c r="TWL89" s="996"/>
      <c r="TWM89" s="996"/>
      <c r="TWN89" s="996"/>
      <c r="TWO89" s="996"/>
      <c r="TWP89" s="996"/>
      <c r="TWQ89" s="996"/>
      <c r="TWR89" s="996"/>
      <c r="TWS89" s="996"/>
      <c r="TWT89" s="996"/>
      <c r="TWU89" s="996"/>
      <c r="TWV89" s="996"/>
      <c r="TWW89" s="996"/>
      <c r="TWX89" s="996"/>
      <c r="TWY89" s="996"/>
      <c r="TWZ89" s="996"/>
      <c r="TXA89" s="996"/>
      <c r="TXB89" s="996"/>
      <c r="TXC89" s="996"/>
      <c r="TXD89" s="996"/>
      <c r="TXE89" s="996"/>
      <c r="TXF89" s="996"/>
      <c r="TXG89" s="996"/>
      <c r="TXH89" s="996"/>
      <c r="TXI89" s="996"/>
      <c r="TXJ89" s="996"/>
      <c r="TXK89" s="996"/>
      <c r="TXL89" s="996"/>
      <c r="TXM89" s="996"/>
      <c r="TXN89" s="996"/>
      <c r="TXO89" s="996"/>
      <c r="TXP89" s="996"/>
      <c r="TXQ89" s="996"/>
      <c r="TXR89" s="996"/>
      <c r="TXS89" s="996"/>
      <c r="TXT89" s="996"/>
      <c r="TXU89" s="996"/>
      <c r="TXV89" s="996"/>
      <c r="TXW89" s="996"/>
      <c r="TXX89" s="996"/>
      <c r="TXY89" s="996"/>
      <c r="TXZ89" s="996"/>
      <c r="TYA89" s="996"/>
      <c r="TYB89" s="996"/>
      <c r="TYC89" s="996"/>
      <c r="TYD89" s="996"/>
      <c r="TYE89" s="996"/>
      <c r="TYF89" s="996"/>
      <c r="TYG89" s="996"/>
      <c r="TYH89" s="996"/>
      <c r="TYI89" s="996"/>
      <c r="TYJ89" s="996"/>
      <c r="TYK89" s="996"/>
      <c r="TYL89" s="996"/>
      <c r="TYM89" s="996"/>
      <c r="TYN89" s="996"/>
      <c r="TYO89" s="996"/>
      <c r="TYP89" s="996"/>
      <c r="TYQ89" s="996"/>
      <c r="TYR89" s="996"/>
      <c r="TYS89" s="996"/>
      <c r="TYT89" s="996"/>
      <c r="TYU89" s="996"/>
      <c r="TYV89" s="996"/>
      <c r="TYW89" s="996"/>
      <c r="TYX89" s="996"/>
      <c r="TYY89" s="996"/>
      <c r="TYZ89" s="996"/>
      <c r="TZA89" s="996"/>
      <c r="TZB89" s="996"/>
      <c r="TZC89" s="996"/>
      <c r="TZD89" s="996"/>
      <c r="TZE89" s="996"/>
      <c r="TZF89" s="996"/>
      <c r="TZG89" s="996"/>
      <c r="TZH89" s="996"/>
      <c r="TZI89" s="996"/>
      <c r="TZJ89" s="996"/>
      <c r="TZK89" s="996"/>
      <c r="TZL89" s="996"/>
      <c r="TZM89" s="996"/>
      <c r="TZN89" s="996"/>
      <c r="TZO89" s="996"/>
      <c r="TZP89" s="996"/>
      <c r="TZQ89" s="996"/>
      <c r="TZR89" s="996"/>
      <c r="TZS89" s="996"/>
      <c r="TZT89" s="996"/>
      <c r="TZU89" s="996"/>
      <c r="TZV89" s="996"/>
      <c r="TZW89" s="996"/>
      <c r="TZX89" s="996"/>
      <c r="TZY89" s="996"/>
      <c r="TZZ89" s="996"/>
      <c r="UAA89" s="996"/>
      <c r="UAB89" s="996"/>
      <c r="UAC89" s="996"/>
      <c r="UAD89" s="996"/>
      <c r="UAE89" s="996"/>
      <c r="UAF89" s="996"/>
      <c r="UAG89" s="996"/>
      <c r="UAH89" s="996"/>
      <c r="UAI89" s="996"/>
      <c r="UAJ89" s="996"/>
      <c r="UAK89" s="996"/>
      <c r="UAL89" s="996"/>
      <c r="UAM89" s="996"/>
      <c r="UAN89" s="996"/>
      <c r="UAO89" s="996"/>
      <c r="UAP89" s="996"/>
      <c r="UAQ89" s="996"/>
      <c r="UAR89" s="996"/>
      <c r="UAS89" s="996"/>
      <c r="UAT89" s="996"/>
      <c r="UAU89" s="996"/>
      <c r="UAV89" s="996"/>
      <c r="UAW89" s="996"/>
      <c r="UAX89" s="996"/>
      <c r="UAY89" s="996"/>
      <c r="UAZ89" s="996"/>
      <c r="UBA89" s="996"/>
      <c r="UBB89" s="996"/>
      <c r="UBC89" s="996"/>
      <c r="UBD89" s="996"/>
      <c r="UBE89" s="996"/>
      <c r="UBF89" s="996"/>
      <c r="UBG89" s="996"/>
      <c r="UBH89" s="996"/>
      <c r="UBI89" s="996"/>
      <c r="UBJ89" s="996"/>
      <c r="UBK89" s="996"/>
      <c r="UBL89" s="996"/>
      <c r="UBM89" s="996"/>
      <c r="UBN89" s="996"/>
      <c r="UBO89" s="996"/>
      <c r="UBP89" s="996"/>
      <c r="UBQ89" s="996"/>
      <c r="UBR89" s="996"/>
      <c r="UBS89" s="996"/>
      <c r="UBT89" s="996"/>
      <c r="UBU89" s="996"/>
      <c r="UBV89" s="996"/>
      <c r="UBW89" s="996"/>
      <c r="UBX89" s="996"/>
      <c r="UBY89" s="996"/>
      <c r="UBZ89" s="996"/>
      <c r="UCA89" s="996"/>
      <c r="UCB89" s="996"/>
      <c r="UCC89" s="996"/>
      <c r="UCD89" s="996"/>
      <c r="UCE89" s="996"/>
      <c r="UCF89" s="996"/>
      <c r="UCG89" s="996"/>
      <c r="UCH89" s="996"/>
      <c r="UCI89" s="996"/>
      <c r="UCJ89" s="996"/>
      <c r="UCK89" s="996"/>
      <c r="UCL89" s="996"/>
      <c r="UCM89" s="996"/>
      <c r="UCN89" s="996"/>
      <c r="UCO89" s="996"/>
      <c r="UCP89" s="996"/>
      <c r="UCQ89" s="996"/>
      <c r="UCR89" s="996"/>
      <c r="UCS89" s="996"/>
      <c r="UCT89" s="996"/>
      <c r="UCU89" s="996"/>
      <c r="UCV89" s="996"/>
      <c r="UCW89" s="996"/>
      <c r="UCX89" s="996"/>
      <c r="UCY89" s="996"/>
      <c r="UCZ89" s="996"/>
      <c r="UDA89" s="996"/>
      <c r="UDB89" s="996"/>
      <c r="UDC89" s="996"/>
      <c r="UDD89" s="996"/>
      <c r="UDE89" s="996"/>
      <c r="UDF89" s="996"/>
      <c r="UDG89" s="996"/>
      <c r="UDH89" s="996"/>
      <c r="UDI89" s="996"/>
      <c r="UDJ89" s="996"/>
      <c r="UDK89" s="996"/>
      <c r="UDL89" s="996"/>
      <c r="UDM89" s="996"/>
      <c r="UDN89" s="996"/>
      <c r="UDO89" s="996"/>
      <c r="UDP89" s="996"/>
      <c r="UDQ89" s="996"/>
      <c r="UDR89" s="996"/>
      <c r="UDS89" s="996"/>
      <c r="UDT89" s="996"/>
      <c r="UDU89" s="996"/>
      <c r="UDV89" s="996"/>
      <c r="UDW89" s="996"/>
      <c r="UDX89" s="996"/>
      <c r="UDY89" s="996"/>
      <c r="UDZ89" s="996"/>
      <c r="UEA89" s="996"/>
      <c r="UEB89" s="996"/>
      <c r="UEC89" s="996"/>
      <c r="UED89" s="996"/>
      <c r="UEE89" s="996"/>
      <c r="UEF89" s="996"/>
      <c r="UEG89" s="996"/>
      <c r="UEH89" s="996"/>
      <c r="UEI89" s="996"/>
      <c r="UEJ89" s="996"/>
      <c r="UEK89" s="996"/>
      <c r="UEL89" s="996"/>
      <c r="UEM89" s="996"/>
      <c r="UEN89" s="996"/>
      <c r="UEO89" s="996"/>
      <c r="UEP89" s="996"/>
      <c r="UEQ89" s="996"/>
      <c r="UER89" s="996"/>
      <c r="UES89" s="996"/>
      <c r="UET89" s="996"/>
      <c r="UEU89" s="996"/>
      <c r="UEV89" s="996"/>
      <c r="UEW89" s="996"/>
      <c r="UEX89" s="996"/>
      <c r="UEY89" s="996"/>
      <c r="UEZ89" s="996"/>
      <c r="UFA89" s="996"/>
      <c r="UFB89" s="996"/>
      <c r="UFC89" s="996"/>
      <c r="UFD89" s="996"/>
      <c r="UFE89" s="996"/>
      <c r="UFF89" s="996"/>
      <c r="UFG89" s="996"/>
      <c r="UFH89" s="996"/>
      <c r="UFI89" s="996"/>
      <c r="UFJ89" s="996"/>
      <c r="UFK89" s="996"/>
      <c r="UFL89" s="996"/>
      <c r="UFM89" s="996"/>
      <c r="UFN89" s="996"/>
      <c r="UFO89" s="996"/>
      <c r="UFP89" s="996"/>
      <c r="UFQ89" s="996"/>
      <c r="UFR89" s="996"/>
      <c r="UFS89" s="996"/>
      <c r="UFT89" s="996"/>
      <c r="UFU89" s="996"/>
      <c r="UFV89" s="996"/>
      <c r="UFW89" s="996"/>
      <c r="UFX89" s="996"/>
      <c r="UFY89" s="996"/>
      <c r="UFZ89" s="996"/>
      <c r="UGA89" s="996"/>
      <c r="UGB89" s="996"/>
      <c r="UGC89" s="996"/>
      <c r="UGD89" s="996"/>
      <c r="UGE89" s="996"/>
      <c r="UGF89" s="996"/>
      <c r="UGG89" s="996"/>
      <c r="UGH89" s="996"/>
      <c r="UGI89" s="996"/>
      <c r="UGJ89" s="996"/>
      <c r="UGK89" s="996"/>
      <c r="UGL89" s="996"/>
      <c r="UGM89" s="996"/>
      <c r="UGN89" s="996"/>
      <c r="UGO89" s="996"/>
      <c r="UGP89" s="996"/>
      <c r="UGQ89" s="996"/>
      <c r="UGR89" s="996"/>
      <c r="UGS89" s="996"/>
      <c r="UGT89" s="996"/>
      <c r="UGU89" s="996"/>
      <c r="UGV89" s="996"/>
      <c r="UGW89" s="996"/>
      <c r="UGX89" s="996"/>
      <c r="UGY89" s="996"/>
      <c r="UGZ89" s="996"/>
      <c r="UHA89" s="996"/>
      <c r="UHB89" s="996"/>
      <c r="UHC89" s="996"/>
      <c r="UHD89" s="996"/>
      <c r="UHE89" s="996"/>
      <c r="UHF89" s="996"/>
      <c r="UHG89" s="996"/>
      <c r="UHH89" s="996"/>
      <c r="UHI89" s="996"/>
      <c r="UHJ89" s="996"/>
      <c r="UHK89" s="996"/>
      <c r="UHL89" s="996"/>
      <c r="UHM89" s="996"/>
      <c r="UHN89" s="996"/>
      <c r="UHO89" s="996"/>
      <c r="UHP89" s="996"/>
      <c r="UHQ89" s="996"/>
      <c r="UHR89" s="996"/>
      <c r="UHS89" s="996"/>
      <c r="UHT89" s="996"/>
      <c r="UHU89" s="996"/>
      <c r="UHV89" s="996"/>
      <c r="UHW89" s="996"/>
      <c r="UHX89" s="996"/>
      <c r="UHY89" s="996"/>
      <c r="UHZ89" s="996"/>
      <c r="UIA89" s="996"/>
      <c r="UIB89" s="996"/>
      <c r="UIC89" s="996"/>
      <c r="UID89" s="996"/>
      <c r="UIE89" s="996"/>
      <c r="UIF89" s="996"/>
      <c r="UIG89" s="996"/>
      <c r="UIH89" s="996"/>
      <c r="UII89" s="996"/>
      <c r="UIJ89" s="996"/>
      <c r="UIK89" s="996"/>
      <c r="UIL89" s="996"/>
      <c r="UIM89" s="996"/>
      <c r="UIN89" s="996"/>
      <c r="UIO89" s="996"/>
      <c r="UIP89" s="996"/>
      <c r="UIQ89" s="996"/>
      <c r="UIR89" s="996"/>
      <c r="UIS89" s="996"/>
      <c r="UIT89" s="996"/>
      <c r="UIU89" s="996"/>
      <c r="UIV89" s="996"/>
      <c r="UIW89" s="996"/>
      <c r="UIX89" s="996"/>
      <c r="UIY89" s="996"/>
      <c r="UIZ89" s="996"/>
      <c r="UJA89" s="996"/>
      <c r="UJB89" s="996"/>
      <c r="UJC89" s="996"/>
      <c r="UJD89" s="996"/>
      <c r="UJE89" s="996"/>
      <c r="UJF89" s="996"/>
      <c r="UJG89" s="996"/>
      <c r="UJH89" s="996"/>
      <c r="UJI89" s="996"/>
      <c r="UJJ89" s="996"/>
      <c r="UJK89" s="996"/>
      <c r="UJL89" s="996"/>
      <c r="UJM89" s="996"/>
      <c r="UJN89" s="996"/>
      <c r="UJO89" s="996"/>
      <c r="UJP89" s="996"/>
      <c r="UJQ89" s="996"/>
      <c r="UJR89" s="996"/>
      <c r="UJS89" s="996"/>
      <c r="UJT89" s="996"/>
      <c r="UJU89" s="996"/>
      <c r="UJV89" s="996"/>
      <c r="UJW89" s="996"/>
      <c r="UJX89" s="996"/>
      <c r="UJY89" s="996"/>
      <c r="UJZ89" s="996"/>
      <c r="UKA89" s="996"/>
      <c r="UKB89" s="996"/>
      <c r="UKC89" s="996"/>
      <c r="UKD89" s="996"/>
      <c r="UKE89" s="996"/>
      <c r="UKF89" s="996"/>
      <c r="UKG89" s="996"/>
      <c r="UKH89" s="996"/>
      <c r="UKI89" s="996"/>
      <c r="UKJ89" s="996"/>
      <c r="UKK89" s="996"/>
      <c r="UKL89" s="996"/>
      <c r="UKM89" s="996"/>
      <c r="UKN89" s="996"/>
      <c r="UKO89" s="996"/>
      <c r="UKP89" s="996"/>
      <c r="UKQ89" s="996"/>
      <c r="UKR89" s="996"/>
      <c r="UKS89" s="996"/>
      <c r="UKT89" s="996"/>
      <c r="UKU89" s="996"/>
      <c r="UKV89" s="996"/>
      <c r="UKW89" s="996"/>
      <c r="UKX89" s="996"/>
      <c r="UKY89" s="996"/>
      <c r="UKZ89" s="996"/>
      <c r="ULA89" s="996"/>
      <c r="ULB89" s="996"/>
      <c r="ULC89" s="996"/>
      <c r="ULD89" s="996"/>
      <c r="ULE89" s="996"/>
      <c r="ULF89" s="996"/>
      <c r="ULG89" s="996"/>
      <c r="ULH89" s="996"/>
      <c r="ULI89" s="996"/>
      <c r="ULJ89" s="996"/>
      <c r="ULK89" s="996"/>
      <c r="ULL89" s="996"/>
      <c r="ULM89" s="996"/>
      <c r="ULN89" s="996"/>
      <c r="ULO89" s="996"/>
      <c r="ULP89" s="996"/>
      <c r="ULQ89" s="996"/>
      <c r="ULR89" s="996"/>
      <c r="ULS89" s="996"/>
      <c r="ULT89" s="996"/>
      <c r="ULU89" s="996"/>
      <c r="ULV89" s="996"/>
      <c r="ULW89" s="996"/>
      <c r="ULX89" s="996"/>
      <c r="ULY89" s="996"/>
      <c r="ULZ89" s="996"/>
      <c r="UMA89" s="996"/>
      <c r="UMB89" s="996"/>
      <c r="UMC89" s="996"/>
      <c r="UMD89" s="996"/>
      <c r="UME89" s="996"/>
      <c r="UMF89" s="996"/>
      <c r="UMG89" s="996"/>
      <c r="UMH89" s="996"/>
      <c r="UMI89" s="996"/>
      <c r="UMJ89" s="996"/>
      <c r="UMK89" s="996"/>
      <c r="UML89" s="996"/>
      <c r="UMM89" s="996"/>
      <c r="UMN89" s="996"/>
      <c r="UMO89" s="996"/>
      <c r="UMP89" s="996"/>
      <c r="UMQ89" s="996"/>
      <c r="UMR89" s="996"/>
      <c r="UMS89" s="996"/>
      <c r="UMT89" s="996"/>
      <c r="UMU89" s="996"/>
      <c r="UMV89" s="996"/>
      <c r="UMW89" s="996"/>
      <c r="UMX89" s="996"/>
      <c r="UMY89" s="996"/>
      <c r="UMZ89" s="996"/>
      <c r="UNA89" s="996"/>
      <c r="UNB89" s="996"/>
      <c r="UNC89" s="996"/>
      <c r="UND89" s="996"/>
      <c r="UNE89" s="996"/>
      <c r="UNF89" s="996"/>
      <c r="UNG89" s="996"/>
      <c r="UNH89" s="996"/>
      <c r="UNI89" s="996"/>
      <c r="UNJ89" s="996"/>
      <c r="UNK89" s="996"/>
      <c r="UNL89" s="996"/>
      <c r="UNM89" s="996"/>
      <c r="UNN89" s="996"/>
      <c r="UNO89" s="996"/>
      <c r="UNP89" s="996"/>
      <c r="UNQ89" s="996"/>
      <c r="UNR89" s="996"/>
      <c r="UNS89" s="996"/>
      <c r="UNT89" s="996"/>
      <c r="UNU89" s="996"/>
      <c r="UNV89" s="996"/>
      <c r="UNW89" s="996"/>
      <c r="UNX89" s="996"/>
      <c r="UNY89" s="996"/>
      <c r="UNZ89" s="996"/>
      <c r="UOA89" s="996"/>
      <c r="UOB89" s="996"/>
      <c r="UOC89" s="996"/>
      <c r="UOD89" s="996"/>
      <c r="UOE89" s="996"/>
      <c r="UOF89" s="996"/>
      <c r="UOG89" s="996"/>
      <c r="UOH89" s="996"/>
      <c r="UOI89" s="996"/>
      <c r="UOJ89" s="996"/>
      <c r="UOK89" s="996"/>
      <c r="UOL89" s="996"/>
      <c r="UOM89" s="996"/>
      <c r="UON89" s="996"/>
      <c r="UOO89" s="996"/>
      <c r="UOP89" s="996"/>
      <c r="UOQ89" s="996"/>
      <c r="UOR89" s="996"/>
      <c r="UOS89" s="996"/>
      <c r="UOT89" s="996"/>
      <c r="UOU89" s="996"/>
      <c r="UOV89" s="996"/>
      <c r="UOW89" s="996"/>
      <c r="UOX89" s="996"/>
      <c r="UOY89" s="996"/>
      <c r="UOZ89" s="996"/>
      <c r="UPA89" s="996"/>
      <c r="UPB89" s="996"/>
      <c r="UPC89" s="996"/>
      <c r="UPD89" s="996"/>
      <c r="UPE89" s="996"/>
      <c r="UPF89" s="996"/>
      <c r="UPG89" s="996"/>
      <c r="UPH89" s="996"/>
      <c r="UPI89" s="996"/>
      <c r="UPJ89" s="996"/>
      <c r="UPK89" s="996"/>
      <c r="UPL89" s="996"/>
      <c r="UPM89" s="996"/>
      <c r="UPN89" s="996"/>
      <c r="UPO89" s="996"/>
      <c r="UPP89" s="996"/>
      <c r="UPQ89" s="996"/>
      <c r="UPR89" s="996"/>
      <c r="UPS89" s="996"/>
      <c r="UPT89" s="996"/>
      <c r="UPU89" s="996"/>
      <c r="UPV89" s="996"/>
      <c r="UPW89" s="996"/>
      <c r="UPX89" s="996"/>
      <c r="UPY89" s="996"/>
      <c r="UPZ89" s="996"/>
      <c r="UQA89" s="996"/>
      <c r="UQB89" s="996"/>
      <c r="UQC89" s="996"/>
      <c r="UQD89" s="996"/>
      <c r="UQE89" s="996"/>
      <c r="UQF89" s="996"/>
      <c r="UQG89" s="996"/>
      <c r="UQH89" s="996"/>
      <c r="UQI89" s="996"/>
      <c r="UQJ89" s="996"/>
      <c r="UQK89" s="996"/>
      <c r="UQL89" s="996"/>
      <c r="UQM89" s="996"/>
      <c r="UQN89" s="996"/>
      <c r="UQO89" s="996"/>
      <c r="UQP89" s="996"/>
      <c r="UQQ89" s="996"/>
      <c r="UQR89" s="996"/>
      <c r="UQS89" s="996"/>
      <c r="UQT89" s="996"/>
      <c r="UQU89" s="996"/>
      <c r="UQV89" s="996"/>
      <c r="UQW89" s="996"/>
      <c r="UQX89" s="996"/>
      <c r="UQY89" s="996"/>
      <c r="UQZ89" s="996"/>
      <c r="URA89" s="996"/>
      <c r="URB89" s="996"/>
      <c r="URC89" s="996"/>
      <c r="URD89" s="996"/>
      <c r="URE89" s="996"/>
      <c r="URF89" s="996"/>
      <c r="URG89" s="996"/>
      <c r="URH89" s="996"/>
      <c r="URI89" s="996"/>
      <c r="URJ89" s="996"/>
      <c r="URK89" s="996"/>
      <c r="URL89" s="996"/>
      <c r="URM89" s="996"/>
      <c r="URN89" s="996"/>
      <c r="URO89" s="996"/>
      <c r="URP89" s="996"/>
      <c r="URQ89" s="996"/>
      <c r="URR89" s="996"/>
      <c r="URS89" s="996"/>
      <c r="URT89" s="996"/>
      <c r="URU89" s="996"/>
      <c r="URV89" s="996"/>
      <c r="URW89" s="996"/>
      <c r="URX89" s="996"/>
      <c r="URY89" s="996"/>
      <c r="URZ89" s="996"/>
      <c r="USA89" s="996"/>
      <c r="USB89" s="996"/>
      <c r="USC89" s="996"/>
      <c r="USD89" s="996"/>
      <c r="USE89" s="996"/>
      <c r="USF89" s="996"/>
      <c r="USG89" s="996"/>
      <c r="USH89" s="996"/>
      <c r="USI89" s="996"/>
      <c r="USJ89" s="996"/>
      <c r="USK89" s="996"/>
      <c r="USL89" s="996"/>
      <c r="USM89" s="996"/>
      <c r="USN89" s="996"/>
      <c r="USO89" s="996"/>
      <c r="USP89" s="996"/>
      <c r="USQ89" s="996"/>
      <c r="USR89" s="996"/>
      <c r="USS89" s="996"/>
      <c r="UST89" s="996"/>
      <c r="USU89" s="996"/>
      <c r="USV89" s="996"/>
      <c r="USW89" s="996"/>
      <c r="USX89" s="996"/>
      <c r="USY89" s="996"/>
      <c r="USZ89" s="996"/>
      <c r="UTA89" s="996"/>
      <c r="UTB89" s="996"/>
      <c r="UTC89" s="996"/>
      <c r="UTD89" s="996"/>
      <c r="UTE89" s="996"/>
      <c r="UTF89" s="996"/>
      <c r="UTG89" s="996"/>
      <c r="UTH89" s="996"/>
      <c r="UTI89" s="996"/>
      <c r="UTJ89" s="996"/>
      <c r="UTK89" s="996"/>
      <c r="UTL89" s="996"/>
      <c r="UTM89" s="996"/>
      <c r="UTN89" s="996"/>
      <c r="UTO89" s="996"/>
      <c r="UTP89" s="996"/>
      <c r="UTQ89" s="996"/>
      <c r="UTR89" s="996"/>
      <c r="UTS89" s="996"/>
      <c r="UTT89" s="996"/>
      <c r="UTU89" s="996"/>
      <c r="UTV89" s="996"/>
      <c r="UTW89" s="996"/>
      <c r="UTX89" s="996"/>
      <c r="UTY89" s="996"/>
      <c r="UTZ89" s="996"/>
      <c r="UUA89" s="996"/>
      <c r="UUB89" s="996"/>
      <c r="UUC89" s="996"/>
      <c r="UUD89" s="996"/>
      <c r="UUE89" s="996"/>
      <c r="UUF89" s="996"/>
      <c r="UUG89" s="996"/>
      <c r="UUH89" s="996"/>
      <c r="UUI89" s="996"/>
      <c r="UUJ89" s="996"/>
      <c r="UUK89" s="996"/>
      <c r="UUL89" s="996"/>
      <c r="UUM89" s="996"/>
      <c r="UUN89" s="996"/>
      <c r="UUO89" s="996"/>
      <c r="UUP89" s="996"/>
      <c r="UUQ89" s="996"/>
      <c r="UUR89" s="996"/>
      <c r="UUS89" s="996"/>
      <c r="UUT89" s="996"/>
      <c r="UUU89" s="996"/>
      <c r="UUV89" s="996"/>
      <c r="UUW89" s="996"/>
      <c r="UUX89" s="996"/>
      <c r="UUY89" s="996"/>
      <c r="UUZ89" s="996"/>
      <c r="UVA89" s="996"/>
      <c r="UVB89" s="996"/>
      <c r="UVC89" s="996"/>
      <c r="UVD89" s="996"/>
      <c r="UVE89" s="996"/>
      <c r="UVF89" s="996"/>
      <c r="UVG89" s="996"/>
      <c r="UVH89" s="996"/>
      <c r="UVI89" s="996"/>
      <c r="UVJ89" s="996"/>
      <c r="UVK89" s="996"/>
      <c r="UVL89" s="996"/>
      <c r="UVM89" s="996"/>
      <c r="UVN89" s="996"/>
      <c r="UVO89" s="996"/>
      <c r="UVP89" s="996"/>
      <c r="UVQ89" s="996"/>
      <c r="UVR89" s="996"/>
      <c r="UVS89" s="996"/>
      <c r="UVT89" s="996"/>
      <c r="UVU89" s="996"/>
      <c r="UVV89" s="996"/>
      <c r="UVW89" s="996"/>
      <c r="UVX89" s="996"/>
      <c r="UVY89" s="996"/>
      <c r="UVZ89" s="996"/>
      <c r="UWA89" s="996"/>
      <c r="UWB89" s="996"/>
      <c r="UWC89" s="996"/>
      <c r="UWD89" s="996"/>
      <c r="UWE89" s="996"/>
      <c r="UWF89" s="996"/>
      <c r="UWG89" s="996"/>
      <c r="UWH89" s="996"/>
      <c r="UWI89" s="996"/>
      <c r="UWJ89" s="996"/>
      <c r="UWK89" s="996"/>
      <c r="UWL89" s="996"/>
      <c r="UWM89" s="996"/>
      <c r="UWN89" s="996"/>
      <c r="UWO89" s="996"/>
      <c r="UWP89" s="996"/>
      <c r="UWQ89" s="996"/>
      <c r="UWR89" s="996"/>
      <c r="UWS89" s="996"/>
      <c r="UWT89" s="996"/>
      <c r="UWU89" s="996"/>
      <c r="UWV89" s="996"/>
      <c r="UWW89" s="996"/>
      <c r="UWX89" s="996"/>
      <c r="UWY89" s="996"/>
      <c r="UWZ89" s="996"/>
      <c r="UXA89" s="996"/>
      <c r="UXB89" s="996"/>
      <c r="UXC89" s="996"/>
      <c r="UXD89" s="996"/>
      <c r="UXE89" s="996"/>
      <c r="UXF89" s="996"/>
      <c r="UXG89" s="996"/>
      <c r="UXH89" s="996"/>
      <c r="UXI89" s="996"/>
      <c r="UXJ89" s="996"/>
      <c r="UXK89" s="996"/>
      <c r="UXL89" s="996"/>
      <c r="UXM89" s="996"/>
      <c r="UXN89" s="996"/>
      <c r="UXO89" s="996"/>
      <c r="UXP89" s="996"/>
      <c r="UXQ89" s="996"/>
      <c r="UXR89" s="996"/>
      <c r="UXS89" s="996"/>
      <c r="UXT89" s="996"/>
      <c r="UXU89" s="996"/>
      <c r="UXV89" s="996"/>
      <c r="UXW89" s="996"/>
      <c r="UXX89" s="996"/>
      <c r="UXY89" s="996"/>
      <c r="UXZ89" s="996"/>
      <c r="UYA89" s="996"/>
      <c r="UYB89" s="996"/>
      <c r="UYC89" s="996"/>
      <c r="UYD89" s="996"/>
      <c r="UYE89" s="996"/>
      <c r="UYF89" s="996"/>
      <c r="UYG89" s="996"/>
      <c r="UYH89" s="996"/>
      <c r="UYI89" s="996"/>
      <c r="UYJ89" s="996"/>
      <c r="UYK89" s="996"/>
      <c r="UYL89" s="996"/>
      <c r="UYM89" s="996"/>
      <c r="UYN89" s="996"/>
      <c r="UYO89" s="996"/>
      <c r="UYP89" s="996"/>
      <c r="UYQ89" s="996"/>
      <c r="UYR89" s="996"/>
      <c r="UYS89" s="996"/>
      <c r="UYT89" s="996"/>
      <c r="UYU89" s="996"/>
      <c r="UYV89" s="996"/>
      <c r="UYW89" s="996"/>
      <c r="UYX89" s="996"/>
      <c r="UYY89" s="996"/>
      <c r="UYZ89" s="996"/>
      <c r="UZA89" s="996"/>
      <c r="UZB89" s="996"/>
      <c r="UZC89" s="996"/>
      <c r="UZD89" s="996"/>
      <c r="UZE89" s="996"/>
      <c r="UZF89" s="996"/>
      <c r="UZG89" s="996"/>
      <c r="UZH89" s="996"/>
      <c r="UZI89" s="996"/>
      <c r="UZJ89" s="996"/>
      <c r="UZK89" s="996"/>
      <c r="UZL89" s="996"/>
      <c r="UZM89" s="996"/>
      <c r="UZN89" s="996"/>
      <c r="UZO89" s="996"/>
      <c r="UZP89" s="996"/>
      <c r="UZQ89" s="996"/>
      <c r="UZR89" s="996"/>
      <c r="UZS89" s="996"/>
      <c r="UZT89" s="996"/>
      <c r="UZU89" s="996"/>
      <c r="UZV89" s="996"/>
      <c r="UZW89" s="996"/>
      <c r="UZX89" s="996"/>
      <c r="UZY89" s="996"/>
      <c r="UZZ89" s="996"/>
      <c r="VAA89" s="996"/>
      <c r="VAB89" s="996"/>
      <c r="VAC89" s="996"/>
      <c r="VAD89" s="996"/>
      <c r="VAE89" s="996"/>
      <c r="VAF89" s="996"/>
      <c r="VAG89" s="996"/>
      <c r="VAH89" s="996"/>
      <c r="VAI89" s="996"/>
      <c r="VAJ89" s="996"/>
      <c r="VAK89" s="996"/>
      <c r="VAL89" s="996"/>
      <c r="VAM89" s="996"/>
      <c r="VAN89" s="996"/>
      <c r="VAO89" s="996"/>
      <c r="VAP89" s="996"/>
      <c r="VAQ89" s="996"/>
      <c r="VAR89" s="996"/>
      <c r="VAS89" s="996"/>
      <c r="VAT89" s="996"/>
      <c r="VAU89" s="996"/>
      <c r="VAV89" s="996"/>
      <c r="VAW89" s="996"/>
      <c r="VAX89" s="996"/>
      <c r="VAY89" s="996"/>
      <c r="VAZ89" s="996"/>
      <c r="VBA89" s="996"/>
      <c r="VBB89" s="996"/>
      <c r="VBC89" s="996"/>
      <c r="VBD89" s="996"/>
      <c r="VBE89" s="996"/>
      <c r="VBF89" s="996"/>
      <c r="VBG89" s="996"/>
      <c r="VBH89" s="996"/>
      <c r="VBI89" s="996"/>
      <c r="VBJ89" s="996"/>
      <c r="VBK89" s="996"/>
      <c r="VBL89" s="996"/>
      <c r="VBM89" s="996"/>
      <c r="VBN89" s="996"/>
      <c r="VBO89" s="996"/>
      <c r="VBP89" s="996"/>
      <c r="VBQ89" s="996"/>
      <c r="VBR89" s="996"/>
      <c r="VBS89" s="996"/>
      <c r="VBT89" s="996"/>
      <c r="VBU89" s="996"/>
      <c r="VBV89" s="996"/>
      <c r="VBW89" s="996"/>
      <c r="VBX89" s="996"/>
      <c r="VBY89" s="996"/>
      <c r="VBZ89" s="996"/>
      <c r="VCA89" s="996"/>
      <c r="VCB89" s="996"/>
      <c r="VCC89" s="996"/>
      <c r="VCD89" s="996"/>
      <c r="VCE89" s="996"/>
      <c r="VCF89" s="996"/>
      <c r="VCG89" s="996"/>
      <c r="VCH89" s="996"/>
      <c r="VCI89" s="996"/>
      <c r="VCJ89" s="996"/>
      <c r="VCK89" s="996"/>
      <c r="VCL89" s="996"/>
      <c r="VCM89" s="996"/>
      <c r="VCN89" s="996"/>
      <c r="VCO89" s="996"/>
      <c r="VCP89" s="996"/>
      <c r="VCQ89" s="996"/>
      <c r="VCR89" s="996"/>
      <c r="VCS89" s="996"/>
      <c r="VCT89" s="996"/>
      <c r="VCU89" s="996"/>
      <c r="VCV89" s="996"/>
      <c r="VCW89" s="996"/>
      <c r="VCX89" s="996"/>
      <c r="VCY89" s="996"/>
      <c r="VCZ89" s="996"/>
      <c r="VDA89" s="996"/>
      <c r="VDB89" s="996"/>
      <c r="VDC89" s="996"/>
      <c r="VDD89" s="996"/>
      <c r="VDE89" s="996"/>
      <c r="VDF89" s="996"/>
      <c r="VDG89" s="996"/>
      <c r="VDH89" s="996"/>
      <c r="VDI89" s="996"/>
      <c r="VDJ89" s="996"/>
      <c r="VDK89" s="996"/>
      <c r="VDL89" s="996"/>
      <c r="VDM89" s="996"/>
      <c r="VDN89" s="996"/>
      <c r="VDO89" s="996"/>
      <c r="VDP89" s="996"/>
      <c r="VDQ89" s="996"/>
      <c r="VDR89" s="996"/>
      <c r="VDS89" s="996"/>
      <c r="VDT89" s="996"/>
      <c r="VDU89" s="996"/>
      <c r="VDV89" s="996"/>
      <c r="VDW89" s="996"/>
      <c r="VDX89" s="996"/>
      <c r="VDY89" s="996"/>
      <c r="VDZ89" s="996"/>
      <c r="VEA89" s="996"/>
      <c r="VEB89" s="996"/>
      <c r="VEC89" s="996"/>
      <c r="VED89" s="996"/>
      <c r="VEE89" s="996"/>
      <c r="VEF89" s="996"/>
      <c r="VEG89" s="996"/>
      <c r="VEH89" s="996"/>
      <c r="VEI89" s="996"/>
      <c r="VEJ89" s="996"/>
      <c r="VEK89" s="996"/>
      <c r="VEL89" s="996"/>
      <c r="VEM89" s="996"/>
      <c r="VEN89" s="996"/>
      <c r="VEO89" s="996"/>
      <c r="VEP89" s="996"/>
      <c r="VEQ89" s="996"/>
      <c r="VER89" s="996"/>
      <c r="VES89" s="996"/>
      <c r="VET89" s="996"/>
      <c r="VEU89" s="996"/>
      <c r="VEV89" s="996"/>
      <c r="VEW89" s="996"/>
      <c r="VEX89" s="996"/>
      <c r="VEY89" s="996"/>
      <c r="VEZ89" s="996"/>
      <c r="VFA89" s="996"/>
      <c r="VFB89" s="996"/>
      <c r="VFC89" s="996"/>
      <c r="VFD89" s="996"/>
      <c r="VFE89" s="996"/>
      <c r="VFF89" s="996"/>
      <c r="VFG89" s="996"/>
      <c r="VFH89" s="996"/>
      <c r="VFI89" s="996"/>
      <c r="VFJ89" s="996"/>
      <c r="VFK89" s="996"/>
      <c r="VFL89" s="996"/>
      <c r="VFM89" s="996"/>
      <c r="VFN89" s="996"/>
      <c r="VFO89" s="996"/>
      <c r="VFP89" s="996"/>
      <c r="VFQ89" s="996"/>
      <c r="VFR89" s="996"/>
      <c r="VFS89" s="996"/>
      <c r="VFT89" s="996"/>
      <c r="VFU89" s="996"/>
      <c r="VFV89" s="996"/>
      <c r="VFW89" s="996"/>
      <c r="VFX89" s="996"/>
      <c r="VFY89" s="996"/>
      <c r="VFZ89" s="996"/>
      <c r="VGA89" s="996"/>
      <c r="VGB89" s="996"/>
      <c r="VGC89" s="996"/>
      <c r="VGD89" s="996"/>
      <c r="VGE89" s="996"/>
      <c r="VGF89" s="996"/>
      <c r="VGG89" s="996"/>
      <c r="VGH89" s="996"/>
      <c r="VGI89" s="996"/>
      <c r="VGJ89" s="996"/>
      <c r="VGK89" s="996"/>
      <c r="VGL89" s="996"/>
      <c r="VGM89" s="996"/>
      <c r="VGN89" s="996"/>
      <c r="VGO89" s="996"/>
      <c r="VGP89" s="996"/>
      <c r="VGQ89" s="996"/>
      <c r="VGR89" s="996"/>
      <c r="VGS89" s="996"/>
      <c r="VGT89" s="996"/>
      <c r="VGU89" s="996"/>
      <c r="VGV89" s="996"/>
      <c r="VGW89" s="996"/>
      <c r="VGX89" s="996"/>
      <c r="VGY89" s="996"/>
      <c r="VGZ89" s="996"/>
      <c r="VHA89" s="996"/>
      <c r="VHB89" s="996"/>
      <c r="VHC89" s="996"/>
      <c r="VHD89" s="996"/>
      <c r="VHE89" s="996"/>
      <c r="VHF89" s="996"/>
      <c r="VHG89" s="996"/>
      <c r="VHH89" s="996"/>
      <c r="VHI89" s="996"/>
      <c r="VHJ89" s="996"/>
      <c r="VHK89" s="996"/>
      <c r="VHL89" s="996"/>
      <c r="VHM89" s="996"/>
      <c r="VHN89" s="996"/>
      <c r="VHO89" s="996"/>
      <c r="VHP89" s="996"/>
      <c r="VHQ89" s="996"/>
      <c r="VHR89" s="996"/>
      <c r="VHS89" s="996"/>
      <c r="VHT89" s="996"/>
      <c r="VHU89" s="996"/>
      <c r="VHV89" s="996"/>
      <c r="VHW89" s="996"/>
      <c r="VHX89" s="996"/>
      <c r="VHY89" s="996"/>
      <c r="VHZ89" s="996"/>
      <c r="VIA89" s="996"/>
      <c r="VIB89" s="996"/>
      <c r="VIC89" s="996"/>
      <c r="VID89" s="996"/>
      <c r="VIE89" s="996"/>
      <c r="VIF89" s="996"/>
      <c r="VIG89" s="996"/>
      <c r="VIH89" s="996"/>
      <c r="VII89" s="996"/>
      <c r="VIJ89" s="996"/>
      <c r="VIK89" s="996"/>
      <c r="VIL89" s="996"/>
      <c r="VIM89" s="996"/>
      <c r="VIN89" s="996"/>
      <c r="VIO89" s="996"/>
      <c r="VIP89" s="996"/>
      <c r="VIQ89" s="996"/>
      <c r="VIR89" s="996"/>
      <c r="VIS89" s="996"/>
      <c r="VIT89" s="996"/>
      <c r="VIU89" s="996"/>
      <c r="VIV89" s="996"/>
      <c r="VIW89" s="996"/>
      <c r="VIX89" s="996"/>
      <c r="VIY89" s="996"/>
      <c r="VIZ89" s="996"/>
      <c r="VJA89" s="996"/>
      <c r="VJB89" s="996"/>
      <c r="VJC89" s="996"/>
      <c r="VJD89" s="996"/>
      <c r="VJE89" s="996"/>
      <c r="VJF89" s="996"/>
      <c r="VJG89" s="996"/>
      <c r="VJH89" s="996"/>
      <c r="VJI89" s="996"/>
      <c r="VJJ89" s="996"/>
      <c r="VJK89" s="996"/>
      <c r="VJL89" s="996"/>
      <c r="VJM89" s="996"/>
      <c r="VJN89" s="996"/>
      <c r="VJO89" s="996"/>
      <c r="VJP89" s="996"/>
      <c r="VJQ89" s="996"/>
      <c r="VJR89" s="996"/>
      <c r="VJS89" s="996"/>
      <c r="VJT89" s="996"/>
      <c r="VJU89" s="996"/>
      <c r="VJV89" s="996"/>
      <c r="VJW89" s="996"/>
      <c r="VJX89" s="996"/>
      <c r="VJY89" s="996"/>
      <c r="VJZ89" s="996"/>
      <c r="VKA89" s="996"/>
      <c r="VKB89" s="996"/>
      <c r="VKC89" s="996"/>
      <c r="VKD89" s="996"/>
      <c r="VKE89" s="996"/>
      <c r="VKF89" s="996"/>
      <c r="VKG89" s="996"/>
      <c r="VKH89" s="996"/>
      <c r="VKI89" s="996"/>
      <c r="VKJ89" s="996"/>
      <c r="VKK89" s="996"/>
      <c r="VKL89" s="996"/>
      <c r="VKM89" s="996"/>
      <c r="VKN89" s="996"/>
      <c r="VKO89" s="996"/>
      <c r="VKP89" s="996"/>
      <c r="VKQ89" s="996"/>
      <c r="VKR89" s="996"/>
      <c r="VKS89" s="996"/>
      <c r="VKT89" s="996"/>
      <c r="VKU89" s="996"/>
      <c r="VKV89" s="996"/>
      <c r="VKW89" s="996"/>
      <c r="VKX89" s="996"/>
      <c r="VKY89" s="996"/>
      <c r="VKZ89" s="996"/>
      <c r="VLA89" s="996"/>
      <c r="VLB89" s="996"/>
      <c r="VLC89" s="996"/>
      <c r="VLD89" s="996"/>
      <c r="VLE89" s="996"/>
      <c r="VLF89" s="996"/>
      <c r="VLG89" s="996"/>
      <c r="VLH89" s="996"/>
      <c r="VLI89" s="996"/>
      <c r="VLJ89" s="996"/>
      <c r="VLK89" s="996"/>
      <c r="VLL89" s="996"/>
      <c r="VLM89" s="996"/>
      <c r="VLN89" s="996"/>
      <c r="VLO89" s="996"/>
      <c r="VLP89" s="996"/>
      <c r="VLQ89" s="996"/>
      <c r="VLR89" s="996"/>
      <c r="VLS89" s="996"/>
      <c r="VLT89" s="996"/>
      <c r="VLU89" s="996"/>
      <c r="VLV89" s="996"/>
      <c r="VLW89" s="996"/>
      <c r="VLX89" s="996"/>
      <c r="VLY89" s="996"/>
      <c r="VLZ89" s="996"/>
      <c r="VMA89" s="996"/>
      <c r="VMB89" s="996"/>
      <c r="VMC89" s="996"/>
      <c r="VMD89" s="996"/>
      <c r="VME89" s="996"/>
      <c r="VMF89" s="996"/>
      <c r="VMG89" s="996"/>
      <c r="VMH89" s="996"/>
      <c r="VMI89" s="996"/>
      <c r="VMJ89" s="996"/>
      <c r="VMK89" s="996"/>
      <c r="VML89" s="996"/>
      <c r="VMM89" s="996"/>
      <c r="VMN89" s="996"/>
      <c r="VMO89" s="996"/>
      <c r="VMP89" s="996"/>
      <c r="VMQ89" s="996"/>
      <c r="VMR89" s="996"/>
      <c r="VMS89" s="996"/>
      <c r="VMT89" s="996"/>
      <c r="VMU89" s="996"/>
      <c r="VMV89" s="996"/>
      <c r="VMW89" s="996"/>
      <c r="VMX89" s="996"/>
      <c r="VMY89" s="996"/>
      <c r="VMZ89" s="996"/>
      <c r="VNA89" s="996"/>
      <c r="VNB89" s="996"/>
      <c r="VNC89" s="996"/>
      <c r="VND89" s="996"/>
      <c r="VNE89" s="996"/>
      <c r="VNF89" s="996"/>
      <c r="VNG89" s="996"/>
      <c r="VNH89" s="996"/>
      <c r="VNI89" s="996"/>
      <c r="VNJ89" s="996"/>
      <c r="VNK89" s="996"/>
      <c r="VNL89" s="996"/>
      <c r="VNM89" s="996"/>
      <c r="VNN89" s="996"/>
      <c r="VNO89" s="996"/>
      <c r="VNP89" s="996"/>
      <c r="VNQ89" s="996"/>
      <c r="VNR89" s="996"/>
      <c r="VNS89" s="996"/>
      <c r="VNT89" s="996"/>
      <c r="VNU89" s="996"/>
      <c r="VNV89" s="996"/>
      <c r="VNW89" s="996"/>
      <c r="VNX89" s="996"/>
      <c r="VNY89" s="996"/>
      <c r="VNZ89" s="996"/>
      <c r="VOA89" s="996"/>
      <c r="VOB89" s="996"/>
      <c r="VOC89" s="996"/>
      <c r="VOD89" s="996"/>
      <c r="VOE89" s="996"/>
      <c r="VOF89" s="996"/>
      <c r="VOG89" s="996"/>
      <c r="VOH89" s="996"/>
      <c r="VOI89" s="996"/>
      <c r="VOJ89" s="996"/>
      <c r="VOK89" s="996"/>
      <c r="VOL89" s="996"/>
      <c r="VOM89" s="996"/>
      <c r="VON89" s="996"/>
      <c r="VOO89" s="996"/>
      <c r="VOP89" s="996"/>
      <c r="VOQ89" s="996"/>
      <c r="VOR89" s="996"/>
      <c r="VOS89" s="996"/>
      <c r="VOT89" s="996"/>
      <c r="VOU89" s="996"/>
      <c r="VOV89" s="996"/>
      <c r="VOW89" s="996"/>
      <c r="VOX89" s="996"/>
      <c r="VOY89" s="996"/>
      <c r="VOZ89" s="996"/>
      <c r="VPA89" s="996"/>
      <c r="VPB89" s="996"/>
      <c r="VPC89" s="996"/>
      <c r="VPD89" s="996"/>
      <c r="VPE89" s="996"/>
      <c r="VPF89" s="996"/>
      <c r="VPG89" s="996"/>
      <c r="VPH89" s="996"/>
      <c r="VPI89" s="996"/>
      <c r="VPJ89" s="996"/>
      <c r="VPK89" s="996"/>
      <c r="VPL89" s="996"/>
      <c r="VPM89" s="996"/>
      <c r="VPN89" s="996"/>
      <c r="VPO89" s="996"/>
      <c r="VPP89" s="996"/>
      <c r="VPQ89" s="996"/>
      <c r="VPR89" s="996"/>
      <c r="VPS89" s="996"/>
      <c r="VPT89" s="996"/>
      <c r="VPU89" s="996"/>
      <c r="VPV89" s="996"/>
      <c r="VPW89" s="996"/>
      <c r="VPX89" s="996"/>
      <c r="VPY89" s="996"/>
      <c r="VPZ89" s="996"/>
      <c r="VQA89" s="996"/>
      <c r="VQB89" s="996"/>
      <c r="VQC89" s="996"/>
      <c r="VQD89" s="996"/>
      <c r="VQE89" s="996"/>
      <c r="VQF89" s="996"/>
      <c r="VQG89" s="996"/>
      <c r="VQH89" s="996"/>
      <c r="VQI89" s="996"/>
      <c r="VQJ89" s="996"/>
      <c r="VQK89" s="996"/>
      <c r="VQL89" s="996"/>
      <c r="VQM89" s="996"/>
      <c r="VQN89" s="996"/>
      <c r="VQO89" s="996"/>
      <c r="VQP89" s="996"/>
      <c r="VQQ89" s="996"/>
      <c r="VQR89" s="996"/>
      <c r="VQS89" s="996"/>
      <c r="VQT89" s="996"/>
      <c r="VQU89" s="996"/>
      <c r="VQV89" s="996"/>
      <c r="VQW89" s="996"/>
      <c r="VQX89" s="996"/>
      <c r="VQY89" s="996"/>
      <c r="VQZ89" s="996"/>
      <c r="VRA89" s="996"/>
      <c r="VRB89" s="996"/>
      <c r="VRC89" s="996"/>
      <c r="VRD89" s="996"/>
      <c r="VRE89" s="996"/>
      <c r="VRF89" s="996"/>
      <c r="VRG89" s="996"/>
      <c r="VRH89" s="996"/>
      <c r="VRI89" s="996"/>
      <c r="VRJ89" s="996"/>
      <c r="VRK89" s="996"/>
      <c r="VRL89" s="996"/>
      <c r="VRM89" s="996"/>
      <c r="VRN89" s="996"/>
      <c r="VRO89" s="996"/>
      <c r="VRP89" s="996"/>
      <c r="VRQ89" s="996"/>
      <c r="VRR89" s="996"/>
      <c r="VRS89" s="996"/>
      <c r="VRT89" s="996"/>
      <c r="VRU89" s="996"/>
      <c r="VRV89" s="996"/>
      <c r="VRW89" s="996"/>
      <c r="VRX89" s="996"/>
      <c r="VRY89" s="996"/>
      <c r="VRZ89" s="996"/>
      <c r="VSA89" s="996"/>
      <c r="VSB89" s="996"/>
      <c r="VSC89" s="996"/>
      <c r="VSD89" s="996"/>
      <c r="VSE89" s="996"/>
      <c r="VSF89" s="996"/>
      <c r="VSG89" s="996"/>
      <c r="VSH89" s="996"/>
      <c r="VSI89" s="996"/>
      <c r="VSJ89" s="996"/>
      <c r="VSK89" s="996"/>
      <c r="VSL89" s="996"/>
      <c r="VSM89" s="996"/>
      <c r="VSN89" s="996"/>
      <c r="VSO89" s="996"/>
      <c r="VSP89" s="996"/>
      <c r="VSQ89" s="996"/>
      <c r="VSR89" s="996"/>
      <c r="VSS89" s="996"/>
      <c r="VST89" s="996"/>
      <c r="VSU89" s="996"/>
      <c r="VSV89" s="996"/>
      <c r="VSW89" s="996"/>
      <c r="VSX89" s="996"/>
      <c r="VSY89" s="996"/>
      <c r="VSZ89" s="996"/>
      <c r="VTA89" s="996"/>
      <c r="VTB89" s="996"/>
      <c r="VTC89" s="996"/>
      <c r="VTD89" s="996"/>
      <c r="VTE89" s="996"/>
      <c r="VTF89" s="996"/>
      <c r="VTG89" s="996"/>
      <c r="VTH89" s="996"/>
      <c r="VTI89" s="996"/>
      <c r="VTJ89" s="996"/>
      <c r="VTK89" s="996"/>
      <c r="VTL89" s="996"/>
      <c r="VTM89" s="996"/>
      <c r="VTN89" s="996"/>
      <c r="VTO89" s="996"/>
      <c r="VTP89" s="996"/>
      <c r="VTQ89" s="996"/>
      <c r="VTR89" s="996"/>
      <c r="VTS89" s="996"/>
      <c r="VTT89" s="996"/>
      <c r="VTU89" s="996"/>
      <c r="VTV89" s="996"/>
      <c r="VTW89" s="996"/>
      <c r="VTX89" s="996"/>
      <c r="VTY89" s="996"/>
      <c r="VTZ89" s="996"/>
      <c r="VUA89" s="996"/>
      <c r="VUB89" s="996"/>
      <c r="VUC89" s="996"/>
      <c r="VUD89" s="996"/>
      <c r="VUE89" s="996"/>
      <c r="VUF89" s="996"/>
      <c r="VUG89" s="996"/>
      <c r="VUH89" s="996"/>
      <c r="VUI89" s="996"/>
      <c r="VUJ89" s="996"/>
      <c r="VUK89" s="996"/>
      <c r="VUL89" s="996"/>
      <c r="VUM89" s="996"/>
      <c r="VUN89" s="996"/>
      <c r="VUO89" s="996"/>
      <c r="VUP89" s="996"/>
      <c r="VUQ89" s="996"/>
      <c r="VUR89" s="996"/>
      <c r="VUS89" s="996"/>
      <c r="VUT89" s="996"/>
      <c r="VUU89" s="996"/>
      <c r="VUV89" s="996"/>
      <c r="VUW89" s="996"/>
      <c r="VUX89" s="996"/>
      <c r="VUY89" s="996"/>
      <c r="VUZ89" s="996"/>
      <c r="VVA89" s="996"/>
      <c r="VVB89" s="996"/>
      <c r="VVC89" s="996"/>
      <c r="VVD89" s="996"/>
      <c r="VVE89" s="996"/>
      <c r="VVF89" s="996"/>
      <c r="VVG89" s="996"/>
      <c r="VVH89" s="996"/>
      <c r="VVI89" s="996"/>
      <c r="VVJ89" s="996"/>
      <c r="VVK89" s="996"/>
      <c r="VVL89" s="996"/>
      <c r="VVM89" s="996"/>
      <c r="VVN89" s="996"/>
      <c r="VVO89" s="996"/>
      <c r="VVP89" s="996"/>
      <c r="VVQ89" s="996"/>
      <c r="VVR89" s="996"/>
      <c r="VVS89" s="996"/>
      <c r="VVT89" s="996"/>
      <c r="VVU89" s="996"/>
      <c r="VVV89" s="996"/>
      <c r="VVW89" s="996"/>
      <c r="VVX89" s="996"/>
      <c r="VVY89" s="996"/>
      <c r="VVZ89" s="996"/>
      <c r="VWA89" s="996"/>
      <c r="VWB89" s="996"/>
      <c r="VWC89" s="996"/>
      <c r="VWD89" s="996"/>
      <c r="VWE89" s="996"/>
      <c r="VWF89" s="996"/>
      <c r="VWG89" s="996"/>
      <c r="VWH89" s="996"/>
      <c r="VWI89" s="996"/>
      <c r="VWJ89" s="996"/>
      <c r="VWK89" s="996"/>
      <c r="VWL89" s="996"/>
      <c r="VWM89" s="996"/>
      <c r="VWN89" s="996"/>
      <c r="VWO89" s="996"/>
      <c r="VWP89" s="996"/>
      <c r="VWQ89" s="996"/>
      <c r="VWR89" s="996"/>
      <c r="VWS89" s="996"/>
      <c r="VWT89" s="996"/>
      <c r="VWU89" s="996"/>
      <c r="VWV89" s="996"/>
      <c r="VWW89" s="996"/>
      <c r="VWX89" s="996"/>
      <c r="VWY89" s="996"/>
      <c r="VWZ89" s="996"/>
      <c r="VXA89" s="996"/>
      <c r="VXB89" s="996"/>
      <c r="VXC89" s="996"/>
      <c r="VXD89" s="996"/>
      <c r="VXE89" s="996"/>
      <c r="VXF89" s="996"/>
      <c r="VXG89" s="996"/>
      <c r="VXH89" s="996"/>
      <c r="VXI89" s="996"/>
      <c r="VXJ89" s="996"/>
      <c r="VXK89" s="996"/>
      <c r="VXL89" s="996"/>
      <c r="VXM89" s="996"/>
      <c r="VXN89" s="996"/>
      <c r="VXO89" s="996"/>
      <c r="VXP89" s="996"/>
      <c r="VXQ89" s="996"/>
      <c r="VXR89" s="996"/>
      <c r="VXS89" s="996"/>
      <c r="VXT89" s="996"/>
      <c r="VXU89" s="996"/>
      <c r="VXV89" s="996"/>
      <c r="VXW89" s="996"/>
      <c r="VXX89" s="996"/>
      <c r="VXY89" s="996"/>
      <c r="VXZ89" s="996"/>
      <c r="VYA89" s="996"/>
      <c r="VYB89" s="996"/>
      <c r="VYC89" s="996"/>
      <c r="VYD89" s="996"/>
      <c r="VYE89" s="996"/>
      <c r="VYF89" s="996"/>
      <c r="VYG89" s="996"/>
      <c r="VYH89" s="996"/>
      <c r="VYI89" s="996"/>
      <c r="VYJ89" s="996"/>
      <c r="VYK89" s="996"/>
      <c r="VYL89" s="996"/>
      <c r="VYM89" s="996"/>
      <c r="VYN89" s="996"/>
      <c r="VYO89" s="996"/>
      <c r="VYP89" s="996"/>
      <c r="VYQ89" s="996"/>
      <c r="VYR89" s="996"/>
      <c r="VYS89" s="996"/>
      <c r="VYT89" s="996"/>
      <c r="VYU89" s="996"/>
      <c r="VYV89" s="996"/>
      <c r="VYW89" s="996"/>
      <c r="VYX89" s="996"/>
      <c r="VYY89" s="996"/>
      <c r="VYZ89" s="996"/>
      <c r="VZA89" s="996"/>
      <c r="VZB89" s="996"/>
      <c r="VZC89" s="996"/>
      <c r="VZD89" s="996"/>
      <c r="VZE89" s="996"/>
      <c r="VZF89" s="996"/>
      <c r="VZG89" s="996"/>
      <c r="VZH89" s="996"/>
      <c r="VZI89" s="996"/>
      <c r="VZJ89" s="996"/>
      <c r="VZK89" s="996"/>
      <c r="VZL89" s="996"/>
      <c r="VZM89" s="996"/>
      <c r="VZN89" s="996"/>
      <c r="VZO89" s="996"/>
      <c r="VZP89" s="996"/>
      <c r="VZQ89" s="996"/>
      <c r="VZR89" s="996"/>
      <c r="VZS89" s="996"/>
      <c r="VZT89" s="996"/>
      <c r="VZU89" s="996"/>
      <c r="VZV89" s="996"/>
      <c r="VZW89" s="996"/>
      <c r="VZX89" s="996"/>
      <c r="VZY89" s="996"/>
      <c r="VZZ89" s="996"/>
      <c r="WAA89" s="996"/>
      <c r="WAB89" s="996"/>
      <c r="WAC89" s="996"/>
      <c r="WAD89" s="996"/>
      <c r="WAE89" s="996"/>
      <c r="WAF89" s="996"/>
      <c r="WAG89" s="996"/>
      <c r="WAH89" s="996"/>
      <c r="WAI89" s="996"/>
      <c r="WAJ89" s="996"/>
      <c r="WAK89" s="996"/>
      <c r="WAL89" s="996"/>
      <c r="WAM89" s="996"/>
      <c r="WAN89" s="996"/>
      <c r="WAO89" s="996"/>
      <c r="WAP89" s="996"/>
      <c r="WAQ89" s="996"/>
      <c r="WAR89" s="996"/>
      <c r="WAS89" s="996"/>
      <c r="WAT89" s="996"/>
      <c r="WAU89" s="996"/>
      <c r="WAV89" s="996"/>
      <c r="WAW89" s="996"/>
      <c r="WAX89" s="996"/>
      <c r="WAY89" s="996"/>
      <c r="WAZ89" s="996"/>
      <c r="WBA89" s="996"/>
      <c r="WBB89" s="996"/>
      <c r="WBC89" s="996"/>
      <c r="WBD89" s="996"/>
      <c r="WBE89" s="996"/>
      <c r="WBF89" s="996"/>
      <c r="WBG89" s="996"/>
      <c r="WBH89" s="996"/>
      <c r="WBI89" s="996"/>
      <c r="WBJ89" s="996"/>
      <c r="WBK89" s="996"/>
      <c r="WBL89" s="996"/>
      <c r="WBM89" s="996"/>
      <c r="WBN89" s="996"/>
      <c r="WBO89" s="996"/>
      <c r="WBP89" s="996"/>
      <c r="WBQ89" s="996"/>
      <c r="WBR89" s="996"/>
      <c r="WBS89" s="996"/>
      <c r="WBT89" s="996"/>
      <c r="WBU89" s="996"/>
      <c r="WBV89" s="996"/>
      <c r="WBW89" s="996"/>
      <c r="WBX89" s="996"/>
      <c r="WBY89" s="996"/>
      <c r="WBZ89" s="996"/>
      <c r="WCA89" s="996"/>
      <c r="WCB89" s="996"/>
      <c r="WCC89" s="996"/>
      <c r="WCD89" s="996"/>
      <c r="WCE89" s="996"/>
      <c r="WCF89" s="996"/>
      <c r="WCG89" s="996"/>
      <c r="WCH89" s="996"/>
      <c r="WCI89" s="996"/>
      <c r="WCJ89" s="996"/>
      <c r="WCK89" s="996"/>
      <c r="WCL89" s="996"/>
      <c r="WCM89" s="996"/>
      <c r="WCN89" s="996"/>
      <c r="WCO89" s="996"/>
      <c r="WCP89" s="996"/>
      <c r="WCQ89" s="996"/>
      <c r="WCR89" s="996"/>
      <c r="WCS89" s="996"/>
      <c r="WCT89" s="996"/>
      <c r="WCU89" s="996"/>
      <c r="WCV89" s="996"/>
      <c r="WCW89" s="996"/>
      <c r="WCX89" s="996"/>
      <c r="WCY89" s="996"/>
      <c r="WCZ89" s="996"/>
      <c r="WDA89" s="996"/>
      <c r="WDB89" s="996"/>
      <c r="WDC89" s="996"/>
      <c r="WDD89" s="996"/>
      <c r="WDE89" s="996"/>
      <c r="WDF89" s="996"/>
      <c r="WDG89" s="996"/>
      <c r="WDH89" s="996"/>
      <c r="WDI89" s="996"/>
      <c r="WDJ89" s="996"/>
      <c r="WDK89" s="996"/>
      <c r="WDL89" s="996"/>
      <c r="WDM89" s="996"/>
      <c r="WDN89" s="996"/>
      <c r="WDO89" s="996"/>
      <c r="WDP89" s="996"/>
      <c r="WDQ89" s="996"/>
      <c r="WDR89" s="996"/>
      <c r="WDS89" s="996"/>
      <c r="WDT89" s="996"/>
      <c r="WDU89" s="996"/>
      <c r="WDV89" s="996"/>
      <c r="WDW89" s="996"/>
      <c r="WDX89" s="996"/>
      <c r="WDY89" s="996"/>
      <c r="WDZ89" s="996"/>
      <c r="WEA89" s="996"/>
      <c r="WEB89" s="996"/>
      <c r="WEC89" s="996"/>
      <c r="WED89" s="996"/>
      <c r="WEE89" s="996"/>
      <c r="WEF89" s="996"/>
      <c r="WEG89" s="996"/>
      <c r="WEH89" s="996"/>
      <c r="WEI89" s="996"/>
      <c r="WEJ89" s="996"/>
      <c r="WEK89" s="996"/>
      <c r="WEL89" s="996"/>
      <c r="WEM89" s="996"/>
      <c r="WEN89" s="996"/>
      <c r="WEO89" s="996"/>
      <c r="WEP89" s="996"/>
      <c r="WEQ89" s="996"/>
      <c r="WER89" s="996"/>
      <c r="WES89" s="996"/>
      <c r="WET89" s="996"/>
      <c r="WEU89" s="996"/>
      <c r="WEV89" s="996"/>
      <c r="WEW89" s="996"/>
      <c r="WEX89" s="996"/>
      <c r="WEY89" s="996"/>
      <c r="WEZ89" s="996"/>
      <c r="WFA89" s="996"/>
      <c r="WFB89" s="996"/>
      <c r="WFC89" s="996"/>
      <c r="WFD89" s="996"/>
      <c r="WFE89" s="996"/>
      <c r="WFF89" s="996"/>
      <c r="WFG89" s="996"/>
      <c r="WFH89" s="996"/>
      <c r="WFI89" s="996"/>
      <c r="WFJ89" s="996"/>
      <c r="WFK89" s="996"/>
      <c r="WFL89" s="996"/>
      <c r="WFM89" s="996"/>
      <c r="WFN89" s="996"/>
      <c r="WFO89" s="996"/>
      <c r="WFP89" s="996"/>
      <c r="WFQ89" s="996"/>
      <c r="WFR89" s="996"/>
      <c r="WFS89" s="996"/>
      <c r="WFT89" s="996"/>
      <c r="WFU89" s="996"/>
      <c r="WFV89" s="996"/>
      <c r="WFW89" s="996"/>
      <c r="WFX89" s="996"/>
      <c r="WFY89" s="996"/>
      <c r="WFZ89" s="996"/>
      <c r="WGA89" s="996"/>
      <c r="WGB89" s="996"/>
      <c r="WGC89" s="996"/>
      <c r="WGD89" s="996"/>
      <c r="WGE89" s="996"/>
      <c r="WGF89" s="996"/>
      <c r="WGG89" s="996"/>
      <c r="WGH89" s="996"/>
      <c r="WGI89" s="996"/>
      <c r="WGJ89" s="996"/>
      <c r="WGK89" s="996"/>
      <c r="WGL89" s="996"/>
      <c r="WGM89" s="996"/>
      <c r="WGN89" s="996"/>
      <c r="WGO89" s="996"/>
      <c r="WGP89" s="996"/>
      <c r="WGQ89" s="996"/>
      <c r="WGR89" s="996"/>
      <c r="WGS89" s="996"/>
      <c r="WGT89" s="996"/>
      <c r="WGU89" s="996"/>
      <c r="WGV89" s="996"/>
      <c r="WGW89" s="996"/>
      <c r="WGX89" s="996"/>
      <c r="WGY89" s="996"/>
      <c r="WGZ89" s="996"/>
      <c r="WHA89" s="996"/>
      <c r="WHB89" s="996"/>
      <c r="WHC89" s="996"/>
      <c r="WHD89" s="996"/>
      <c r="WHE89" s="996"/>
      <c r="WHF89" s="996"/>
      <c r="WHG89" s="996"/>
      <c r="WHH89" s="996"/>
      <c r="WHI89" s="996"/>
      <c r="WHJ89" s="996"/>
      <c r="WHK89" s="996"/>
      <c r="WHL89" s="996"/>
      <c r="WHM89" s="996"/>
      <c r="WHN89" s="996"/>
      <c r="WHO89" s="996"/>
      <c r="WHP89" s="996"/>
      <c r="WHQ89" s="996"/>
      <c r="WHR89" s="996"/>
      <c r="WHS89" s="996"/>
      <c r="WHT89" s="996"/>
      <c r="WHU89" s="996"/>
      <c r="WHV89" s="996"/>
      <c r="WHW89" s="996"/>
      <c r="WHX89" s="996"/>
      <c r="WHY89" s="996"/>
      <c r="WHZ89" s="996"/>
      <c r="WIA89" s="996"/>
      <c r="WIB89" s="996"/>
      <c r="WIC89" s="996"/>
      <c r="WID89" s="996"/>
      <c r="WIE89" s="996"/>
      <c r="WIF89" s="996"/>
      <c r="WIG89" s="996"/>
      <c r="WIH89" s="996"/>
      <c r="WII89" s="996"/>
      <c r="WIJ89" s="996"/>
      <c r="WIK89" s="996"/>
      <c r="WIL89" s="996"/>
      <c r="WIM89" s="996"/>
      <c r="WIN89" s="996"/>
      <c r="WIO89" s="996"/>
      <c r="WIP89" s="996"/>
      <c r="WIQ89" s="996"/>
      <c r="WIR89" s="996"/>
      <c r="WIS89" s="996"/>
      <c r="WIT89" s="996"/>
      <c r="WIU89" s="996"/>
      <c r="WIV89" s="996"/>
      <c r="WIW89" s="996"/>
      <c r="WIX89" s="996"/>
      <c r="WIY89" s="996"/>
      <c r="WIZ89" s="996"/>
      <c r="WJA89" s="996"/>
      <c r="WJB89" s="996"/>
      <c r="WJC89" s="996"/>
      <c r="WJD89" s="996"/>
      <c r="WJE89" s="996"/>
      <c r="WJF89" s="996"/>
      <c r="WJG89" s="996"/>
      <c r="WJH89" s="996"/>
      <c r="WJI89" s="996"/>
      <c r="WJJ89" s="996"/>
      <c r="WJK89" s="996"/>
      <c r="WJL89" s="996"/>
      <c r="WJM89" s="996"/>
      <c r="WJN89" s="996"/>
      <c r="WJO89" s="996"/>
      <c r="WJP89" s="996"/>
      <c r="WJQ89" s="996"/>
      <c r="WJR89" s="996"/>
      <c r="WJS89" s="996"/>
      <c r="WJT89" s="996"/>
      <c r="WJU89" s="996"/>
      <c r="WJV89" s="996"/>
      <c r="WJW89" s="996"/>
      <c r="WJX89" s="996"/>
      <c r="WJY89" s="996"/>
      <c r="WJZ89" s="996"/>
      <c r="WKA89" s="996"/>
      <c r="WKB89" s="996"/>
      <c r="WKC89" s="996"/>
      <c r="WKD89" s="996"/>
      <c r="WKE89" s="996"/>
      <c r="WKF89" s="996"/>
      <c r="WKG89" s="996"/>
      <c r="WKH89" s="996"/>
      <c r="WKI89" s="996"/>
      <c r="WKJ89" s="996"/>
      <c r="WKK89" s="996"/>
      <c r="WKL89" s="996"/>
      <c r="WKM89" s="996"/>
      <c r="WKN89" s="996"/>
      <c r="WKO89" s="996"/>
      <c r="WKP89" s="996"/>
      <c r="WKQ89" s="996"/>
      <c r="WKR89" s="996"/>
      <c r="WKS89" s="996"/>
      <c r="WKT89" s="996"/>
      <c r="WKU89" s="996"/>
      <c r="WKV89" s="996"/>
      <c r="WKW89" s="996"/>
      <c r="WKX89" s="996"/>
      <c r="WKY89" s="996"/>
      <c r="WKZ89" s="996"/>
      <c r="WLA89" s="996"/>
      <c r="WLB89" s="996"/>
      <c r="WLC89" s="996"/>
      <c r="WLD89" s="996"/>
      <c r="WLE89" s="996"/>
      <c r="WLF89" s="996"/>
      <c r="WLG89" s="996"/>
      <c r="WLH89" s="996"/>
      <c r="WLI89" s="996"/>
      <c r="WLJ89" s="996"/>
      <c r="WLK89" s="996"/>
      <c r="WLL89" s="996"/>
      <c r="WLM89" s="996"/>
      <c r="WLN89" s="996"/>
      <c r="WLO89" s="996"/>
      <c r="WLP89" s="996"/>
      <c r="WLQ89" s="996"/>
      <c r="WLR89" s="996"/>
      <c r="WLS89" s="996"/>
      <c r="WLT89" s="996"/>
      <c r="WLU89" s="996"/>
      <c r="WLV89" s="996"/>
      <c r="WLW89" s="996"/>
      <c r="WLX89" s="996"/>
      <c r="WLY89" s="996"/>
      <c r="WLZ89" s="996"/>
      <c r="WMA89" s="996"/>
      <c r="WMB89" s="996"/>
      <c r="WMC89" s="996"/>
      <c r="WMD89" s="996"/>
      <c r="WME89" s="996"/>
      <c r="WMF89" s="996"/>
      <c r="WMG89" s="996"/>
      <c r="WMH89" s="996"/>
      <c r="WMI89" s="996"/>
      <c r="WMJ89" s="996"/>
      <c r="WMK89" s="996"/>
      <c r="WML89" s="996"/>
      <c r="WMM89" s="996"/>
      <c r="WMN89" s="996"/>
      <c r="WMO89" s="996"/>
      <c r="WMP89" s="996"/>
      <c r="WMQ89" s="996"/>
      <c r="WMR89" s="996"/>
      <c r="WMS89" s="996"/>
      <c r="WMT89" s="996"/>
      <c r="WMU89" s="996"/>
      <c r="WMV89" s="996"/>
      <c r="WMW89" s="996"/>
      <c r="WMX89" s="996"/>
      <c r="WMY89" s="996"/>
      <c r="WMZ89" s="996"/>
      <c r="WNA89" s="996"/>
      <c r="WNB89" s="996"/>
      <c r="WNC89" s="996"/>
      <c r="WND89" s="996"/>
      <c r="WNE89" s="996"/>
      <c r="WNF89" s="996"/>
      <c r="WNG89" s="996"/>
      <c r="WNH89" s="996"/>
      <c r="WNI89" s="996"/>
      <c r="WNJ89" s="996"/>
      <c r="WNK89" s="996"/>
      <c r="WNL89" s="996"/>
      <c r="WNM89" s="996"/>
      <c r="WNN89" s="996"/>
      <c r="WNO89" s="996"/>
      <c r="WNP89" s="996"/>
      <c r="WNQ89" s="996"/>
      <c r="WNR89" s="996"/>
      <c r="WNS89" s="996"/>
      <c r="WNT89" s="996"/>
      <c r="WNU89" s="996"/>
      <c r="WNV89" s="996"/>
      <c r="WNW89" s="996"/>
      <c r="WNX89" s="996"/>
      <c r="WNY89" s="996"/>
      <c r="WNZ89" s="996"/>
      <c r="WOA89" s="996"/>
      <c r="WOB89" s="996"/>
      <c r="WOC89" s="996"/>
      <c r="WOD89" s="996"/>
      <c r="WOE89" s="996"/>
      <c r="WOF89" s="996"/>
      <c r="WOG89" s="996"/>
      <c r="WOH89" s="996"/>
      <c r="WOI89" s="996"/>
      <c r="WOJ89" s="996"/>
      <c r="WOK89" s="996"/>
      <c r="WOL89" s="996"/>
      <c r="WOM89" s="996"/>
      <c r="WON89" s="996"/>
      <c r="WOO89" s="996"/>
      <c r="WOP89" s="996"/>
      <c r="WOQ89" s="996"/>
      <c r="WOR89" s="996"/>
      <c r="WOS89" s="996"/>
      <c r="WOT89" s="996"/>
      <c r="WOU89" s="996"/>
      <c r="WOV89" s="996"/>
      <c r="WOW89" s="996"/>
      <c r="WOX89" s="996"/>
      <c r="WOY89" s="996"/>
      <c r="WOZ89" s="996"/>
      <c r="WPA89" s="996"/>
      <c r="WPB89" s="996"/>
      <c r="WPC89" s="996"/>
      <c r="WPD89" s="996"/>
      <c r="WPE89" s="996"/>
      <c r="WPF89" s="996"/>
      <c r="WPG89" s="996"/>
      <c r="WPH89" s="996"/>
      <c r="WPI89" s="996"/>
      <c r="WPJ89" s="996"/>
      <c r="WPK89" s="996"/>
      <c r="WPL89" s="996"/>
      <c r="WPM89" s="996"/>
      <c r="WPN89" s="996"/>
      <c r="WPO89" s="996"/>
      <c r="WPP89" s="996"/>
      <c r="WPQ89" s="996"/>
      <c r="WPR89" s="996"/>
      <c r="WPS89" s="996"/>
      <c r="WPT89" s="996"/>
      <c r="WPU89" s="996"/>
      <c r="WPV89" s="996"/>
      <c r="WPW89" s="996"/>
      <c r="WPX89" s="996"/>
      <c r="WPY89" s="996"/>
      <c r="WPZ89" s="996"/>
      <c r="WQA89" s="996"/>
      <c r="WQB89" s="996"/>
      <c r="WQC89" s="996"/>
      <c r="WQD89" s="996"/>
      <c r="WQE89" s="996"/>
      <c r="WQF89" s="996"/>
      <c r="WQG89" s="996"/>
      <c r="WQH89" s="996"/>
      <c r="WQI89" s="996"/>
      <c r="WQJ89" s="996"/>
      <c r="WQK89" s="996"/>
      <c r="WQL89" s="996"/>
      <c r="WQM89" s="996"/>
      <c r="WQN89" s="996"/>
      <c r="WQO89" s="996"/>
      <c r="WQP89" s="996"/>
      <c r="WQQ89" s="996"/>
      <c r="WQR89" s="996"/>
      <c r="WQS89" s="996"/>
      <c r="WQT89" s="996"/>
      <c r="WQU89" s="996"/>
      <c r="WQV89" s="996"/>
      <c r="WQW89" s="996"/>
      <c r="WQX89" s="996"/>
      <c r="WQY89" s="996"/>
      <c r="WQZ89" s="996"/>
      <c r="WRA89" s="996"/>
      <c r="WRB89" s="996"/>
      <c r="WRC89" s="996"/>
      <c r="WRD89" s="996"/>
      <c r="WRE89" s="996"/>
      <c r="WRF89" s="996"/>
      <c r="WRG89" s="996"/>
      <c r="WRH89" s="996"/>
      <c r="WRI89" s="996"/>
      <c r="WRJ89" s="996"/>
      <c r="WRK89" s="996"/>
      <c r="WRL89" s="996"/>
      <c r="WRM89" s="996"/>
      <c r="WRN89" s="996"/>
      <c r="WRO89" s="996"/>
      <c r="WRP89" s="996"/>
      <c r="WRQ89" s="996"/>
      <c r="WRR89" s="996"/>
      <c r="WRS89" s="996"/>
      <c r="WRT89" s="996"/>
      <c r="WRU89" s="996"/>
      <c r="WRV89" s="996"/>
      <c r="WRW89" s="996"/>
      <c r="WRX89" s="996"/>
      <c r="WRY89" s="996"/>
      <c r="WRZ89" s="996"/>
      <c r="WSA89" s="996"/>
      <c r="WSB89" s="996"/>
      <c r="WSC89" s="996"/>
      <c r="WSD89" s="996"/>
      <c r="WSE89" s="996"/>
      <c r="WSF89" s="996"/>
      <c r="WSG89" s="996"/>
      <c r="WSH89" s="996"/>
      <c r="WSI89" s="996"/>
      <c r="WSJ89" s="996"/>
      <c r="WSK89" s="996"/>
      <c r="WSL89" s="996"/>
      <c r="WSM89" s="996"/>
      <c r="WSN89" s="996"/>
      <c r="WSO89" s="996"/>
      <c r="WSP89" s="996"/>
      <c r="WSQ89" s="996"/>
      <c r="WSR89" s="996"/>
      <c r="WSS89" s="996"/>
      <c r="WST89" s="996"/>
      <c r="WSU89" s="996"/>
      <c r="WSV89" s="996"/>
      <c r="WSW89" s="996"/>
      <c r="WSX89" s="996"/>
      <c r="WSY89" s="996"/>
      <c r="WSZ89" s="996"/>
      <c r="WTA89" s="996"/>
      <c r="WTB89" s="996"/>
      <c r="WTC89" s="996"/>
      <c r="WTD89" s="996"/>
      <c r="WTE89" s="996"/>
      <c r="WTF89" s="996"/>
      <c r="WTG89" s="996"/>
      <c r="WTH89" s="996"/>
      <c r="WTI89" s="996"/>
      <c r="WTJ89" s="996"/>
      <c r="WTK89" s="996"/>
      <c r="WTL89" s="996"/>
      <c r="WTM89" s="996"/>
      <c r="WTN89" s="996"/>
      <c r="WTO89" s="996"/>
      <c r="WTP89" s="996"/>
      <c r="WTQ89" s="996"/>
      <c r="WTR89" s="996"/>
      <c r="WTS89" s="996"/>
      <c r="WTT89" s="996"/>
      <c r="WTU89" s="996"/>
      <c r="WTV89" s="996"/>
      <c r="WTW89" s="996"/>
      <c r="WTX89" s="996"/>
      <c r="WTY89" s="996"/>
      <c r="WTZ89" s="996"/>
      <c r="WUA89" s="996"/>
      <c r="WUB89" s="996"/>
      <c r="WUC89" s="996"/>
      <c r="WUD89" s="996"/>
      <c r="WUE89" s="996"/>
      <c r="WUF89" s="996"/>
      <c r="WUG89" s="996"/>
      <c r="WUH89" s="996"/>
      <c r="WUI89" s="996"/>
      <c r="WUJ89" s="996"/>
      <c r="WUK89" s="996"/>
      <c r="WUL89" s="996"/>
      <c r="WUM89" s="996"/>
      <c r="WUN89" s="996"/>
      <c r="WUO89" s="996"/>
      <c r="WUP89" s="996"/>
      <c r="WUQ89" s="996"/>
      <c r="WUR89" s="996"/>
      <c r="WUS89" s="996"/>
      <c r="WUT89" s="996"/>
      <c r="WUU89" s="996"/>
      <c r="WUV89" s="996"/>
      <c r="WUW89" s="996"/>
      <c r="WUX89" s="996"/>
      <c r="WUY89" s="996"/>
      <c r="WUZ89" s="996"/>
      <c r="WVA89" s="996"/>
      <c r="WVB89" s="996"/>
      <c r="WVC89" s="996"/>
      <c r="WVD89" s="996"/>
      <c r="WVE89" s="996"/>
      <c r="WVF89" s="996"/>
      <c r="WVG89" s="996"/>
      <c r="WVH89" s="996"/>
      <c r="WVI89" s="996"/>
      <c r="WVJ89" s="996"/>
      <c r="WVK89" s="996"/>
      <c r="WVL89" s="996"/>
      <c r="WVM89" s="996"/>
      <c r="WVN89" s="996"/>
      <c r="WVO89" s="996"/>
      <c r="WVP89" s="996"/>
      <c r="WVQ89" s="996"/>
      <c r="WVR89" s="996"/>
      <c r="WVS89" s="996"/>
      <c r="WVT89" s="996"/>
      <c r="WVU89" s="996"/>
      <c r="WVV89" s="996"/>
      <c r="WVW89" s="996"/>
      <c r="WVX89" s="996"/>
      <c r="WVY89" s="996"/>
      <c r="WVZ89" s="996"/>
      <c r="WWA89" s="996"/>
      <c r="WWB89" s="996"/>
      <c r="WWC89" s="996"/>
      <c r="WWD89" s="996"/>
      <c r="WWE89" s="996"/>
      <c r="WWF89" s="996"/>
      <c r="WWG89" s="996"/>
      <c r="WWH89" s="996"/>
      <c r="WWI89" s="996"/>
      <c r="WWJ89" s="996"/>
      <c r="WWK89" s="996"/>
      <c r="WWL89" s="996"/>
      <c r="WWM89" s="996"/>
      <c r="WWN89" s="996"/>
      <c r="WWO89" s="996"/>
      <c r="WWP89" s="996"/>
      <c r="WWQ89" s="996"/>
      <c r="WWR89" s="996"/>
      <c r="WWS89" s="996"/>
      <c r="WWT89" s="996"/>
      <c r="WWU89" s="996"/>
      <c r="WWV89" s="996"/>
      <c r="WWW89" s="996"/>
      <c r="WWX89" s="996"/>
      <c r="WWY89" s="996"/>
      <c r="WWZ89" s="996"/>
      <c r="WXA89" s="996"/>
      <c r="WXB89" s="996"/>
      <c r="WXC89" s="996"/>
      <c r="WXD89" s="996"/>
      <c r="WXE89" s="996"/>
      <c r="WXF89" s="996"/>
      <c r="WXG89" s="996"/>
      <c r="WXH89" s="996"/>
      <c r="WXI89" s="996"/>
      <c r="WXJ89" s="996"/>
      <c r="WXK89" s="996"/>
      <c r="WXL89" s="996"/>
      <c r="WXM89" s="996"/>
      <c r="WXN89" s="996"/>
      <c r="WXO89" s="996"/>
      <c r="WXP89" s="996"/>
      <c r="WXQ89" s="996"/>
      <c r="WXR89" s="996"/>
      <c r="WXS89" s="996"/>
      <c r="WXT89" s="996"/>
      <c r="WXU89" s="996"/>
      <c r="WXV89" s="996"/>
      <c r="WXW89" s="996"/>
      <c r="WXX89" s="996"/>
      <c r="WXY89" s="996"/>
      <c r="WXZ89" s="996"/>
      <c r="WYA89" s="996"/>
      <c r="WYB89" s="996"/>
      <c r="WYC89" s="996"/>
      <c r="WYD89" s="996"/>
      <c r="WYE89" s="996"/>
      <c r="WYF89" s="996"/>
      <c r="WYG89" s="996"/>
      <c r="WYH89" s="996"/>
      <c r="WYI89" s="996"/>
      <c r="WYJ89" s="996"/>
      <c r="WYK89" s="996"/>
      <c r="WYL89" s="996"/>
      <c r="WYM89" s="996"/>
      <c r="WYN89" s="996"/>
      <c r="WYO89" s="996"/>
      <c r="WYP89" s="996"/>
      <c r="WYQ89" s="996"/>
      <c r="WYR89" s="996"/>
      <c r="WYS89" s="996"/>
      <c r="WYT89" s="996"/>
      <c r="WYU89" s="996"/>
      <c r="WYV89" s="996"/>
      <c r="WYW89" s="996"/>
      <c r="WYX89" s="996"/>
      <c r="WYY89" s="996"/>
      <c r="WYZ89" s="996"/>
      <c r="WZA89" s="996"/>
      <c r="WZB89" s="996"/>
      <c r="WZC89" s="996"/>
      <c r="WZD89" s="996"/>
      <c r="WZE89" s="996"/>
      <c r="WZF89" s="996"/>
      <c r="WZG89" s="996"/>
      <c r="WZH89" s="996"/>
      <c r="WZI89" s="996"/>
      <c r="WZJ89" s="996"/>
      <c r="WZK89" s="996"/>
      <c r="WZL89" s="996"/>
      <c r="WZM89" s="996"/>
      <c r="WZN89" s="996"/>
      <c r="WZO89" s="996"/>
      <c r="WZP89" s="996"/>
      <c r="WZQ89" s="996"/>
      <c r="WZR89" s="996"/>
      <c r="WZS89" s="996"/>
      <c r="WZT89" s="996"/>
      <c r="WZU89" s="996"/>
      <c r="WZV89" s="996"/>
      <c r="WZW89" s="996"/>
      <c r="WZX89" s="996"/>
      <c r="WZY89" s="996"/>
      <c r="WZZ89" s="996"/>
      <c r="XAA89" s="996"/>
      <c r="XAB89" s="996"/>
      <c r="XAC89" s="996"/>
      <c r="XAD89" s="996"/>
      <c r="XAE89" s="996"/>
      <c r="XAF89" s="996"/>
      <c r="XAG89" s="996"/>
      <c r="XAH89" s="996"/>
      <c r="XAI89" s="996"/>
      <c r="XAJ89" s="996"/>
      <c r="XAK89" s="996"/>
      <c r="XAL89" s="996"/>
      <c r="XAM89" s="996"/>
      <c r="XAN89" s="996"/>
      <c r="XAO89" s="996"/>
      <c r="XAP89" s="996"/>
      <c r="XAQ89" s="996"/>
      <c r="XAR89" s="996"/>
      <c r="XAS89" s="996"/>
      <c r="XAT89" s="996"/>
      <c r="XAU89" s="996"/>
      <c r="XAV89" s="996"/>
      <c r="XAW89" s="996"/>
      <c r="XAX89" s="996"/>
      <c r="XAY89" s="996"/>
      <c r="XAZ89" s="996"/>
      <c r="XBA89" s="996"/>
      <c r="XBB89" s="996"/>
      <c r="XBC89" s="996"/>
      <c r="XBD89" s="996"/>
      <c r="XBE89" s="996"/>
      <c r="XBF89" s="996"/>
      <c r="XBG89" s="996"/>
      <c r="XBH89" s="996"/>
      <c r="XBI89" s="996"/>
      <c r="XBJ89" s="996"/>
      <c r="XBK89" s="996"/>
      <c r="XBL89" s="996"/>
      <c r="XBM89" s="996"/>
      <c r="XBN89" s="996"/>
      <c r="XBO89" s="996"/>
      <c r="XBP89" s="996"/>
      <c r="XBQ89" s="996"/>
      <c r="XBR89" s="996"/>
      <c r="XBS89" s="996"/>
      <c r="XBT89" s="996"/>
      <c r="XBU89" s="996"/>
      <c r="XBV89" s="996"/>
      <c r="XBW89" s="996"/>
      <c r="XBX89" s="996"/>
      <c r="XBY89" s="996"/>
      <c r="XBZ89" s="996"/>
      <c r="XCA89" s="996"/>
      <c r="XCB89" s="996"/>
      <c r="XCC89" s="996"/>
      <c r="XCD89" s="996"/>
      <c r="XCE89" s="996"/>
      <c r="XCF89" s="996"/>
      <c r="XCG89" s="996"/>
      <c r="XCH89" s="996"/>
      <c r="XCI89" s="996"/>
      <c r="XCJ89" s="996"/>
      <c r="XCK89" s="996"/>
      <c r="XCL89" s="996"/>
      <c r="XCM89" s="996"/>
      <c r="XCN89" s="996"/>
      <c r="XCO89" s="996"/>
      <c r="XCP89" s="996"/>
      <c r="XCQ89" s="996"/>
      <c r="XCR89" s="996"/>
      <c r="XCS89" s="996"/>
      <c r="XCT89" s="996"/>
      <c r="XCU89" s="996"/>
      <c r="XCV89" s="996"/>
      <c r="XCW89" s="996"/>
      <c r="XCX89" s="996"/>
      <c r="XCY89" s="996"/>
      <c r="XCZ89" s="996"/>
      <c r="XDA89" s="996"/>
      <c r="XDB89" s="996"/>
      <c r="XDC89" s="996"/>
      <c r="XDD89" s="996"/>
      <c r="XDE89" s="996"/>
      <c r="XDF89" s="996"/>
      <c r="XDG89" s="996"/>
      <c r="XDH89" s="996"/>
      <c r="XDI89" s="996"/>
      <c r="XDJ89" s="996"/>
      <c r="XDK89" s="996"/>
      <c r="XDL89" s="996"/>
      <c r="XDM89" s="996"/>
      <c r="XDN89" s="996"/>
      <c r="XDO89" s="996"/>
      <c r="XDP89" s="996"/>
      <c r="XDQ89" s="996"/>
      <c r="XDR89" s="996"/>
      <c r="XDS89" s="996"/>
      <c r="XDT89" s="996"/>
      <c r="XDU89" s="996"/>
      <c r="XDV89" s="996"/>
      <c r="XDW89" s="996"/>
      <c r="XDX89" s="996"/>
      <c r="XDY89" s="996"/>
      <c r="XDZ89" s="996"/>
      <c r="XEA89" s="996"/>
      <c r="XEB89" s="996"/>
      <c r="XEC89" s="996"/>
      <c r="XED89" s="996"/>
      <c r="XEE89" s="996"/>
      <c r="XEF89" s="996"/>
      <c r="XEG89" s="996"/>
      <c r="XEH89" s="996"/>
      <c r="XEI89" s="996"/>
      <c r="XEJ89" s="996"/>
      <c r="XEK89" s="996"/>
      <c r="XEL89" s="996"/>
      <c r="XEM89" s="996"/>
      <c r="XEN89" s="996"/>
      <c r="XEO89" s="996"/>
      <c r="XEP89" s="996"/>
      <c r="XEQ89" s="996"/>
      <c r="XER89" s="996"/>
      <c r="XES89" s="996"/>
      <c r="XET89" s="996"/>
      <c r="XEU89" s="996"/>
      <c r="XEV89" s="996"/>
      <c r="XEW89" s="996"/>
      <c r="XEX89" s="996"/>
      <c r="XEY89" s="996"/>
      <c r="XEZ89" s="996"/>
      <c r="XFA89" s="996"/>
      <c r="XFB89" s="996"/>
      <c r="XFC89" s="996"/>
      <c r="XFD89" s="996"/>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4" t="s">
        <v>2273</v>
      </c>
      <c r="B91" s="994"/>
      <c r="C91" s="994"/>
      <c r="D91" s="994"/>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994"/>
      <c r="AE91" s="994"/>
      <c r="AF91" s="994"/>
      <c r="AG91" s="994"/>
      <c r="AH91" s="994"/>
      <c r="AI91" s="994"/>
      <c r="AJ91" s="994"/>
      <c r="AK91" s="994"/>
      <c r="AL91" s="994"/>
      <c r="AM91" s="994"/>
      <c r="AN91" s="994"/>
      <c r="AO91" s="994"/>
      <c r="AP91" s="994"/>
      <c r="AQ91" s="994"/>
      <c r="AR91" s="994"/>
      <c r="AS91" s="994"/>
      <c r="AT91" s="994"/>
    </row>
    <row r="92" spans="1:16384" ht="12.95" customHeight="1">
      <c r="A92" s="994"/>
      <c r="B92" s="994"/>
      <c r="C92" s="994"/>
      <c r="D92" s="994"/>
      <c r="E92" s="994"/>
      <c r="F92" s="994"/>
      <c r="G92" s="994"/>
      <c r="H92" s="994"/>
      <c r="I92" s="994"/>
      <c r="J92" s="994"/>
      <c r="K92" s="994"/>
      <c r="L92" s="994"/>
      <c r="M92" s="994"/>
      <c r="N92" s="994"/>
      <c r="O92" s="994"/>
      <c r="P92" s="994"/>
      <c r="Q92" s="994"/>
      <c r="R92" s="994"/>
      <c r="S92" s="994"/>
      <c r="T92" s="994"/>
      <c r="U92" s="994"/>
      <c r="V92" s="994"/>
      <c r="W92" s="994"/>
      <c r="X92" s="994"/>
      <c r="Y92" s="994"/>
      <c r="Z92" s="994"/>
      <c r="AA92" s="994"/>
      <c r="AB92" s="994"/>
      <c r="AC92" s="994"/>
      <c r="AD92" s="994"/>
      <c r="AE92" s="994"/>
      <c r="AF92" s="994"/>
      <c r="AG92" s="994"/>
      <c r="AH92" s="994"/>
      <c r="AI92" s="994"/>
      <c r="AJ92" s="994"/>
      <c r="AK92" s="994"/>
      <c r="AL92" s="994"/>
      <c r="AM92" s="994"/>
      <c r="AN92" s="994"/>
      <c r="AO92" s="994"/>
      <c r="AP92" s="994"/>
      <c r="AQ92" s="994"/>
      <c r="AR92" s="994"/>
      <c r="AS92" s="994"/>
      <c r="AT92" s="994"/>
    </row>
    <row r="93" spans="1:16384" ht="12.95" customHeight="1">
      <c r="A93" s="994"/>
      <c r="B93" s="994"/>
      <c r="C93" s="994"/>
      <c r="D93" s="994"/>
      <c r="E93" s="994"/>
      <c r="F93" s="994"/>
      <c r="G93" s="994"/>
      <c r="H93" s="994"/>
      <c r="I93" s="994"/>
      <c r="J93" s="994"/>
      <c r="K93" s="994"/>
      <c r="L93" s="994"/>
      <c r="M93" s="994"/>
      <c r="N93" s="994"/>
      <c r="O93" s="994"/>
      <c r="P93" s="994"/>
      <c r="Q93" s="994"/>
      <c r="R93" s="994"/>
      <c r="S93" s="994"/>
      <c r="T93" s="994"/>
      <c r="U93" s="994"/>
      <c r="V93" s="994"/>
      <c r="W93" s="994"/>
      <c r="X93" s="994"/>
      <c r="Y93" s="994"/>
      <c r="Z93" s="994"/>
      <c r="AA93" s="994"/>
      <c r="AB93" s="994"/>
      <c r="AC93" s="994"/>
      <c r="AD93" s="994"/>
      <c r="AE93" s="994"/>
      <c r="AF93" s="994"/>
      <c r="AG93" s="994"/>
      <c r="AH93" s="994"/>
      <c r="AI93" s="994"/>
      <c r="AJ93" s="994"/>
      <c r="AK93" s="994"/>
      <c r="AL93" s="994"/>
      <c r="AM93" s="994"/>
      <c r="AN93" s="994"/>
      <c r="AO93" s="994"/>
      <c r="AP93" s="994"/>
      <c r="AQ93" s="994"/>
      <c r="AR93" s="994"/>
      <c r="AS93" s="994"/>
      <c r="AT93" s="994"/>
    </row>
    <row r="94" spans="1:16384" ht="12.95" customHeight="1">
      <c r="A94" s="994"/>
      <c r="B94" s="994"/>
      <c r="C94" s="994"/>
      <c r="D94" s="994"/>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994"/>
      <c r="AM94" s="994"/>
      <c r="AN94" s="994"/>
      <c r="AO94" s="994"/>
      <c r="AP94" s="994"/>
      <c r="AQ94" s="994"/>
      <c r="AR94" s="994"/>
      <c r="AS94" s="994"/>
      <c r="AT94" s="994"/>
    </row>
    <row r="95" spans="1:16384" ht="12.95" customHeight="1">
      <c r="A95" s="994"/>
      <c r="B95" s="994"/>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994"/>
      <c r="AM95" s="994"/>
      <c r="AN95" s="994"/>
      <c r="AO95" s="994"/>
      <c r="AP95" s="994"/>
      <c r="AQ95" s="994"/>
      <c r="AR95" s="994"/>
      <c r="AS95" s="994"/>
      <c r="AT95" s="994"/>
    </row>
    <row r="96" spans="1:16384" ht="12.95" customHeight="1">
      <c r="A96" s="994"/>
      <c r="B96" s="994"/>
      <c r="C96" s="994"/>
      <c r="D96" s="994"/>
      <c r="E96" s="994"/>
      <c r="F96" s="994"/>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994"/>
      <c r="AM96" s="994"/>
      <c r="AN96" s="994"/>
      <c r="AO96" s="994"/>
      <c r="AP96" s="994"/>
      <c r="AQ96" s="994"/>
      <c r="AR96" s="994"/>
      <c r="AS96" s="994"/>
      <c r="AT96" s="994"/>
    </row>
    <row r="97" spans="1:46" ht="12.95" customHeight="1">
      <c r="A97" s="994"/>
      <c r="B97" s="994"/>
      <c r="C97" s="994"/>
      <c r="D97" s="994"/>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994"/>
      <c r="AM97" s="994"/>
      <c r="AN97" s="994"/>
      <c r="AO97" s="994"/>
      <c r="AP97" s="994"/>
      <c r="AQ97" s="994"/>
      <c r="AR97" s="994"/>
      <c r="AS97" s="994"/>
      <c r="AT97" s="994"/>
    </row>
    <row r="98" spans="1:46" ht="12.95" customHeight="1">
      <c r="A98" s="994"/>
      <c r="B98" s="994"/>
      <c r="C98" s="994"/>
      <c r="D98" s="994"/>
      <c r="E98" s="994"/>
      <c r="F98" s="994"/>
      <c r="G98" s="994"/>
      <c r="H98" s="994"/>
      <c r="I98" s="994"/>
      <c r="J98" s="994"/>
      <c r="K98" s="994"/>
      <c r="L98" s="994"/>
      <c r="M98" s="994"/>
      <c r="N98" s="994"/>
      <c r="O98" s="994"/>
      <c r="P98" s="994"/>
      <c r="Q98" s="994"/>
      <c r="R98" s="994"/>
      <c r="S98" s="994"/>
      <c r="T98" s="994"/>
      <c r="U98" s="994"/>
      <c r="V98" s="994"/>
      <c r="W98" s="994"/>
      <c r="X98" s="994"/>
      <c r="Y98" s="994"/>
      <c r="Z98" s="994"/>
      <c r="AA98" s="994"/>
      <c r="AB98" s="994"/>
      <c r="AC98" s="994"/>
      <c r="AD98" s="994"/>
      <c r="AE98" s="994"/>
      <c r="AF98" s="994"/>
      <c r="AG98" s="994"/>
      <c r="AH98" s="994"/>
      <c r="AI98" s="994"/>
      <c r="AJ98" s="994"/>
      <c r="AK98" s="994"/>
      <c r="AL98" s="994"/>
      <c r="AM98" s="994"/>
      <c r="AN98" s="994"/>
      <c r="AO98" s="994"/>
      <c r="AP98" s="994"/>
      <c r="AQ98" s="994"/>
      <c r="AR98" s="994"/>
      <c r="AS98" s="994"/>
      <c r="AT98" s="994"/>
    </row>
    <row r="99" spans="1:46" ht="12.95" customHeight="1">
      <c r="A99" s="994"/>
      <c r="B99" s="994"/>
      <c r="C99" s="994"/>
      <c r="D99" s="994"/>
      <c r="E99" s="994"/>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c r="AI99" s="994"/>
      <c r="AJ99" s="994"/>
      <c r="AK99" s="994"/>
      <c r="AL99" s="994"/>
      <c r="AM99" s="994"/>
      <c r="AN99" s="994"/>
      <c r="AO99" s="994"/>
      <c r="AP99" s="994"/>
      <c r="AQ99" s="994"/>
      <c r="AR99" s="994"/>
      <c r="AS99" s="994"/>
      <c r="AT99" s="994"/>
    </row>
    <row r="100" spans="1:46" ht="12.95" customHeight="1">
      <c r="A100" s="994"/>
      <c r="B100" s="994"/>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4"/>
      <c r="AJ100" s="994"/>
      <c r="AK100" s="994"/>
      <c r="AL100" s="994"/>
      <c r="AM100" s="994"/>
      <c r="AN100" s="994"/>
      <c r="AO100" s="994"/>
      <c r="AP100" s="994"/>
      <c r="AQ100" s="994"/>
      <c r="AR100" s="994"/>
      <c r="AS100" s="994"/>
      <c r="AT100" s="994"/>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2274</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1" t="s">
        <v>2275</v>
      </c>
      <c r="B107" s="1581"/>
      <c r="C107" s="1581"/>
      <c r="D107" s="1581"/>
      <c r="E107" s="1581"/>
      <c r="F107" s="1581"/>
      <c r="G107" s="1581"/>
      <c r="H107" s="1581"/>
      <c r="I107" s="1581"/>
      <c r="J107" s="1581"/>
      <c r="K107" s="1581"/>
      <c r="L107" s="1581"/>
      <c r="M107" s="1581"/>
      <c r="N107" s="1581"/>
      <c r="O107" s="1581"/>
      <c r="P107" s="1581"/>
      <c r="Q107" s="1581"/>
      <c r="R107" s="1581"/>
      <c r="S107" s="1581"/>
      <c r="T107" s="1581"/>
      <c r="U107" s="1581"/>
      <c r="V107" s="1581"/>
      <c r="W107" s="1581"/>
      <c r="X107" s="1581"/>
      <c r="Y107" s="1581"/>
      <c r="Z107" s="1581"/>
      <c r="AA107" s="1581"/>
      <c r="AB107" s="1581"/>
      <c r="AC107" s="1581"/>
      <c r="AD107" s="1581"/>
      <c r="AE107" s="1581"/>
      <c r="AF107" s="1581"/>
      <c r="AG107" s="1581"/>
      <c r="AH107" s="1581"/>
      <c r="AI107" s="1581"/>
      <c r="AJ107" s="1581"/>
      <c r="AK107" s="1581"/>
      <c r="AL107" s="1581"/>
      <c r="AM107" s="1581"/>
      <c r="AN107" s="1581"/>
      <c r="AO107" s="1581"/>
      <c r="AP107" s="1581"/>
      <c r="AQ107" s="1581"/>
      <c r="AR107" s="1581"/>
      <c r="AS107" s="1581"/>
      <c r="AT107" s="1581"/>
    </row>
    <row r="108" spans="1:46" ht="12.95" customHeight="1">
      <c r="A108" s="1581"/>
      <c r="B108" s="1581"/>
      <c r="C108" s="1581"/>
      <c r="D108" s="1581"/>
      <c r="E108" s="1581"/>
      <c r="F108" s="1581"/>
      <c r="G108" s="1581"/>
      <c r="H108" s="1581"/>
      <c r="I108" s="1581"/>
      <c r="J108" s="1581"/>
      <c r="K108" s="1581"/>
      <c r="L108" s="1581"/>
      <c r="M108" s="1581"/>
      <c r="N108" s="1581"/>
      <c r="O108" s="1581"/>
      <c r="P108" s="1581"/>
      <c r="Q108" s="1581"/>
      <c r="R108" s="1581"/>
      <c r="S108" s="1581"/>
      <c r="T108" s="1581"/>
      <c r="U108" s="1581"/>
      <c r="V108" s="1581"/>
      <c r="W108" s="1581"/>
      <c r="X108" s="1581"/>
      <c r="Y108" s="1581"/>
      <c r="Z108" s="1581"/>
      <c r="AA108" s="1581"/>
      <c r="AB108" s="1581"/>
      <c r="AC108" s="1581"/>
      <c r="AD108" s="1581"/>
      <c r="AE108" s="1581"/>
      <c r="AF108" s="1581"/>
      <c r="AG108" s="1581"/>
      <c r="AH108" s="1581"/>
      <c r="AI108" s="1581"/>
      <c r="AJ108" s="1581"/>
      <c r="AK108" s="1581"/>
      <c r="AL108" s="1581"/>
      <c r="AM108" s="1581"/>
      <c r="AN108" s="1581"/>
      <c r="AO108" s="1581"/>
      <c r="AP108" s="1581"/>
      <c r="AQ108" s="1581"/>
      <c r="AR108" s="1581"/>
      <c r="AS108" s="1581"/>
      <c r="AT108" s="1581"/>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2276</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5">
        <v>13</v>
      </c>
      <c r="H115" s="1105"/>
      <c r="I115" s="41" t="s">
        <v>413</v>
      </c>
      <c r="J115" s="41"/>
      <c r="L115" s="1480" t="s">
        <v>2488</v>
      </c>
      <c r="M115" s="1403"/>
      <c r="N115" s="1403"/>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480" t="s">
        <v>2470</v>
      </c>
      <c r="D117" s="1403"/>
      <c r="E117" s="1403"/>
      <c r="F117" s="1403"/>
      <c r="G117" s="1403"/>
      <c r="H117" s="1403"/>
      <c r="I117" s="1403"/>
      <c r="J117" s="1403"/>
      <c r="K117" s="1403"/>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7" t="s">
        <v>2489</v>
      </c>
      <c r="Z118" s="1395"/>
      <c r="AA118" s="1395"/>
      <c r="AB118" s="1395"/>
      <c r="AC118" s="1395"/>
      <c r="AD118" s="1395"/>
      <c r="AE118" s="1395"/>
      <c r="AF118" s="1395"/>
      <c r="AG118" s="1395"/>
      <c r="AH118" s="1395"/>
      <c r="AI118" s="1395"/>
      <c r="AJ118" s="1395"/>
      <c r="AK118" s="139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7" t="s">
        <v>2490</v>
      </c>
      <c r="Z121" s="1395"/>
      <c r="AA121" s="1395"/>
      <c r="AB121" s="1395"/>
      <c r="AC121" s="1395"/>
      <c r="AD121" s="1395"/>
      <c r="AE121" s="1395"/>
      <c r="AF121" s="1395"/>
      <c r="AG121" s="1395"/>
      <c r="AH121" s="1395"/>
      <c r="AI121" s="1395"/>
      <c r="AJ121" s="1395"/>
      <c r="AK121" s="139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395" t="s">
        <v>2322</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79</v>
      </c>
    </row>
    <row r="157" spans="1:72" ht="12.95" customHeight="1">
      <c r="D157" s="339" t="s">
        <v>544</v>
      </c>
      <c r="O157" s="1263" t="s">
        <v>2323</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710</v>
      </c>
      <c r="BN157" s="30" t="s">
        <v>423</v>
      </c>
      <c r="BT157" t="s">
        <v>28</v>
      </c>
    </row>
    <row r="158" spans="1:72" ht="12.95" customHeight="1">
      <c r="D158" s="12" t="s">
        <v>545</v>
      </c>
      <c r="F158" s="12"/>
      <c r="G158" s="12"/>
      <c r="H158" s="12"/>
      <c r="I158" s="12"/>
      <c r="J158" s="12"/>
      <c r="K158" s="12"/>
      <c r="L158" s="12"/>
      <c r="M158" s="12"/>
      <c r="N158" s="12"/>
      <c r="O158" s="1479" t="s">
        <v>546</v>
      </c>
      <c r="P158" s="1479"/>
      <c r="Q158" s="1479"/>
      <c r="R158" s="1479"/>
      <c r="S158" s="1479"/>
      <c r="T158" s="1479"/>
      <c r="U158" s="1479"/>
      <c r="V158" s="1479"/>
      <c r="W158" s="1479"/>
      <c r="X158" s="1479"/>
      <c r="Y158" s="1479"/>
      <c r="Z158" s="1479"/>
      <c r="AA158" s="1479"/>
      <c r="AB158" s="1479"/>
      <c r="AC158" s="1479"/>
      <c r="AD158" s="1479"/>
      <c r="AE158" s="1479"/>
      <c r="AF158" s="1479"/>
      <c r="AG158" s="1479"/>
      <c r="AH158" s="1479"/>
      <c r="BN158" s="30" t="s">
        <v>424</v>
      </c>
      <c r="BT158" t="s">
        <v>29</v>
      </c>
    </row>
    <row r="159" spans="1:72" ht="12.95" customHeight="1">
      <c r="D159" t="s">
        <v>648</v>
      </c>
      <c r="O159" s="1111" t="s">
        <v>2324</v>
      </c>
      <c r="P159" s="1111"/>
      <c r="Q159" s="1111"/>
      <c r="R159" s="1111"/>
      <c r="S159" s="1111"/>
      <c r="T159" s="1111"/>
      <c r="U159" s="1111"/>
      <c r="V159" s="1111"/>
      <c r="W159" s="1111"/>
      <c r="X159" s="1111"/>
      <c r="Y159" s="1111"/>
      <c r="Z159" s="1111"/>
      <c r="AA159" s="1111"/>
      <c r="AB159" s="1111"/>
      <c r="AC159" s="1111"/>
      <c r="AD159" s="1111"/>
      <c r="AE159" s="1111"/>
      <c r="AF159" s="1111"/>
      <c r="AG159" s="1111"/>
      <c r="AH159" s="1111"/>
      <c r="BN159" s="30" t="s">
        <v>73</v>
      </c>
      <c r="BT159" t="s">
        <v>385</v>
      </c>
    </row>
    <row r="160" spans="1:72" ht="12.95" customHeight="1">
      <c r="D160" t="s">
        <v>649</v>
      </c>
      <c r="O160" s="1395" t="s">
        <v>2325</v>
      </c>
      <c r="P160" s="1395"/>
      <c r="Q160" s="1395"/>
      <c r="R160" s="1395"/>
      <c r="S160" s="1395"/>
      <c r="T160" s="1395"/>
      <c r="U160" s="1395"/>
      <c r="V160" s="1395"/>
      <c r="W160" s="1395"/>
      <c r="X160" s="1395"/>
      <c r="Y160" s="12"/>
      <c r="Z160" s="12"/>
      <c r="AA160" s="12"/>
      <c r="AB160" s="12"/>
      <c r="AC160" s="12"/>
      <c r="AD160" s="12"/>
      <c r="AE160" s="12"/>
      <c r="AF160" s="12"/>
      <c r="BN160" s="30" t="s">
        <v>75</v>
      </c>
      <c r="BT160" t="s">
        <v>386</v>
      </c>
    </row>
    <row r="161" spans="1:72" ht="12.95" customHeight="1">
      <c r="D161" t="s">
        <v>650</v>
      </c>
      <c r="O161" s="1482">
        <v>94590</v>
      </c>
      <c r="P161" s="1482"/>
      <c r="Q161" s="1482"/>
      <c r="R161" s="1482"/>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84" t="s">
        <v>2326</v>
      </c>
      <c r="P162" s="1484"/>
      <c r="Q162" s="1484"/>
      <c r="R162" s="1484"/>
      <c r="S162" s="1484"/>
      <c r="T162" s="1484"/>
      <c r="V162" s="179" t="s">
        <v>12</v>
      </c>
      <c r="W162" s="1483"/>
      <c r="X162" s="1483"/>
      <c r="Y162" s="14"/>
      <c r="Z162" s="14"/>
      <c r="AA162" s="14"/>
      <c r="AB162" s="14"/>
      <c r="AC162" s="14"/>
      <c r="AD162" s="14"/>
      <c r="AE162" s="14"/>
      <c r="AF162" s="14"/>
      <c r="BJ162" t="s">
        <v>108</v>
      </c>
      <c r="BN162" s="30" t="s">
        <v>77</v>
      </c>
      <c r="BT162" t="s">
        <v>388</v>
      </c>
    </row>
    <row r="163" spans="1:72" ht="12.95" customHeight="1">
      <c r="D163" t="s">
        <v>652</v>
      </c>
      <c r="O163" s="1484" t="s">
        <v>2327</v>
      </c>
      <c r="P163" s="1484"/>
      <c r="Q163" s="1484"/>
      <c r="R163" s="1484"/>
      <c r="S163" s="1484"/>
      <c r="T163" s="1484"/>
      <c r="U163" s="14"/>
      <c r="V163" s="14"/>
      <c r="W163" s="14"/>
      <c r="X163" s="14"/>
      <c r="Y163" s="14"/>
      <c r="Z163" s="14"/>
      <c r="AA163" s="14"/>
      <c r="AB163" s="14"/>
      <c r="AC163" s="14"/>
      <c r="AD163" s="14"/>
      <c r="AE163" s="14"/>
      <c r="AF163" s="14"/>
      <c r="BN163" s="30" t="s">
        <v>477</v>
      </c>
      <c r="BT163" t="s">
        <v>389</v>
      </c>
    </row>
    <row r="164" spans="1:72" ht="12.95" customHeight="1">
      <c r="D164" t="s">
        <v>653</v>
      </c>
      <c r="O164" s="1476" t="s">
        <v>2328</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93" t="s">
        <v>2312</v>
      </c>
      <c r="E167" s="1493"/>
      <c r="F167" s="1493"/>
      <c r="G167" s="1493"/>
      <c r="H167" s="1493"/>
      <c r="I167" s="1493"/>
      <c r="J167" s="1493"/>
      <c r="K167" s="1493"/>
      <c r="L167" s="1493"/>
      <c r="M167" s="1493"/>
      <c r="N167" s="1493"/>
      <c r="O167" s="1493"/>
      <c r="P167" s="1493"/>
      <c r="Q167" s="1493"/>
      <c r="R167" s="1493"/>
      <c r="S167" s="1493"/>
      <c r="T167" s="1493"/>
      <c r="U167" s="1493"/>
      <c r="V167" s="1493"/>
      <c r="W167" s="1493"/>
      <c r="X167" s="1493"/>
      <c r="Y167" s="1493"/>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7" t="s">
        <v>380</v>
      </c>
      <c r="B169" s="1087"/>
      <c r="C169" s="1087"/>
      <c r="D169" s="1087"/>
      <c r="E169" s="1087"/>
      <c r="F169" s="1087"/>
      <c r="G169" s="1087"/>
      <c r="H169" s="1087"/>
      <c r="I169" s="1087"/>
      <c r="J169" s="1087"/>
      <c r="K169" s="1087"/>
      <c r="L169" s="1087"/>
      <c r="M169" s="1087"/>
      <c r="N169" s="1087"/>
      <c r="O169" s="1087"/>
      <c r="P169" s="1087"/>
      <c r="Q169" s="1087"/>
      <c r="R169" s="1087"/>
      <c r="S169" s="1087"/>
      <c r="T169" s="1087"/>
      <c r="U169" s="1087"/>
      <c r="V169" s="1087"/>
      <c r="W169" s="1087"/>
      <c r="X169" s="1087"/>
      <c r="Y169" s="1087"/>
      <c r="Z169" s="1087"/>
      <c r="AA169" s="1087"/>
      <c r="AB169" s="1087"/>
      <c r="AC169" s="1087"/>
      <c r="AD169" s="1087"/>
      <c r="AE169" s="1087"/>
      <c r="AF169" s="1087"/>
      <c r="AG169" s="1087"/>
      <c r="AH169" s="1087"/>
      <c r="AI169" s="1087"/>
      <c r="AJ169" s="1087"/>
      <c r="AK169" s="1087"/>
      <c r="AL169" s="1087"/>
      <c r="AM169" s="1087"/>
      <c r="AN169" s="1087"/>
      <c r="AO169" s="1087"/>
      <c r="AP169" s="1087"/>
      <c r="AQ169" s="1087"/>
      <c r="AR169" s="1087"/>
      <c r="AS169" s="1087"/>
      <c r="AT169" s="1087"/>
      <c r="AU169"/>
      <c r="BN169" s="266" t="s">
        <v>487</v>
      </c>
      <c r="BT169" t="s">
        <v>395</v>
      </c>
    </row>
    <row r="170" spans="1:72" s="960" customFormat="1" ht="12.95" customHeight="1">
      <c r="A170" s="1087"/>
      <c r="B170" s="1087"/>
      <c r="C170" s="1087"/>
      <c r="D170" s="1087"/>
      <c r="E170" s="1087"/>
      <c r="F170" s="1087"/>
      <c r="G170" s="1087"/>
      <c r="H170" s="1087"/>
      <c r="I170" s="1087"/>
      <c r="J170" s="1087"/>
      <c r="K170" s="1087"/>
      <c r="L170" s="1087"/>
      <c r="M170" s="1087"/>
      <c r="N170" s="1087"/>
      <c r="O170" s="1087"/>
      <c r="P170" s="1087"/>
      <c r="Q170" s="1087"/>
      <c r="R170" s="1087"/>
      <c r="S170" s="1087"/>
      <c r="T170" s="1087"/>
      <c r="U170" s="1087"/>
      <c r="V170" s="1087"/>
      <c r="W170" s="1087"/>
      <c r="X170" s="1087"/>
      <c r="Y170" s="1087"/>
      <c r="Z170" s="1087"/>
      <c r="AA170" s="1087"/>
      <c r="AB170" s="1087"/>
      <c r="AC170" s="1087"/>
      <c r="AD170" s="1087"/>
      <c r="AE170" s="1087"/>
      <c r="AF170" s="1087"/>
      <c r="AG170" s="1087"/>
      <c r="AH170" s="1087"/>
      <c r="AI170" s="1087"/>
      <c r="AJ170" s="1087"/>
      <c r="AK170" s="1087"/>
      <c r="AL170" s="1087"/>
      <c r="AM170" s="1087"/>
      <c r="AN170" s="1087"/>
      <c r="AO170" s="1087"/>
      <c r="AP170" s="1087"/>
      <c r="AQ170" s="1087"/>
      <c r="AR170" s="1087"/>
      <c r="AS170" s="1087"/>
      <c r="AT170" s="1087"/>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6" t="s">
        <v>506</v>
      </c>
      <c r="K173" s="1396"/>
      <c r="L173" s="1396"/>
      <c r="M173" s="1396"/>
      <c r="N173" s="1396"/>
      <c r="O173" s="1396"/>
      <c r="P173" s="1396"/>
      <c r="Q173" s="1396"/>
      <c r="R173" s="1396"/>
      <c r="S173" s="1396"/>
      <c r="U173" s="32"/>
      <c r="X173" s="32"/>
      <c r="BN173" s="30" t="s">
        <v>492</v>
      </c>
      <c r="BT173" t="s">
        <v>399</v>
      </c>
    </row>
    <row r="174" spans="1:72" ht="12.95" customHeight="1">
      <c r="C174" s="31"/>
      <c r="D174" t="s">
        <v>439</v>
      </c>
      <c r="U174" s="1102" t="s">
        <v>483</v>
      </c>
      <c r="V174" s="1102"/>
      <c r="BN174" s="30" t="s">
        <v>595</v>
      </c>
      <c r="BT174" t="s">
        <v>400</v>
      </c>
    </row>
    <row r="175" spans="1:72" ht="12.95" customHeight="1">
      <c r="C175" s="12"/>
      <c r="D175" s="33"/>
      <c r="E175" t="s">
        <v>230</v>
      </c>
      <c r="O175" s="34"/>
      <c r="P175" t="s">
        <v>2108</v>
      </c>
      <c r="T175" s="34" t="s">
        <v>231</v>
      </c>
      <c r="U175" s="1285"/>
      <c r="V175" s="1285"/>
      <c r="W175" s="1" t="s">
        <v>232</v>
      </c>
      <c r="X175" s="1481"/>
      <c r="Y175" s="1481"/>
      <c r="BN175" s="30" t="s">
        <v>596</v>
      </c>
      <c r="BT175" t="s">
        <v>401</v>
      </c>
    </row>
    <row r="176" spans="1:72" ht="12.95" customHeight="1">
      <c r="C176" s="31"/>
      <c r="D176" t="s">
        <v>279</v>
      </c>
      <c r="U176" s="1102" t="s">
        <v>483</v>
      </c>
      <c r="V176" s="1102"/>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487"/>
      <c r="K178" s="1487"/>
      <c r="L178" s="370" t="s">
        <v>232</v>
      </c>
      <c r="M178" s="1334"/>
      <c r="N178" s="1334"/>
      <c r="O178" s="361"/>
      <c r="P178" s="361"/>
      <c r="Q178" s="361"/>
      <c r="R178" s="361"/>
      <c r="U178" s="361" t="s">
        <v>1234</v>
      </c>
      <c r="V178" s="361"/>
      <c r="W178" s="361"/>
      <c r="X178" s="361"/>
      <c r="Y178" s="361"/>
      <c r="Z178" s="361"/>
      <c r="AA178" s="361"/>
      <c r="AB178" s="361"/>
      <c r="AD178" s="1488"/>
      <c r="AE178" s="1488"/>
      <c r="AF178" s="1488"/>
      <c r="AG178" s="1488"/>
      <c r="AH178" s="1488"/>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102" t="s">
        <v>108</v>
      </c>
      <c r="Z180" s="1460"/>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4" t="str">
        <f>H17</f>
        <v>Marina Towers Annex</v>
      </c>
      <c r="J184" s="1264"/>
      <c r="K184" s="1264"/>
      <c r="L184" s="1264"/>
      <c r="M184" s="1264"/>
      <c r="N184" s="1264"/>
      <c r="O184" s="1264"/>
      <c r="P184" s="1264"/>
      <c r="Q184" s="1264"/>
      <c r="R184" s="1264"/>
      <c r="S184" s="1264"/>
      <c r="T184" s="1264"/>
      <c r="U184" s="1264"/>
      <c r="V184" s="1264"/>
      <c r="W184" s="1264"/>
      <c r="X184" s="1264"/>
      <c r="Y184" s="1264"/>
      <c r="Z184" s="1264"/>
      <c r="AA184" s="1264"/>
      <c r="AB184" s="1264"/>
      <c r="AC184" s="1264"/>
      <c r="AD184" s="1264"/>
      <c r="AE184" s="1264"/>
      <c r="BC184" t="s">
        <v>120</v>
      </c>
      <c r="BN184" s="30" t="s">
        <v>575</v>
      </c>
      <c r="BT184" t="s">
        <v>410</v>
      </c>
    </row>
    <row r="185" spans="1:72" ht="12.95" customHeight="1">
      <c r="C185" s="29"/>
      <c r="D185" t="s">
        <v>430</v>
      </c>
      <c r="I185" s="1262" t="s">
        <v>2329</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121</v>
      </c>
      <c r="BN185" s="30" t="s">
        <v>576</v>
      </c>
      <c r="BT185" t="s">
        <v>840</v>
      </c>
    </row>
    <row r="186" spans="1:72" ht="12.95" customHeight="1">
      <c r="C186" s="29"/>
      <c r="E186" t="s">
        <v>62</v>
      </c>
      <c r="BN186" s="30" t="s">
        <v>577</v>
      </c>
      <c r="BT186" t="s">
        <v>841</v>
      </c>
    </row>
    <row r="187" spans="1:72" ht="12.95"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578</v>
      </c>
      <c r="BT187" t="s">
        <v>842</v>
      </c>
    </row>
    <row r="188" spans="1:72" ht="12.95"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580</v>
      </c>
      <c r="BT188" t="s">
        <v>843</v>
      </c>
    </row>
    <row r="189" spans="1:72" ht="12.95" customHeight="1">
      <c r="C189" s="29"/>
      <c r="D189" t="s">
        <v>431</v>
      </c>
      <c r="I189" s="1111" t="s">
        <v>2325</v>
      </c>
      <c r="J189" s="1111"/>
      <c r="K189" s="1111"/>
      <c r="L189" s="1111"/>
      <c r="M189" s="1111"/>
      <c r="N189" s="1111"/>
      <c r="O189" s="1111"/>
      <c r="P189" s="1111"/>
      <c r="Q189" t="s">
        <v>433</v>
      </c>
      <c r="T189" s="1111" t="s">
        <v>810</v>
      </c>
      <c r="U189" s="1111"/>
      <c r="V189" s="1111"/>
      <c r="W189" s="1111"/>
      <c r="X189" s="1111"/>
      <c r="Y189" s="1111"/>
      <c r="Z189" s="1111"/>
      <c r="AA189" s="1111"/>
      <c r="AB189" s="1111"/>
      <c r="AC189" s="1111"/>
      <c r="AD189" s="1111"/>
      <c r="AE189" s="1111"/>
      <c r="BC189" t="s">
        <v>79</v>
      </c>
      <c r="BH189" s="41" t="s">
        <v>124</v>
      </c>
      <c r="BN189" s="30" t="s">
        <v>581</v>
      </c>
      <c r="BT189" t="s">
        <v>109</v>
      </c>
    </row>
    <row r="190" spans="1:72" ht="12.95" customHeight="1">
      <c r="C190" s="29"/>
      <c r="D190" t="s">
        <v>434</v>
      </c>
      <c r="I190" s="1262">
        <v>94590</v>
      </c>
      <c r="J190" s="1262"/>
      <c r="K190" s="1262"/>
      <c r="L190" s="1262"/>
      <c r="M190" s="1262"/>
      <c r="N190" s="1262"/>
      <c r="O190" t="s">
        <v>436</v>
      </c>
      <c r="T190" s="1485">
        <v>2509</v>
      </c>
      <c r="U190" s="1485"/>
      <c r="V190" s="1485"/>
      <c r="W190" s="1485"/>
      <c r="X190" s="1485"/>
      <c r="Y190" s="1485"/>
      <c r="Z190" s="1485"/>
      <c r="AA190" s="1485"/>
      <c r="AB190" s="1485"/>
      <c r="AC190" s="1485"/>
      <c r="AD190" s="1485"/>
      <c r="AE190" s="1485"/>
      <c r="BC190" t="s">
        <v>664</v>
      </c>
      <c r="BH190" t="s">
        <v>664</v>
      </c>
      <c r="BN190" s="30" t="s">
        <v>422</v>
      </c>
      <c r="BT190" t="s">
        <v>110</v>
      </c>
    </row>
    <row r="191" spans="1:72" ht="12.95" customHeight="1">
      <c r="C191" s="29"/>
      <c r="D191" t="s">
        <v>81</v>
      </c>
      <c r="N191" s="1357" t="s">
        <v>2330</v>
      </c>
      <c r="O191" s="1357"/>
      <c r="P191" s="1357"/>
      <c r="Q191" s="1357"/>
      <c r="R191" s="1357"/>
      <c r="S191" s="1357"/>
      <c r="T191" s="1357"/>
      <c r="U191" s="1357"/>
      <c r="V191" s="1357"/>
      <c r="W191" s="1357"/>
      <c r="X191" s="1357"/>
      <c r="Y191" s="1357"/>
      <c r="Z191" s="1357"/>
      <c r="AA191" s="1357"/>
      <c r="AB191" s="1357"/>
      <c r="AC191" s="1357"/>
      <c r="AD191" s="1357"/>
      <c r="AE191" s="1357"/>
      <c r="BC191" t="s">
        <v>1425</v>
      </c>
      <c r="BH191" t="s">
        <v>1425</v>
      </c>
      <c r="BN191" s="30" t="s">
        <v>583</v>
      </c>
      <c r="BT191" t="s">
        <v>111</v>
      </c>
    </row>
    <row r="192" spans="1:72" ht="12.95"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665</v>
      </c>
      <c r="BH192" t="s">
        <v>616</v>
      </c>
      <c r="BN192" s="30" t="s">
        <v>584</v>
      </c>
      <c r="BT192" t="s">
        <v>112</v>
      </c>
    </row>
    <row r="193" spans="1:73" ht="12.95" customHeight="1">
      <c r="C193" s="29"/>
      <c r="D193" t="s">
        <v>437</v>
      </c>
      <c r="T193" s="1102" t="s">
        <v>483</v>
      </c>
      <c r="U193" s="1102"/>
      <c r="W193" s="41" t="s">
        <v>1889</v>
      </c>
      <c r="AA193" s="1491">
        <v>2024</v>
      </c>
      <c r="AB193" s="1491"/>
      <c r="AC193" s="1491"/>
      <c r="BC193" t="s">
        <v>565</v>
      </c>
      <c r="BH193" s="5" t="s">
        <v>1430</v>
      </c>
      <c r="BN193" s="30" t="s">
        <v>585</v>
      </c>
      <c r="BT193" t="s">
        <v>113</v>
      </c>
    </row>
    <row r="194" spans="1:73" ht="12.95" customHeight="1">
      <c r="C194" s="29"/>
      <c r="D194" t="s">
        <v>118</v>
      </c>
      <c r="T194" s="1060" t="s">
        <v>108</v>
      </c>
      <c r="U194" s="1060"/>
      <c r="W194" t="s">
        <v>63</v>
      </c>
      <c r="AI194" s="1102" t="s">
        <v>483</v>
      </c>
      <c r="AJ194" s="1102"/>
      <c r="AX194" s="5" t="s">
        <v>124</v>
      </c>
      <c r="BC194" t="s">
        <v>616</v>
      </c>
      <c r="BN194" s="30" t="s">
        <v>754</v>
      </c>
      <c r="BT194" t="s">
        <v>114</v>
      </c>
    </row>
    <row r="195" spans="1:73" ht="12.95" customHeight="1">
      <c r="C195" s="29"/>
      <c r="D195" s="41" t="s">
        <v>1736</v>
      </c>
      <c r="T195" s="1060" t="s">
        <v>483</v>
      </c>
      <c r="U195" s="1060"/>
      <c r="X195" s="797" t="s">
        <v>2110</v>
      </c>
      <c r="AX195" s="5" t="s">
        <v>1151</v>
      </c>
      <c r="BN195" s="30" t="s">
        <v>755</v>
      </c>
      <c r="BT195" t="s">
        <v>115</v>
      </c>
    </row>
    <row r="196" spans="1:73" ht="12.95" customHeight="1">
      <c r="C196" s="29"/>
      <c r="D196" s="5" t="s">
        <v>1156</v>
      </c>
      <c r="T196" s="1060" t="s">
        <v>483</v>
      </c>
      <c r="U196" s="1060"/>
      <c r="AK196" s="1490"/>
      <c r="AL196" s="1490"/>
      <c r="AX196" s="41" t="s">
        <v>2203</v>
      </c>
      <c r="BN196" s="30" t="s">
        <v>756</v>
      </c>
      <c r="BT196" t="s">
        <v>116</v>
      </c>
    </row>
    <row r="197" spans="1:73" ht="12.95" customHeight="1">
      <c r="C197" s="29"/>
      <c r="D197" s="41" t="s">
        <v>1890</v>
      </c>
      <c r="T197" s="1102" t="s">
        <v>483</v>
      </c>
      <c r="U197" s="1102"/>
      <c r="AX197" s="5" t="s">
        <v>1152</v>
      </c>
      <c r="BC197" t="s">
        <v>79</v>
      </c>
      <c r="BN197" s="30" t="s">
        <v>757</v>
      </c>
      <c r="BT197" t="s">
        <v>117</v>
      </c>
    </row>
    <row r="198" spans="1:73" ht="12.95" customHeight="1">
      <c r="C198" s="29"/>
      <c r="D198" s="41" t="s">
        <v>1918</v>
      </c>
      <c r="W198" s="1399" t="s">
        <v>483</v>
      </c>
      <c r="X198" s="1102"/>
      <c r="AX198" s="5" t="s">
        <v>1153</v>
      </c>
      <c r="BC198" t="s">
        <v>1104</v>
      </c>
      <c r="BN198" s="30" t="s">
        <v>758</v>
      </c>
      <c r="BT198" t="s">
        <v>804</v>
      </c>
    </row>
    <row r="199" spans="1:73" ht="12.95" customHeight="1">
      <c r="C199" s="29"/>
      <c r="L199" s="309"/>
      <c r="M199" s="309"/>
      <c r="N199" s="309"/>
      <c r="O199" s="309"/>
      <c r="P199" s="309"/>
      <c r="Q199" s="922" t="s">
        <v>2111</v>
      </c>
      <c r="R199" s="1107" t="s">
        <v>2025</v>
      </c>
      <c r="S199" s="1107"/>
      <c r="T199" s="1107"/>
      <c r="U199" s="1107"/>
      <c r="V199" s="1107"/>
      <c r="W199" s="1107"/>
      <c r="X199" s="1107"/>
      <c r="Y199" s="1107"/>
      <c r="Z199" s="1107"/>
      <c r="AA199" s="1107"/>
      <c r="AB199" s="1107"/>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2296</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264" t="str">
        <f>IF(AND(M25&gt;0,M27&gt;0),"Federal and State","Federal Only")</f>
        <v>Federal Only</v>
      </c>
      <c r="E203" s="1264"/>
      <c r="F203" s="1264"/>
      <c r="G203" s="1264"/>
      <c r="H203" s="1264"/>
      <c r="I203" s="1264"/>
      <c r="J203" s="1264"/>
      <c r="K203" s="1264"/>
      <c r="L203" s="1264"/>
      <c r="M203" s="1264"/>
      <c r="P203" s="1494">
        <f>M25</f>
        <v>1125000</v>
      </c>
      <c r="Q203" s="1494"/>
      <c r="R203" s="1494"/>
      <c r="S203" s="1494"/>
      <c r="T203" s="1494"/>
      <c r="U203" s="1494"/>
      <c r="W203" s="1494">
        <f>M27</f>
        <v>0</v>
      </c>
      <c r="X203" s="1494"/>
      <c r="Y203" s="1494"/>
      <c r="Z203" s="1494"/>
      <c r="AA203" s="1494"/>
      <c r="AB203" s="1494"/>
      <c r="AV203" t="s">
        <v>124</v>
      </c>
      <c r="AX203" s="5" t="s">
        <v>565</v>
      </c>
      <c r="BC203" t="s">
        <v>1435</v>
      </c>
      <c r="BN203" s="30" t="s">
        <v>662</v>
      </c>
      <c r="BT203" s="40" t="s">
        <v>809</v>
      </c>
      <c r="BU203" s="21"/>
    </row>
    <row r="204" spans="1:73" ht="12.95" customHeight="1">
      <c r="C204" s="29"/>
      <c r="P204" s="1410" t="s">
        <v>175</v>
      </c>
      <c r="Q204" s="1410"/>
      <c r="R204" s="1410"/>
      <c r="S204" s="1410"/>
      <c r="T204" s="1410"/>
      <c r="U204" s="1410"/>
      <c r="V204" s="36"/>
      <c r="W204" s="1410" t="s">
        <v>176</v>
      </c>
      <c r="X204" s="1410"/>
      <c r="Y204" s="1410"/>
      <c r="Z204" s="1410"/>
      <c r="AA204" s="1410"/>
      <c r="AB204" s="1410"/>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2.95" customHeight="1">
      <c r="C208" s="29"/>
      <c r="D208" s="1395" t="s">
        <v>2331</v>
      </c>
      <c r="E208" s="1395"/>
      <c r="F208" s="1395"/>
      <c r="G208" s="1395"/>
      <c r="H208" s="1395"/>
      <c r="I208" s="1395"/>
      <c r="J208" s="1395"/>
      <c r="K208" s="1395"/>
      <c r="L208" s="1395"/>
      <c r="M208" s="1395"/>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7" t="s">
        <v>124</v>
      </c>
      <c r="E211" s="1395"/>
      <c r="F211" s="1395"/>
      <c r="G211" s="1395"/>
      <c r="H211" s="1395"/>
      <c r="I211" s="1395"/>
      <c r="J211" s="1395"/>
      <c r="K211" s="1395"/>
      <c r="L211" s="1395"/>
      <c r="M211" s="1395"/>
      <c r="N211" s="1395"/>
      <c r="O211" s="1395"/>
      <c r="P211" s="1395"/>
      <c r="X211" s="803"/>
      <c r="Y211" s="1486" t="s">
        <v>483</v>
      </c>
      <c r="Z211" s="1486"/>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395" t="s">
        <v>1425</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2023</v>
      </c>
      <c r="BC214" t="s">
        <v>631</v>
      </c>
      <c r="BN214" s="30" t="s">
        <v>444</v>
      </c>
      <c r="BT214" s="40" t="s">
        <v>818</v>
      </c>
    </row>
    <row r="215" spans="1:72" ht="12.95" customHeight="1">
      <c r="D215" s="35"/>
      <c r="E215" s="41" t="s">
        <v>2106</v>
      </c>
      <c r="AC215" s="1492"/>
      <c r="AD215" s="1492"/>
      <c r="AF215" s="1489">
        <f>IFERROR(AC215/AG433,"")</f>
        <v>0</v>
      </c>
      <c r="AG215" s="1489"/>
      <c r="AX215" t="s">
        <v>2024</v>
      </c>
      <c r="BC215" t="s">
        <v>628</v>
      </c>
    </row>
    <row r="216" spans="1:72" ht="12.95" customHeight="1">
      <c r="D216" s="35"/>
      <c r="E216" s="938" t="s">
        <v>1433</v>
      </c>
      <c r="AX216" t="s">
        <v>2025</v>
      </c>
      <c r="BC216" t="s">
        <v>745</v>
      </c>
    </row>
    <row r="217" spans="1:72" ht="12.95" customHeight="1">
      <c r="E217" s="1407" t="s">
        <v>124</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AX217" s="41" t="s">
        <v>2027</v>
      </c>
      <c r="BC217" t="s">
        <v>629</v>
      </c>
    </row>
    <row r="218" spans="1:72" ht="12.95" customHeight="1">
      <c r="E218" s="41" t="s">
        <v>1963</v>
      </c>
      <c r="AA218" s="49"/>
      <c r="AC218" s="1364">
        <v>55</v>
      </c>
      <c r="AD218" s="1364"/>
      <c r="AE218" s="1364"/>
      <c r="AF218" s="1364"/>
      <c r="AG218" s="1364"/>
      <c r="AH218" s="1364"/>
      <c r="AI218" s="1364"/>
      <c r="AJ218" s="1364"/>
      <c r="AK218" s="1364"/>
      <c r="AL218" s="1364"/>
      <c r="AM218" s="1364"/>
      <c r="BC218" t="s">
        <v>630</v>
      </c>
      <c r="BI218" s="39"/>
    </row>
    <row r="219" spans="1:72" ht="12.95" customHeight="1">
      <c r="E219" s="41" t="s">
        <v>1964</v>
      </c>
      <c r="AA219" s="49"/>
      <c r="AC219" s="1364"/>
      <c r="AD219" s="1364"/>
      <c r="AE219" s="1364"/>
      <c r="AF219" s="1364"/>
      <c r="AG219" s="1364"/>
      <c r="AH219" s="1364"/>
      <c r="AI219" s="1364"/>
      <c r="AJ219" s="1364"/>
      <c r="AK219" s="1364"/>
      <c r="AL219" s="1364"/>
      <c r="AM219" s="1364"/>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7" t="s">
        <v>1436</v>
      </c>
      <c r="E223" s="1107"/>
      <c r="F223" s="1107"/>
      <c r="G223" s="1107"/>
      <c r="H223" s="1107"/>
      <c r="I223" s="1107"/>
      <c r="J223" s="1107"/>
      <c r="K223" s="1107"/>
      <c r="L223" s="1107"/>
      <c r="M223" s="1107"/>
      <c r="N223" s="1107"/>
      <c r="O223" s="1107"/>
      <c r="P223" s="1107"/>
      <c r="Q223" s="1107"/>
      <c r="R223" s="1107"/>
      <c r="S223" s="1107"/>
      <c r="T223" s="1107"/>
      <c r="U223" s="1107"/>
      <c r="V223" s="1107"/>
      <c r="W223" s="1107"/>
      <c r="X223" s="1107"/>
      <c r="Y223" s="1107"/>
      <c r="Z223" s="1107"/>
      <c r="AA223" s="1107"/>
      <c r="AB223" s="1107"/>
      <c r="AC223" s="1107"/>
      <c r="AD223" s="1107"/>
      <c r="AE223" s="1107"/>
      <c r="AF223" s="1107"/>
      <c r="AG223" s="1107"/>
      <c r="AH223" s="1107"/>
      <c r="AI223" s="1107"/>
      <c r="AJ223" s="21"/>
      <c r="AK223" s="21"/>
      <c r="AL223" s="21"/>
    </row>
    <row r="224" spans="1:72" ht="12.95" customHeight="1">
      <c r="AJ224" s="5"/>
    </row>
    <row r="225" spans="1:59" ht="12.95" customHeight="1">
      <c r="D225" t="s">
        <v>558</v>
      </c>
      <c r="O225" s="1102">
        <v>8</v>
      </c>
      <c r="P225" s="1102"/>
    </row>
    <row r="226" spans="1:59" ht="12.95" customHeight="1">
      <c r="D226" t="s">
        <v>559</v>
      </c>
      <c r="O226" s="1102">
        <v>11</v>
      </c>
      <c r="P226" s="1102"/>
      <c r="BB226" s="5" t="s">
        <v>639</v>
      </c>
      <c r="BG226" s="410">
        <f>IF(AND(AND($M$251="for profit",$M$259="for profit",$M$267="nonprofit")),2,0)</f>
        <v>0</v>
      </c>
    </row>
    <row r="227" spans="1:59" ht="12.95" customHeight="1">
      <c r="D227" t="s">
        <v>560</v>
      </c>
      <c r="O227" s="1102">
        <v>3</v>
      </c>
      <c r="P227" s="1102"/>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0</v>
      </c>
    </row>
    <row r="230" spans="1:59" ht="12.95" customHeight="1">
      <c r="BB230" t="s">
        <v>639</v>
      </c>
      <c r="BG230" s="411">
        <f>IF(AND(AND($M$251="nonprofit",$M$259="for profit",$M$267="(select one)")),2,0)</f>
        <v>2</v>
      </c>
    </row>
    <row r="231" spans="1:59" ht="12.95" customHeight="1">
      <c r="A231" s="1087" t="s">
        <v>496</v>
      </c>
      <c r="B231" s="1087"/>
      <c r="C231" s="1087"/>
      <c r="D231" s="1087"/>
      <c r="E231" s="1087"/>
      <c r="F231" s="1087"/>
      <c r="G231" s="1087"/>
      <c r="H231" s="1087"/>
      <c r="I231" s="1087"/>
      <c r="J231" s="1087"/>
      <c r="K231" s="1087"/>
      <c r="L231" s="1087"/>
      <c r="M231" s="1087"/>
      <c r="N231" s="1087"/>
      <c r="O231" s="1087"/>
      <c r="P231" s="1087"/>
      <c r="Q231" s="1087"/>
      <c r="R231" s="1087"/>
      <c r="S231" s="1087"/>
      <c r="T231" s="1087"/>
      <c r="U231" s="1087"/>
      <c r="V231" s="1087"/>
      <c r="W231" s="1087"/>
      <c r="X231" s="1087"/>
      <c r="Y231" s="1087"/>
      <c r="Z231" s="1087"/>
      <c r="AA231" s="1087"/>
      <c r="AB231" s="1087"/>
      <c r="AC231" s="1087"/>
      <c r="AD231" s="1087"/>
      <c r="AE231" s="1087"/>
      <c r="AF231" s="1087"/>
      <c r="AG231" s="1087"/>
      <c r="AH231" s="1087"/>
      <c r="AI231" s="1087"/>
      <c r="AJ231" s="1087"/>
      <c r="AK231" s="1087"/>
      <c r="AL231" s="1087"/>
      <c r="AM231" s="1087"/>
      <c r="AN231" s="1087"/>
      <c r="AO231" s="1087"/>
      <c r="AP231" s="1087"/>
      <c r="AQ231" s="1087"/>
      <c r="AR231" s="1087"/>
      <c r="AS231" s="1087"/>
      <c r="AT231" s="1087"/>
    </row>
    <row r="232" spans="1:59" ht="12.95" customHeight="1">
      <c r="A232" s="1087"/>
      <c r="B232" s="1087"/>
      <c r="C232" s="1087"/>
      <c r="D232" s="1087"/>
      <c r="E232" s="1087"/>
      <c r="F232" s="1087"/>
      <c r="G232" s="1087"/>
      <c r="H232" s="1087"/>
      <c r="I232" s="1087"/>
      <c r="J232" s="1087"/>
      <c r="K232" s="1087"/>
      <c r="L232" s="1087"/>
      <c r="M232" s="1087"/>
      <c r="N232" s="1087"/>
      <c r="O232" s="1087"/>
      <c r="P232" s="1087"/>
      <c r="Q232" s="1087"/>
      <c r="R232" s="1087"/>
      <c r="S232" s="1087"/>
      <c r="T232" s="1087"/>
      <c r="U232" s="1087"/>
      <c r="V232" s="1087"/>
      <c r="W232" s="1087"/>
      <c r="X232" s="1087"/>
      <c r="Y232" s="1087"/>
      <c r="Z232" s="1087"/>
      <c r="AA232" s="1087"/>
      <c r="AB232" s="1087"/>
      <c r="AC232" s="1087"/>
      <c r="AD232" s="1087"/>
      <c r="AE232" s="1087"/>
      <c r="AF232" s="1087"/>
      <c r="AG232" s="1087"/>
      <c r="AH232" s="1087"/>
      <c r="AI232" s="1087"/>
      <c r="AJ232" s="1087"/>
      <c r="AK232" s="1087"/>
      <c r="AL232" s="1087"/>
      <c r="AM232" s="1087"/>
      <c r="AN232" s="1087"/>
      <c r="AO232" s="1087"/>
      <c r="AP232" s="1087"/>
      <c r="AQ232" s="1087"/>
      <c r="AR232" s="1087"/>
      <c r="AS232" s="1087"/>
      <c r="AT232" s="1087"/>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9" t="str">
        <f>H15</f>
        <v xml:space="preserve">Marina Annex Housing Partners, LP </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5" customHeight="1">
      <c r="D236" s="5" t="s">
        <v>373</v>
      </c>
      <c r="E236" s="5"/>
      <c r="F236" s="5"/>
      <c r="G236" s="5"/>
      <c r="H236" s="5"/>
      <c r="I236" s="5"/>
      <c r="J236" s="5"/>
      <c r="K236" s="5"/>
      <c r="M236" s="1395" t="s">
        <v>2332</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638</v>
      </c>
      <c r="BG236" s="410">
        <f>IF(AND(AND($M$251="nonprofit",$M$259="nonprofit",$M$267="nonprofit")),1,0)</f>
        <v>0</v>
      </c>
    </row>
    <row r="237" spans="1:59" ht="12.95" customHeight="1">
      <c r="D237" s="5" t="s">
        <v>431</v>
      </c>
      <c r="E237" s="5"/>
      <c r="M237" s="1107" t="s">
        <v>2333</v>
      </c>
      <c r="N237" s="1395"/>
      <c r="O237" s="1395"/>
      <c r="P237" s="1395"/>
      <c r="Q237" s="1395"/>
      <c r="R237" s="1395"/>
      <c r="S237" s="1395"/>
      <c r="T237" s="1395"/>
      <c r="V237" s="42" t="s">
        <v>374</v>
      </c>
      <c r="W237" s="1478" t="s">
        <v>2334</v>
      </c>
      <c r="X237" s="1263"/>
      <c r="Y237" s="5" t="s">
        <v>434</v>
      </c>
      <c r="AC237" s="1395">
        <v>98121</v>
      </c>
      <c r="AD237" s="1395"/>
      <c r="AE237" s="1395"/>
      <c r="AN237" s="41"/>
      <c r="BB237" t="s">
        <v>638</v>
      </c>
      <c r="BG237" s="410">
        <f>IF(AND(AND($M$251="nonprofit",$M$259="nonprofit",$M$267="(select one)")),1,0)</f>
        <v>0</v>
      </c>
    </row>
    <row r="238" spans="1:59" ht="12.95" customHeight="1">
      <c r="D238" s="5" t="s">
        <v>375</v>
      </c>
      <c r="E238" s="5"/>
      <c r="F238" s="5"/>
      <c r="G238" s="5"/>
      <c r="H238" s="5"/>
      <c r="I238" s="5"/>
      <c r="J238" s="5"/>
      <c r="K238" s="28"/>
      <c r="M238" s="1107" t="s">
        <v>2335</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638</v>
      </c>
      <c r="BG238" s="410">
        <f>IF(AND(AND($M$251="nonprofit",$M$259="(select one)",$M$267="(select one)")),1,0)</f>
        <v>0</v>
      </c>
    </row>
    <row r="239" spans="1:59" ht="12.95" customHeight="1">
      <c r="D239" s="5" t="s">
        <v>376</v>
      </c>
      <c r="E239" s="5"/>
      <c r="F239" s="5"/>
      <c r="M239" s="1374" t="s">
        <v>2362</v>
      </c>
      <c r="N239" s="1268"/>
      <c r="O239" s="1268"/>
      <c r="P239" s="1268"/>
      <c r="Q239" s="1268"/>
      <c r="R239" s="1268"/>
      <c r="S239" s="5" t="s">
        <v>819</v>
      </c>
      <c r="T239" s="5"/>
      <c r="U239" s="1263"/>
      <c r="V239" s="1263"/>
      <c r="W239" s="1263"/>
      <c r="X239" s="5" t="s">
        <v>377</v>
      </c>
      <c r="Z239" s="1268"/>
      <c r="AA239" s="1268"/>
      <c r="AB239" s="1268"/>
      <c r="AC239" s="1268"/>
      <c r="AD239" s="1268"/>
      <c r="AE239" s="1268"/>
      <c r="AM239" s="41"/>
      <c r="AN239" s="41"/>
      <c r="BB239" t="s">
        <v>1010</v>
      </c>
      <c r="BG239" s="410">
        <f>IF(AND(AND($M$251="for profit",$M$259="for profit",$M$267="for profit")),3,0)</f>
        <v>0</v>
      </c>
    </row>
    <row r="240" spans="1:59" ht="12.95" customHeight="1">
      <c r="D240" s="5" t="s">
        <v>378</v>
      </c>
      <c r="E240" s="5"/>
      <c r="F240" s="5"/>
      <c r="M240" s="1476" t="s">
        <v>2336</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62" t="s">
        <v>629</v>
      </c>
      <c r="N241" s="1262"/>
      <c r="O241" s="1262"/>
      <c r="P241" s="1262"/>
      <c r="Q241" s="1262"/>
      <c r="R241" s="1262"/>
      <c r="S241" s="1262"/>
      <c r="T241" s="1262"/>
      <c r="U241" s="5" t="s">
        <v>1145</v>
      </c>
      <c r="AA241" s="1405" t="s">
        <v>2474</v>
      </c>
      <c r="AB241" s="1406"/>
      <c r="AC241" s="1406"/>
      <c r="AD241" s="1406"/>
      <c r="AE241" s="1406"/>
      <c r="AF241" s="1406"/>
      <c r="AG241" s="1406"/>
      <c r="AH241" s="1406"/>
      <c r="AI241" s="1406"/>
      <c r="AJ241" s="1406"/>
      <c r="AK241" s="1406"/>
      <c r="AL241" s="41"/>
      <c r="AM241" s="5"/>
      <c r="AN241" s="41"/>
      <c r="AO241" s="41"/>
      <c r="BB241" t="s">
        <v>1010</v>
      </c>
      <c r="BG241" s="411">
        <f>IF(AND(AND($M$251="for profit",$M$259="(select one)",$M$267="(select one)")),3,0)</f>
        <v>0</v>
      </c>
    </row>
    <row r="242" spans="1:67" ht="12.95" customHeight="1">
      <c r="D242" t="s">
        <v>632</v>
      </c>
      <c r="M242" s="1107"/>
      <c r="N242" s="1111"/>
      <c r="O242" s="1111"/>
      <c r="P242" s="1111"/>
      <c r="Q242" s="1111"/>
      <c r="R242" s="1111"/>
      <c r="S242" s="1111"/>
      <c r="T242" s="1111"/>
      <c r="U242" s="1111"/>
      <c r="V242" s="1111"/>
      <c r="W242" s="1111"/>
      <c r="X242" s="1111"/>
      <c r="Y242" s="1111"/>
      <c r="Z242" s="1111"/>
      <c r="AA242" s="1111"/>
      <c r="AB242" s="1111"/>
      <c r="AC242" s="1111"/>
      <c r="AD242" s="1111"/>
      <c r="AE242" s="1111"/>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402" t="s">
        <v>2337</v>
      </c>
      <c r="N245" s="1402"/>
      <c r="O245" s="1402"/>
      <c r="P245" s="1402"/>
      <c r="Q245" s="1402"/>
      <c r="R245" s="1402"/>
      <c r="S245" s="1402"/>
      <c r="T245" s="1402"/>
      <c r="U245" s="1402"/>
      <c r="V245" s="1402"/>
      <c r="W245" s="1402"/>
      <c r="X245" s="1402"/>
      <c r="Y245" s="1402"/>
      <c r="Z245" s="1402"/>
      <c r="AA245" s="1402"/>
      <c r="AB245" s="1402"/>
      <c r="AC245" s="1402"/>
      <c r="AD245" s="1402"/>
      <c r="AE245" s="1402"/>
      <c r="AF245" s="1475" t="s">
        <v>2338</v>
      </c>
      <c r="AG245" s="1475"/>
      <c r="AH245" s="1475"/>
      <c r="AI245" s="1475"/>
      <c r="AJ245" s="1475"/>
      <c r="AK245" s="1475"/>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107" t="s">
        <v>2471</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455</v>
      </c>
      <c r="BH246">
        <v>3</v>
      </c>
      <c r="BI246" t="s">
        <v>637</v>
      </c>
    </row>
    <row r="247" spans="1:67" ht="12.95" customHeight="1">
      <c r="A247" s="28"/>
      <c r="B247" s="5"/>
      <c r="C247" s="5"/>
      <c r="D247" s="5" t="s">
        <v>431</v>
      </c>
      <c r="E247" s="5"/>
      <c r="M247" s="1107" t="s">
        <v>2470</v>
      </c>
      <c r="N247" s="1395"/>
      <c r="O247" s="1395"/>
      <c r="P247" s="1395"/>
      <c r="Q247" s="1395"/>
      <c r="R247" s="1395"/>
      <c r="S247" s="1395"/>
      <c r="T247" s="1395"/>
      <c r="V247" s="42" t="s">
        <v>374</v>
      </c>
      <c r="W247" s="1478" t="s">
        <v>2472</v>
      </c>
      <c r="X247" s="1263"/>
      <c r="Y247" s="5" t="s">
        <v>434</v>
      </c>
      <c r="AC247" s="1395">
        <v>92618</v>
      </c>
      <c r="AD247" s="1395"/>
      <c r="AE247" s="1395"/>
      <c r="AN247" s="41"/>
    </row>
    <row r="248" spans="1:67" ht="12.95" customHeight="1">
      <c r="A248" s="28"/>
      <c r="B248" s="5"/>
      <c r="C248" s="5"/>
      <c r="D248" s="5" t="s">
        <v>375</v>
      </c>
      <c r="E248" s="5"/>
      <c r="F248" s="5"/>
      <c r="G248" s="5"/>
      <c r="H248" s="5"/>
      <c r="I248" s="5"/>
      <c r="J248" s="5"/>
      <c r="K248" s="5"/>
      <c r="L248" s="28"/>
      <c r="M248" s="1107" t="s">
        <v>2479</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5" customHeight="1">
      <c r="A249" s="28"/>
      <c r="B249" s="5"/>
      <c r="C249" s="5"/>
      <c r="D249" s="5" t="s">
        <v>376</v>
      </c>
      <c r="E249" s="5"/>
      <c r="F249" s="5"/>
      <c r="M249" s="1374" t="s">
        <v>2480</v>
      </c>
      <c r="N249" s="1268"/>
      <c r="O249" s="1268"/>
      <c r="P249" s="1268"/>
      <c r="Q249" s="1268"/>
      <c r="R249" s="1268"/>
      <c r="S249" s="5" t="s">
        <v>819</v>
      </c>
      <c r="T249" s="5"/>
      <c r="U249" s="1263"/>
      <c r="V249" s="1263"/>
      <c r="W249" s="1263"/>
      <c r="X249" s="5" t="s">
        <v>377</v>
      </c>
      <c r="Z249" s="1268"/>
      <c r="AA249" s="1268"/>
      <c r="AB249" s="1268"/>
      <c r="AC249" s="1268"/>
      <c r="AD249" s="1268"/>
      <c r="AE249" s="1268"/>
      <c r="AM249" s="5"/>
      <c r="AN249" s="41"/>
    </row>
    <row r="250" spans="1:67" ht="12.95" customHeight="1">
      <c r="A250" s="28"/>
      <c r="B250" s="5"/>
      <c r="C250" s="5"/>
      <c r="D250" s="5" t="s">
        <v>378</v>
      </c>
      <c r="E250" s="5"/>
      <c r="F250" s="5"/>
      <c r="M250" s="1476" t="s">
        <v>2481</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2.95" customHeight="1">
      <c r="A251" s="18"/>
      <c r="B251" s="5"/>
      <c r="C251" s="62"/>
      <c r="D251" s="5" t="s">
        <v>636</v>
      </c>
      <c r="E251" s="5"/>
      <c r="F251" s="5"/>
      <c r="G251" s="5"/>
      <c r="H251" s="5"/>
      <c r="I251" s="5"/>
      <c r="J251" s="5"/>
      <c r="K251" s="5"/>
      <c r="L251" s="5"/>
      <c r="M251" s="1262" t="s">
        <v>635</v>
      </c>
      <c r="N251" s="1262"/>
      <c r="O251" s="1262"/>
      <c r="P251" s="1262"/>
      <c r="Q251" s="1262"/>
      <c r="R251" s="1262"/>
      <c r="S251" s="1262"/>
      <c r="T251" s="1262"/>
      <c r="U251" s="5" t="s">
        <v>1145</v>
      </c>
      <c r="AA251" s="1405" t="s">
        <v>2473</v>
      </c>
      <c r="AB251" s="1406"/>
      <c r="AC251" s="1406"/>
      <c r="AD251" s="1406"/>
      <c r="AE251" s="1406"/>
      <c r="AF251" s="1406"/>
      <c r="AG251" s="1406"/>
      <c r="AH251" s="1406"/>
      <c r="AI251" s="1406"/>
      <c r="AJ251" s="1406"/>
      <c r="AK251" s="140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402" t="s">
        <v>2339</v>
      </c>
      <c r="N253" s="1402"/>
      <c r="O253" s="1402"/>
      <c r="P253" s="1402"/>
      <c r="Q253" s="1402"/>
      <c r="R253" s="1402"/>
      <c r="S253" s="1402"/>
      <c r="T253" s="1402"/>
      <c r="U253" s="1402"/>
      <c r="V253" s="1402"/>
      <c r="W253" s="1402"/>
      <c r="X253" s="1402"/>
      <c r="Y253" s="1402"/>
      <c r="Z253" s="1402"/>
      <c r="AA253" s="1402"/>
      <c r="AB253" s="1402"/>
      <c r="AC253" s="1402"/>
      <c r="AD253" s="1402"/>
      <c r="AE253" s="1402"/>
      <c r="AF253" s="1475" t="s">
        <v>2340</v>
      </c>
      <c r="AG253" s="1475"/>
      <c r="AH253" s="1475"/>
      <c r="AI253" s="1475"/>
      <c r="AJ253" s="1475"/>
      <c r="AK253" s="1475"/>
      <c r="AM253" s="5"/>
    </row>
    <row r="254" spans="1:67" ht="12.95" customHeight="1">
      <c r="A254" s="28"/>
      <c r="B254" s="5"/>
      <c r="C254" s="5"/>
      <c r="D254" s="5" t="s">
        <v>373</v>
      </c>
      <c r="E254" s="5"/>
      <c r="F254" s="5"/>
      <c r="G254" s="5"/>
      <c r="H254" s="5"/>
      <c r="I254" s="5"/>
      <c r="J254" s="5"/>
      <c r="K254" s="5"/>
      <c r="L254" s="5"/>
      <c r="M254" s="1395" t="s">
        <v>2332</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5" customHeight="1">
      <c r="A255" s="28"/>
      <c r="B255" s="5"/>
      <c r="C255" s="5"/>
      <c r="D255" s="5" t="s">
        <v>431</v>
      </c>
      <c r="E255" s="5"/>
      <c r="M255" s="1395" t="s">
        <v>2333</v>
      </c>
      <c r="N255" s="1395"/>
      <c r="O255" s="1395"/>
      <c r="P255" s="1395"/>
      <c r="Q255" s="1395"/>
      <c r="R255" s="1395"/>
      <c r="S255" s="1395"/>
      <c r="T255" s="1395"/>
      <c r="V255" s="42" t="s">
        <v>374</v>
      </c>
      <c r="W255" s="1263" t="s">
        <v>2334</v>
      </c>
      <c r="X255" s="1263"/>
      <c r="Y255" s="5" t="s">
        <v>434</v>
      </c>
      <c r="AC255" s="1395">
        <v>98121</v>
      </c>
      <c r="AD255" s="1395"/>
      <c r="AE255" s="1395"/>
    </row>
    <row r="256" spans="1:67" ht="12.95" customHeight="1">
      <c r="A256" s="28"/>
      <c r="B256" s="5"/>
      <c r="C256" s="5"/>
      <c r="D256" s="5" t="s">
        <v>375</v>
      </c>
      <c r="E256" s="5"/>
      <c r="F256" s="5"/>
      <c r="G256" s="5"/>
      <c r="H256" s="5"/>
      <c r="I256" s="5"/>
      <c r="J256" s="5"/>
      <c r="K256" s="5"/>
      <c r="L256" s="28"/>
      <c r="M256" s="1395" t="s">
        <v>2335</v>
      </c>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5" customHeight="1">
      <c r="A257" s="28"/>
      <c r="B257" s="5"/>
      <c r="C257" s="5"/>
      <c r="D257" s="5" t="s">
        <v>376</v>
      </c>
      <c r="E257" s="5"/>
      <c r="F257" s="5"/>
      <c r="M257" s="1374" t="s">
        <v>2362</v>
      </c>
      <c r="N257" s="1268"/>
      <c r="O257" s="1268"/>
      <c r="P257" s="1268"/>
      <c r="Q257" s="1268"/>
      <c r="R257" s="1268"/>
      <c r="S257" s="5" t="s">
        <v>819</v>
      </c>
      <c r="T257" s="5"/>
      <c r="U257" s="1263"/>
      <c r="V257" s="1263"/>
      <c r="W257" s="1263"/>
      <c r="X257" s="5" t="s">
        <v>377</v>
      </c>
      <c r="Z257" s="1268"/>
      <c r="AA257" s="1268"/>
      <c r="AB257" s="1268"/>
      <c r="AC257" s="1268"/>
      <c r="AD257" s="1268"/>
      <c r="AE257" s="1268"/>
      <c r="BA257" s="43"/>
    </row>
    <row r="258" spans="1:53" ht="12.95" customHeight="1">
      <c r="A258" s="28"/>
      <c r="B258" s="5"/>
      <c r="C258" s="5"/>
      <c r="D258" s="5" t="s">
        <v>378</v>
      </c>
      <c r="E258" s="5"/>
      <c r="F258" s="5"/>
      <c r="M258" s="1476" t="s">
        <v>2336</v>
      </c>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2.95" customHeight="1">
      <c r="A259" s="18"/>
      <c r="B259" s="5"/>
      <c r="C259" s="62"/>
      <c r="D259" s="5" t="s">
        <v>636</v>
      </c>
      <c r="E259" s="5"/>
      <c r="F259" s="5"/>
      <c r="G259" s="5"/>
      <c r="H259" s="5"/>
      <c r="I259" s="5"/>
      <c r="J259" s="5"/>
      <c r="K259" s="5"/>
      <c r="L259" s="5"/>
      <c r="M259" s="1262" t="s">
        <v>637</v>
      </c>
      <c r="N259" s="1262"/>
      <c r="O259" s="1262"/>
      <c r="P259" s="1262"/>
      <c r="Q259" s="1262"/>
      <c r="R259" s="1262"/>
      <c r="S259" s="1262"/>
      <c r="T259" s="1262"/>
      <c r="U259" s="5" t="s">
        <v>1145</v>
      </c>
      <c r="AA259" s="1405" t="s">
        <v>2474</v>
      </c>
      <c r="AB259" s="1406"/>
      <c r="AC259" s="1406"/>
      <c r="AD259" s="1406"/>
      <c r="AE259" s="1406"/>
      <c r="AF259" s="1406"/>
      <c r="AG259" s="1406"/>
      <c r="AH259" s="1406"/>
      <c r="AI259" s="1406"/>
      <c r="AJ259" s="1406"/>
      <c r="AK259" s="140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1888</v>
      </c>
      <c r="D261" s="5" t="s">
        <v>633</v>
      </c>
      <c r="E261" s="5"/>
      <c r="F261" s="5"/>
      <c r="G261" s="5"/>
      <c r="H261" s="5"/>
      <c r="I261" s="5"/>
      <c r="J261" s="5"/>
      <c r="K261" s="5"/>
      <c r="L261" s="5"/>
      <c r="M261" s="1475"/>
      <c r="N261" s="1475"/>
      <c r="O261" s="1475"/>
      <c r="P261" s="1475"/>
      <c r="Q261" s="1475"/>
      <c r="R261" s="1475"/>
      <c r="S261" s="1475"/>
      <c r="T261" s="1475"/>
      <c r="U261" s="1475"/>
      <c r="V261" s="1475"/>
      <c r="W261" s="1475"/>
      <c r="X261" s="1475"/>
      <c r="Y261" s="1475"/>
      <c r="Z261" s="1475"/>
      <c r="AA261" s="1475"/>
      <c r="AB261" s="1475"/>
      <c r="AC261" s="1475"/>
      <c r="AD261" s="1475"/>
      <c r="AE261" s="1475"/>
      <c r="AF261" s="1475" t="s">
        <v>79</v>
      </c>
      <c r="AG261" s="1475"/>
      <c r="AH261" s="1475"/>
      <c r="AI261" s="1475"/>
      <c r="AJ261" s="1475"/>
      <c r="AK261" s="1475"/>
      <c r="AL261" s="41"/>
    </row>
    <row r="262" spans="1:53" ht="12.95" customHeight="1">
      <c r="A262" s="18"/>
      <c r="B262" s="5"/>
      <c r="C262" s="5"/>
      <c r="D262" s="5" t="s">
        <v>373</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5" customHeight="1">
      <c r="A263" s="18"/>
      <c r="B263" s="5"/>
      <c r="C263" s="5"/>
      <c r="D263" s="5" t="s">
        <v>431</v>
      </c>
      <c r="E263" s="5"/>
      <c r="M263" s="1107"/>
      <c r="N263" s="1395"/>
      <c r="O263" s="1395"/>
      <c r="P263" s="1395"/>
      <c r="Q263" s="1395"/>
      <c r="R263" s="1395"/>
      <c r="S263" s="1395"/>
      <c r="T263" s="1395"/>
      <c r="V263" s="42" t="s">
        <v>374</v>
      </c>
      <c r="W263" s="1478"/>
      <c r="X263" s="1263"/>
      <c r="Y263" s="5" t="s">
        <v>434</v>
      </c>
      <c r="AC263" s="1395"/>
      <c r="AD263" s="1395"/>
      <c r="AE263" s="1395"/>
      <c r="AL263" s="41"/>
      <c r="BA263" s="43"/>
    </row>
    <row r="264" spans="1:53" ht="12.95" customHeight="1">
      <c r="A264" s="18"/>
      <c r="B264" s="5"/>
      <c r="C264" s="5"/>
      <c r="D264" s="5" t="s">
        <v>375</v>
      </c>
      <c r="E264" s="5"/>
      <c r="F264" s="5"/>
      <c r="G264" s="5"/>
      <c r="H264" s="5"/>
      <c r="I264" s="5"/>
      <c r="J264" s="5"/>
      <c r="K264" s="5"/>
      <c r="L264" s="28"/>
      <c r="M264" s="1107"/>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5" customHeight="1">
      <c r="A265" s="18"/>
      <c r="B265" s="5"/>
      <c r="C265" s="5"/>
      <c r="D265" s="5" t="s">
        <v>376</v>
      </c>
      <c r="E265" s="5"/>
      <c r="F265" s="5"/>
      <c r="M265" s="1374"/>
      <c r="N265" s="1268"/>
      <c r="O265" s="1268"/>
      <c r="P265" s="1268"/>
      <c r="Q265" s="1268"/>
      <c r="R265" s="1268"/>
      <c r="S265" s="5" t="s">
        <v>819</v>
      </c>
      <c r="T265" s="5"/>
      <c r="U265" s="1263"/>
      <c r="V265" s="1263"/>
      <c r="W265" s="1263"/>
      <c r="X265" s="5" t="s">
        <v>377</v>
      </c>
      <c r="Z265" s="1268"/>
      <c r="AA265" s="1268"/>
      <c r="AB265" s="1268"/>
      <c r="AC265" s="1268"/>
      <c r="AD265" s="1268"/>
      <c r="AE265" s="1268"/>
      <c r="AL265" s="41"/>
      <c r="BA265" s="43"/>
    </row>
    <row r="266" spans="1:53" ht="12.95" customHeight="1">
      <c r="A266" s="18"/>
      <c r="B266" s="5"/>
      <c r="C266" s="5"/>
      <c r="D266" s="5" t="s">
        <v>378</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62" t="s">
        <v>79</v>
      </c>
      <c r="N267" s="1262"/>
      <c r="O267" s="1262"/>
      <c r="P267" s="1262"/>
      <c r="Q267" s="1262"/>
      <c r="R267" s="1262"/>
      <c r="S267" s="1262"/>
      <c r="T267" s="1262"/>
      <c r="U267" s="5" t="s">
        <v>1145</v>
      </c>
      <c r="AA267" s="1405"/>
      <c r="AB267" s="1406"/>
      <c r="AC267" s="1406"/>
      <c r="AD267" s="1406"/>
      <c r="AE267" s="1406"/>
      <c r="AF267" s="1406"/>
      <c r="AG267" s="1406"/>
      <c r="AH267" s="1406"/>
      <c r="AI267" s="1406"/>
      <c r="AJ267" s="1406"/>
      <c r="AK267" s="1406"/>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2" t="str">
        <f>BO245</f>
        <v>Joint Venture</v>
      </c>
      <c r="U269" s="1582"/>
      <c r="V269" s="1582"/>
      <c r="W269" s="1582"/>
      <c r="X269" s="1582"/>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95" t="s">
        <v>893</v>
      </c>
      <c r="E272" s="1395"/>
      <c r="F272" s="1395"/>
      <c r="G272" s="1395"/>
      <c r="H272" s="1395"/>
      <c r="J272" t="s">
        <v>892</v>
      </c>
      <c r="X272" s="1477"/>
      <c r="Y272" s="1477"/>
      <c r="Z272" s="1477"/>
      <c r="AA272" s="1477"/>
      <c r="AB272" s="1477"/>
      <c r="AC272" s="1477"/>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02" t="s">
        <v>2341</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5" customHeight="1">
      <c r="D277" s="5" t="s">
        <v>373</v>
      </c>
      <c r="E277" s="5"/>
      <c r="F277" s="5"/>
      <c r="G277" s="5"/>
      <c r="H277" s="5"/>
      <c r="I277" s="5"/>
      <c r="J277" s="5"/>
      <c r="K277" s="5"/>
      <c r="L277" s="1395" t="str">
        <f>M254</f>
        <v>2607 2nd Avenue, Suite 300</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5" customHeight="1">
      <c r="D278" s="5" t="s">
        <v>431</v>
      </c>
      <c r="E278" s="5"/>
      <c r="L278" s="1107" t="s">
        <v>2333</v>
      </c>
      <c r="M278" s="1395"/>
      <c r="N278" s="1395"/>
      <c r="O278" s="1395"/>
      <c r="P278" s="1395"/>
      <c r="Q278" s="1395"/>
      <c r="R278" s="1395"/>
      <c r="S278" s="1395"/>
      <c r="U278" s="42" t="s">
        <v>374</v>
      </c>
      <c r="V278" s="1478" t="s">
        <v>2334</v>
      </c>
      <c r="W278" s="1263"/>
      <c r="X278" s="5" t="s">
        <v>434</v>
      </c>
      <c r="AB278" s="1395">
        <v>98121</v>
      </c>
      <c r="AC278" s="1395"/>
      <c r="AD278" s="1395"/>
      <c r="AK278" s="41"/>
      <c r="AL278" s="41"/>
      <c r="BA278" s="43"/>
    </row>
    <row r="279" spans="1:53" ht="12.95" customHeight="1">
      <c r="D279" s="5" t="s">
        <v>375</v>
      </c>
      <c r="E279" s="5"/>
      <c r="F279" s="5"/>
      <c r="G279" s="5"/>
      <c r="H279" s="5"/>
      <c r="I279" s="5"/>
      <c r="J279" s="5"/>
      <c r="K279" s="28"/>
      <c r="L279" s="1107" t="s">
        <v>2335</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5" customHeight="1">
      <c r="D280" s="5" t="s">
        <v>376</v>
      </c>
      <c r="E280" s="5"/>
      <c r="F280" s="5"/>
      <c r="L280" s="1374" t="s">
        <v>2362</v>
      </c>
      <c r="M280" s="1268"/>
      <c r="N280" s="1268"/>
      <c r="O280" s="1268"/>
      <c r="P280" s="1268"/>
      <c r="Q280" s="1268"/>
      <c r="R280" s="5" t="s">
        <v>819</v>
      </c>
      <c r="S280" s="5"/>
      <c r="T280" s="1263"/>
      <c r="U280" s="1263"/>
      <c r="V280" s="1263"/>
      <c r="W280" s="5" t="s">
        <v>377</v>
      </c>
      <c r="Y280" s="1268"/>
      <c r="Z280" s="1268"/>
      <c r="AA280" s="1268"/>
      <c r="AB280" s="1268"/>
      <c r="AC280" s="1268"/>
      <c r="AD280" s="1268"/>
      <c r="BA280" s="43"/>
    </row>
    <row r="281" spans="1:53" ht="12.95" customHeight="1">
      <c r="D281" s="5" t="s">
        <v>378</v>
      </c>
      <c r="E281" s="5"/>
      <c r="F281" s="5"/>
      <c r="L281" s="1476" t="s">
        <v>2336</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2.95" customHeight="1">
      <c r="D282" s="41" t="s">
        <v>186</v>
      </c>
      <c r="E282" s="41"/>
      <c r="F282" s="41"/>
      <c r="G282" s="41"/>
      <c r="H282" s="41"/>
      <c r="I282" s="41"/>
      <c r="L282" s="1478" t="s">
        <v>2342</v>
      </c>
      <c r="M282" s="1478"/>
      <c r="N282" s="1478"/>
      <c r="O282" s="1478"/>
      <c r="P282" s="1478"/>
      <c r="Q282" s="1478"/>
      <c r="R282" s="1478"/>
      <c r="S282" s="1478"/>
      <c r="T282" s="1478"/>
      <c r="U282" s="1478"/>
      <c r="V282" s="1478"/>
      <c r="W282" s="1478"/>
      <c r="X282" s="1478"/>
      <c r="Y282" s="1478"/>
      <c r="Z282" s="1478"/>
      <c r="AA282" s="1478"/>
      <c r="AB282" s="1478"/>
      <c r="AC282" s="1478"/>
      <c r="AD282" s="1478"/>
      <c r="AK282" s="41"/>
      <c r="AL282" s="41"/>
      <c r="BA282" s="43"/>
    </row>
    <row r="283" spans="1:53" ht="12.95" customHeight="1">
      <c r="L283" s="4" t="s">
        <v>187</v>
      </c>
      <c r="BA283" s="43"/>
    </row>
    <row r="284" spans="1:53" ht="12.95" customHeight="1">
      <c r="A284" s="1087" t="s">
        <v>497</v>
      </c>
      <c r="B284" s="1087"/>
      <c r="C284" s="1087"/>
      <c r="D284" s="1087"/>
      <c r="E284" s="1087"/>
      <c r="F284" s="1087"/>
      <c r="G284" s="1087"/>
      <c r="H284" s="1087"/>
      <c r="I284" s="1087"/>
      <c r="J284" s="1087"/>
      <c r="K284" s="1087"/>
      <c r="L284" s="1087"/>
      <c r="M284" s="1087"/>
      <c r="N284" s="1087"/>
      <c r="O284" s="1087"/>
      <c r="P284" s="1087"/>
      <c r="Q284" s="1087"/>
      <c r="R284" s="1087"/>
      <c r="S284" s="1087"/>
      <c r="T284" s="1087"/>
      <c r="U284" s="1087"/>
      <c r="V284" s="1087"/>
      <c r="W284" s="1087"/>
      <c r="X284" s="1087"/>
      <c r="Y284" s="1087"/>
      <c r="Z284" s="1087"/>
      <c r="AA284" s="1087"/>
      <c r="AB284" s="1087"/>
      <c r="AC284" s="1087"/>
      <c r="AD284" s="1087"/>
      <c r="AE284" s="1087"/>
      <c r="AF284" s="1087"/>
      <c r="AG284" s="1087"/>
      <c r="AH284" s="1087"/>
      <c r="AI284" s="1087"/>
      <c r="AJ284" s="1087"/>
      <c r="AK284" s="1087"/>
      <c r="AL284" s="1087"/>
      <c r="AM284" s="1087"/>
      <c r="AN284" s="1087"/>
      <c r="AO284" s="1087"/>
      <c r="AP284" s="1087"/>
      <c r="AQ284" s="1087"/>
      <c r="AR284" s="1087"/>
      <c r="AS284" s="1087"/>
      <c r="AT284" s="1087"/>
      <c r="BA284" s="43"/>
    </row>
    <row r="285" spans="1:53" ht="12.95" customHeight="1">
      <c r="A285" s="1087"/>
      <c r="B285" s="1087"/>
      <c r="C285" s="1087"/>
      <c r="D285" s="1087"/>
      <c r="E285" s="1087"/>
      <c r="F285" s="1087"/>
      <c r="G285" s="1087"/>
      <c r="H285" s="1087"/>
      <c r="I285" s="1087"/>
      <c r="J285" s="1087"/>
      <c r="K285" s="1087"/>
      <c r="L285" s="1087"/>
      <c r="M285" s="1087"/>
      <c r="N285" s="1087"/>
      <c r="O285" s="1087"/>
      <c r="P285" s="1087"/>
      <c r="Q285" s="1087"/>
      <c r="R285" s="1087"/>
      <c r="S285" s="1087"/>
      <c r="T285" s="1087"/>
      <c r="U285" s="1087"/>
      <c r="V285" s="1087"/>
      <c r="W285" s="1087"/>
      <c r="X285" s="1087"/>
      <c r="Y285" s="1087"/>
      <c r="Z285" s="1087"/>
      <c r="AA285" s="1087"/>
      <c r="AB285" s="1087"/>
      <c r="AC285" s="1087"/>
      <c r="AD285" s="1087"/>
      <c r="AE285" s="1087"/>
      <c r="AF285" s="1087"/>
      <c r="AG285" s="1087"/>
      <c r="AH285" s="1087"/>
      <c r="AI285" s="1087"/>
      <c r="AJ285" s="1087"/>
      <c r="AK285" s="1087"/>
      <c r="AL285" s="1087"/>
      <c r="AM285" s="1087"/>
      <c r="AN285" s="1087"/>
      <c r="AO285" s="1087"/>
      <c r="AP285" s="1087"/>
      <c r="AQ285" s="1087"/>
      <c r="AR285" s="1087"/>
      <c r="AS285" s="1087"/>
      <c r="AT285" s="108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1" t="s">
        <v>2341</v>
      </c>
      <c r="I289" s="1111"/>
      <c r="J289" s="1111"/>
      <c r="K289" s="1111"/>
      <c r="L289" s="1111"/>
      <c r="M289" s="1111"/>
      <c r="N289" s="1111"/>
      <c r="O289" s="1111"/>
      <c r="P289" s="1111"/>
      <c r="Q289" s="1111"/>
      <c r="R289" s="1111"/>
      <c r="T289" s="41" t="s">
        <v>746</v>
      </c>
      <c r="V289" s="41"/>
      <c r="W289" s="41"/>
      <c r="X289" s="41"/>
      <c r="Y289" s="41"/>
      <c r="AA289" s="1111" t="s">
        <v>2344</v>
      </c>
      <c r="AB289" s="1111"/>
      <c r="AC289" s="1111"/>
      <c r="AD289" s="1111"/>
      <c r="AE289" s="1111"/>
      <c r="AF289" s="1111"/>
      <c r="AG289" s="1111"/>
      <c r="AH289" s="1111"/>
      <c r="AI289" s="1111"/>
      <c r="AJ289" s="1111"/>
      <c r="AK289" s="1111"/>
      <c r="BA289" s="43"/>
    </row>
    <row r="290" spans="2:53" ht="12.95" customHeight="1">
      <c r="B290" s="41" t="s">
        <v>700</v>
      </c>
      <c r="C290" s="41"/>
      <c r="D290" s="41"/>
      <c r="E290" s="41"/>
      <c r="F290" s="41"/>
      <c r="H290" s="1262" t="s">
        <v>2332</v>
      </c>
      <c r="I290" s="1262"/>
      <c r="J290" s="1262"/>
      <c r="K290" s="1262"/>
      <c r="L290" s="1262"/>
      <c r="M290" s="1262"/>
      <c r="N290" s="1262"/>
      <c r="O290" s="1262"/>
      <c r="P290" s="1262"/>
      <c r="Q290" s="1262"/>
      <c r="R290" s="1262"/>
      <c r="T290" s="41" t="s">
        <v>700</v>
      </c>
      <c r="V290" s="41"/>
      <c r="W290" s="41"/>
      <c r="X290" s="41"/>
      <c r="Y290" s="41"/>
      <c r="AA290" s="1262" t="s">
        <v>2345</v>
      </c>
      <c r="AB290" s="1262"/>
      <c r="AC290" s="1262"/>
      <c r="AD290" s="1262"/>
      <c r="AE290" s="1262"/>
      <c r="AF290" s="1262"/>
      <c r="AG290" s="1262"/>
      <c r="AH290" s="1262"/>
      <c r="AI290" s="1262"/>
      <c r="AJ290" s="1262"/>
      <c r="AK290" s="1262"/>
      <c r="BA290" s="43"/>
    </row>
    <row r="291" spans="2:53" ht="12.95" customHeight="1">
      <c r="B291" s="41" t="s">
        <v>702</v>
      </c>
      <c r="C291" s="41"/>
      <c r="D291" s="41"/>
      <c r="E291" s="41"/>
      <c r="F291" s="41"/>
      <c r="H291" s="1262" t="s">
        <v>2343</v>
      </c>
      <c r="I291" s="1262"/>
      <c r="J291" s="1262"/>
      <c r="K291" s="1262"/>
      <c r="L291" s="1262"/>
      <c r="M291" s="1262"/>
      <c r="N291" s="1262"/>
      <c r="O291" s="1262"/>
      <c r="P291" s="1262"/>
      <c r="Q291" s="1262"/>
      <c r="R291" s="1262"/>
      <c r="T291" s="41" t="s">
        <v>701</v>
      </c>
      <c r="V291" s="41"/>
      <c r="W291" s="41"/>
      <c r="X291" s="41"/>
      <c r="Y291" s="41"/>
      <c r="AA291" s="1262" t="s">
        <v>2346</v>
      </c>
      <c r="AB291" s="1262"/>
      <c r="AC291" s="1262"/>
      <c r="AD291" s="1262"/>
      <c r="AE291" s="1262"/>
      <c r="AF291" s="1262"/>
      <c r="AG291" s="1262"/>
      <c r="AH291" s="1262"/>
      <c r="AI291" s="1262"/>
      <c r="AJ291" s="1262"/>
      <c r="AK291" s="1262"/>
      <c r="BA291" s="43"/>
    </row>
    <row r="292" spans="2:53" ht="12.95" customHeight="1">
      <c r="B292" s="41" t="s">
        <v>375</v>
      </c>
      <c r="C292" s="41"/>
      <c r="D292" s="41"/>
      <c r="E292" s="41"/>
      <c r="F292" s="41"/>
      <c r="H292" s="1262" t="s">
        <v>2335</v>
      </c>
      <c r="I292" s="1262"/>
      <c r="J292" s="1262"/>
      <c r="K292" s="1262"/>
      <c r="L292" s="1262"/>
      <c r="M292" s="1262"/>
      <c r="N292" s="1262"/>
      <c r="O292" s="1262"/>
      <c r="P292" s="1262"/>
      <c r="Q292" s="1262"/>
      <c r="R292" s="1262"/>
      <c r="T292" s="41" t="s">
        <v>375</v>
      </c>
      <c r="V292" s="41"/>
      <c r="W292" s="41"/>
      <c r="X292" s="41"/>
      <c r="Y292" s="41"/>
      <c r="AA292" s="1262" t="s">
        <v>2347</v>
      </c>
      <c r="AB292" s="1262"/>
      <c r="AC292" s="1262"/>
      <c r="AD292" s="1262"/>
      <c r="AE292" s="1262"/>
      <c r="AF292" s="1262"/>
      <c r="AG292" s="1262"/>
      <c r="AH292" s="1262"/>
      <c r="AI292" s="1262"/>
      <c r="AJ292" s="1262"/>
      <c r="AK292" s="1262"/>
      <c r="BA292" s="43"/>
    </row>
    <row r="293" spans="2:53" ht="12.95" customHeight="1">
      <c r="B293" s="41" t="s">
        <v>376</v>
      </c>
      <c r="C293" s="41"/>
      <c r="D293" s="41"/>
      <c r="E293" s="41"/>
      <c r="F293" s="41"/>
      <c r="G293" s="41"/>
      <c r="H293" s="1406" t="str">
        <f>L280</f>
        <v>(206) 832-1311</v>
      </c>
      <c r="I293" s="1406"/>
      <c r="J293" s="1406"/>
      <c r="K293" s="1406"/>
      <c r="L293" s="1406"/>
      <c r="M293" s="1406"/>
      <c r="N293" s="5" t="s">
        <v>819</v>
      </c>
      <c r="O293" s="5"/>
      <c r="P293" s="1395"/>
      <c r="Q293" s="1395"/>
      <c r="R293" s="1395"/>
      <c r="S293" s="41"/>
      <c r="T293" s="41" t="s">
        <v>376</v>
      </c>
      <c r="V293" s="41"/>
      <c r="W293" s="41"/>
      <c r="X293" s="41"/>
      <c r="Y293" s="41"/>
      <c r="AA293" s="1405" t="s">
        <v>2361</v>
      </c>
      <c r="AB293" s="1406"/>
      <c r="AC293" s="1406"/>
      <c r="AD293" s="1406"/>
      <c r="AE293" s="1406"/>
      <c r="AF293" s="1406"/>
      <c r="AG293" s="5" t="s">
        <v>819</v>
      </c>
      <c r="AH293" s="5"/>
      <c r="AI293" s="1395"/>
      <c r="AJ293" s="1395"/>
      <c r="AK293" s="1395"/>
      <c r="BA293" s="43"/>
    </row>
    <row r="294" spans="2:53" ht="12.95" customHeight="1">
      <c r="B294" s="41" t="s">
        <v>377</v>
      </c>
      <c r="C294" s="41"/>
      <c r="D294" s="41"/>
      <c r="E294" s="41"/>
      <c r="F294" s="41"/>
      <c r="G294" s="41"/>
      <c r="H294" s="1268"/>
      <c r="I294" s="1268"/>
      <c r="J294" s="1268"/>
      <c r="K294" s="1268"/>
      <c r="L294" s="1268"/>
      <c r="M294" s="1268"/>
      <c r="N294" s="5"/>
      <c r="O294" s="5"/>
      <c r="P294" s="44"/>
      <c r="Q294" s="44"/>
      <c r="R294" s="44"/>
      <c r="S294" s="41"/>
      <c r="T294" s="41" t="s">
        <v>377</v>
      </c>
      <c r="V294" s="41"/>
      <c r="W294" s="41"/>
      <c r="X294" s="41"/>
      <c r="Y294" s="41"/>
      <c r="AA294" s="1268"/>
      <c r="AB294" s="1268"/>
      <c r="AC294" s="1268"/>
      <c r="AD294" s="1268"/>
      <c r="AE294" s="1268"/>
      <c r="AF294" s="1268"/>
      <c r="AG294" s="5"/>
      <c r="AH294" s="5"/>
      <c r="AI294" s="44"/>
      <c r="AJ294" s="44"/>
      <c r="AK294" s="44"/>
      <c r="BA294" s="43"/>
    </row>
    <row r="295" spans="2:53" ht="12.95" customHeight="1">
      <c r="B295" s="41" t="s">
        <v>703</v>
      </c>
      <c r="C295" s="41"/>
      <c r="D295" s="41"/>
      <c r="E295" s="41"/>
      <c r="F295" s="41"/>
      <c r="G295" s="41"/>
      <c r="H295" s="1262" t="str">
        <f>L281</f>
        <v>evan.laws@vitus.com</v>
      </c>
      <c r="I295" s="1262"/>
      <c r="J295" s="1262"/>
      <c r="K295" s="1262"/>
      <c r="L295" s="1262"/>
      <c r="M295" s="1262"/>
      <c r="N295" s="1111"/>
      <c r="O295" s="1111"/>
      <c r="P295" s="1111"/>
      <c r="Q295" s="1111"/>
      <c r="R295" s="1111"/>
      <c r="S295" s="41"/>
      <c r="T295" s="41" t="s">
        <v>703</v>
      </c>
      <c r="V295" s="41"/>
      <c r="W295" s="41"/>
      <c r="X295" s="41"/>
      <c r="Y295" s="41"/>
      <c r="AA295" s="1262" t="s">
        <v>2348</v>
      </c>
      <c r="AB295" s="1262"/>
      <c r="AC295" s="1262"/>
      <c r="AD295" s="1262"/>
      <c r="AE295" s="1262"/>
      <c r="AF295" s="1262"/>
      <c r="AG295" s="1111"/>
      <c r="AH295" s="1111"/>
      <c r="AI295" s="1111"/>
      <c r="AJ295" s="1111"/>
      <c r="AK295" s="111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11" t="s">
        <v>2349</v>
      </c>
      <c r="I297" s="1111"/>
      <c r="J297" s="1111"/>
      <c r="K297" s="1111"/>
      <c r="L297" s="1111"/>
      <c r="M297" s="1111"/>
      <c r="N297" s="1111"/>
      <c r="O297" s="1111"/>
      <c r="P297" s="1111"/>
      <c r="Q297" s="1111"/>
      <c r="R297" s="1111"/>
      <c r="T297" s="41" t="s">
        <v>35</v>
      </c>
      <c r="V297" s="41"/>
      <c r="W297" s="41"/>
      <c r="X297" s="41"/>
      <c r="Y297" s="41"/>
      <c r="AA297" s="1111" t="s">
        <v>2352</v>
      </c>
      <c r="AB297" s="1111"/>
      <c r="AC297" s="1111"/>
      <c r="AD297" s="1111"/>
      <c r="AE297" s="1111"/>
      <c r="AF297" s="1111"/>
      <c r="AG297" s="1111"/>
      <c r="AH297" s="1111"/>
      <c r="AI297" s="1111"/>
      <c r="AJ297" s="1111"/>
      <c r="AK297" s="1111"/>
      <c r="BA297" s="43"/>
    </row>
    <row r="298" spans="2:53" ht="12.95" customHeight="1">
      <c r="B298" s="41" t="s">
        <v>700</v>
      </c>
      <c r="C298" s="41"/>
      <c r="D298" s="41"/>
      <c r="E298" s="41"/>
      <c r="F298" s="41"/>
      <c r="H298" s="1262" t="s">
        <v>2350</v>
      </c>
      <c r="I298" s="1262"/>
      <c r="J298" s="1262"/>
      <c r="K298" s="1262"/>
      <c r="L298" s="1262"/>
      <c r="M298" s="1262"/>
      <c r="N298" s="1262"/>
      <c r="O298" s="1262"/>
      <c r="P298" s="1262"/>
      <c r="Q298" s="1262"/>
      <c r="R298" s="1262"/>
      <c r="T298" s="41" t="s">
        <v>700</v>
      </c>
      <c r="V298" s="41"/>
      <c r="W298" s="41"/>
      <c r="X298" s="41"/>
      <c r="Y298" s="41"/>
      <c r="AA298" s="1262" t="s">
        <v>2353</v>
      </c>
      <c r="AB298" s="1262"/>
      <c r="AC298" s="1262"/>
      <c r="AD298" s="1262"/>
      <c r="AE298" s="1262"/>
      <c r="AF298" s="1262"/>
      <c r="AG298" s="1262"/>
      <c r="AH298" s="1262"/>
      <c r="AI298" s="1262"/>
      <c r="AJ298" s="1262"/>
      <c r="AK298" s="1262"/>
      <c r="BA298" s="43"/>
    </row>
    <row r="299" spans="2:53" ht="12.95" customHeight="1">
      <c r="B299" s="41" t="s">
        <v>702</v>
      </c>
      <c r="C299" s="41"/>
      <c r="D299" s="41"/>
      <c r="E299" s="41"/>
      <c r="F299" s="41"/>
      <c r="H299" s="1262" t="s">
        <v>2351</v>
      </c>
      <c r="I299" s="1262"/>
      <c r="J299" s="1262"/>
      <c r="K299" s="1262"/>
      <c r="L299" s="1262"/>
      <c r="M299" s="1262"/>
      <c r="N299" s="1262"/>
      <c r="O299" s="1262"/>
      <c r="P299" s="1262"/>
      <c r="Q299" s="1262"/>
      <c r="R299" s="1262"/>
      <c r="T299" s="41" t="s">
        <v>701</v>
      </c>
      <c r="V299" s="41"/>
      <c r="W299" s="41"/>
      <c r="X299" s="41"/>
      <c r="Y299" s="41"/>
      <c r="AA299" s="1262" t="s">
        <v>2354</v>
      </c>
      <c r="AB299" s="1262"/>
      <c r="AC299" s="1262"/>
      <c r="AD299" s="1262"/>
      <c r="AE299" s="1262"/>
      <c r="AF299" s="1262"/>
      <c r="AG299" s="1262"/>
      <c r="AH299" s="1262"/>
      <c r="AI299" s="1262"/>
      <c r="AJ299" s="1262"/>
      <c r="AK299" s="1262"/>
      <c r="BA299" s="43"/>
    </row>
    <row r="300" spans="2:53" ht="12.95" customHeight="1">
      <c r="B300" s="41" t="s">
        <v>375</v>
      </c>
      <c r="C300" s="41"/>
      <c r="D300" s="41"/>
      <c r="E300" s="41"/>
      <c r="F300" s="41"/>
      <c r="H300" s="1262" t="s">
        <v>2358</v>
      </c>
      <c r="I300" s="1262"/>
      <c r="J300" s="1262"/>
      <c r="K300" s="1262"/>
      <c r="L300" s="1262"/>
      <c r="M300" s="1262"/>
      <c r="N300" s="1262"/>
      <c r="O300" s="1262"/>
      <c r="P300" s="1262"/>
      <c r="Q300" s="1262"/>
      <c r="R300" s="1262"/>
      <c r="T300" s="41" t="s">
        <v>375</v>
      </c>
      <c r="V300" s="41"/>
      <c r="W300" s="41"/>
      <c r="X300" s="41"/>
      <c r="Y300" s="41"/>
      <c r="AA300" s="1262" t="s">
        <v>2355</v>
      </c>
      <c r="AB300" s="1262"/>
      <c r="AC300" s="1262"/>
      <c r="AD300" s="1262"/>
      <c r="AE300" s="1262"/>
      <c r="AF300" s="1262"/>
      <c r="AG300" s="1262"/>
      <c r="AH300" s="1262"/>
      <c r="AI300" s="1262"/>
      <c r="AJ300" s="1262"/>
      <c r="AK300" s="1262"/>
      <c r="BA300" s="43"/>
    </row>
    <row r="301" spans="2:53" ht="12.95" customHeight="1">
      <c r="B301" s="41" t="s">
        <v>376</v>
      </c>
      <c r="C301" s="41"/>
      <c r="D301" s="41"/>
      <c r="E301" s="41"/>
      <c r="F301" s="41"/>
      <c r="G301" s="41"/>
      <c r="H301" s="1405" t="s">
        <v>2360</v>
      </c>
      <c r="I301" s="1406"/>
      <c r="J301" s="1406"/>
      <c r="K301" s="1406"/>
      <c r="L301" s="1406"/>
      <c r="M301" s="1406"/>
      <c r="N301" s="5" t="s">
        <v>819</v>
      </c>
      <c r="O301" s="5"/>
      <c r="P301" s="1395"/>
      <c r="Q301" s="1395"/>
      <c r="R301" s="1395"/>
      <c r="S301" s="41"/>
      <c r="T301" s="41" t="s">
        <v>376</v>
      </c>
      <c r="V301" s="41"/>
      <c r="W301" s="41"/>
      <c r="X301" s="41"/>
      <c r="Y301" s="41"/>
      <c r="AA301" s="1406" t="s">
        <v>2356</v>
      </c>
      <c r="AB301" s="1406"/>
      <c r="AC301" s="1406"/>
      <c r="AD301" s="1406"/>
      <c r="AE301" s="1406"/>
      <c r="AF301" s="1406"/>
      <c r="AG301" s="5" t="s">
        <v>819</v>
      </c>
      <c r="AH301" s="5"/>
      <c r="AI301" s="1395"/>
      <c r="AJ301" s="1395"/>
      <c r="AK301" s="1395"/>
      <c r="BA301" s="43"/>
    </row>
    <row r="302" spans="2:53" ht="12.95" customHeight="1">
      <c r="B302" s="41" t="s">
        <v>377</v>
      </c>
      <c r="C302" s="41"/>
      <c r="D302" s="41"/>
      <c r="E302" s="41"/>
      <c r="F302" s="41"/>
      <c r="G302" s="41"/>
      <c r="H302" s="1268"/>
      <c r="I302" s="1268"/>
      <c r="J302" s="1268"/>
      <c r="K302" s="1268"/>
      <c r="L302" s="1268"/>
      <c r="M302" s="1268"/>
      <c r="N302" s="5"/>
      <c r="O302" s="5"/>
      <c r="P302" s="44"/>
      <c r="Q302" s="44"/>
      <c r="R302" s="44"/>
      <c r="S302" s="41"/>
      <c r="T302" s="41" t="s">
        <v>377</v>
      </c>
      <c r="V302" s="41"/>
      <c r="W302" s="41"/>
      <c r="X302" s="41"/>
      <c r="Y302" s="41"/>
      <c r="AA302" s="1268"/>
      <c r="AB302" s="1268"/>
      <c r="AC302" s="1268"/>
      <c r="AD302" s="1268"/>
      <c r="AE302" s="1268"/>
      <c r="AF302" s="1268"/>
      <c r="AG302" s="5"/>
      <c r="AH302" s="5"/>
      <c r="AI302" s="44"/>
      <c r="AJ302" s="44"/>
      <c r="AK302" s="44"/>
      <c r="BA302" s="43"/>
    </row>
    <row r="303" spans="2:53" ht="12.95" customHeight="1">
      <c r="B303" s="41" t="s">
        <v>703</v>
      </c>
      <c r="C303" s="41"/>
      <c r="D303" s="41"/>
      <c r="E303" s="41"/>
      <c r="F303" s="41"/>
      <c r="G303" s="41"/>
      <c r="H303" s="1262" t="s">
        <v>2359</v>
      </c>
      <c r="I303" s="1262"/>
      <c r="J303" s="1262"/>
      <c r="K303" s="1262"/>
      <c r="L303" s="1262"/>
      <c r="M303" s="1262"/>
      <c r="N303" s="1111"/>
      <c r="O303" s="1111"/>
      <c r="P303" s="1111"/>
      <c r="Q303" s="1111"/>
      <c r="R303" s="1111"/>
      <c r="S303" s="41"/>
      <c r="T303" s="41" t="s">
        <v>703</v>
      </c>
      <c r="V303" s="41"/>
      <c r="W303" s="41"/>
      <c r="X303" s="41"/>
      <c r="Y303" s="41"/>
      <c r="AA303" s="1262" t="s">
        <v>2357</v>
      </c>
      <c r="AB303" s="1262"/>
      <c r="AC303" s="1262"/>
      <c r="AD303" s="1262"/>
      <c r="AE303" s="1262"/>
      <c r="AF303" s="1262"/>
      <c r="AG303" s="1111"/>
      <c r="AH303" s="1111"/>
      <c r="AI303" s="1111"/>
      <c r="AJ303" s="1111"/>
      <c r="AK303" s="1111"/>
      <c r="BA303" s="43"/>
    </row>
    <row r="304" spans="2:53" ht="12.95" customHeight="1">
      <c r="BA304" s="43"/>
    </row>
    <row r="305" spans="2:53" ht="12.95" customHeight="1">
      <c r="B305" s="41" t="s">
        <v>704</v>
      </c>
      <c r="C305" s="41"/>
      <c r="D305" s="41"/>
      <c r="E305" s="41"/>
      <c r="F305" s="41"/>
      <c r="H305" s="1111" t="s">
        <v>2349</v>
      </c>
      <c r="I305" s="1111"/>
      <c r="J305" s="1111"/>
      <c r="K305" s="1111"/>
      <c r="L305" s="1111"/>
      <c r="M305" s="1111"/>
      <c r="N305" s="1111"/>
      <c r="O305" s="1111"/>
      <c r="P305" s="1111"/>
      <c r="Q305" s="1111"/>
      <c r="R305" s="1111"/>
      <c r="T305" s="5" t="s">
        <v>1106</v>
      </c>
      <c r="V305" s="41"/>
      <c r="W305" s="41"/>
      <c r="X305" s="41"/>
      <c r="Y305" s="41"/>
      <c r="AA305" s="1111" t="s">
        <v>2369</v>
      </c>
      <c r="AB305" s="1111"/>
      <c r="AC305" s="1111"/>
      <c r="AD305" s="1111"/>
      <c r="AE305" s="1111"/>
      <c r="AF305" s="1111"/>
      <c r="AG305" s="1111"/>
      <c r="AH305" s="1111"/>
      <c r="AI305" s="1111"/>
      <c r="AJ305" s="1111"/>
      <c r="AK305" s="1111"/>
      <c r="BA305" s="43"/>
    </row>
    <row r="306" spans="2:53" ht="12.95" customHeight="1">
      <c r="B306" s="41" t="s">
        <v>700</v>
      </c>
      <c r="C306" s="41"/>
      <c r="D306" s="41"/>
      <c r="E306" s="41"/>
      <c r="F306" s="41"/>
      <c r="H306" s="1262" t="s">
        <v>2350</v>
      </c>
      <c r="I306" s="1262"/>
      <c r="J306" s="1262"/>
      <c r="K306" s="1262"/>
      <c r="L306" s="1262"/>
      <c r="M306" s="1262"/>
      <c r="N306" s="1262"/>
      <c r="O306" s="1262"/>
      <c r="P306" s="1262"/>
      <c r="Q306" s="1262"/>
      <c r="R306" s="1262"/>
      <c r="T306" s="41" t="s">
        <v>700</v>
      </c>
      <c r="V306" s="41"/>
      <c r="W306" s="41"/>
      <c r="X306" s="41"/>
      <c r="Y306" s="41"/>
      <c r="AA306" s="1262" t="s">
        <v>2370</v>
      </c>
      <c r="AB306" s="1262"/>
      <c r="AC306" s="1262"/>
      <c r="AD306" s="1262"/>
      <c r="AE306" s="1262"/>
      <c r="AF306" s="1262"/>
      <c r="AG306" s="1262"/>
      <c r="AH306" s="1262"/>
      <c r="AI306" s="1262"/>
      <c r="AJ306" s="1262"/>
      <c r="AK306" s="1262"/>
      <c r="BA306" s="43"/>
    </row>
    <row r="307" spans="2:53" ht="12.95" customHeight="1">
      <c r="B307" s="41" t="s">
        <v>702</v>
      </c>
      <c r="C307" s="41"/>
      <c r="D307" s="41"/>
      <c r="E307" s="41"/>
      <c r="F307" s="41"/>
      <c r="H307" s="1262" t="s">
        <v>2351</v>
      </c>
      <c r="I307" s="1262"/>
      <c r="J307" s="1262"/>
      <c r="K307" s="1262"/>
      <c r="L307" s="1262"/>
      <c r="M307" s="1262"/>
      <c r="N307" s="1262"/>
      <c r="O307" s="1262"/>
      <c r="P307" s="1262"/>
      <c r="Q307" s="1262"/>
      <c r="R307" s="1262"/>
      <c r="T307" s="41" t="s">
        <v>701</v>
      </c>
      <c r="V307" s="41"/>
      <c r="W307" s="41"/>
      <c r="X307" s="41"/>
      <c r="Y307" s="41"/>
      <c r="AA307" s="1262" t="s">
        <v>2371</v>
      </c>
      <c r="AB307" s="1262"/>
      <c r="AC307" s="1262"/>
      <c r="AD307" s="1262"/>
      <c r="AE307" s="1262"/>
      <c r="AF307" s="1262"/>
      <c r="AG307" s="1262"/>
      <c r="AH307" s="1262"/>
      <c r="AI307" s="1262"/>
      <c r="AJ307" s="1262"/>
      <c r="AK307" s="1262"/>
      <c r="BA307" s="43"/>
    </row>
    <row r="308" spans="2:53" ht="12.95" customHeight="1">
      <c r="B308" s="41" t="s">
        <v>375</v>
      </c>
      <c r="C308" s="41"/>
      <c r="D308" s="41"/>
      <c r="E308" s="41"/>
      <c r="F308" s="41"/>
      <c r="H308" s="1262" t="s">
        <v>2358</v>
      </c>
      <c r="I308" s="1262"/>
      <c r="J308" s="1262"/>
      <c r="K308" s="1262"/>
      <c r="L308" s="1262"/>
      <c r="M308" s="1262"/>
      <c r="N308" s="1262"/>
      <c r="O308" s="1262"/>
      <c r="P308" s="1262"/>
      <c r="Q308" s="1262"/>
      <c r="R308" s="1262"/>
      <c r="T308" s="41" t="s">
        <v>375</v>
      </c>
      <c r="V308" s="41"/>
      <c r="W308" s="41"/>
      <c r="X308" s="41"/>
      <c r="Y308" s="41"/>
      <c r="AA308" s="1262" t="s">
        <v>2372</v>
      </c>
      <c r="AB308" s="1262"/>
      <c r="AC308" s="1262"/>
      <c r="AD308" s="1262"/>
      <c r="AE308" s="1262"/>
      <c r="AF308" s="1262"/>
      <c r="AG308" s="1262"/>
      <c r="AH308" s="1262"/>
      <c r="AI308" s="1262"/>
      <c r="AJ308" s="1262"/>
      <c r="AK308" s="1262"/>
      <c r="BA308" s="43"/>
    </row>
    <row r="309" spans="2:53" ht="12.95" customHeight="1">
      <c r="B309" s="41" t="s">
        <v>376</v>
      </c>
      <c r="C309" s="41"/>
      <c r="D309" s="41"/>
      <c r="E309" s="41"/>
      <c r="F309" s="41"/>
      <c r="G309" s="41"/>
      <c r="H309" s="1405" t="s">
        <v>2360</v>
      </c>
      <c r="I309" s="1406"/>
      <c r="J309" s="1406"/>
      <c r="K309" s="1406"/>
      <c r="L309" s="1406"/>
      <c r="M309" s="1406"/>
      <c r="N309" s="5" t="s">
        <v>819</v>
      </c>
      <c r="O309" s="5"/>
      <c r="P309" s="1395"/>
      <c r="Q309" s="1395"/>
      <c r="R309" s="1395"/>
      <c r="S309" s="41"/>
      <c r="T309" s="41" t="s">
        <v>376</v>
      </c>
      <c r="V309" s="41"/>
      <c r="W309" s="41"/>
      <c r="X309" s="41"/>
      <c r="Y309" s="41"/>
      <c r="AA309" s="1406" t="s">
        <v>2373</v>
      </c>
      <c r="AB309" s="1406"/>
      <c r="AC309" s="1406"/>
      <c r="AD309" s="1406"/>
      <c r="AE309" s="1406"/>
      <c r="AF309" s="1406"/>
      <c r="AG309" s="5" t="s">
        <v>819</v>
      </c>
      <c r="AH309" s="5"/>
      <c r="AI309" s="1395"/>
      <c r="AJ309" s="1395"/>
      <c r="AK309" s="1395"/>
      <c r="BA309" s="43"/>
    </row>
    <row r="310" spans="2:53" ht="12.95" customHeight="1">
      <c r="B310" s="41" t="s">
        <v>377</v>
      </c>
      <c r="C310" s="41"/>
      <c r="D310" s="41"/>
      <c r="E310" s="41"/>
      <c r="F310" s="41"/>
      <c r="G310" s="41"/>
      <c r="H310" s="1268"/>
      <c r="I310" s="1268"/>
      <c r="J310" s="1268"/>
      <c r="K310" s="1268"/>
      <c r="L310" s="1268"/>
      <c r="M310" s="1268"/>
      <c r="N310" s="5"/>
      <c r="O310" s="5"/>
      <c r="P310" s="44"/>
      <c r="Q310" s="44"/>
      <c r="R310" s="44"/>
      <c r="S310" s="41"/>
      <c r="T310" s="41" t="s">
        <v>377</v>
      </c>
      <c r="V310" s="41"/>
      <c r="W310" s="41"/>
      <c r="X310" s="41"/>
      <c r="Y310" s="41"/>
      <c r="AA310" s="1268" t="s">
        <v>2374</v>
      </c>
      <c r="AB310" s="1268"/>
      <c r="AC310" s="1268"/>
      <c r="AD310" s="1268"/>
      <c r="AE310" s="1268"/>
      <c r="AF310" s="1268"/>
      <c r="AG310" s="5"/>
      <c r="AH310" s="5"/>
      <c r="AI310" s="44"/>
      <c r="AJ310" s="44"/>
      <c r="AK310" s="44"/>
      <c r="BA310" s="43"/>
    </row>
    <row r="311" spans="2:53" ht="12.95" customHeight="1">
      <c r="B311" s="41" t="s">
        <v>703</v>
      </c>
      <c r="C311" s="41"/>
      <c r="D311" s="41"/>
      <c r="E311" s="41"/>
      <c r="F311" s="41"/>
      <c r="G311" s="41"/>
      <c r="H311" s="1262" t="s">
        <v>2359</v>
      </c>
      <c r="I311" s="1262"/>
      <c r="J311" s="1262"/>
      <c r="K311" s="1262"/>
      <c r="L311" s="1262"/>
      <c r="M311" s="1262"/>
      <c r="N311" s="1111"/>
      <c r="O311" s="1111"/>
      <c r="P311" s="1111"/>
      <c r="Q311" s="1111"/>
      <c r="R311" s="1111"/>
      <c r="S311" s="41"/>
      <c r="T311" s="41" t="s">
        <v>703</v>
      </c>
      <c r="V311" s="41"/>
      <c r="W311" s="41"/>
      <c r="X311" s="41"/>
      <c r="Y311" s="41"/>
      <c r="AA311" s="1262" t="s">
        <v>2375</v>
      </c>
      <c r="AB311" s="1262"/>
      <c r="AC311" s="1262"/>
      <c r="AD311" s="1262"/>
      <c r="AE311" s="1262"/>
      <c r="AF311" s="1262"/>
      <c r="AG311" s="1111"/>
      <c r="AH311" s="1111"/>
      <c r="AI311" s="1111"/>
      <c r="AJ311" s="1111"/>
      <c r="AK311" s="1111"/>
      <c r="BA311" s="43"/>
    </row>
    <row r="312" spans="2:53" ht="12.95" customHeight="1">
      <c r="BA312" s="43"/>
    </row>
    <row r="313" spans="2:53" ht="12.95" customHeight="1">
      <c r="B313" s="5" t="s">
        <v>1147</v>
      </c>
      <c r="C313" s="41"/>
      <c r="D313" s="41"/>
      <c r="E313" s="41"/>
      <c r="F313" s="41"/>
      <c r="H313" s="1111" t="s">
        <v>2363</v>
      </c>
      <c r="I313" s="1111"/>
      <c r="J313" s="1111"/>
      <c r="K313" s="1111"/>
      <c r="L313" s="1111"/>
      <c r="M313" s="1111"/>
      <c r="N313" s="1111"/>
      <c r="O313" s="1111"/>
      <c r="P313" s="1111"/>
      <c r="Q313" s="1111"/>
      <c r="R313" s="1111"/>
      <c r="T313" s="41" t="s">
        <v>36</v>
      </c>
      <c r="V313" s="41"/>
      <c r="W313" s="41"/>
      <c r="X313" s="41"/>
      <c r="Y313" s="41"/>
      <c r="AA313" s="1111" t="s">
        <v>2455</v>
      </c>
      <c r="AB313" s="1111"/>
      <c r="AC313" s="1111"/>
      <c r="AD313" s="1111"/>
      <c r="AE313" s="1111"/>
      <c r="AF313" s="1111"/>
      <c r="AG313" s="1111"/>
      <c r="AH313" s="1111"/>
      <c r="AI313" s="1111"/>
      <c r="AJ313" s="1111"/>
      <c r="AK313" s="1111"/>
      <c r="BA313" s="43"/>
    </row>
    <row r="314" spans="2:53" ht="12.95" customHeight="1">
      <c r="B314" s="41" t="s">
        <v>700</v>
      </c>
      <c r="C314" s="41"/>
      <c r="D314" s="41"/>
      <c r="E314" s="41"/>
      <c r="F314" s="41"/>
      <c r="H314" s="1262" t="s">
        <v>2364</v>
      </c>
      <c r="I314" s="1262"/>
      <c r="J314" s="1262"/>
      <c r="K314" s="1262"/>
      <c r="L314" s="1262"/>
      <c r="M314" s="1262"/>
      <c r="N314" s="1262"/>
      <c r="O314" s="1262"/>
      <c r="P314" s="1262"/>
      <c r="Q314" s="1262"/>
      <c r="R314" s="1262"/>
      <c r="T314" s="41" t="s">
        <v>700</v>
      </c>
      <c r="V314" s="41"/>
      <c r="W314" s="41"/>
      <c r="X314" s="41"/>
      <c r="Y314" s="41"/>
      <c r="AA314" s="1262" t="s">
        <v>2456</v>
      </c>
      <c r="AB314" s="1262"/>
      <c r="AC314" s="1262"/>
      <c r="AD314" s="1262"/>
      <c r="AE314" s="1262"/>
      <c r="AF314" s="1262"/>
      <c r="AG314" s="1262"/>
      <c r="AH314" s="1262"/>
      <c r="AI314" s="1262"/>
      <c r="AJ314" s="1262"/>
      <c r="AK314" s="1262"/>
      <c r="BA314" s="43"/>
    </row>
    <row r="315" spans="2:53" ht="12.95" customHeight="1">
      <c r="B315" s="41" t="s">
        <v>702</v>
      </c>
      <c r="C315" s="41"/>
      <c r="D315" s="41"/>
      <c r="E315" s="41"/>
      <c r="F315" s="41"/>
      <c r="H315" s="1262" t="s">
        <v>2365</v>
      </c>
      <c r="I315" s="1262"/>
      <c r="J315" s="1262"/>
      <c r="K315" s="1262"/>
      <c r="L315" s="1262"/>
      <c r="M315" s="1262"/>
      <c r="N315" s="1262"/>
      <c r="O315" s="1262"/>
      <c r="P315" s="1262"/>
      <c r="Q315" s="1262"/>
      <c r="R315" s="1262"/>
      <c r="T315" s="41" t="s">
        <v>701</v>
      </c>
      <c r="V315" s="41"/>
      <c r="W315" s="41"/>
      <c r="X315" s="41"/>
      <c r="Y315" s="41"/>
      <c r="AA315" s="1262" t="s">
        <v>2457</v>
      </c>
      <c r="AB315" s="1262"/>
      <c r="AC315" s="1262"/>
      <c r="AD315" s="1262"/>
      <c r="AE315" s="1262"/>
      <c r="AF315" s="1262"/>
      <c r="AG315" s="1262"/>
      <c r="AH315" s="1262"/>
      <c r="AI315" s="1262"/>
      <c r="AJ315" s="1262"/>
      <c r="AK315" s="1262"/>
      <c r="BA315" s="43"/>
    </row>
    <row r="316" spans="2:53" ht="12.95" customHeight="1">
      <c r="B316" s="41" t="s">
        <v>375</v>
      </c>
      <c r="C316" s="41"/>
      <c r="D316" s="41"/>
      <c r="E316" s="41"/>
      <c r="F316" s="41"/>
      <c r="H316" s="1262" t="s">
        <v>2366</v>
      </c>
      <c r="I316" s="1262"/>
      <c r="J316" s="1262"/>
      <c r="K316" s="1262"/>
      <c r="L316" s="1262"/>
      <c r="M316" s="1262"/>
      <c r="N316" s="1262"/>
      <c r="O316" s="1262"/>
      <c r="P316" s="1262"/>
      <c r="Q316" s="1262"/>
      <c r="R316" s="1262"/>
      <c r="T316" s="41" t="s">
        <v>375</v>
      </c>
      <c r="V316" s="41"/>
      <c r="W316" s="41"/>
      <c r="X316" s="41"/>
      <c r="Y316" s="41"/>
      <c r="AA316" s="1262" t="s">
        <v>2491</v>
      </c>
      <c r="AB316" s="1262"/>
      <c r="AC316" s="1262"/>
      <c r="AD316" s="1262"/>
      <c r="AE316" s="1262"/>
      <c r="AF316" s="1262"/>
      <c r="AG316" s="1262"/>
      <c r="AH316" s="1262"/>
      <c r="AI316" s="1262"/>
      <c r="AJ316" s="1262"/>
      <c r="AK316" s="1262"/>
      <c r="BA316" s="43"/>
    </row>
    <row r="317" spans="2:53" ht="12.95" customHeight="1">
      <c r="B317" s="41" t="s">
        <v>376</v>
      </c>
      <c r="C317" s="41"/>
      <c r="D317" s="41"/>
      <c r="E317" s="41"/>
      <c r="F317" s="41"/>
      <c r="G317" s="41"/>
      <c r="H317" s="1406" t="s">
        <v>2367</v>
      </c>
      <c r="I317" s="1406"/>
      <c r="J317" s="1406"/>
      <c r="K317" s="1406"/>
      <c r="L317" s="1406"/>
      <c r="M317" s="1406"/>
      <c r="N317" s="5" t="s">
        <v>819</v>
      </c>
      <c r="O317" s="5"/>
      <c r="P317" s="1395"/>
      <c r="Q317" s="1395"/>
      <c r="R317" s="1395"/>
      <c r="S317" s="41"/>
      <c r="T317" s="41" t="s">
        <v>376</v>
      </c>
      <c r="V317" s="41"/>
      <c r="W317" s="41"/>
      <c r="X317" s="41"/>
      <c r="Y317" s="41"/>
      <c r="AA317" s="1405" t="s">
        <v>2492</v>
      </c>
      <c r="AB317" s="1406"/>
      <c r="AC317" s="1406"/>
      <c r="AD317" s="1406"/>
      <c r="AE317" s="1406"/>
      <c r="AF317" s="1406"/>
      <c r="AG317" s="5" t="s">
        <v>819</v>
      </c>
      <c r="AH317" s="5"/>
      <c r="AI317" s="1395"/>
      <c r="AJ317" s="1395"/>
      <c r="AK317" s="1395"/>
      <c r="BA317" s="43"/>
    </row>
    <row r="318" spans="2:53" ht="12.95" customHeight="1">
      <c r="B318" s="41" t="s">
        <v>377</v>
      </c>
      <c r="C318" s="41"/>
      <c r="D318" s="41"/>
      <c r="E318" s="41"/>
      <c r="F318" s="41"/>
      <c r="G318" s="41"/>
      <c r="H318" s="1268"/>
      <c r="I318" s="1268"/>
      <c r="J318" s="1268"/>
      <c r="K318" s="1268"/>
      <c r="L318" s="1268"/>
      <c r="M318" s="1268"/>
      <c r="N318" s="5"/>
      <c r="O318" s="5"/>
      <c r="P318" s="44"/>
      <c r="Q318" s="44"/>
      <c r="R318" s="44"/>
      <c r="S318" s="41"/>
      <c r="T318" s="41" t="s">
        <v>377</v>
      </c>
      <c r="V318" s="41"/>
      <c r="W318" s="41"/>
      <c r="X318" s="41"/>
      <c r="Y318" s="41"/>
      <c r="AA318" s="1268"/>
      <c r="AB318" s="1268"/>
      <c r="AC318" s="1268"/>
      <c r="AD318" s="1268"/>
      <c r="AE318" s="1268"/>
      <c r="AF318" s="1268"/>
      <c r="AG318" s="5"/>
      <c r="AH318" s="5"/>
      <c r="AI318" s="44"/>
      <c r="AJ318" s="44"/>
      <c r="AK318" s="44"/>
      <c r="BA318" s="43"/>
    </row>
    <row r="319" spans="2:53" ht="12.95" customHeight="1">
      <c r="B319" s="41" t="s">
        <v>703</v>
      </c>
      <c r="C319" s="41"/>
      <c r="D319" s="41"/>
      <c r="E319" s="41"/>
      <c r="F319" s="41"/>
      <c r="G319" s="41"/>
      <c r="H319" s="1262" t="s">
        <v>2368</v>
      </c>
      <c r="I319" s="1262"/>
      <c r="J319" s="1262"/>
      <c r="K319" s="1262"/>
      <c r="L319" s="1262"/>
      <c r="M319" s="1262"/>
      <c r="N319" s="1111"/>
      <c r="O319" s="1111"/>
      <c r="P319" s="1111"/>
      <c r="Q319" s="1111"/>
      <c r="R319" s="1111"/>
      <c r="S319" s="41"/>
      <c r="T319" s="41" t="s">
        <v>703</v>
      </c>
      <c r="V319" s="41"/>
      <c r="W319" s="41"/>
      <c r="X319" s="41"/>
      <c r="Y319" s="41"/>
      <c r="AA319" s="1262" t="s">
        <v>2493</v>
      </c>
      <c r="AB319" s="1262"/>
      <c r="AC319" s="1262"/>
      <c r="AD319" s="1262"/>
      <c r="AE319" s="1262"/>
      <c r="AF319" s="1262"/>
      <c r="AG319" s="1111"/>
      <c r="AH319" s="1111"/>
      <c r="AI319" s="1111"/>
      <c r="AJ319" s="1111"/>
      <c r="AK319" s="1111"/>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11" t="s">
        <v>2382</v>
      </c>
      <c r="I321" s="1111"/>
      <c r="J321" s="1111"/>
      <c r="K321" s="1111"/>
      <c r="L321" s="1111"/>
      <c r="M321" s="1111"/>
      <c r="N321" s="1111"/>
      <c r="O321" s="1111"/>
      <c r="P321" s="1111"/>
      <c r="Q321" s="1111"/>
      <c r="R321" s="1111"/>
      <c r="T321" s="41" t="s">
        <v>37</v>
      </c>
      <c r="V321" s="41"/>
      <c r="W321" s="41"/>
      <c r="X321" s="41"/>
      <c r="Y321" s="41"/>
      <c r="AA321" s="1111" t="s">
        <v>2376</v>
      </c>
      <c r="AB321" s="1111"/>
      <c r="AC321" s="1111"/>
      <c r="AD321" s="1111"/>
      <c r="AE321" s="1111"/>
      <c r="AF321" s="1111"/>
      <c r="AG321" s="1111"/>
      <c r="AH321" s="1111"/>
      <c r="AI321" s="1111"/>
      <c r="AJ321" s="1111"/>
      <c r="AK321" s="1111"/>
      <c r="BA321" s="43"/>
    </row>
    <row r="322" spans="2:53" ht="12.95" customHeight="1">
      <c r="B322" s="41" t="s">
        <v>700</v>
      </c>
      <c r="C322" s="41"/>
      <c r="D322" s="41"/>
      <c r="E322" s="41"/>
      <c r="F322" s="41"/>
      <c r="H322" s="1262" t="s">
        <v>2383</v>
      </c>
      <c r="I322" s="1262"/>
      <c r="J322" s="1262"/>
      <c r="K322" s="1262"/>
      <c r="L322" s="1262"/>
      <c r="M322" s="1262"/>
      <c r="N322" s="1262"/>
      <c r="O322" s="1262"/>
      <c r="P322" s="1262"/>
      <c r="Q322" s="1262"/>
      <c r="R322" s="1262"/>
      <c r="T322" s="41" t="s">
        <v>700</v>
      </c>
      <c r="V322" s="41"/>
      <c r="W322" s="41"/>
      <c r="X322" s="41"/>
      <c r="Y322" s="41"/>
      <c r="AA322" s="1262" t="s">
        <v>2377</v>
      </c>
      <c r="AB322" s="1262"/>
      <c r="AC322" s="1262"/>
      <c r="AD322" s="1262"/>
      <c r="AE322" s="1262"/>
      <c r="AF322" s="1262"/>
      <c r="AG322" s="1262"/>
      <c r="AH322" s="1262"/>
      <c r="AI322" s="1262"/>
      <c r="AJ322" s="1262"/>
      <c r="AK322" s="1262"/>
      <c r="BA322" s="43"/>
    </row>
    <row r="323" spans="2:53" ht="12.95" customHeight="1">
      <c r="B323" s="41" t="s">
        <v>702</v>
      </c>
      <c r="C323" s="41"/>
      <c r="D323" s="41"/>
      <c r="E323" s="41"/>
      <c r="F323" s="41"/>
      <c r="H323" s="1262" t="s">
        <v>2384</v>
      </c>
      <c r="I323" s="1262"/>
      <c r="J323" s="1262"/>
      <c r="K323" s="1262"/>
      <c r="L323" s="1262"/>
      <c r="M323" s="1262"/>
      <c r="N323" s="1262"/>
      <c r="O323" s="1262"/>
      <c r="P323" s="1262"/>
      <c r="Q323" s="1262"/>
      <c r="R323" s="1262"/>
      <c r="T323" s="41" t="s">
        <v>701</v>
      </c>
      <c r="V323" s="41"/>
      <c r="W323" s="41"/>
      <c r="X323" s="41"/>
      <c r="Y323" s="41"/>
      <c r="AA323" s="1262" t="s">
        <v>2378</v>
      </c>
      <c r="AB323" s="1262"/>
      <c r="AC323" s="1262"/>
      <c r="AD323" s="1262"/>
      <c r="AE323" s="1262"/>
      <c r="AF323" s="1262"/>
      <c r="AG323" s="1262"/>
      <c r="AH323" s="1262"/>
      <c r="AI323" s="1262"/>
      <c r="AJ323" s="1262"/>
      <c r="AK323" s="1262"/>
      <c r="BA323" s="43"/>
    </row>
    <row r="324" spans="2:53" ht="12.95" customHeight="1">
      <c r="B324" s="41" t="s">
        <v>375</v>
      </c>
      <c r="C324" s="41"/>
      <c r="D324" s="41"/>
      <c r="E324" s="41"/>
      <c r="F324" s="41"/>
      <c r="H324" s="1262" t="s">
        <v>2385</v>
      </c>
      <c r="I324" s="1262"/>
      <c r="J324" s="1262"/>
      <c r="K324" s="1262"/>
      <c r="L324" s="1262"/>
      <c r="M324" s="1262"/>
      <c r="N324" s="1262"/>
      <c r="O324" s="1262"/>
      <c r="P324" s="1262"/>
      <c r="Q324" s="1262"/>
      <c r="R324" s="1262"/>
      <c r="T324" s="41" t="s">
        <v>375</v>
      </c>
      <c r="V324" s="41"/>
      <c r="W324" s="41"/>
      <c r="X324" s="41"/>
      <c r="Y324" s="41"/>
      <c r="AA324" s="1262" t="s">
        <v>2379</v>
      </c>
      <c r="AB324" s="1262"/>
      <c r="AC324" s="1262"/>
      <c r="AD324" s="1262"/>
      <c r="AE324" s="1262"/>
      <c r="AF324" s="1262"/>
      <c r="AG324" s="1262"/>
      <c r="AH324" s="1262"/>
      <c r="AI324" s="1262"/>
      <c r="AJ324" s="1262"/>
      <c r="AK324" s="1262"/>
      <c r="BA324" s="43"/>
    </row>
    <row r="325" spans="2:53" ht="12.95" customHeight="1">
      <c r="B325" s="41" t="s">
        <v>376</v>
      </c>
      <c r="C325" s="41"/>
      <c r="D325" s="41"/>
      <c r="E325" s="41"/>
      <c r="F325" s="41"/>
      <c r="G325" s="41"/>
      <c r="H325" s="1405" t="s">
        <v>2452</v>
      </c>
      <c r="I325" s="1406"/>
      <c r="J325" s="1406"/>
      <c r="K325" s="1406"/>
      <c r="L325" s="1406"/>
      <c r="M325" s="1406"/>
      <c r="N325" s="5" t="s">
        <v>819</v>
      </c>
      <c r="O325" s="5"/>
      <c r="P325" s="1395"/>
      <c r="Q325" s="1395"/>
      <c r="R325" s="1395"/>
      <c r="S325" s="41"/>
      <c r="T325" s="41" t="s">
        <v>376</v>
      </c>
      <c r="V325" s="41"/>
      <c r="W325" s="41"/>
      <c r="X325" s="41"/>
      <c r="Y325" s="41"/>
      <c r="AA325" s="1406" t="s">
        <v>2380</v>
      </c>
      <c r="AB325" s="1406"/>
      <c r="AC325" s="1406"/>
      <c r="AD325" s="1406"/>
      <c r="AE325" s="1406"/>
      <c r="AF325" s="1406"/>
      <c r="AG325" s="5" t="s">
        <v>819</v>
      </c>
      <c r="AH325" s="5"/>
      <c r="AI325" s="1395"/>
      <c r="AJ325" s="1395"/>
      <c r="AK325" s="1395"/>
      <c r="BA325" s="43"/>
    </row>
    <row r="326" spans="2:53" ht="12.95" customHeight="1">
      <c r="B326" s="41" t="s">
        <v>377</v>
      </c>
      <c r="C326" s="41"/>
      <c r="D326" s="41"/>
      <c r="E326" s="41"/>
      <c r="F326" s="41"/>
      <c r="G326" s="41"/>
      <c r="H326" s="1374" t="s">
        <v>2451</v>
      </c>
      <c r="I326" s="1268"/>
      <c r="J326" s="1268"/>
      <c r="K326" s="1268"/>
      <c r="L326" s="1268"/>
      <c r="M326" s="1268"/>
      <c r="N326" s="5"/>
      <c r="O326" s="5"/>
      <c r="P326" s="44"/>
      <c r="Q326" s="44"/>
      <c r="R326" s="44"/>
      <c r="S326" s="41"/>
      <c r="T326" s="41" t="s">
        <v>377</v>
      </c>
      <c r="V326" s="41"/>
      <c r="W326" s="41"/>
      <c r="X326" s="41"/>
      <c r="Y326" s="41"/>
      <c r="AA326" s="1268"/>
      <c r="AB326" s="1268"/>
      <c r="AC326" s="1268"/>
      <c r="AD326" s="1268"/>
      <c r="AE326" s="1268"/>
      <c r="AF326" s="1268"/>
      <c r="AG326" s="5"/>
      <c r="AH326" s="5"/>
      <c r="AI326" s="44"/>
      <c r="AJ326" s="44"/>
      <c r="AK326" s="44"/>
      <c r="BA326" s="43"/>
    </row>
    <row r="327" spans="2:53" ht="12.95" customHeight="1">
      <c r="B327" s="41" t="s">
        <v>703</v>
      </c>
      <c r="C327" s="41"/>
      <c r="D327" s="41"/>
      <c r="E327" s="41"/>
      <c r="F327" s="41"/>
      <c r="G327" s="41"/>
      <c r="H327" s="1262" t="s">
        <v>2386</v>
      </c>
      <c r="I327" s="1262"/>
      <c r="J327" s="1262"/>
      <c r="K327" s="1262"/>
      <c r="L327" s="1262"/>
      <c r="M327" s="1262"/>
      <c r="N327" s="1111"/>
      <c r="O327" s="1111"/>
      <c r="P327" s="1111"/>
      <c r="Q327" s="1111"/>
      <c r="R327" s="1111"/>
      <c r="S327" s="41"/>
      <c r="T327" s="41" t="s">
        <v>703</v>
      </c>
      <c r="V327" s="41"/>
      <c r="W327" s="41"/>
      <c r="X327" s="41"/>
      <c r="Y327" s="41"/>
      <c r="AA327" s="1262" t="s">
        <v>2381</v>
      </c>
      <c r="AB327" s="1262"/>
      <c r="AC327" s="1262"/>
      <c r="AD327" s="1262"/>
      <c r="AE327" s="1262"/>
      <c r="AF327" s="1262"/>
      <c r="AG327" s="1111"/>
      <c r="AH327" s="1111"/>
      <c r="AI327" s="1111"/>
      <c r="AJ327" s="1111"/>
      <c r="AK327" s="1111"/>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11" t="s">
        <v>2447</v>
      </c>
      <c r="I329" s="1111"/>
      <c r="J329" s="1111"/>
      <c r="K329" s="1111"/>
      <c r="L329" s="1111"/>
      <c r="M329" s="1111"/>
      <c r="N329" s="1111"/>
      <c r="O329" s="1111"/>
      <c r="P329" s="1111"/>
      <c r="Q329" s="1111"/>
      <c r="R329" s="1111"/>
      <c r="T329" s="5" t="s">
        <v>1107</v>
      </c>
      <c r="V329" s="41"/>
      <c r="W329" s="41"/>
      <c r="X329" s="41"/>
      <c r="Y329" s="41"/>
      <c r="AA329" s="1111" t="s">
        <v>2462</v>
      </c>
      <c r="AB329" s="1111"/>
      <c r="AC329" s="1111"/>
      <c r="AD329" s="1111"/>
      <c r="AE329" s="1111"/>
      <c r="AF329" s="1111"/>
      <c r="AG329" s="1111"/>
      <c r="AH329" s="1111"/>
      <c r="AI329" s="1111"/>
      <c r="AJ329" s="1111"/>
      <c r="AK329" s="1111"/>
      <c r="BA329" s="43"/>
    </row>
    <row r="330" spans="2:53" ht="12.95" customHeight="1">
      <c r="B330" s="41" t="s">
        <v>700</v>
      </c>
      <c r="C330" s="41"/>
      <c r="D330" s="41"/>
      <c r="E330" s="41"/>
      <c r="F330" s="41"/>
      <c r="H330" s="1262" t="s">
        <v>2448</v>
      </c>
      <c r="I330" s="1262"/>
      <c r="J330" s="1262"/>
      <c r="K330" s="1262"/>
      <c r="L330" s="1262"/>
      <c r="M330" s="1262"/>
      <c r="N330" s="1262"/>
      <c r="O330" s="1262"/>
      <c r="P330" s="1262"/>
      <c r="Q330" s="1262"/>
      <c r="R330" s="1262"/>
      <c r="T330" s="41" t="s">
        <v>700</v>
      </c>
      <c r="V330" s="41"/>
      <c r="W330" s="41"/>
      <c r="X330" s="41"/>
      <c r="Y330" s="41"/>
      <c r="AA330" s="1262" t="s">
        <v>2458</v>
      </c>
      <c r="AB330" s="1262"/>
      <c r="AC330" s="1262"/>
      <c r="AD330" s="1262"/>
      <c r="AE330" s="1262"/>
      <c r="AF330" s="1262"/>
      <c r="AG330" s="1262"/>
      <c r="AH330" s="1262"/>
      <c r="AI330" s="1262"/>
      <c r="AJ330" s="1262"/>
      <c r="AK330" s="1262"/>
      <c r="BA330" s="43"/>
    </row>
    <row r="331" spans="2:53" ht="12.95" customHeight="1">
      <c r="B331" s="41" t="s">
        <v>702</v>
      </c>
      <c r="C331" s="41"/>
      <c r="D331" s="41"/>
      <c r="E331" s="41"/>
      <c r="F331" s="41"/>
      <c r="G331" s="41"/>
      <c r="H331" s="1262" t="s">
        <v>2449</v>
      </c>
      <c r="I331" s="1262"/>
      <c r="J331" s="1262"/>
      <c r="K331" s="1262"/>
      <c r="L331" s="1262"/>
      <c r="M331" s="1262"/>
      <c r="N331" s="1262"/>
      <c r="O331" s="1262"/>
      <c r="P331" s="1262"/>
      <c r="Q331" s="1262"/>
      <c r="R331" s="1262"/>
      <c r="T331" s="41" t="s">
        <v>701</v>
      </c>
      <c r="V331" s="41"/>
      <c r="W331" s="41"/>
      <c r="X331" s="41"/>
      <c r="Y331" s="41"/>
      <c r="AA331" s="1262" t="s">
        <v>2459</v>
      </c>
      <c r="AB331" s="1262"/>
      <c r="AC331" s="1262"/>
      <c r="AD331" s="1262"/>
      <c r="AE331" s="1262"/>
      <c r="AF331" s="1262"/>
      <c r="AG331" s="1262"/>
      <c r="AH331" s="1262"/>
      <c r="AI331" s="1262"/>
      <c r="AJ331" s="1262"/>
      <c r="AK331" s="1262"/>
      <c r="BA331" s="43"/>
    </row>
    <row r="332" spans="2:53" ht="12.95" customHeight="1">
      <c r="B332" s="41" t="s">
        <v>375</v>
      </c>
      <c r="C332" s="41"/>
      <c r="D332" s="41"/>
      <c r="E332" s="41"/>
      <c r="F332" s="41"/>
      <c r="H332" s="1262" t="s">
        <v>2450</v>
      </c>
      <c r="I332" s="1262"/>
      <c r="J332" s="1262"/>
      <c r="K332" s="1262"/>
      <c r="L332" s="1262"/>
      <c r="M332" s="1262"/>
      <c r="N332" s="1262"/>
      <c r="O332" s="1262"/>
      <c r="P332" s="1262"/>
      <c r="Q332" s="1262"/>
      <c r="R332" s="1262"/>
      <c r="T332" s="41" t="s">
        <v>375</v>
      </c>
      <c r="V332" s="41"/>
      <c r="W332" s="41"/>
      <c r="X332" s="41"/>
      <c r="Y332" s="41"/>
      <c r="AA332" s="1262" t="s">
        <v>2463</v>
      </c>
      <c r="AB332" s="1262"/>
      <c r="AC332" s="1262"/>
      <c r="AD332" s="1262"/>
      <c r="AE332" s="1262"/>
      <c r="AF332" s="1262"/>
      <c r="AG332" s="1262"/>
      <c r="AH332" s="1262"/>
      <c r="AI332" s="1262"/>
      <c r="AJ332" s="1262"/>
      <c r="AK332" s="1262"/>
      <c r="BA332" s="43"/>
    </row>
    <row r="333" spans="2:53" ht="12.95" customHeight="1">
      <c r="B333" s="41" t="s">
        <v>376</v>
      </c>
      <c r="C333" s="41"/>
      <c r="D333" s="41"/>
      <c r="E333" s="41"/>
      <c r="F333" s="41"/>
      <c r="G333" s="41"/>
      <c r="H333" s="1405" t="s">
        <v>2453</v>
      </c>
      <c r="I333" s="1406"/>
      <c r="J333" s="1406"/>
      <c r="K333" s="1406"/>
      <c r="L333" s="1406"/>
      <c r="M333" s="1406"/>
      <c r="N333" s="5" t="s">
        <v>819</v>
      </c>
      <c r="O333" s="5"/>
      <c r="P333" s="1395"/>
      <c r="Q333" s="1395"/>
      <c r="R333" s="1395"/>
      <c r="T333" s="41" t="s">
        <v>376</v>
      </c>
      <c r="V333" s="41"/>
      <c r="W333" s="41"/>
      <c r="X333" s="41"/>
      <c r="Y333" s="41"/>
      <c r="AA333" s="1405" t="s">
        <v>2460</v>
      </c>
      <c r="AB333" s="1406"/>
      <c r="AC333" s="1406"/>
      <c r="AD333" s="1406"/>
      <c r="AE333" s="1406"/>
      <c r="AF333" s="1406"/>
      <c r="AG333" s="5" t="s">
        <v>819</v>
      </c>
      <c r="AH333" s="5"/>
      <c r="AI333" s="1395"/>
      <c r="AJ333" s="1395"/>
      <c r="AK333" s="1395"/>
      <c r="BA333" s="43"/>
    </row>
    <row r="334" spans="2:53" ht="12.95" customHeight="1">
      <c r="B334" s="41" t="s">
        <v>377</v>
      </c>
      <c r="C334" s="41"/>
      <c r="D334" s="41"/>
      <c r="E334" s="41"/>
      <c r="F334" s="41"/>
      <c r="G334" s="41"/>
      <c r="H334" s="1268"/>
      <c r="I334" s="1268"/>
      <c r="J334" s="1268"/>
      <c r="K334" s="1268"/>
      <c r="L334" s="1268"/>
      <c r="M334" s="1268"/>
      <c r="N334" s="5"/>
      <c r="O334" s="5"/>
      <c r="P334" s="44"/>
      <c r="Q334" s="44"/>
      <c r="R334" s="44"/>
      <c r="T334" s="41" t="s">
        <v>377</v>
      </c>
      <c r="V334" s="41"/>
      <c r="W334" s="41"/>
      <c r="X334" s="41"/>
      <c r="Y334" s="41"/>
      <c r="AA334" s="1268"/>
      <c r="AB334" s="1268"/>
      <c r="AC334" s="1268"/>
      <c r="AD334" s="1268"/>
      <c r="AE334" s="1268"/>
      <c r="AF334" s="1268"/>
      <c r="AG334" s="5"/>
      <c r="AH334" s="5"/>
      <c r="AI334" s="44"/>
      <c r="AJ334" s="44"/>
      <c r="AK334" s="44"/>
      <c r="BA334" s="43"/>
    </row>
    <row r="335" spans="2:53" ht="12.95" customHeight="1">
      <c r="B335" s="41" t="s">
        <v>703</v>
      </c>
      <c r="C335" s="41"/>
      <c r="D335" s="41"/>
      <c r="E335" s="41"/>
      <c r="F335" s="41"/>
      <c r="G335" s="41"/>
      <c r="H335" s="1262" t="s">
        <v>2454</v>
      </c>
      <c r="I335" s="1262"/>
      <c r="J335" s="1262"/>
      <c r="K335" s="1262"/>
      <c r="L335" s="1262"/>
      <c r="M335" s="1262"/>
      <c r="N335" s="1111"/>
      <c r="O335" s="1111"/>
      <c r="P335" s="1111"/>
      <c r="Q335" s="1111"/>
      <c r="R335" s="1111"/>
      <c r="T335" s="41" t="s">
        <v>703</v>
      </c>
      <c r="V335" s="41"/>
      <c r="W335" s="41"/>
      <c r="X335" s="41"/>
      <c r="Y335" s="41"/>
      <c r="AA335" s="1262" t="s">
        <v>2461</v>
      </c>
      <c r="AB335" s="1262"/>
      <c r="AC335" s="1262"/>
      <c r="AD335" s="1262"/>
      <c r="AE335" s="1262"/>
      <c r="AF335" s="1262"/>
      <c r="AG335" s="1111"/>
      <c r="AH335" s="1111"/>
      <c r="AI335" s="1111"/>
      <c r="AJ335" s="1111"/>
      <c r="AK335" s="111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11" t="s">
        <v>2387</v>
      </c>
      <c r="I337" s="1111"/>
      <c r="J337" s="1111"/>
      <c r="K337" s="1111"/>
      <c r="L337" s="1111"/>
      <c r="M337" s="1111"/>
      <c r="N337" s="1111"/>
      <c r="O337" s="1111"/>
      <c r="P337" s="1111"/>
      <c r="Q337" s="1111"/>
      <c r="R337" s="1111"/>
      <c r="T337" s="361" t="s">
        <v>1146</v>
      </c>
      <c r="AA337" s="1111"/>
      <c r="AB337" s="1111"/>
      <c r="AC337" s="1111"/>
      <c r="AD337" s="1111"/>
      <c r="AE337" s="1111"/>
      <c r="AF337" s="1111"/>
      <c r="AG337" s="1111"/>
      <c r="AH337" s="1111"/>
      <c r="AI337" s="1111"/>
      <c r="AJ337" s="1111"/>
      <c r="AK337" s="1111"/>
      <c r="BA337" s="43"/>
    </row>
    <row r="338" spans="1:53" ht="12.95" customHeight="1">
      <c r="B338" s="361" t="s">
        <v>700</v>
      </c>
      <c r="C338" s="361"/>
      <c r="D338" s="361"/>
      <c r="E338" s="361"/>
      <c r="F338" s="361"/>
      <c r="G338" s="361"/>
      <c r="H338" s="1262" t="s">
        <v>2388</v>
      </c>
      <c r="I338" s="1262"/>
      <c r="J338" s="1262"/>
      <c r="K338" s="1262"/>
      <c r="L338" s="1262"/>
      <c r="M338" s="1262"/>
      <c r="N338" s="1262"/>
      <c r="O338" s="1262"/>
      <c r="P338" s="1262"/>
      <c r="Q338" s="1262"/>
      <c r="R338" s="1262"/>
      <c r="T338" s="41" t="s">
        <v>700</v>
      </c>
      <c r="AA338" s="1262"/>
      <c r="AB338" s="1262"/>
      <c r="AC338" s="1262"/>
      <c r="AD338" s="1262"/>
      <c r="AE338" s="1262"/>
      <c r="AF338" s="1262"/>
      <c r="AG338" s="1262"/>
      <c r="AH338" s="1262"/>
      <c r="AI338" s="1262"/>
      <c r="AJ338" s="1262"/>
      <c r="AK338" s="1262"/>
      <c r="BA338" s="43"/>
    </row>
    <row r="339" spans="1:53" ht="12.95" customHeight="1">
      <c r="B339" s="361" t="s">
        <v>702</v>
      </c>
      <c r="C339" s="361"/>
      <c r="D339" s="361"/>
      <c r="E339" s="361"/>
      <c r="F339" s="361"/>
      <c r="G339" s="361"/>
      <c r="H339" s="1262" t="s">
        <v>2389</v>
      </c>
      <c r="I339" s="1262"/>
      <c r="J339" s="1262"/>
      <c r="K339" s="1262"/>
      <c r="L339" s="1262"/>
      <c r="M339" s="1262"/>
      <c r="N339" s="1262"/>
      <c r="O339" s="1262"/>
      <c r="P339" s="1262"/>
      <c r="Q339" s="1262"/>
      <c r="R339" s="1262"/>
      <c r="T339" s="41" t="s">
        <v>701</v>
      </c>
      <c r="AA339" s="1262"/>
      <c r="AB339" s="1262"/>
      <c r="AC339" s="1262"/>
      <c r="AD339" s="1262"/>
      <c r="AE339" s="1262"/>
      <c r="AF339" s="1262"/>
      <c r="AG339" s="1262"/>
      <c r="AH339" s="1262"/>
      <c r="AI339" s="1262"/>
      <c r="AJ339" s="1262"/>
      <c r="AK339" s="1262"/>
    </row>
    <row r="340" spans="1:53" ht="12.95" customHeight="1">
      <c r="B340" s="361" t="s">
        <v>375</v>
      </c>
      <c r="C340" s="361"/>
      <c r="D340" s="361"/>
      <c r="E340" s="361"/>
      <c r="F340" s="361"/>
      <c r="G340" s="361"/>
      <c r="H340" s="1262" t="s">
        <v>2390</v>
      </c>
      <c r="I340" s="1262"/>
      <c r="J340" s="1262"/>
      <c r="K340" s="1262"/>
      <c r="L340" s="1262"/>
      <c r="M340" s="1262"/>
      <c r="N340" s="1262"/>
      <c r="O340" s="1262"/>
      <c r="P340" s="1262"/>
      <c r="Q340" s="1262"/>
      <c r="R340" s="1262"/>
      <c r="T340" s="41" t="s">
        <v>375</v>
      </c>
      <c r="AA340" s="1262"/>
      <c r="AB340" s="1262"/>
      <c r="AC340" s="1262"/>
      <c r="AD340" s="1262"/>
      <c r="AE340" s="1262"/>
      <c r="AF340" s="1262"/>
      <c r="AG340" s="1262"/>
      <c r="AH340" s="1262"/>
      <c r="AI340" s="1262"/>
      <c r="AJ340" s="1262"/>
      <c r="AK340" s="1262"/>
    </row>
    <row r="341" spans="1:53" ht="12.95" customHeight="1">
      <c r="B341" s="361" t="s">
        <v>376</v>
      </c>
      <c r="C341" s="361"/>
      <c r="D341" s="361"/>
      <c r="E341" s="361"/>
      <c r="F341" s="361"/>
      <c r="G341" s="361"/>
      <c r="H341" s="1406" t="s">
        <v>2391</v>
      </c>
      <c r="I341" s="1406"/>
      <c r="J341" s="1406"/>
      <c r="K341" s="1406"/>
      <c r="L341" s="1406"/>
      <c r="M341" s="1406"/>
      <c r="N341" s="5" t="s">
        <v>819</v>
      </c>
      <c r="O341" s="5"/>
      <c r="P341" s="1395"/>
      <c r="Q341" s="1395"/>
      <c r="R341" s="1395"/>
      <c r="T341" s="41" t="s">
        <v>376</v>
      </c>
      <c r="AA341" s="1406"/>
      <c r="AB341" s="1406"/>
      <c r="AC341" s="1406"/>
      <c r="AD341" s="1406"/>
      <c r="AE341" s="1406"/>
      <c r="AF341" s="1406"/>
      <c r="AG341" s="5" t="s">
        <v>819</v>
      </c>
      <c r="AH341" s="5"/>
      <c r="AI341" s="1395"/>
      <c r="AJ341" s="1395"/>
      <c r="AK341" s="1395"/>
    </row>
    <row r="342" spans="1:53" ht="12.95" customHeight="1">
      <c r="B342" s="361" t="s">
        <v>377</v>
      </c>
      <c r="C342" s="361"/>
      <c r="D342" s="361"/>
      <c r="E342" s="361"/>
      <c r="F342" s="361"/>
      <c r="G342" s="361"/>
      <c r="H342" s="1268" t="s">
        <v>2392</v>
      </c>
      <c r="I342" s="1268"/>
      <c r="J342" s="1268"/>
      <c r="K342" s="1268"/>
      <c r="L342" s="1268"/>
      <c r="M342" s="1268"/>
      <c r="N342" s="5"/>
      <c r="O342" s="5"/>
      <c r="P342" s="44"/>
      <c r="Q342" s="44"/>
      <c r="R342" s="44"/>
      <c r="T342" s="41" t="s">
        <v>377</v>
      </c>
      <c r="AA342" s="1268"/>
      <c r="AB342" s="1268"/>
      <c r="AC342" s="1268"/>
      <c r="AD342" s="1268"/>
      <c r="AE342" s="1268"/>
      <c r="AF342" s="1268"/>
      <c r="AG342" s="5"/>
      <c r="AH342" s="5"/>
      <c r="AI342" s="44"/>
      <c r="AJ342" s="44"/>
      <c r="AK342" s="44"/>
    </row>
    <row r="343" spans="1:53" ht="12.95" customHeight="1">
      <c r="B343" s="361" t="s">
        <v>703</v>
      </c>
      <c r="C343" s="361"/>
      <c r="D343" s="361"/>
      <c r="E343" s="361"/>
      <c r="F343" s="361"/>
      <c r="G343" s="361"/>
      <c r="H343" s="1262" t="s">
        <v>2393</v>
      </c>
      <c r="I343" s="1262"/>
      <c r="J343" s="1262"/>
      <c r="K343" s="1262"/>
      <c r="L343" s="1262"/>
      <c r="M343" s="1262"/>
      <c r="N343" s="1111"/>
      <c r="O343" s="1111"/>
      <c r="P343" s="1111"/>
      <c r="Q343" s="1111"/>
      <c r="R343" s="1111"/>
      <c r="T343" s="41" t="s">
        <v>703</v>
      </c>
      <c r="AA343" s="1262"/>
      <c r="AB343" s="1262"/>
      <c r="AC343" s="1262"/>
      <c r="AD343" s="1262"/>
      <c r="AE343" s="1262"/>
      <c r="AF343" s="1262"/>
      <c r="AG343" s="1111"/>
      <c r="AH343" s="1111"/>
      <c r="AI343" s="1111"/>
      <c r="AJ343" s="1111"/>
      <c r="AK343" s="1111"/>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7" t="s">
        <v>498</v>
      </c>
      <c r="B345" s="1087"/>
      <c r="C345" s="1087"/>
      <c r="D345" s="1087"/>
      <c r="E345" s="1087"/>
      <c r="F345" s="1087"/>
      <c r="G345" s="1087"/>
      <c r="H345" s="1087"/>
      <c r="I345" s="1087"/>
      <c r="J345" s="1087"/>
      <c r="K345" s="1087"/>
      <c r="L345" s="1087"/>
      <c r="M345" s="1087"/>
      <c r="N345" s="1087"/>
      <c r="O345" s="1087"/>
      <c r="P345" s="1087"/>
      <c r="Q345" s="1087"/>
      <c r="R345" s="1087"/>
      <c r="S345" s="1087"/>
      <c r="T345" s="1087"/>
      <c r="U345" s="1087"/>
      <c r="V345" s="1087"/>
      <c r="W345" s="1087"/>
      <c r="X345" s="1087"/>
      <c r="Y345" s="1087"/>
      <c r="Z345" s="1087"/>
      <c r="AA345" s="1087"/>
      <c r="AB345" s="1087"/>
      <c r="AC345" s="1087"/>
      <c r="AD345" s="1087"/>
      <c r="AE345" s="1087"/>
      <c r="AF345" s="1087"/>
      <c r="AG345" s="1087"/>
      <c r="AH345" s="1087"/>
      <c r="AI345" s="1087"/>
      <c r="AJ345" s="1087"/>
      <c r="AK345" s="1087"/>
      <c r="AL345" s="1087"/>
      <c r="AM345" s="1087"/>
      <c r="AN345" s="1087"/>
      <c r="AO345" s="1087"/>
      <c r="AP345" s="1087"/>
      <c r="AQ345" s="1087"/>
      <c r="AR345" s="1087"/>
      <c r="AS345" s="1087"/>
      <c r="AT345" s="1087"/>
    </row>
    <row r="346" spans="1:53" ht="12.95" customHeight="1">
      <c r="A346" s="1087"/>
      <c r="B346" s="1087"/>
      <c r="C346" s="1087"/>
      <c r="D346" s="1087"/>
      <c r="E346" s="1087"/>
      <c r="F346" s="1087"/>
      <c r="G346" s="1087"/>
      <c r="H346" s="1087"/>
      <c r="I346" s="1087"/>
      <c r="J346" s="1087"/>
      <c r="K346" s="1087"/>
      <c r="L346" s="1087"/>
      <c r="M346" s="1087"/>
      <c r="N346" s="1087"/>
      <c r="O346" s="1087"/>
      <c r="P346" s="1087"/>
      <c r="Q346" s="1087"/>
      <c r="R346" s="1087"/>
      <c r="S346" s="1087"/>
      <c r="T346" s="1087"/>
      <c r="U346" s="1087"/>
      <c r="V346" s="1087"/>
      <c r="W346" s="1087"/>
      <c r="X346" s="1087"/>
      <c r="Y346" s="1087"/>
      <c r="Z346" s="1087"/>
      <c r="AA346" s="1087"/>
      <c r="AB346" s="1087"/>
      <c r="AC346" s="1087"/>
      <c r="AD346" s="1087"/>
      <c r="AE346" s="1087"/>
      <c r="AF346" s="1087"/>
      <c r="AG346" s="1087"/>
      <c r="AH346" s="1087"/>
      <c r="AI346" s="1087"/>
      <c r="AJ346" s="1087"/>
      <c r="AK346" s="1087"/>
      <c r="AL346" s="1087"/>
      <c r="AM346" s="1087"/>
      <c r="AN346" s="1087"/>
      <c r="AO346" s="1087"/>
      <c r="AP346" s="1087"/>
      <c r="AQ346" s="1087"/>
      <c r="AR346" s="1087"/>
      <c r="AS346" s="1087"/>
      <c r="AT346" s="108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102" t="s">
        <v>124</v>
      </c>
      <c r="N349" s="1102"/>
      <c r="P349" t="s">
        <v>1965</v>
      </c>
      <c r="AJ349" s="1102" t="s">
        <v>483</v>
      </c>
      <c r="AK349" s="1102"/>
    </row>
    <row r="350" spans="1:53" ht="12.95" customHeight="1">
      <c r="D350" s="41" t="s">
        <v>1891</v>
      </c>
      <c r="M350" s="1102" t="s">
        <v>124</v>
      </c>
      <c r="N350" s="1102"/>
      <c r="P350" s="41" t="s">
        <v>1966</v>
      </c>
      <c r="AJ350" s="1331"/>
      <c r="AK350" s="1331"/>
    </row>
    <row r="351" spans="1:53" ht="12.95" customHeight="1">
      <c r="D351" t="s">
        <v>314</v>
      </c>
      <c r="M351" s="1102" t="s">
        <v>124</v>
      </c>
      <c r="N351" s="1102"/>
      <c r="P351" t="s">
        <v>1967</v>
      </c>
      <c r="AJ351" s="1102" t="s">
        <v>108</v>
      </c>
      <c r="AK351" s="1102"/>
    </row>
    <row r="352" spans="1:53" ht="12.95" customHeight="1">
      <c r="D352" t="s">
        <v>315</v>
      </c>
      <c r="M352" s="1102" t="s">
        <v>108</v>
      </c>
      <c r="N352" s="1102"/>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102" t="s">
        <v>108</v>
      </c>
      <c r="O357" s="1102"/>
      <c r="P357" s="49"/>
      <c r="Q357" s="49"/>
      <c r="R357" s="49"/>
      <c r="S357" s="49"/>
      <c r="T357" s="49"/>
      <c r="U357" s="49"/>
      <c r="V357" s="49"/>
      <c r="W357" s="49"/>
      <c r="X357" s="49"/>
      <c r="Y357" s="49"/>
      <c r="Z357" s="49"/>
      <c r="AC357" s="49"/>
      <c r="AD357" s="49"/>
      <c r="AE357" s="49"/>
    </row>
    <row r="358" spans="1:57" ht="12.95" customHeight="1">
      <c r="E358" t="s">
        <v>734</v>
      </c>
      <c r="Y358" s="1102" t="s">
        <v>124</v>
      </c>
      <c r="Z358" s="1102"/>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102" t="s">
        <v>108</v>
      </c>
      <c r="K360" s="1102"/>
      <c r="L360" s="49"/>
      <c r="M360" s="49"/>
      <c r="N360" s="49"/>
      <c r="O360" s="49"/>
      <c r="P360" s="49"/>
      <c r="Q360" s="49"/>
      <c r="R360" s="49"/>
      <c r="S360" s="49"/>
      <c r="T360" s="49"/>
      <c r="U360" s="49"/>
      <c r="V360" s="49"/>
      <c r="W360" s="49"/>
      <c r="X360" s="49"/>
      <c r="Y360" s="49"/>
      <c r="Z360" s="49"/>
      <c r="AC360" s="49"/>
      <c r="AD360" s="49"/>
      <c r="AE360" s="49"/>
    </row>
    <row r="361" spans="1:57" ht="12.95" customHeight="1">
      <c r="E361" s="979" t="s">
        <v>316</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2.95"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483</v>
      </c>
    </row>
    <row r="363" spans="1:57" ht="12.95" customHeight="1">
      <c r="E363" s="5" t="s">
        <v>591</v>
      </c>
      <c r="F363" s="5"/>
      <c r="G363" s="5"/>
      <c r="H363" s="5"/>
      <c r="I363" s="5"/>
      <c r="J363" s="5"/>
      <c r="K363" s="5"/>
      <c r="L363" s="5"/>
      <c r="N363" s="1105">
        <v>1978</v>
      </c>
      <c r="O363" s="1105"/>
      <c r="P363" s="1105"/>
      <c r="Q363" s="1105"/>
      <c r="R363" s="5"/>
      <c r="U363" s="5" t="s">
        <v>592</v>
      </c>
      <c r="V363" s="5"/>
      <c r="W363" s="5"/>
      <c r="X363" s="5"/>
      <c r="Y363" s="5"/>
      <c r="Z363" s="5"/>
      <c r="AA363" s="5"/>
      <c r="AB363" s="5"/>
      <c r="AC363" s="1105">
        <v>2</v>
      </c>
      <c r="AD363" s="1105"/>
      <c r="AE363" s="1105"/>
      <c r="AF363" s="1105"/>
      <c r="BE363" t="s">
        <v>108</v>
      </c>
    </row>
    <row r="364" spans="1:57" ht="12.95" customHeight="1">
      <c r="E364" s="5" t="s">
        <v>593</v>
      </c>
      <c r="F364" s="5"/>
      <c r="G364" s="5"/>
      <c r="H364" s="5"/>
      <c r="I364" s="5"/>
      <c r="J364" s="5"/>
      <c r="K364" s="5"/>
      <c r="L364" s="5"/>
      <c r="N364" s="1105">
        <v>1</v>
      </c>
      <c r="O364" s="1105"/>
      <c r="P364" s="1105"/>
      <c r="Q364" s="1105"/>
      <c r="R364" s="5"/>
      <c r="U364" s="5" t="s">
        <v>594</v>
      </c>
      <c r="V364" s="5"/>
      <c r="W364" s="5"/>
      <c r="X364" s="5"/>
      <c r="Y364" s="5"/>
      <c r="Z364" s="5"/>
      <c r="AA364" s="5"/>
      <c r="AB364" s="5"/>
      <c r="AC364" s="1105">
        <v>57</v>
      </c>
      <c r="AD364" s="1105"/>
      <c r="AE364" s="1105"/>
      <c r="AF364" s="1105"/>
    </row>
    <row r="365" spans="1:57" ht="12.95" customHeight="1">
      <c r="E365" s="5" t="s">
        <v>64</v>
      </c>
      <c r="F365" s="5"/>
      <c r="G365" s="5"/>
      <c r="H365" s="5"/>
      <c r="I365" s="5"/>
      <c r="J365" s="5"/>
      <c r="K365" s="5"/>
      <c r="L365" s="5"/>
      <c r="N365" s="1105">
        <v>3</v>
      </c>
      <c r="O365" s="1105"/>
      <c r="P365" s="1105"/>
      <c r="Q365" s="1105"/>
      <c r="R365" s="5"/>
      <c r="V365" s="5"/>
      <c r="W365" s="5"/>
      <c r="X365" s="5"/>
      <c r="Y365" s="5"/>
      <c r="Z365" s="5"/>
      <c r="AA365" s="5"/>
      <c r="AB365" s="5"/>
    </row>
    <row r="366" spans="1:57" ht="12.95" customHeight="1">
      <c r="E366" s="5" t="s">
        <v>65</v>
      </c>
      <c r="F366" s="5"/>
      <c r="G366" s="5"/>
      <c r="H366" s="5"/>
      <c r="I366" s="5"/>
      <c r="J366" s="5"/>
      <c r="K366" s="5"/>
      <c r="L366" s="5"/>
      <c r="N366" s="1472" t="s">
        <v>2394</v>
      </c>
      <c r="O366" s="1473"/>
      <c r="P366" s="1473"/>
      <c r="Q366" s="1473"/>
      <c r="R366" s="1473"/>
      <c r="S366" s="1473"/>
      <c r="T366" s="1473"/>
      <c r="U366" s="1473"/>
      <c r="V366" s="1473"/>
      <c r="W366" s="1473"/>
      <c r="X366" s="1473"/>
      <c r="Y366" s="1473"/>
      <c r="Z366" s="1473"/>
      <c r="AA366" s="1473"/>
      <c r="AB366" s="1473"/>
      <c r="AC366" s="1473"/>
      <c r="AD366" s="1473"/>
      <c r="AE366" s="1473"/>
      <c r="AF366" s="1473"/>
    </row>
    <row r="367" spans="1:57" ht="12.95" customHeight="1">
      <c r="E367" s="5"/>
      <c r="F367" s="5"/>
      <c r="G367" s="5"/>
      <c r="H367" s="5"/>
      <c r="I367" s="5"/>
      <c r="J367" s="5"/>
      <c r="K367" s="5"/>
      <c r="L367" s="5"/>
      <c r="N367" s="1474"/>
      <c r="O367" s="1474"/>
      <c r="P367" s="1474"/>
      <c r="Q367" s="1474"/>
      <c r="R367" s="1474"/>
      <c r="S367" s="1474"/>
      <c r="T367" s="1474"/>
      <c r="U367" s="1474"/>
      <c r="V367" s="1474"/>
      <c r="W367" s="1474"/>
      <c r="X367" s="1474"/>
      <c r="Y367" s="1474"/>
      <c r="Z367" s="1474"/>
      <c r="AA367" s="1474"/>
      <c r="AB367" s="1474"/>
      <c r="AC367" s="1474"/>
      <c r="AD367" s="1474"/>
      <c r="AE367" s="1474"/>
      <c r="AF367" s="1474"/>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10">
        <v>2001</v>
      </c>
      <c r="T370" s="1310"/>
      <c r="U370" s="370" t="s">
        <v>232</v>
      </c>
      <c r="V370" s="1310">
        <v>847</v>
      </c>
      <c r="W370" s="1310"/>
      <c r="X370" s="361"/>
      <c r="Z370" s="361"/>
      <c r="AA370" s="940" t="s">
        <v>2108</v>
      </c>
      <c r="AB370" s="361" t="s">
        <v>231</v>
      </c>
      <c r="AC370" s="361"/>
      <c r="AD370" s="1310"/>
      <c r="AE370" s="1310"/>
      <c r="AF370" s="370" t="s">
        <v>232</v>
      </c>
      <c r="AG370" s="1310"/>
      <c r="AH370" s="1310"/>
    </row>
    <row r="371" spans="1:36" ht="12.95" customHeight="1">
      <c r="D371" s="361"/>
      <c r="E371" s="361" t="s">
        <v>1236</v>
      </c>
      <c r="F371" s="361"/>
      <c r="G371" s="361"/>
      <c r="H371" s="361"/>
      <c r="I371" s="361"/>
      <c r="J371" s="361"/>
      <c r="K371" s="361"/>
      <c r="L371" s="361"/>
      <c r="M371" s="361"/>
      <c r="N371" s="1310">
        <v>2002</v>
      </c>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108</v>
      </c>
      <c r="AH372" s="1334"/>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483</v>
      </c>
      <c r="AH373" s="1334"/>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334" t="s">
        <v>124</v>
      </c>
      <c r="W374" s="1334"/>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4" t="s">
        <v>483</v>
      </c>
      <c r="W375" s="1334"/>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11" t="s">
        <v>2395</v>
      </c>
      <c r="K378" s="1111"/>
      <c r="L378" s="1111"/>
      <c r="M378" s="1111"/>
      <c r="N378" s="1111"/>
      <c r="O378" s="1111"/>
      <c r="P378" s="1111"/>
      <c r="Q378" s="1111"/>
      <c r="R378" s="1111"/>
      <c r="S378" s="1111"/>
      <c r="T378" s="1111"/>
      <c r="U378" s="1111"/>
      <c r="V378" s="12" t="s">
        <v>711</v>
      </c>
      <c r="W378" s="12"/>
      <c r="X378" s="12"/>
      <c r="Y378" s="12"/>
      <c r="Z378" s="12"/>
      <c r="AA378" s="12"/>
      <c r="AB378" s="12"/>
      <c r="AC378" s="1111" t="s">
        <v>2445</v>
      </c>
      <c r="AD378" s="1111"/>
      <c r="AE378" s="1111"/>
      <c r="AF378" s="1111"/>
      <c r="AG378" s="1111"/>
      <c r="AH378" s="1111"/>
      <c r="AI378" s="1111"/>
      <c r="AJ378" s="1111"/>
    </row>
    <row r="379" spans="1:36" ht="12.95" customHeight="1">
      <c r="D379" s="41" t="s">
        <v>1968</v>
      </c>
      <c r="J379" s="1262" t="s">
        <v>2396</v>
      </c>
      <c r="K379" s="1262"/>
      <c r="L379" s="1262"/>
      <c r="M379" s="1262"/>
      <c r="N379" s="1262"/>
      <c r="O379" s="1262"/>
      <c r="P379" s="1262"/>
      <c r="Q379" s="1262"/>
      <c r="R379" s="1262"/>
      <c r="S379" s="1262"/>
      <c r="T379" s="1262"/>
      <c r="U379" s="1262"/>
      <c r="V379" s="41" t="s">
        <v>1968</v>
      </c>
      <c r="W379" s="12"/>
      <c r="X379" s="12"/>
      <c r="Y379" s="12"/>
      <c r="Z379" s="12"/>
      <c r="AA379" s="12"/>
      <c r="AB379" s="12"/>
      <c r="AC379" s="1111"/>
      <c r="AD379" s="1111"/>
      <c r="AE379" s="1111"/>
      <c r="AF379" s="1111"/>
      <c r="AG379" s="1111"/>
      <c r="AH379" s="1111"/>
      <c r="AI379" s="1111"/>
      <c r="AJ379" s="1111"/>
    </row>
    <row r="380" spans="1:36" ht="12.95" customHeight="1">
      <c r="D380" s="41" t="s">
        <v>545</v>
      </c>
      <c r="J380" s="1262" t="s">
        <v>2397</v>
      </c>
      <c r="K380" s="1262"/>
      <c r="L380" s="1262"/>
      <c r="M380" s="1262"/>
      <c r="N380" s="1262"/>
      <c r="O380" s="1262"/>
      <c r="P380" s="1262"/>
      <c r="Q380" s="1262"/>
      <c r="R380" s="1262"/>
      <c r="S380" s="1262"/>
      <c r="T380" s="1262"/>
      <c r="U380" s="1262"/>
      <c r="V380" s="41" t="s">
        <v>545</v>
      </c>
      <c r="W380" s="12"/>
      <c r="X380" s="12"/>
      <c r="Y380" s="12"/>
      <c r="Z380" s="12"/>
      <c r="AA380" s="12"/>
      <c r="AB380" s="12"/>
      <c r="AC380" s="1111" t="s">
        <v>2446</v>
      </c>
      <c r="AD380" s="1111"/>
      <c r="AE380" s="1111"/>
      <c r="AF380" s="1111"/>
      <c r="AG380" s="1111"/>
      <c r="AH380" s="1111"/>
      <c r="AI380" s="1111"/>
      <c r="AJ380" s="1111"/>
    </row>
    <row r="381" spans="1:36" ht="12.95" customHeight="1">
      <c r="D381" t="s">
        <v>1969</v>
      </c>
      <c r="J381" s="1060" t="s">
        <v>2398</v>
      </c>
      <c r="K381" s="1060"/>
      <c r="L381" s="1060"/>
      <c r="M381" s="1060"/>
      <c r="N381" s="1060"/>
      <c r="O381" s="1060"/>
      <c r="P381" s="1060"/>
      <c r="Q381" s="1060"/>
      <c r="R381" s="1060"/>
      <c r="S381" s="1060"/>
      <c r="T381" s="1060"/>
      <c r="U381" s="1060"/>
      <c r="V381" s="1111" t="s">
        <v>2399</v>
      </c>
      <c r="W381" s="1111"/>
      <c r="X381" s="1111"/>
      <c r="Y381" s="1111"/>
      <c r="Z381" s="1111"/>
      <c r="AA381" s="1111"/>
      <c r="AB381" s="1111"/>
      <c r="AC381" s="1111"/>
      <c r="AD381" s="1111"/>
      <c r="AE381" s="1111"/>
      <c r="AF381" s="1111"/>
      <c r="AG381" s="1111"/>
      <c r="AH381" s="1111"/>
      <c r="AI381" s="1111"/>
      <c r="AJ381" s="1111"/>
    </row>
    <row r="382" spans="1:36" ht="12.95" customHeight="1">
      <c r="D382" t="s">
        <v>555</v>
      </c>
      <c r="Q382" s="1366">
        <v>45238</v>
      </c>
      <c r="R382" s="1366"/>
      <c r="S382" s="1366"/>
      <c r="T382" s="1366"/>
      <c r="U382" s="1366"/>
      <c r="V382" t="s">
        <v>168</v>
      </c>
      <c r="AI382" s="1102" t="s">
        <v>483</v>
      </c>
      <c r="AJ382" s="1102"/>
    </row>
    <row r="383" spans="1:36" ht="12.95" customHeight="1">
      <c r="D383" t="s">
        <v>556</v>
      </c>
      <c r="Q383" s="1380">
        <v>45504</v>
      </c>
      <c r="R383" s="1190"/>
      <c r="S383" s="1190"/>
      <c r="T383" s="1190"/>
      <c r="U383" s="1190"/>
      <c r="W383" s="29" t="s">
        <v>20</v>
      </c>
      <c r="AG383" s="1356"/>
      <c r="AH383" s="1356"/>
      <c r="AI383" s="1356"/>
      <c r="AJ383" s="1356"/>
    </row>
    <row r="384" spans="1:36" ht="12.95" customHeight="1">
      <c r="D384" t="s">
        <v>274</v>
      </c>
      <c r="Q384" s="1451">
        <v>6587315</v>
      </c>
      <c r="R384" s="1451"/>
      <c r="S384" s="1451"/>
      <c r="T384" s="1451"/>
      <c r="U384" s="1451"/>
      <c r="V384" s="41" t="s">
        <v>1970</v>
      </c>
      <c r="AG384" s="1510">
        <v>45504</v>
      </c>
      <c r="AH384" s="1510"/>
      <c r="AI384" s="1510"/>
      <c r="AJ384" s="1510"/>
    </row>
    <row r="385" spans="4:36" ht="12.95" customHeight="1">
      <c r="D385" t="s">
        <v>376</v>
      </c>
      <c r="I385" s="1405" t="s">
        <v>2478</v>
      </c>
      <c r="J385" s="1405"/>
      <c r="K385" s="1405"/>
      <c r="L385" s="1405"/>
      <c r="M385" s="1405"/>
      <c r="N385" s="1405"/>
      <c r="Q385" s="41" t="s">
        <v>819</v>
      </c>
      <c r="S385" s="1530"/>
      <c r="T385" s="1530"/>
      <c r="U385" s="1530"/>
      <c r="V385" t="s">
        <v>19</v>
      </c>
      <c r="AI385" s="1102" t="s">
        <v>483</v>
      </c>
      <c r="AJ385" s="1102"/>
    </row>
    <row r="386" spans="4:36" ht="12.95" customHeight="1">
      <c r="D386" t="s">
        <v>169</v>
      </c>
      <c r="Q386" s="1063">
        <v>0</v>
      </c>
      <c r="R386" s="1063"/>
      <c r="S386" s="1063"/>
      <c r="T386" s="1063"/>
      <c r="U386" s="1063"/>
      <c r="V386" t="s">
        <v>170</v>
      </c>
      <c r="AG386" s="1356">
        <v>0</v>
      </c>
      <c r="AH386" s="1356"/>
      <c r="AI386" s="1356"/>
      <c r="AJ386" s="1356"/>
    </row>
    <row r="387" spans="4:36" ht="12.95" customHeight="1">
      <c r="D387" t="s">
        <v>25</v>
      </c>
      <c r="Q387" s="1412">
        <f>(1+0.02+0.005143+0.00428+0.042225+0.000284+0.005293+0.039241+0.000396+0.000815+0.000699+0.014447+0.012355)%</f>
        <v>1.145178E-2</v>
      </c>
      <c r="R387" s="1412"/>
      <c r="S387" s="1412"/>
      <c r="T387" s="1412"/>
      <c r="U387" s="1412"/>
      <c r="V387" t="s">
        <v>1683</v>
      </c>
      <c r="AG387" s="1356">
        <v>0</v>
      </c>
      <c r="AH387" s="1356"/>
      <c r="AI387" s="1356"/>
      <c r="AJ387" s="1356"/>
    </row>
    <row r="388" spans="4:36" ht="12.95" customHeight="1">
      <c r="D388" t="s">
        <v>1971</v>
      </c>
      <c r="AG388" s="1356">
        <v>0</v>
      </c>
      <c r="AH388" s="1356"/>
      <c r="AI388" s="1356"/>
      <c r="AJ388" s="1356"/>
    </row>
    <row r="389" spans="4:36" ht="12.95" customHeight="1">
      <c r="AG389" s="832"/>
      <c r="AH389" s="832"/>
      <c r="AI389" s="832"/>
      <c r="AJ389" s="832"/>
    </row>
    <row r="390" spans="4:36" ht="12.95" customHeight="1">
      <c r="D390" s="41" t="s">
        <v>2210</v>
      </c>
      <c r="AG390" s="832"/>
      <c r="AH390" s="832"/>
      <c r="AI390" s="1102" t="s">
        <v>483</v>
      </c>
      <c r="AJ390" s="1102"/>
    </row>
    <row r="391" spans="4:36" ht="12.95" customHeight="1">
      <c r="D391" s="41" t="s">
        <v>1972</v>
      </c>
      <c r="T391" s="1298"/>
      <c r="U391" s="1298"/>
      <c r="V391" s="1298"/>
      <c r="W391" s="1298"/>
      <c r="X391" s="1298"/>
      <c r="Y391" s="1298"/>
      <c r="Z391" s="1298"/>
      <c r="AA391" s="1298"/>
      <c r="AB391" s="1298"/>
      <c r="AC391" s="1298"/>
      <c r="AD391" s="1298"/>
      <c r="AE391" s="1298"/>
      <c r="AF391" s="1298"/>
      <c r="AG391" s="1298"/>
      <c r="AH391" s="1298"/>
      <c r="AI391" s="1298"/>
      <c r="AJ391" s="1298"/>
    </row>
    <row r="392" spans="4:36" ht="12.95" customHeight="1">
      <c r="D392" s="41" t="s">
        <v>1973</v>
      </c>
      <c r="T392" s="1298"/>
      <c r="U392" s="1298"/>
      <c r="V392" s="1298"/>
      <c r="W392" s="1298"/>
      <c r="X392" s="1298"/>
      <c r="Y392" s="1298"/>
      <c r="Z392" s="1298"/>
      <c r="AA392" s="1298"/>
      <c r="AB392" s="1298"/>
      <c r="AC392" s="1298"/>
      <c r="AD392" s="1298"/>
      <c r="AE392" s="1298"/>
      <c r="AF392" s="1298"/>
      <c r="AG392" s="1298"/>
      <c r="AH392" s="1298"/>
      <c r="AI392" s="1298"/>
      <c r="AJ392" s="1298"/>
    </row>
    <row r="393" spans="4:36" ht="12.95" customHeight="1">
      <c r="AG393" s="832"/>
      <c r="AH393" s="832"/>
      <c r="AI393" s="832"/>
      <c r="AJ393" s="832"/>
    </row>
    <row r="394" spans="4:36" ht="12.95" customHeight="1">
      <c r="D394" s="41" t="s">
        <v>1974</v>
      </c>
      <c r="S394" s="1298" t="s">
        <v>483</v>
      </c>
      <c r="T394" s="1298"/>
      <c r="U394" s="1298"/>
      <c r="V394" t="s">
        <v>1975</v>
      </c>
      <c r="AG394" s="1365"/>
      <c r="AH394" s="1365"/>
      <c r="AI394" s="1365"/>
      <c r="AJ394" s="1365"/>
    </row>
    <row r="395" spans="4:36" ht="12.95" customHeight="1">
      <c r="D395" s="41" t="s">
        <v>1976</v>
      </c>
      <c r="S395" s="1298" t="s">
        <v>124</v>
      </c>
      <c r="T395" s="1298"/>
      <c r="U395" s="1298"/>
      <c r="V395" t="s">
        <v>1977</v>
      </c>
      <c r="AE395" s="1569"/>
      <c r="AF395" s="1569"/>
      <c r="AG395" s="1569"/>
      <c r="AH395" s="1569"/>
      <c r="AI395" s="1569"/>
      <c r="AJ395" s="1569"/>
    </row>
    <row r="396" spans="4:36" ht="12.95" customHeight="1">
      <c r="D396" s="41" t="s">
        <v>1978</v>
      </c>
      <c r="K396" s="1364"/>
      <c r="L396" s="1364"/>
      <c r="M396" s="1364"/>
      <c r="N396" s="1364"/>
      <c r="O396" s="1364"/>
      <c r="P396" s="1364"/>
      <c r="Q396" s="1364"/>
      <c r="R396" s="1364"/>
      <c r="S396" s="1364"/>
      <c r="T396" s="1364"/>
      <c r="U396" s="1364"/>
      <c r="V396" s="1364"/>
      <c r="W396" s="1364"/>
      <c r="X396" s="1364"/>
      <c r="Y396" s="1364"/>
      <c r="Z396" s="1364"/>
      <c r="AA396" s="1364"/>
      <c r="AB396" s="1364"/>
      <c r="AC396" s="1364"/>
      <c r="AD396" s="1364"/>
      <c r="AE396" s="1364"/>
      <c r="AF396" s="1364"/>
      <c r="AG396" s="1364"/>
      <c r="AH396" s="1364"/>
      <c r="AI396" s="1364"/>
      <c r="AJ396" s="1364"/>
    </row>
    <row r="397" spans="4:36" ht="12.95" customHeight="1">
      <c r="D397" s="41" t="s">
        <v>1979</v>
      </c>
      <c r="K397" s="1364"/>
      <c r="L397" s="1364"/>
      <c r="M397" s="1364"/>
      <c r="N397" s="1364"/>
      <c r="O397" s="1364"/>
      <c r="P397" s="1364"/>
      <c r="Q397" s="1364"/>
      <c r="R397" s="1364"/>
      <c r="S397" s="1364"/>
      <c r="T397" s="1364"/>
      <c r="U397" s="1364"/>
      <c r="V397" s="1364"/>
      <c r="W397" s="1364"/>
      <c r="X397" s="1364"/>
      <c r="Y397" s="1364"/>
      <c r="Z397" s="1364"/>
      <c r="AA397" s="1364"/>
      <c r="AB397" s="1364"/>
      <c r="AC397" s="1364"/>
      <c r="AD397" s="1364"/>
      <c r="AE397" s="1364"/>
      <c r="AF397" s="1364"/>
      <c r="AG397" s="1364"/>
      <c r="AH397" s="1364"/>
      <c r="AI397" s="1364"/>
      <c r="AJ397" s="1364"/>
    </row>
    <row r="398" spans="4:36" ht="12.95" customHeight="1">
      <c r="D398" s="41" t="s">
        <v>1980</v>
      </c>
      <c r="E398" s="813"/>
      <c r="F398" s="813"/>
      <c r="G398" s="813"/>
      <c r="H398" s="813"/>
      <c r="I398" s="813"/>
      <c r="J398" s="813"/>
      <c r="K398" s="813"/>
      <c r="L398" s="813"/>
      <c r="M398" s="813"/>
      <c r="N398" s="813"/>
      <c r="O398" s="813"/>
      <c r="P398" s="813"/>
      <c r="Q398" s="813"/>
      <c r="R398" s="813"/>
      <c r="S398" s="1367" t="s">
        <v>2476</v>
      </c>
      <c r="T398" s="1367"/>
      <c r="U398" s="1367"/>
      <c r="V398" s="1367"/>
      <c r="W398" s="1367"/>
      <c r="X398" s="1367"/>
      <c r="Y398" s="1367"/>
      <c r="Z398" s="1367"/>
      <c r="AA398" s="1367"/>
      <c r="AB398" s="1367"/>
      <c r="AC398" s="1367"/>
      <c r="AD398" s="1367"/>
      <c r="AE398" s="1367"/>
      <c r="AF398" s="1367"/>
      <c r="AG398" s="1367"/>
      <c r="AH398" s="1367"/>
      <c r="AI398" s="1367"/>
      <c r="AJ398" s="1367"/>
    </row>
    <row r="399" spans="4:36" ht="12.95" customHeight="1">
      <c r="D399" s="976" t="s">
        <v>1982</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5"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5" customHeight="1">
      <c r="AG401" s="832"/>
      <c r="AH401" s="832"/>
      <c r="AI401" s="832"/>
      <c r="AJ401" s="832"/>
    </row>
    <row r="402" spans="1:36" ht="12.95" customHeight="1">
      <c r="A402" s="3" t="s">
        <v>122</v>
      </c>
      <c r="B402" s="3"/>
      <c r="C402" s="3" t="s">
        <v>900</v>
      </c>
    </row>
    <row r="403" spans="1:36" ht="12.95" customHeight="1">
      <c r="D403" s="3" t="s">
        <v>1737</v>
      </c>
      <c r="I403" s="1107" t="s">
        <v>2400</v>
      </c>
      <c r="J403" s="1107"/>
      <c r="K403" s="1107"/>
      <c r="L403" s="1107"/>
      <c r="M403" s="1107"/>
      <c r="N403" s="1107"/>
      <c r="O403" s="1107"/>
      <c r="P403" s="1107"/>
      <c r="Q403" s="1107"/>
      <c r="R403" s="1107"/>
      <c r="S403" s="1107"/>
      <c r="T403" s="1107"/>
      <c r="U403" s="1107"/>
      <c r="V403" s="1107"/>
      <c r="W403" s="1107"/>
      <c r="X403" s="1107"/>
      <c r="Y403" s="1107"/>
      <c r="Z403" s="1107"/>
      <c r="AA403" s="1107"/>
      <c r="AB403" s="1107"/>
      <c r="AC403" s="1107"/>
      <c r="AD403" s="1107"/>
    </row>
    <row r="404" spans="1:36" ht="12.95" customHeight="1">
      <c r="E404" t="s">
        <v>856</v>
      </c>
      <c r="R404" s="1102" t="s">
        <v>108</v>
      </c>
      <c r="S404" s="1102"/>
      <c r="T404" t="s">
        <v>291</v>
      </c>
      <c r="AD404" s="1105">
        <v>3</v>
      </c>
      <c r="AE404" s="1105"/>
    </row>
    <row r="405" spans="1:36" ht="12.95" customHeight="1">
      <c r="E405" t="s">
        <v>857</v>
      </c>
      <c r="R405" s="1102" t="s">
        <v>124</v>
      </c>
      <c r="S405" s="1102"/>
      <c r="T405" t="s">
        <v>291</v>
      </c>
      <c r="AD405" s="1105">
        <v>0</v>
      </c>
      <c r="AE405" s="1105"/>
    </row>
    <row r="406" spans="1:36" ht="12.95" customHeight="1">
      <c r="E406" t="s">
        <v>858</v>
      </c>
      <c r="S406" s="1102" t="s">
        <v>124</v>
      </c>
      <c r="T406" s="1102"/>
    </row>
    <row r="407" spans="1:36" ht="12.95" customHeight="1">
      <c r="E407" t="s">
        <v>283</v>
      </c>
      <c r="H407" s="1103" t="s">
        <v>2477</v>
      </c>
      <c r="I407" s="1103"/>
      <c r="J407" s="1103"/>
      <c r="K407" s="1103"/>
      <c r="L407" s="1103"/>
      <c r="M407" s="1103"/>
      <c r="N407" s="1103"/>
      <c r="O407" s="1103"/>
      <c r="P407" s="1103"/>
      <c r="Q407" s="1103"/>
      <c r="R407" s="1103"/>
      <c r="S407" s="1103"/>
      <c r="T407" s="1103"/>
      <c r="U407" s="1103"/>
      <c r="V407" s="1103"/>
      <c r="W407" s="1103"/>
      <c r="X407" s="1103"/>
      <c r="Y407" s="1103"/>
      <c r="Z407" s="1103"/>
      <c r="AA407" s="1103"/>
      <c r="AB407" s="1103"/>
      <c r="AC407" s="1103"/>
      <c r="AD407" s="1103"/>
      <c r="AE407" s="1103"/>
      <c r="AF407" s="1103"/>
      <c r="AG407" s="1103"/>
      <c r="AH407" s="1103"/>
      <c r="AI407" s="1103"/>
      <c r="AJ407" s="1103"/>
    </row>
    <row r="408" spans="1:36" ht="12.95" customHeight="1">
      <c r="H408" s="1104"/>
      <c r="I408" s="1104"/>
      <c r="J408" s="1104"/>
      <c r="K408" s="1104"/>
      <c r="L408" s="1104"/>
      <c r="M408" s="1104"/>
      <c r="N408" s="1104"/>
      <c r="O408" s="1104"/>
      <c r="P408" s="1104"/>
      <c r="Q408" s="1104"/>
      <c r="R408" s="1104"/>
      <c r="S408" s="1104"/>
      <c r="T408" s="1104"/>
      <c r="U408" s="1104"/>
      <c r="V408" s="1104"/>
      <c r="W408" s="1104"/>
      <c r="X408" s="1104"/>
      <c r="Y408" s="1104"/>
      <c r="Z408" s="1104"/>
      <c r="AA408" s="1104"/>
      <c r="AB408" s="1104"/>
      <c r="AC408" s="1104"/>
      <c r="AD408" s="1104"/>
      <c r="AE408" s="1104"/>
      <c r="AF408" s="1104"/>
      <c r="AG408" s="1104"/>
      <c r="AH408" s="1104"/>
      <c r="AI408" s="1104"/>
      <c r="AJ408" s="1104"/>
    </row>
    <row r="409" spans="1:36" ht="12.95" customHeight="1"/>
    <row r="410" spans="1:36" ht="12.95" customHeight="1">
      <c r="A410" s="3" t="s">
        <v>123</v>
      </c>
      <c r="B410" s="3"/>
      <c r="C410" s="3"/>
      <c r="D410" s="3" t="s">
        <v>903</v>
      </c>
      <c r="AE410" s="5"/>
      <c r="AF410" s="3" t="s">
        <v>1215</v>
      </c>
    </row>
    <row r="411" spans="1:36" ht="12.95" customHeight="1">
      <c r="E411" s="1313"/>
      <c r="F411" s="1313"/>
      <c r="G411" s="1313"/>
      <c r="H411" s="18" t="s">
        <v>904</v>
      </c>
      <c r="I411" s="1313"/>
      <c r="J411" s="1313"/>
      <c r="K411" s="1313"/>
      <c r="L411" t="s">
        <v>905</v>
      </c>
      <c r="N411" s="34" t="s">
        <v>852</v>
      </c>
      <c r="P411" s="1400">
        <v>0.56000000000000005</v>
      </c>
      <c r="Q411" s="1400"/>
      <c r="R411" s="1400"/>
      <c r="S411" t="s">
        <v>906</v>
      </c>
      <c r="W411" s="1401">
        <f>IF(E411&gt;0,(E411*I411),(P411*43560))</f>
        <v>24393.600000000002</v>
      </c>
      <c r="X411" s="1401"/>
      <c r="Y411" s="1401"/>
      <c r="Z411" t="s">
        <v>907</v>
      </c>
      <c r="AF411" s="1314" cm="1">
        <f t="array" ref="AF411">_xlfn.IFS(P411&gt;0,(AG430/P411),W411&gt;0,(AG430/(W411/43560)),TRUE,0)</f>
        <v>101.78571428571428</v>
      </c>
      <c r="AG411" s="1314"/>
      <c r="AH411" s="1314"/>
    </row>
    <row r="412" spans="1:36" ht="12.95" customHeight="1">
      <c r="E412" t="s">
        <v>203</v>
      </c>
    </row>
    <row r="413" spans="1:36" ht="12.95" customHeight="1">
      <c r="E413" s="1363"/>
      <c r="F413" s="1363"/>
      <c r="G413" s="1363"/>
      <c r="H413" s="1363"/>
      <c r="I413" s="1363"/>
      <c r="J413" s="1363"/>
      <c r="K413" s="1363"/>
      <c r="L413" s="1363"/>
      <c r="M413" s="1363"/>
      <c r="N413" s="1363"/>
      <c r="O413" s="1363"/>
      <c r="P413" s="1363"/>
      <c r="Q413" s="1363"/>
      <c r="R413" s="1363"/>
      <c r="S413" s="1363"/>
      <c r="T413" s="1363"/>
      <c r="U413" s="1363"/>
      <c r="V413" s="1363"/>
      <c r="W413" s="1363"/>
      <c r="X413" s="1363"/>
      <c r="Y413" s="1363"/>
      <c r="Z413" s="1363"/>
      <c r="AA413" s="1363"/>
      <c r="AB413" s="1363"/>
      <c r="AC413" s="1363"/>
      <c r="AD413" s="1363"/>
      <c r="AE413" s="1363"/>
      <c r="AF413" s="1363"/>
      <c r="AG413" s="1363"/>
      <c r="AH413" s="1363"/>
      <c r="AI413" s="1363"/>
      <c r="AJ413" s="1363"/>
    </row>
    <row r="414" spans="1:36" ht="12.95" customHeight="1">
      <c r="E414" s="270" t="s">
        <v>1983</v>
      </c>
      <c r="F414" s="29"/>
      <c r="G414" s="29"/>
      <c r="H414" s="29"/>
      <c r="I414" s="1359">
        <v>0.55800000000000005</v>
      </c>
      <c r="J414" s="1359"/>
      <c r="K414" s="1359"/>
      <c r="L414" s="29"/>
      <c r="M414" s="270"/>
      <c r="N414" s="29"/>
      <c r="O414" s="29"/>
      <c r="P414" s="1312">
        <f>(CQ628+CS633+CQ647)/I414</f>
        <v>102.15053763440859</v>
      </c>
      <c r="Q414" s="1312"/>
      <c r="R414" s="1312"/>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102">
        <v>2</v>
      </c>
      <c r="Q417" s="1102"/>
      <c r="S417" t="s">
        <v>134</v>
      </c>
      <c r="AE417" s="1102">
        <v>1</v>
      </c>
      <c r="AF417" s="1102"/>
    </row>
    <row r="418" spans="1:36" ht="12.95" customHeight="1">
      <c r="E418" t="s">
        <v>135</v>
      </c>
      <c r="P418" s="1102">
        <v>1</v>
      </c>
      <c r="Q418" s="1102"/>
      <c r="S418" t="s">
        <v>727</v>
      </c>
      <c r="AE418" s="1102" t="s">
        <v>124</v>
      </c>
      <c r="AF418" s="1102"/>
    </row>
    <row r="419" spans="1:36" ht="12.95" customHeight="1">
      <c r="F419" s="36" t="s">
        <v>221</v>
      </c>
    </row>
    <row r="420" spans="1:36" ht="12.95" customHeight="1">
      <c r="F420" s="1357"/>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5"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5" customHeight="1">
      <c r="E422" t="s">
        <v>859</v>
      </c>
      <c r="P422" s="1"/>
      <c r="Q422" s="1102" t="s">
        <v>108</v>
      </c>
      <c r="R422" s="1102"/>
      <c r="AE422" s="1"/>
      <c r="AF422" s="1"/>
    </row>
    <row r="423" spans="1:36" ht="12.95" customHeight="1">
      <c r="F423" t="s">
        <v>860</v>
      </c>
      <c r="P423" s="1"/>
      <c r="Q423" s="1"/>
      <c r="AE423" s="1102" t="s">
        <v>124</v>
      </c>
      <c r="AF423" s="1396"/>
    </row>
    <row r="424" spans="1:36" ht="12.95" customHeight="1"/>
    <row r="425" spans="1:36" ht="12.95" customHeight="1">
      <c r="A425" s="3"/>
      <c r="B425" s="3"/>
      <c r="C425" s="3"/>
      <c r="E425" s="5" t="s">
        <v>80</v>
      </c>
      <c r="Z425" s="1102" t="s">
        <v>483</v>
      </c>
      <c r="AA425" s="1102"/>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02" t="s">
        <v>124</v>
      </c>
      <c r="AA427" s="1102"/>
    </row>
    <row r="428" spans="1:36" ht="12.95" customHeight="1"/>
    <row r="429" spans="1:36" ht="12.95" customHeight="1">
      <c r="A429" s="3" t="s">
        <v>368</v>
      </c>
      <c r="B429" s="3"/>
      <c r="C429" s="3"/>
      <c r="D429" s="3" t="s">
        <v>172</v>
      </c>
      <c r="AF429" s="54"/>
    </row>
    <row r="430" spans="1:36" ht="12.95" customHeight="1">
      <c r="D430" s="1362" t="s">
        <v>357</v>
      </c>
      <c r="E430" s="1341"/>
      <c r="F430" s="1341"/>
      <c r="G430" s="1341"/>
      <c r="H430" s="1341"/>
      <c r="I430" s="1341"/>
      <c r="J430" s="1341"/>
      <c r="K430" s="1341"/>
      <c r="L430" s="1341"/>
      <c r="M430" s="1341"/>
      <c r="N430" s="1341"/>
      <c r="O430" s="1341"/>
      <c r="P430" s="1341"/>
      <c r="Q430" s="1341"/>
      <c r="R430" s="1341"/>
      <c r="S430" s="1341"/>
      <c r="T430" s="1341"/>
      <c r="U430" s="1341"/>
      <c r="V430" s="1341"/>
      <c r="W430" s="1341"/>
      <c r="X430" s="1341"/>
      <c r="Y430" s="1341"/>
      <c r="Z430" s="1341"/>
      <c r="AA430" s="1341"/>
      <c r="AB430" s="1341"/>
      <c r="AC430" s="1341"/>
      <c r="AD430" s="1341"/>
      <c r="AE430" s="1341"/>
      <c r="AF430" s="1342"/>
      <c r="AG430" s="1095">
        <v>57</v>
      </c>
      <c r="AH430" s="1095"/>
      <c r="AI430" s="1095"/>
      <c r="AJ430" s="1095"/>
    </row>
    <row r="431" spans="1:36" ht="12.95" customHeight="1">
      <c r="D431" s="1311" t="s">
        <v>2277</v>
      </c>
      <c r="E431" s="1097"/>
      <c r="F431" s="1097"/>
      <c r="G431" s="1097"/>
      <c r="H431" s="1097"/>
      <c r="I431" s="1097"/>
      <c r="J431" s="1097"/>
      <c r="K431" s="1097"/>
      <c r="L431" s="1097"/>
      <c r="M431" s="1097"/>
      <c r="N431" s="1097"/>
      <c r="O431" s="1097"/>
      <c r="P431" s="1097"/>
      <c r="Q431" s="1097"/>
      <c r="R431" s="1097"/>
      <c r="S431" s="1097"/>
      <c r="T431" s="1097"/>
      <c r="U431" s="1097"/>
      <c r="V431" s="1097"/>
      <c r="W431" s="1097"/>
      <c r="X431" s="1097"/>
      <c r="Y431" s="1097"/>
      <c r="Z431" s="1097"/>
      <c r="AA431" s="1097"/>
      <c r="AB431" s="1097"/>
      <c r="AC431" s="1097"/>
      <c r="AD431" s="1097"/>
      <c r="AE431" s="1097"/>
      <c r="AF431" s="1098"/>
      <c r="AG431" s="1567">
        <v>0</v>
      </c>
      <c r="AH431" s="1568"/>
      <c r="AI431" s="1568"/>
      <c r="AJ431" s="1568"/>
    </row>
    <row r="432" spans="1:36" ht="12.95" customHeight="1">
      <c r="D432" s="1096" t="s">
        <v>1370</v>
      </c>
      <c r="E432" s="1097"/>
      <c r="F432" s="1097"/>
      <c r="G432" s="1097"/>
      <c r="H432" s="1097"/>
      <c r="I432" s="1097"/>
      <c r="J432" s="1097"/>
      <c r="K432" s="1097"/>
      <c r="L432" s="1097"/>
      <c r="M432" s="1097"/>
      <c r="N432" s="1097"/>
      <c r="O432" s="1097"/>
      <c r="P432" s="1097"/>
      <c r="Q432" s="1097"/>
      <c r="R432" s="1097"/>
      <c r="S432" s="1097"/>
      <c r="T432" s="1097"/>
      <c r="U432" s="1097"/>
      <c r="V432" s="1097"/>
      <c r="W432" s="1097"/>
      <c r="X432" s="1097"/>
      <c r="Y432" s="1097"/>
      <c r="Z432" s="1097"/>
      <c r="AA432" s="1097"/>
      <c r="AB432" s="1097"/>
      <c r="AC432" s="1097"/>
      <c r="AD432" s="1097"/>
      <c r="AE432" s="1097"/>
      <c r="AF432" s="1098"/>
      <c r="AG432" s="1095">
        <v>56</v>
      </c>
      <c r="AH432" s="1095"/>
      <c r="AI432" s="1095"/>
      <c r="AJ432" s="1095"/>
    </row>
    <row r="433" spans="4:36" ht="12.95" customHeight="1">
      <c r="D433" s="1096" t="s">
        <v>1367</v>
      </c>
      <c r="E433" s="1097"/>
      <c r="F433" s="1097"/>
      <c r="G433" s="1097"/>
      <c r="H433" s="1097"/>
      <c r="I433" s="1097"/>
      <c r="J433" s="1097"/>
      <c r="K433" s="1097"/>
      <c r="L433" s="1097"/>
      <c r="M433" s="1097"/>
      <c r="N433" s="1097"/>
      <c r="O433" s="1097"/>
      <c r="P433" s="1097"/>
      <c r="Q433" s="1097"/>
      <c r="R433" s="1097"/>
      <c r="S433" s="1097"/>
      <c r="T433" s="1097"/>
      <c r="U433" s="1097"/>
      <c r="V433" s="1097"/>
      <c r="W433" s="1097"/>
      <c r="X433" s="1097"/>
      <c r="Y433" s="1097"/>
      <c r="Z433" s="1097"/>
      <c r="AA433" s="1097"/>
      <c r="AB433" s="1097"/>
      <c r="AC433" s="1097"/>
      <c r="AD433" s="1097"/>
      <c r="AE433" s="1097"/>
      <c r="AF433" s="1098"/>
      <c r="AG433" s="1095">
        <v>56</v>
      </c>
      <c r="AH433" s="1095"/>
      <c r="AI433" s="1095"/>
      <c r="AJ433" s="1095"/>
    </row>
    <row r="434" spans="4:36" ht="12.95" customHeight="1">
      <c r="D434" s="1096" t="s">
        <v>1371</v>
      </c>
      <c r="E434" s="1097"/>
      <c r="F434" s="1097"/>
      <c r="G434" s="1097"/>
      <c r="H434" s="1097"/>
      <c r="I434" s="1097"/>
      <c r="J434" s="1097"/>
      <c r="K434" s="1097"/>
      <c r="L434" s="1097"/>
      <c r="M434" s="1097"/>
      <c r="N434" s="1097"/>
      <c r="O434" s="1097"/>
      <c r="P434" s="1097"/>
      <c r="Q434" s="1097"/>
      <c r="R434" s="1097"/>
      <c r="S434" s="1097"/>
      <c r="T434" s="1097"/>
      <c r="U434" s="1097"/>
      <c r="V434" s="1097"/>
      <c r="W434" s="1097"/>
      <c r="X434" s="1097"/>
      <c r="Y434" s="1097"/>
      <c r="Z434" s="1097"/>
      <c r="AA434" s="1097"/>
      <c r="AB434" s="1097"/>
      <c r="AC434" s="1097"/>
      <c r="AD434" s="1097"/>
      <c r="AE434" s="1097"/>
      <c r="AF434" s="1098"/>
      <c r="AG434" s="1333">
        <f>IF(ISERROR(AG433/AG432),"",AG433/AG432)</f>
        <v>1</v>
      </c>
      <c r="AH434" s="1333"/>
      <c r="AI434" s="1333"/>
      <c r="AJ434" s="1333"/>
    </row>
    <row r="435" spans="4:36" ht="12.95" customHeight="1">
      <c r="D435" s="1096" t="s">
        <v>1369</v>
      </c>
      <c r="E435" s="1097"/>
      <c r="F435" s="1097"/>
      <c r="G435" s="1097"/>
      <c r="H435" s="1097"/>
      <c r="I435" s="1097"/>
      <c r="J435" s="1097"/>
      <c r="K435" s="1097"/>
      <c r="L435" s="1097"/>
      <c r="M435" s="1097"/>
      <c r="N435" s="1097"/>
      <c r="O435" s="1097"/>
      <c r="P435" s="1097"/>
      <c r="Q435" s="1097"/>
      <c r="R435" s="1097"/>
      <c r="S435" s="1097"/>
      <c r="T435" s="1097"/>
      <c r="U435" s="1097"/>
      <c r="V435" s="1097"/>
      <c r="W435" s="1097"/>
      <c r="X435" s="1097"/>
      <c r="Y435" s="1097"/>
      <c r="Z435" s="1097"/>
      <c r="AA435" s="1097"/>
      <c r="AB435" s="1097"/>
      <c r="AC435" s="1097"/>
      <c r="AD435" s="1097"/>
      <c r="AE435" s="1097"/>
      <c r="AF435" s="1098"/>
      <c r="AG435" s="1106">
        <f>30138-523</f>
        <v>29615</v>
      </c>
      <c r="AH435" s="1106"/>
      <c r="AI435" s="1106"/>
      <c r="AJ435" s="1106"/>
    </row>
    <row r="436" spans="4:36" ht="12.95" customHeight="1">
      <c r="D436" s="1096" t="s">
        <v>1368</v>
      </c>
      <c r="E436" s="1097"/>
      <c r="F436" s="1097"/>
      <c r="G436" s="1097"/>
      <c r="H436" s="1097"/>
      <c r="I436" s="1097"/>
      <c r="J436" s="1097"/>
      <c r="K436" s="1097"/>
      <c r="L436" s="1097"/>
      <c r="M436" s="1097"/>
      <c r="N436" s="1097"/>
      <c r="O436" s="1097"/>
      <c r="P436" s="1097"/>
      <c r="Q436" s="1097"/>
      <c r="R436" s="1097"/>
      <c r="S436" s="1097"/>
      <c r="T436" s="1097"/>
      <c r="U436" s="1097"/>
      <c r="V436" s="1097"/>
      <c r="W436" s="1097"/>
      <c r="X436" s="1097"/>
      <c r="Y436" s="1097"/>
      <c r="Z436" s="1097"/>
      <c r="AA436" s="1097"/>
      <c r="AB436" s="1097"/>
      <c r="AC436" s="1097"/>
      <c r="AD436" s="1097"/>
      <c r="AE436" s="1097"/>
      <c r="AF436" s="1098"/>
      <c r="AG436" s="1106">
        <f>AG435</f>
        <v>29615</v>
      </c>
      <c r="AH436" s="1106"/>
      <c r="AI436" s="1106"/>
      <c r="AJ436" s="1106"/>
    </row>
    <row r="437" spans="4:36" ht="12.95" customHeight="1">
      <c r="D437" s="1096" t="s">
        <v>1374</v>
      </c>
      <c r="E437" s="1097"/>
      <c r="F437" s="1097"/>
      <c r="G437" s="1097"/>
      <c r="H437" s="1097"/>
      <c r="I437" s="1097"/>
      <c r="J437" s="1097"/>
      <c r="K437" s="1097"/>
      <c r="L437" s="1097"/>
      <c r="M437" s="1097"/>
      <c r="N437" s="1097"/>
      <c r="O437" s="1097"/>
      <c r="P437" s="1097"/>
      <c r="Q437" s="1097"/>
      <c r="R437" s="1097"/>
      <c r="S437" s="1097"/>
      <c r="T437" s="1097"/>
      <c r="U437" s="1097"/>
      <c r="V437" s="1097"/>
      <c r="W437" s="1097"/>
      <c r="X437" s="1097"/>
      <c r="Y437" s="1097"/>
      <c r="Z437" s="1097"/>
      <c r="AA437" s="1097"/>
      <c r="AB437" s="1097"/>
      <c r="AC437" s="1097"/>
      <c r="AD437" s="1097"/>
      <c r="AE437" s="1097"/>
      <c r="AF437" s="1098"/>
      <c r="AG437" s="1333">
        <f>IF(ISERROR(AG436/AG435),"",AG436/AG435)</f>
        <v>1</v>
      </c>
      <c r="AH437" s="1333"/>
      <c r="AI437" s="1333"/>
      <c r="AJ437" s="1333"/>
    </row>
    <row r="438" spans="4:36" ht="12.95" customHeight="1">
      <c r="D438" s="1096" t="s">
        <v>1372</v>
      </c>
      <c r="E438" s="1097"/>
      <c r="F438" s="1097"/>
      <c r="G438" s="1097"/>
      <c r="H438" s="1097"/>
      <c r="I438" s="1097"/>
      <c r="J438" s="1097"/>
      <c r="K438" s="1097"/>
      <c r="L438" s="1097"/>
      <c r="M438" s="1097"/>
      <c r="N438" s="1097"/>
      <c r="O438" s="1097"/>
      <c r="P438" s="1097"/>
      <c r="Q438" s="1097"/>
      <c r="R438" s="1097"/>
      <c r="S438" s="1097"/>
      <c r="T438" s="1097"/>
      <c r="U438" s="1097"/>
      <c r="V438" s="1097"/>
      <c r="W438" s="1097"/>
      <c r="X438" s="1097"/>
      <c r="Y438" s="1097"/>
      <c r="Z438" s="1097"/>
      <c r="AA438" s="1097"/>
      <c r="AB438" s="1097"/>
      <c r="AC438" s="1097"/>
      <c r="AD438" s="1097"/>
      <c r="AE438" s="1097"/>
      <c r="AF438" s="1098"/>
      <c r="AG438" s="1333">
        <f>MIN(IF(AG434&gt;AG437,AG437,AG434),1)</f>
        <v>1</v>
      </c>
      <c r="AH438" s="1333"/>
      <c r="AI438" s="1333"/>
      <c r="AJ438" s="1333"/>
    </row>
    <row r="439" spans="4:36" ht="12.95" customHeight="1">
      <c r="D439" s="1311" t="s">
        <v>2115</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106">
        <v>1163</v>
      </c>
      <c r="AH439" s="1106"/>
      <c r="AI439" s="1106"/>
      <c r="AJ439" s="1106"/>
    </row>
    <row r="440" spans="4:36" ht="12.95" customHeight="1">
      <c r="D440" s="1096" t="s">
        <v>208</v>
      </c>
      <c r="E440" s="1097"/>
      <c r="F440" s="1097"/>
      <c r="G440" s="1097"/>
      <c r="H440" s="1097"/>
      <c r="I440" s="1097"/>
      <c r="J440" s="1097"/>
      <c r="K440" s="1097"/>
      <c r="L440" s="1097"/>
      <c r="M440" s="1097"/>
      <c r="N440" s="1097"/>
      <c r="O440" s="1097"/>
      <c r="P440" s="1097"/>
      <c r="Q440" s="1097"/>
      <c r="R440" s="1097"/>
      <c r="S440" s="1097"/>
      <c r="T440" s="1097"/>
      <c r="U440" s="1097"/>
      <c r="V440" s="1097"/>
      <c r="W440" s="1097"/>
      <c r="X440" s="1097"/>
      <c r="Y440" s="1097"/>
      <c r="Z440" s="1097"/>
      <c r="AA440" s="1097"/>
      <c r="AB440" s="1097"/>
      <c r="AC440" s="1097"/>
      <c r="AD440" s="1097"/>
      <c r="AE440" s="1097"/>
      <c r="AF440" s="1098"/>
      <c r="AG440" s="1106">
        <v>0</v>
      </c>
      <c r="AH440" s="1106"/>
      <c r="AI440" s="1106"/>
      <c r="AJ440" s="1106"/>
    </row>
    <row r="441" spans="4:36" ht="12.95" customHeight="1">
      <c r="D441" s="1311" t="s">
        <v>1738</v>
      </c>
      <c r="E441" s="1097"/>
      <c r="F441" s="1097"/>
      <c r="G441" s="1097"/>
      <c r="H441" s="1097"/>
      <c r="I441" s="1097"/>
      <c r="J441" s="1097"/>
      <c r="K441" s="1097"/>
      <c r="L441" s="1097"/>
      <c r="M441" s="1097"/>
      <c r="N441" s="1097"/>
      <c r="O441" s="1097"/>
      <c r="P441" s="1097"/>
      <c r="Q441" s="1097"/>
      <c r="R441" s="1097"/>
      <c r="S441" s="1097"/>
      <c r="T441" s="1097"/>
      <c r="U441" s="1097"/>
      <c r="V441" s="1097"/>
      <c r="W441" s="1097"/>
      <c r="X441" s="1097"/>
      <c r="Y441" s="1097"/>
      <c r="Z441" s="1097"/>
      <c r="AA441" s="1097"/>
      <c r="AB441" s="1097"/>
      <c r="AC441" s="1097"/>
      <c r="AD441" s="1097"/>
      <c r="AE441" s="1097"/>
      <c r="AF441" s="1098"/>
      <c r="AG441" s="1106">
        <f>5220+367+523</f>
        <v>6110</v>
      </c>
      <c r="AH441" s="1106"/>
      <c r="AI441" s="1106"/>
      <c r="AJ441" s="1106"/>
    </row>
    <row r="442" spans="4:36" ht="12.95" customHeight="1">
      <c r="D442" s="1096" t="s">
        <v>1373</v>
      </c>
      <c r="E442" s="1097"/>
      <c r="F442" s="1097"/>
      <c r="G442" s="1097"/>
      <c r="H442" s="1097"/>
      <c r="I442" s="1097"/>
      <c r="J442" s="1097"/>
      <c r="K442" s="1097"/>
      <c r="L442" s="1097"/>
      <c r="M442" s="1097"/>
      <c r="N442" s="1097"/>
      <c r="O442" s="1097"/>
      <c r="P442" s="1097"/>
      <c r="Q442" s="1097"/>
      <c r="R442" s="1097"/>
      <c r="S442" s="1097"/>
      <c r="T442" s="1097"/>
      <c r="U442" s="1097"/>
      <c r="V442" s="1097"/>
      <c r="W442" s="1097"/>
      <c r="X442" s="1097"/>
      <c r="Y442" s="1097"/>
      <c r="Z442" s="1097"/>
      <c r="AA442" s="1097"/>
      <c r="AB442" s="1097"/>
      <c r="AC442" s="1097"/>
      <c r="AD442" s="1097"/>
      <c r="AE442" s="1097"/>
      <c r="AF442" s="1098"/>
      <c r="AG442" s="1106">
        <v>0</v>
      </c>
      <c r="AH442" s="1106"/>
      <c r="AI442" s="1106"/>
      <c r="AJ442" s="1106"/>
    </row>
    <row r="443" spans="4:36" ht="12.95" customHeight="1">
      <c r="D443" s="1096" t="s">
        <v>1375</v>
      </c>
      <c r="E443" s="1097"/>
      <c r="F443" s="1097"/>
      <c r="G443" s="1097"/>
      <c r="H443" s="1097"/>
      <c r="I443" s="1097"/>
      <c r="J443" s="1097"/>
      <c r="K443" s="1097"/>
      <c r="L443" s="1097"/>
      <c r="M443" s="1097"/>
      <c r="N443" s="1097"/>
      <c r="O443" s="1097"/>
      <c r="P443" s="1097"/>
      <c r="Q443" s="1097"/>
      <c r="R443" s="1097"/>
      <c r="S443" s="1097"/>
      <c r="T443" s="1097"/>
      <c r="U443" s="1097"/>
      <c r="V443" s="1097"/>
      <c r="W443" s="1097"/>
      <c r="X443" s="1097"/>
      <c r="Y443" s="1097"/>
      <c r="Z443" s="1097"/>
      <c r="AA443" s="1097"/>
      <c r="AB443" s="1097"/>
      <c r="AC443" s="1097"/>
      <c r="AD443" s="1097"/>
      <c r="AE443" s="1097"/>
      <c r="AF443" s="1098"/>
      <c r="AG443" s="1355">
        <f>AG435+AG439+AG441+AG442</f>
        <v>36888</v>
      </c>
      <c r="AH443" s="1355"/>
      <c r="AI443" s="1355"/>
      <c r="AJ443" s="1355"/>
    </row>
    <row r="444" spans="4:36" ht="12.95" customHeight="1">
      <c r="D444" s="1360" t="s">
        <v>1739</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5"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5" customHeight="1">
      <c r="D446" s="1370"/>
      <c r="E446" s="1370"/>
      <c r="F446" s="1370"/>
      <c r="G446" s="1370"/>
      <c r="H446" s="1370"/>
      <c r="I446" s="1370"/>
      <c r="J446" s="1370"/>
      <c r="K446" s="1370"/>
      <c r="L446" s="1370"/>
      <c r="M446" s="1370"/>
      <c r="N446" s="1370"/>
      <c r="O446" s="1370"/>
      <c r="P446" s="1370"/>
      <c r="Q446" s="1370"/>
      <c r="R446" s="1370"/>
      <c r="S446" s="1370"/>
      <c r="T446" s="1370"/>
      <c r="U446" s="1370"/>
      <c r="V446" s="1370"/>
      <c r="W446" s="1370"/>
      <c r="X446" s="1370"/>
      <c r="Y446" s="1370"/>
      <c r="Z446" s="1370"/>
      <c r="AA446" s="1370"/>
      <c r="AB446" s="1370"/>
      <c r="AC446" s="1370"/>
      <c r="AD446" s="1370"/>
      <c r="AE446" s="1370"/>
      <c r="AF446" s="1370"/>
      <c r="AG446" s="1370"/>
      <c r="AH446" s="1370"/>
      <c r="AI446" s="1370"/>
      <c r="AJ446" s="1370"/>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0">
        <f>IF(AG430=0,"",'Sources and Uses Budget'!B104/Application!AG430)</f>
        <v>315025</v>
      </c>
      <c r="AD447" s="1340"/>
      <c r="AE447" s="1340"/>
      <c r="AF447" s="1340"/>
      <c r="AG447" s="1368"/>
      <c r="AH447" s="1368"/>
      <c r="AI447" s="1368"/>
      <c r="AJ447" s="1368"/>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0">
        <f>IF(AG430=0,"",'Sources and Uses Budget'!C104/Application!AG430)</f>
        <v>315025</v>
      </c>
      <c r="AD448" s="1340"/>
      <c r="AE448" s="1340"/>
      <c r="AF448" s="1340"/>
      <c r="AG448" s="1368"/>
      <c r="AH448" s="1368"/>
      <c r="AI448" s="1368"/>
      <c r="AJ448" s="1368"/>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0">
        <f>IF(AG430=0,"",('Sources and Uses Budget'!S106+'Sources and Uses Budget'!T106)/Application!AG430)</f>
        <v>280278.49122807017</v>
      </c>
      <c r="AD449" s="1340"/>
      <c r="AE449" s="1340"/>
      <c r="AF449" s="1340"/>
      <c r="AG449" s="362"/>
      <c r="AH449" s="362"/>
      <c r="AI449" s="362"/>
      <c r="AJ449" s="362"/>
    </row>
    <row r="450" spans="1:38" ht="12.95" customHeight="1">
      <c r="D450" s="373"/>
      <c r="E450" s="307"/>
      <c r="F450" s="1094" t="str">
        <f>IF(AG430=0,"",IF(AC447&gt;650000,"Please provide a justification of cost per unit in Tab 12 for all projects with per unit costs of greater than $650,000.",""))</f>
        <v/>
      </c>
      <c r="G450" s="1094"/>
      <c r="H450" s="1094"/>
      <c r="I450" s="1094"/>
      <c r="J450" s="1094"/>
      <c r="K450" s="1094"/>
      <c r="L450" s="1094"/>
      <c r="M450" s="1094"/>
      <c r="N450" s="1094"/>
      <c r="O450" s="1094"/>
      <c r="P450" s="1094"/>
      <c r="Q450" s="1094"/>
      <c r="R450" s="1094"/>
      <c r="S450" s="1094"/>
      <c r="T450" s="1094"/>
      <c r="U450" s="1094"/>
      <c r="V450" s="1094"/>
      <c r="W450" s="1094"/>
      <c r="X450" s="1094"/>
      <c r="Y450" s="1094"/>
      <c r="Z450" s="1094"/>
      <c r="AA450" s="1094"/>
      <c r="AB450" s="1094"/>
      <c r="AC450" s="293"/>
      <c r="AD450" s="293"/>
      <c r="AE450" s="293"/>
      <c r="AF450" s="293"/>
      <c r="AG450" s="362"/>
      <c r="AH450" s="362"/>
      <c r="AI450" s="362"/>
      <c r="AJ450" s="362"/>
    </row>
    <row r="451" spans="1:38" ht="12.95" customHeight="1">
      <c r="D451" s="373"/>
      <c r="E451" s="307"/>
      <c r="F451" s="1094"/>
      <c r="G451" s="1094"/>
      <c r="H451" s="1094"/>
      <c r="I451" s="1094"/>
      <c r="J451" s="1094"/>
      <c r="K451" s="1094"/>
      <c r="L451" s="1094"/>
      <c r="M451" s="1094"/>
      <c r="N451" s="1094"/>
      <c r="O451" s="1094"/>
      <c r="P451" s="1094"/>
      <c r="Q451" s="1094"/>
      <c r="R451" s="1094"/>
      <c r="S451" s="1094"/>
      <c r="T451" s="1094"/>
      <c r="U451" s="1094"/>
      <c r="V451" s="1094"/>
      <c r="W451" s="1094"/>
      <c r="X451" s="1094"/>
      <c r="Y451" s="1094"/>
      <c r="Z451" s="1094"/>
      <c r="AA451" s="1094"/>
      <c r="AB451" s="1094"/>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9" t="s">
        <v>2107</v>
      </c>
      <c r="E460" s="1100"/>
      <c r="F460" s="1100"/>
      <c r="G460" s="1100"/>
      <c r="H460" s="1100"/>
      <c r="I460" s="1100"/>
      <c r="J460" s="1100"/>
      <c r="K460" s="1100"/>
      <c r="L460" s="1100"/>
      <c r="M460" s="1100"/>
      <c r="N460" s="1100"/>
      <c r="O460" s="1100"/>
      <c r="P460" s="1100"/>
      <c r="Q460" s="1100"/>
      <c r="R460" s="1100"/>
      <c r="S460" s="1100"/>
      <c r="T460" s="1100"/>
      <c r="U460" s="1100"/>
      <c r="V460" s="1101"/>
      <c r="W460" s="1108">
        <v>0</v>
      </c>
      <c r="X460" s="1109"/>
      <c r="Y460" s="1110"/>
      <c r="Z460" s="310"/>
      <c r="AA460" s="310"/>
      <c r="AB460" s="310"/>
      <c r="AC460" s="310"/>
      <c r="AD460" s="310"/>
      <c r="AE460" s="310"/>
      <c r="AF460" s="310"/>
      <c r="AG460" s="310"/>
      <c r="AH460" s="310"/>
      <c r="AI460" s="310"/>
      <c r="AJ460" s="41"/>
      <c r="AK460" s="41"/>
      <c r="AL460" s="41"/>
    </row>
    <row r="461" spans="1:38" ht="12.95" customHeight="1">
      <c r="A461" s="41"/>
      <c r="B461" s="41"/>
      <c r="C461" s="41"/>
      <c r="D461" s="1099" t="s">
        <v>213</v>
      </c>
      <c r="E461" s="1100"/>
      <c r="F461" s="1100"/>
      <c r="G461" s="1100"/>
      <c r="H461" s="1100"/>
      <c r="I461" s="1100"/>
      <c r="J461" s="1100"/>
      <c r="K461" s="1100"/>
      <c r="L461" s="1100"/>
      <c r="M461" s="1100"/>
      <c r="N461" s="1100"/>
      <c r="O461" s="1100"/>
      <c r="P461" s="1100"/>
      <c r="Q461" s="1100"/>
      <c r="R461" s="1100"/>
      <c r="S461" s="1100"/>
      <c r="T461" s="1100"/>
      <c r="U461" s="1100"/>
      <c r="V461" s="1101"/>
      <c r="W461" s="1108">
        <v>0</v>
      </c>
      <c r="X461" s="1109"/>
      <c r="Y461" s="1110"/>
      <c r="Z461" s="310"/>
      <c r="AA461" s="310"/>
      <c r="AB461" s="310"/>
      <c r="AC461" s="310"/>
      <c r="AD461" s="310"/>
      <c r="AE461" s="310"/>
      <c r="AF461" s="310"/>
      <c r="AG461" s="310"/>
      <c r="AH461" s="310"/>
      <c r="AI461" s="310"/>
      <c r="AJ461" s="41"/>
      <c r="AK461" s="41"/>
      <c r="AL461" s="41"/>
    </row>
    <row r="462" spans="1:38" ht="12.95" customHeight="1">
      <c r="A462" s="41"/>
      <c r="B462" s="41"/>
      <c r="C462" s="41"/>
      <c r="D462" s="1099" t="s">
        <v>214</v>
      </c>
      <c r="E462" s="1100"/>
      <c r="F462" s="1100"/>
      <c r="G462" s="1100"/>
      <c r="H462" s="1100"/>
      <c r="I462" s="1100"/>
      <c r="J462" s="1100"/>
      <c r="K462" s="1100"/>
      <c r="L462" s="1100"/>
      <c r="M462" s="1100"/>
      <c r="N462" s="1100"/>
      <c r="O462" s="1100"/>
      <c r="P462" s="1100"/>
      <c r="Q462" s="1100"/>
      <c r="R462" s="1100"/>
      <c r="S462" s="1100"/>
      <c r="T462" s="1100"/>
      <c r="U462" s="1100"/>
      <c r="V462" s="1101"/>
      <c r="W462" s="1108">
        <v>0</v>
      </c>
      <c r="X462" s="1109"/>
      <c r="Y462" s="1110"/>
      <c r="Z462" s="310"/>
      <c r="AA462" s="310"/>
      <c r="AB462" s="310"/>
      <c r="AC462" s="310"/>
      <c r="AD462" s="310"/>
      <c r="AE462" s="310"/>
      <c r="AF462" s="310"/>
      <c r="AG462" s="310"/>
      <c r="AH462" s="310"/>
      <c r="AI462" s="310"/>
      <c r="AJ462" s="41"/>
      <c r="AK462" s="41"/>
      <c r="AL462" s="41"/>
    </row>
    <row r="463" spans="1:38" ht="12.95" customHeight="1">
      <c r="A463" s="41"/>
      <c r="B463" s="41"/>
      <c r="C463" s="41"/>
      <c r="D463" s="1099" t="s">
        <v>216</v>
      </c>
      <c r="E463" s="1100"/>
      <c r="F463" s="1100"/>
      <c r="G463" s="1100"/>
      <c r="H463" s="1100"/>
      <c r="I463" s="1100"/>
      <c r="J463" s="1100"/>
      <c r="K463" s="1100"/>
      <c r="L463" s="1100"/>
      <c r="M463" s="1100"/>
      <c r="N463" s="1100"/>
      <c r="O463" s="1100"/>
      <c r="P463" s="1100"/>
      <c r="Q463" s="1100"/>
      <c r="R463" s="1100"/>
      <c r="S463" s="1100"/>
      <c r="T463" s="1100"/>
      <c r="U463" s="1100"/>
      <c r="V463" s="1101"/>
      <c r="W463" s="1108">
        <v>0</v>
      </c>
      <c r="X463" s="1109"/>
      <c r="Y463" s="1110"/>
      <c r="Z463" s="310"/>
      <c r="AA463" s="310"/>
      <c r="AB463" s="310"/>
      <c r="AC463" s="310"/>
      <c r="AD463" s="310"/>
      <c r="AE463" s="310"/>
      <c r="AF463" s="310"/>
      <c r="AG463" s="310"/>
      <c r="AH463" s="310"/>
      <c r="AI463" s="310"/>
      <c r="AJ463" s="41"/>
      <c r="AK463" s="41"/>
      <c r="AL463" s="41"/>
    </row>
    <row r="464" spans="1:38" ht="12.95" customHeight="1">
      <c r="A464" s="41"/>
      <c r="B464" s="41"/>
      <c r="C464" s="41"/>
      <c r="D464" s="1349" t="s">
        <v>1110</v>
      </c>
      <c r="E464" s="1100"/>
      <c r="F464" s="1100"/>
      <c r="G464" s="1100"/>
      <c r="H464" s="1100"/>
      <c r="I464" s="1100"/>
      <c r="J464" s="1100"/>
      <c r="K464" s="1100"/>
      <c r="L464" s="1100"/>
      <c r="M464" s="1100"/>
      <c r="N464" s="1100"/>
      <c r="O464" s="1100"/>
      <c r="P464" s="1100"/>
      <c r="Q464" s="1100"/>
      <c r="R464" s="1100"/>
      <c r="S464" s="1100"/>
      <c r="T464" s="1100"/>
      <c r="U464" s="1100"/>
      <c r="V464" s="1101"/>
      <c r="W464" s="1108">
        <v>0</v>
      </c>
      <c r="X464" s="1109"/>
      <c r="Y464" s="1110"/>
      <c r="Z464" s="310"/>
      <c r="AA464" s="310"/>
      <c r="AB464" s="310"/>
      <c r="AC464" s="310"/>
      <c r="AD464" s="310"/>
      <c r="AE464" s="310"/>
      <c r="AF464" s="310"/>
      <c r="AG464" s="310"/>
      <c r="AH464" s="310"/>
      <c r="AI464" s="310"/>
      <c r="AJ464" s="41"/>
      <c r="AK464" s="41"/>
      <c r="AL464" s="41"/>
    </row>
    <row r="465" spans="1:97" ht="12.95" customHeight="1">
      <c r="A465" s="41"/>
      <c r="B465" s="41"/>
      <c r="C465" s="41"/>
      <c r="D465" s="1099" t="s">
        <v>220</v>
      </c>
      <c r="E465" s="1100"/>
      <c r="F465" s="1100"/>
      <c r="G465" s="1100"/>
      <c r="H465" s="1100"/>
      <c r="I465" s="1100"/>
      <c r="J465" s="1100"/>
      <c r="K465" s="1100"/>
      <c r="L465" s="1100"/>
      <c r="M465" s="1100"/>
      <c r="N465" s="1100"/>
      <c r="O465" s="1100"/>
      <c r="P465" s="1100"/>
      <c r="Q465" s="1100"/>
      <c r="R465" s="1100"/>
      <c r="S465" s="1100"/>
      <c r="T465" s="1100"/>
      <c r="U465" s="1100"/>
      <c r="V465" s="1101"/>
      <c r="W465" s="1108">
        <v>0</v>
      </c>
      <c r="X465" s="1109"/>
      <c r="Y465" s="1110"/>
      <c r="Z465" s="310"/>
      <c r="AA465" s="310"/>
      <c r="AB465" s="310"/>
      <c r="AC465" s="310"/>
      <c r="AD465" s="310"/>
      <c r="AE465" s="310"/>
      <c r="AF465" s="310"/>
      <c r="AG465" s="310"/>
      <c r="AH465" s="310"/>
      <c r="AI465" s="310"/>
      <c r="AJ465" s="41"/>
      <c r="AK465" s="41"/>
      <c r="AL465" s="41"/>
    </row>
    <row r="466" spans="1:97" ht="12.95" customHeight="1">
      <c r="A466" s="557"/>
      <c r="B466" s="557"/>
      <c r="C466" s="557"/>
      <c r="D466" s="1349" t="s">
        <v>1309</v>
      </c>
      <c r="E466" s="1124"/>
      <c r="F466" s="1124"/>
      <c r="G466" s="1124"/>
      <c r="H466" s="1124"/>
      <c r="I466" s="1124"/>
      <c r="J466" s="1124"/>
      <c r="K466" s="1124"/>
      <c r="L466" s="1124"/>
      <c r="M466" s="1124"/>
      <c r="N466" s="1124"/>
      <c r="O466" s="1124"/>
      <c r="P466" s="1124"/>
      <c r="Q466" s="1124"/>
      <c r="R466" s="1124"/>
      <c r="S466" s="1124"/>
      <c r="T466" s="1124"/>
      <c r="U466" s="1124"/>
      <c r="V466" s="1125"/>
      <c r="W466" s="1126">
        <v>0</v>
      </c>
      <c r="X466" s="1127"/>
      <c r="Y466" s="1128"/>
      <c r="Z466" s="558"/>
      <c r="AA466" s="558"/>
      <c r="AB466" s="558"/>
      <c r="AC466" s="558"/>
      <c r="AD466" s="559"/>
      <c r="AE466" s="559"/>
      <c r="AF466" s="559"/>
      <c r="AG466" s="559"/>
      <c r="AH466" s="559"/>
      <c r="AI466" s="559"/>
      <c r="AJ466" s="362"/>
    </row>
    <row r="467" spans="1:97" ht="12.95" customHeight="1">
      <c r="A467" s="557"/>
      <c r="B467" s="557"/>
      <c r="C467" s="557"/>
      <c r="D467" s="1099" t="s">
        <v>2287</v>
      </c>
      <c r="E467" s="1100"/>
      <c r="F467" s="1100"/>
      <c r="G467" s="1100"/>
      <c r="H467" s="1100"/>
      <c r="I467" s="1100"/>
      <c r="J467" s="1100"/>
      <c r="K467" s="1100"/>
      <c r="L467" s="1100"/>
      <c r="M467" s="1100"/>
      <c r="N467" s="1100"/>
      <c r="O467" s="1100"/>
      <c r="P467" s="1100"/>
      <c r="Q467" s="1100"/>
      <c r="R467" s="1100"/>
      <c r="S467" s="1100"/>
      <c r="T467" s="1100"/>
      <c r="U467" s="1100"/>
      <c r="V467" s="1101"/>
      <c r="W467" s="1126">
        <v>0</v>
      </c>
      <c r="X467" s="1127"/>
      <c r="Y467" s="1128"/>
      <c r="Z467" s="558"/>
      <c r="AA467" s="558"/>
      <c r="AB467" s="558"/>
      <c r="AC467" s="558"/>
      <c r="AD467" s="559"/>
      <c r="AE467" s="559"/>
      <c r="AF467" s="559"/>
      <c r="AG467" s="559"/>
      <c r="AH467" s="559"/>
      <c r="AI467" s="559"/>
      <c r="AJ467" s="362"/>
    </row>
    <row r="468" spans="1:97" ht="12.95" customHeight="1">
      <c r="A468" s="41"/>
      <c r="B468" s="41"/>
      <c r="C468" s="41"/>
      <c r="D468" s="1099" t="s">
        <v>2220</v>
      </c>
      <c r="E468" s="1124"/>
      <c r="F468" s="1124"/>
      <c r="G468" s="1124"/>
      <c r="H468" s="1124"/>
      <c r="I468" s="1124"/>
      <c r="J468" s="1124"/>
      <c r="K468" s="1124"/>
      <c r="L468" s="1124"/>
      <c r="M468" s="1124"/>
      <c r="N468" s="1124"/>
      <c r="O468" s="1124"/>
      <c r="P468" s="1124"/>
      <c r="Q468" s="1124"/>
      <c r="R468" s="1124"/>
      <c r="S468" s="1124"/>
      <c r="T468" s="1124"/>
      <c r="U468" s="1124"/>
      <c r="V468" s="1125"/>
      <c r="W468" s="1126">
        <v>14</v>
      </c>
      <c r="X468" s="1127"/>
      <c r="Y468" s="112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4"/>
      <c r="H469" s="1565"/>
      <c r="I469" s="1565"/>
      <c r="J469" s="1565"/>
      <c r="K469" s="1565"/>
      <c r="L469" s="1565"/>
      <c r="M469" s="1565"/>
      <c r="N469" s="1565"/>
      <c r="O469" s="1565"/>
      <c r="P469" s="1565"/>
      <c r="Q469" s="1565"/>
      <c r="R469" s="1565"/>
      <c r="S469" s="1565"/>
      <c r="T469" s="1565"/>
      <c r="U469" s="1565"/>
      <c r="V469" s="1566"/>
      <c r="W469" s="1108">
        <v>0</v>
      </c>
      <c r="X469" s="1109"/>
      <c r="Y469" s="1110"/>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9"/>
      <c r="E471" s="1129"/>
      <c r="F471" s="1129"/>
      <c r="G471" s="1129"/>
      <c r="H471" s="1129"/>
      <c r="I471" s="1129"/>
      <c r="J471" s="1129"/>
      <c r="K471" s="1129"/>
      <c r="L471" s="1129"/>
      <c r="M471" s="1129"/>
      <c r="N471" s="1129"/>
      <c r="O471" s="1129"/>
      <c r="P471" s="1129"/>
      <c r="Q471" s="1129"/>
      <c r="R471" s="1129"/>
      <c r="S471" s="1129"/>
      <c r="T471" s="1129"/>
      <c r="U471" s="1129"/>
      <c r="V471" s="1129"/>
      <c r="W471" s="1129"/>
      <c r="X471" s="1129"/>
      <c r="Y471" s="112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30"/>
      <c r="E472" s="1130"/>
      <c r="F472" s="1130"/>
      <c r="G472" s="1130"/>
      <c r="H472" s="1130"/>
      <c r="I472" s="1130"/>
      <c r="J472" s="1130"/>
      <c r="K472" s="1130"/>
      <c r="L472" s="1130"/>
      <c r="M472" s="1130"/>
      <c r="N472" s="1130"/>
      <c r="O472" s="1130"/>
      <c r="P472" s="1130"/>
      <c r="Q472" s="1130"/>
      <c r="R472" s="1130"/>
      <c r="S472" s="1130"/>
      <c r="T472" s="1130"/>
      <c r="U472" s="1130"/>
      <c r="V472" s="1130"/>
      <c r="W472" s="1130"/>
      <c r="X472" s="1130"/>
      <c r="Y472" s="113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30"/>
      <c r="E473" s="1130"/>
      <c r="F473" s="1130"/>
      <c r="G473" s="1130"/>
      <c r="H473" s="1130"/>
      <c r="I473" s="1130"/>
      <c r="J473" s="1130"/>
      <c r="K473" s="1130"/>
      <c r="L473" s="1130"/>
      <c r="M473" s="1130"/>
      <c r="N473" s="1130"/>
      <c r="O473" s="1130"/>
      <c r="P473" s="1130"/>
      <c r="Q473" s="1130"/>
      <c r="R473" s="1130"/>
      <c r="S473" s="1130"/>
      <c r="T473" s="1130"/>
      <c r="U473" s="1130"/>
      <c r="V473" s="1130"/>
      <c r="W473" s="1130"/>
      <c r="X473" s="1130"/>
      <c r="Y473" s="113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7" t="s">
        <v>1029</v>
      </c>
      <c r="B476" s="1087"/>
      <c r="C476" s="1087"/>
      <c r="D476" s="1087"/>
      <c r="E476" s="1087"/>
      <c r="F476" s="1087"/>
      <c r="G476" s="1087"/>
      <c r="H476" s="1087"/>
      <c r="I476" s="1087"/>
      <c r="J476" s="1087"/>
      <c r="K476" s="1087"/>
      <c r="L476" s="1087"/>
      <c r="M476" s="1087"/>
      <c r="N476" s="1087"/>
      <c r="O476" s="1087"/>
      <c r="P476" s="1087"/>
      <c r="Q476" s="1087"/>
      <c r="R476" s="1087"/>
      <c r="S476" s="1087"/>
      <c r="T476" s="1087"/>
      <c r="U476" s="1087"/>
      <c r="V476" s="1087"/>
      <c r="W476" s="1087"/>
      <c r="X476" s="1087"/>
      <c r="Y476" s="1087"/>
      <c r="Z476" s="1087"/>
      <c r="AA476" s="1087"/>
      <c r="AB476" s="1087"/>
      <c r="AC476" s="1087"/>
      <c r="AD476" s="1087"/>
      <c r="AE476" s="1087"/>
      <c r="AF476" s="1087"/>
      <c r="AG476" s="1087"/>
      <c r="AH476" s="1087"/>
      <c r="AI476" s="1087"/>
      <c r="AJ476" s="1087"/>
      <c r="AK476" s="1087"/>
      <c r="AL476" s="1087"/>
      <c r="AM476" s="1087"/>
      <c r="AN476" s="1087"/>
      <c r="AO476" s="1087"/>
      <c r="AP476" s="1087"/>
      <c r="AQ476" s="1087"/>
      <c r="AR476" s="1087"/>
      <c r="AS476" s="1087"/>
      <c r="AT476" s="108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7"/>
      <c r="B477" s="1087"/>
      <c r="C477" s="1087"/>
      <c r="D477" s="1087"/>
      <c r="E477" s="1087"/>
      <c r="F477" s="1087"/>
      <c r="G477" s="1087"/>
      <c r="H477" s="1087"/>
      <c r="I477" s="1087"/>
      <c r="J477" s="1087"/>
      <c r="K477" s="1087"/>
      <c r="L477" s="1087"/>
      <c r="M477" s="1087"/>
      <c r="N477" s="1087"/>
      <c r="O477" s="1087"/>
      <c r="P477" s="1087"/>
      <c r="Q477" s="1087"/>
      <c r="R477" s="1087"/>
      <c r="S477" s="1087"/>
      <c r="T477" s="1087"/>
      <c r="U477" s="1087"/>
      <c r="V477" s="1087"/>
      <c r="W477" s="1087"/>
      <c r="X477" s="1087"/>
      <c r="Y477" s="1087"/>
      <c r="Z477" s="1087"/>
      <c r="AA477" s="1087"/>
      <c r="AB477" s="1087"/>
      <c r="AC477" s="1087"/>
      <c r="AD477" s="1087"/>
      <c r="AE477" s="1087"/>
      <c r="AF477" s="1087"/>
      <c r="AG477" s="1087"/>
      <c r="AH477" s="1087"/>
      <c r="AI477" s="1087"/>
      <c r="AJ477" s="1087"/>
      <c r="AK477" s="1087"/>
      <c r="AL477" s="1087"/>
      <c r="AM477" s="1087"/>
      <c r="AN477" s="1087"/>
      <c r="AO477" s="1087"/>
      <c r="AP477" s="1087"/>
      <c r="AQ477" s="1087"/>
      <c r="AR477" s="1087"/>
      <c r="AS477" s="1087"/>
      <c r="AT477" s="108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0" t="s">
        <v>238</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69"/>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8" t="s">
        <v>2497</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8" t="s">
        <v>2496</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8" t="s">
        <v>2498</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3" t="s">
        <v>242</v>
      </c>
      <c r="C485" s="1344"/>
      <c r="D485" s="1344"/>
      <c r="E485" s="1344"/>
      <c r="F485" s="1344"/>
      <c r="G485" s="1344"/>
      <c r="H485" s="1344"/>
      <c r="I485" s="1344"/>
      <c r="J485" s="1344"/>
      <c r="K485" s="1344"/>
      <c r="L485" s="1344"/>
      <c r="M485" s="1344"/>
      <c r="N485" s="1344"/>
      <c r="O485" s="1344"/>
      <c r="P485" s="1345"/>
      <c r="Q485" s="1315" t="s">
        <v>483</v>
      </c>
      <c r="R485" s="1316"/>
      <c r="S485" s="1319" t="s">
        <v>53</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6"/>
      <c r="C486" s="1347"/>
      <c r="D486" s="1347"/>
      <c r="E486" s="1347"/>
      <c r="F486" s="1347"/>
      <c r="G486" s="1347"/>
      <c r="H486" s="1347"/>
      <c r="I486" s="1347"/>
      <c r="J486" s="1347"/>
      <c r="K486" s="1347"/>
      <c r="L486" s="1347"/>
      <c r="M486" s="1347"/>
      <c r="N486" s="1347"/>
      <c r="O486" s="1347"/>
      <c r="P486" s="1348"/>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325" t="s">
        <v>483</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8" t="s">
        <v>2499</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8" t="s">
        <v>2500</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328">
        <v>0</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30">
        <v>0</v>
      </c>
      <c r="N491" s="1331"/>
      <c r="O491" s="1331"/>
      <c r="P491" s="1332"/>
      <c r="Q491" s="214" t="s">
        <v>1988</v>
      </c>
      <c r="R491" s="9"/>
      <c r="S491" s="9"/>
      <c r="T491" s="9"/>
      <c r="U491" s="9"/>
      <c r="V491" s="9"/>
      <c r="W491" s="9"/>
      <c r="X491" s="9"/>
      <c r="Y491" s="9"/>
      <c r="Z491" s="9"/>
      <c r="AA491" s="9"/>
      <c r="AB491" s="9"/>
      <c r="AC491" s="9"/>
      <c r="AD491" s="9"/>
      <c r="AE491" s="9"/>
      <c r="AF491" s="9"/>
      <c r="AG491" s="9"/>
      <c r="AH491" s="1330">
        <v>0</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246</v>
      </c>
      <c r="AD495" s="1351"/>
      <c r="AE495" s="1351"/>
      <c r="AF495" s="1351"/>
      <c r="AG495" s="1351"/>
      <c r="AH495" s="1351"/>
      <c r="AI495" s="1351"/>
      <c r="AJ495" s="1351"/>
      <c r="AK495" s="136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247</v>
      </c>
      <c r="AD496" s="1351"/>
      <c r="AE496" s="1351"/>
      <c r="AF496" s="1351"/>
      <c r="AG496" s="56" t="s">
        <v>248</v>
      </c>
      <c r="AH496" s="1351" t="s">
        <v>249</v>
      </c>
      <c r="AI496" s="1351"/>
      <c r="AJ496" s="1351"/>
      <c r="AK496" s="136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1" t="s">
        <v>250</v>
      </c>
      <c r="C497" s="1302"/>
      <c r="D497" s="1302"/>
      <c r="E497" s="1302"/>
      <c r="F497" s="1302"/>
      <c r="G497" s="1302"/>
      <c r="H497" s="1303"/>
      <c r="I497" s="7" t="s">
        <v>672</v>
      </c>
      <c r="J497" s="7"/>
      <c r="K497" s="7"/>
      <c r="L497" s="7"/>
      <c r="M497" s="7"/>
      <c r="N497" s="7"/>
      <c r="O497" s="7"/>
      <c r="P497" s="7"/>
      <c r="Q497" s="7"/>
      <c r="R497" s="7"/>
      <c r="S497" s="7"/>
      <c r="T497" s="7"/>
      <c r="U497" s="7"/>
      <c r="V497" s="7"/>
      <c r="W497" s="7"/>
      <c r="AC497" s="1300">
        <v>2</v>
      </c>
      <c r="AD497" s="1105"/>
      <c r="AE497" s="1105"/>
      <c r="AF497" s="1105"/>
      <c r="AG497" s="18" t="s">
        <v>248</v>
      </c>
      <c r="AH497" s="1060">
        <v>2024</v>
      </c>
      <c r="AI497" s="1060"/>
      <c r="AJ497" s="1060"/>
      <c r="AK497" s="106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4"/>
      <c r="C498" s="1305"/>
      <c r="D498" s="1305"/>
      <c r="E498" s="1305"/>
      <c r="F498" s="1305"/>
      <c r="G498" s="1305"/>
      <c r="H498" s="1306"/>
      <c r="I498" s="54" t="s">
        <v>673</v>
      </c>
      <c r="J498" s="54"/>
      <c r="K498" s="54"/>
      <c r="L498" s="54"/>
      <c r="M498" s="54"/>
      <c r="N498" s="54"/>
      <c r="O498" s="54"/>
      <c r="P498" s="54"/>
      <c r="Q498" s="54"/>
      <c r="R498" s="54"/>
      <c r="S498" s="54"/>
      <c r="T498" s="54"/>
      <c r="U498" s="54"/>
      <c r="V498" s="54"/>
      <c r="W498" s="54"/>
      <c r="X498" s="54"/>
      <c r="Y498" s="54"/>
      <c r="Z498" s="54"/>
      <c r="AA498" s="54"/>
      <c r="AB498" s="54"/>
      <c r="AC498" s="1300">
        <v>7</v>
      </c>
      <c r="AD498" s="1105"/>
      <c r="AE498" s="1105"/>
      <c r="AF498" s="1105"/>
      <c r="AG498" s="47" t="s">
        <v>248</v>
      </c>
      <c r="AH498" s="1060">
        <v>2024</v>
      </c>
      <c r="AI498" s="1060"/>
      <c r="AJ498" s="1060"/>
      <c r="AK498" s="106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1" t="s">
        <v>674</v>
      </c>
      <c r="C499" s="1302"/>
      <c r="D499" s="1302"/>
      <c r="E499" s="1302"/>
      <c r="F499" s="1302"/>
      <c r="G499" s="1302"/>
      <c r="H499" s="1303"/>
      <c r="I499" s="7" t="s">
        <v>675</v>
      </c>
      <c r="J499" s="7"/>
      <c r="K499" s="7"/>
      <c r="L499" s="7"/>
      <c r="M499" s="7"/>
      <c r="N499" s="7"/>
      <c r="O499" s="7"/>
      <c r="P499" s="7"/>
      <c r="Q499" s="7"/>
      <c r="R499" s="7"/>
      <c r="S499" s="7"/>
      <c r="T499" s="7"/>
      <c r="U499" s="7"/>
      <c r="V499" s="7"/>
      <c r="W499" s="7"/>
      <c r="AC499" s="1300" t="s">
        <v>124</v>
      </c>
      <c r="AD499" s="1105"/>
      <c r="AE499" s="1105"/>
      <c r="AF499" s="1105"/>
      <c r="AG499" s="18" t="s">
        <v>248</v>
      </c>
      <c r="AH499" s="1060"/>
      <c r="AI499" s="1060"/>
      <c r="AJ499" s="1060"/>
      <c r="AK499" s="106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4"/>
      <c r="C500" s="1305"/>
      <c r="D500" s="1305"/>
      <c r="E500" s="1305"/>
      <c r="F500" s="1305"/>
      <c r="G500" s="1305"/>
      <c r="H500" s="1306"/>
      <c r="I500" t="s">
        <v>676</v>
      </c>
      <c r="AC500" s="1300" t="s">
        <v>124</v>
      </c>
      <c r="AD500" s="1105"/>
      <c r="AE500" s="1105"/>
      <c r="AF500" s="1105"/>
      <c r="AG500" s="18" t="s">
        <v>248</v>
      </c>
      <c r="AH500" s="1060"/>
      <c r="AI500" s="1060"/>
      <c r="AJ500" s="1060"/>
      <c r="AK500" s="106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4"/>
      <c r="C501" s="1305"/>
      <c r="D501" s="1305"/>
      <c r="E501" s="1305"/>
      <c r="F501" s="1305"/>
      <c r="G501" s="1305"/>
      <c r="H501" s="1306"/>
      <c r="I501" t="s">
        <v>677</v>
      </c>
      <c r="AC501" s="1300" t="s">
        <v>124</v>
      </c>
      <c r="AD501" s="1105"/>
      <c r="AE501" s="1105"/>
      <c r="AF501" s="1105"/>
      <c r="AG501" s="18" t="s">
        <v>248</v>
      </c>
      <c r="AH501" s="1060"/>
      <c r="AI501" s="1060"/>
      <c r="AJ501" s="1060"/>
      <c r="AK501" s="106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4"/>
      <c r="C502" s="1305"/>
      <c r="D502" s="1305"/>
      <c r="E502" s="1305"/>
      <c r="F502" s="1305"/>
      <c r="G502" s="1305"/>
      <c r="H502" s="1306"/>
      <c r="I502" t="s">
        <v>678</v>
      </c>
      <c r="AC502" s="1300" t="s">
        <v>124</v>
      </c>
      <c r="AD502" s="1105"/>
      <c r="AE502" s="1105"/>
      <c r="AF502" s="1105"/>
      <c r="AG502" s="18" t="s">
        <v>248</v>
      </c>
      <c r="AH502" s="1060"/>
      <c r="AI502" s="1060"/>
      <c r="AJ502" s="1060"/>
      <c r="AK502" s="106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4"/>
      <c r="C503" s="1305"/>
      <c r="D503" s="1305"/>
      <c r="E503" s="1305"/>
      <c r="F503" s="1305"/>
      <c r="G503" s="1305"/>
      <c r="H503" s="1306"/>
      <c r="I503" s="41" t="s">
        <v>679</v>
      </c>
      <c r="AC503" s="1335">
        <v>5</v>
      </c>
      <c r="AD503" s="1336"/>
      <c r="AE503" s="1336"/>
      <c r="AF503" s="1336"/>
      <c r="AG503" s="18" t="s">
        <v>248</v>
      </c>
      <c r="AH503" s="1060">
        <v>2024</v>
      </c>
      <c r="AI503" s="1060"/>
      <c r="AJ503" s="1060"/>
      <c r="AK503" s="106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4"/>
      <c r="C504" s="1305"/>
      <c r="D504" s="1305"/>
      <c r="E504" s="1305"/>
      <c r="F504" s="1305"/>
      <c r="G504" s="1305"/>
      <c r="H504" s="1306"/>
      <c r="I504" s="410" t="s">
        <v>283</v>
      </c>
      <c r="J504" s="54"/>
      <c r="K504" s="54"/>
      <c r="L504" s="1297" t="s">
        <v>563</v>
      </c>
      <c r="M504" s="1298"/>
      <c r="N504" s="1298"/>
      <c r="O504" s="1298"/>
      <c r="P504" s="1298"/>
      <c r="Q504" s="1298"/>
      <c r="R504" s="1298"/>
      <c r="S504" s="1298"/>
      <c r="T504" s="1298"/>
      <c r="U504" s="1298"/>
      <c r="V504" s="1298"/>
      <c r="W504" s="1298"/>
      <c r="X504" s="1298"/>
      <c r="Y504" s="1298"/>
      <c r="Z504" s="1298"/>
      <c r="AA504" s="1298"/>
      <c r="AB504" s="1563"/>
      <c r="AC504" s="1398" t="s">
        <v>124</v>
      </c>
      <c r="AD504" s="1399"/>
      <c r="AE504" s="1399"/>
      <c r="AF504" s="1399"/>
      <c r="AG504" s="47" t="s">
        <v>248</v>
      </c>
      <c r="AH504" s="1060"/>
      <c r="AI504" s="1060"/>
      <c r="AJ504" s="1060"/>
      <c r="AK504" s="106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4"/>
      <c r="C505" s="1305"/>
      <c r="D505" s="1305"/>
      <c r="E505" s="1305"/>
      <c r="F505" s="1305"/>
      <c r="G505" s="1305"/>
      <c r="H505" s="1306"/>
      <c r="I505" s="41" t="s">
        <v>1989</v>
      </c>
      <c r="AC505" s="1397" t="s">
        <v>483</v>
      </c>
      <c r="AD505" s="1397"/>
      <c r="AE505" s="1397"/>
      <c r="AF505" s="1397"/>
      <c r="AG505" s="18"/>
      <c r="AH505" s="1338"/>
      <c r="AI505" s="1338"/>
      <c r="AJ505" s="1338"/>
      <c r="AK505" s="133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4"/>
      <c r="C506" s="1305"/>
      <c r="D506" s="1305"/>
      <c r="E506" s="1305"/>
      <c r="F506" s="1305"/>
      <c r="G506" s="1305"/>
      <c r="H506" s="1306"/>
      <c r="I506" t="s">
        <v>1990</v>
      </c>
      <c r="AC506" s="1335"/>
      <c r="AD506" s="1336"/>
      <c r="AE506" s="1336"/>
      <c r="AF506" s="1337"/>
      <c r="AG506" s="18"/>
      <c r="AH506" s="1338"/>
      <c r="AI506" s="1338"/>
      <c r="AJ506" s="1338"/>
      <c r="AK506" s="133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4"/>
      <c r="C507" s="1305"/>
      <c r="D507" s="1305"/>
      <c r="E507" s="1305"/>
      <c r="F507" s="1305"/>
      <c r="G507" s="1305"/>
      <c r="H507" s="1306"/>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4"/>
      <c r="C508" s="1305"/>
      <c r="D508" s="1305"/>
      <c r="E508" s="1305"/>
      <c r="F508" s="1305"/>
      <c r="G508" s="1305"/>
      <c r="H508" s="1306"/>
      <c r="I508" s="838" t="s">
        <v>1992</v>
      </c>
      <c r="J508" s="54"/>
      <c r="K508" s="54"/>
      <c r="L508" s="54"/>
      <c r="M508" s="54"/>
      <c r="N508" s="54"/>
      <c r="O508" s="54"/>
      <c r="P508" s="54"/>
      <c r="Q508" s="54"/>
      <c r="R508" s="54"/>
      <c r="S508" s="54"/>
      <c r="T508" s="54"/>
      <c r="U508" s="54"/>
      <c r="V508" s="54"/>
      <c r="W508" s="54"/>
      <c r="X508" s="54"/>
      <c r="Y508" s="54"/>
      <c r="Z508" s="54"/>
      <c r="AA508" s="54"/>
      <c r="AB508" s="54"/>
      <c r="AC508" s="1352">
        <v>0.9</v>
      </c>
      <c r="AD508" s="1353"/>
      <c r="AE508" s="1353"/>
      <c r="AF508" s="1354"/>
      <c r="AG508" s="47"/>
      <c r="AH508" s="1570"/>
      <c r="AI508" s="1570"/>
      <c r="AJ508" s="1570"/>
      <c r="AK508" s="157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1" t="s">
        <v>680</v>
      </c>
      <c r="C509" s="1302"/>
      <c r="D509" s="1302"/>
      <c r="E509" s="1302"/>
      <c r="F509" s="1302"/>
      <c r="G509" s="1302"/>
      <c r="H509" s="1303"/>
      <c r="I509" s="7" t="s">
        <v>681</v>
      </c>
      <c r="J509" s="7"/>
      <c r="K509" s="7"/>
      <c r="L509" s="7"/>
      <c r="M509" s="7"/>
      <c r="N509" s="7"/>
      <c r="O509" s="7"/>
      <c r="P509" s="7"/>
      <c r="Q509" s="7"/>
      <c r="R509" s="7"/>
      <c r="S509" s="7"/>
      <c r="T509" s="7"/>
      <c r="U509" s="7"/>
      <c r="V509" s="7"/>
      <c r="W509" s="7"/>
      <c r="AC509" s="1300">
        <v>1</v>
      </c>
      <c r="AD509" s="1105"/>
      <c r="AE509" s="1105"/>
      <c r="AF509" s="1105"/>
      <c r="AG509" s="18" t="s">
        <v>248</v>
      </c>
      <c r="AH509" s="1060">
        <v>2024</v>
      </c>
      <c r="AI509" s="1060"/>
      <c r="AJ509" s="1060"/>
      <c r="AK509" s="106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4"/>
      <c r="C510" s="1305"/>
      <c r="D510" s="1305"/>
      <c r="E510" s="1305"/>
      <c r="F510" s="1305"/>
      <c r="G510" s="1305"/>
      <c r="H510" s="1306"/>
      <c r="I510" t="s">
        <v>682</v>
      </c>
      <c r="AC510" s="1300">
        <v>2</v>
      </c>
      <c r="AD510" s="1105"/>
      <c r="AE510" s="1105"/>
      <c r="AF510" s="1105"/>
      <c r="AG510" s="18" t="s">
        <v>248</v>
      </c>
      <c r="AH510" s="1060">
        <v>2024</v>
      </c>
      <c r="AI510" s="1060"/>
      <c r="AJ510" s="1060"/>
      <c r="AK510" s="106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4"/>
      <c r="C511" s="1305"/>
      <c r="D511" s="1305"/>
      <c r="E511" s="1305"/>
      <c r="F511" s="1305"/>
      <c r="G511" s="1305"/>
      <c r="H511" s="1306"/>
      <c r="I511" s="54" t="s">
        <v>683</v>
      </c>
      <c r="J511" s="54"/>
      <c r="K511" s="54"/>
      <c r="L511" s="54"/>
      <c r="M511" s="54"/>
      <c r="N511" s="54"/>
      <c r="O511" s="54"/>
      <c r="P511" s="54"/>
      <c r="Q511" s="54"/>
      <c r="R511" s="54"/>
      <c r="S511" s="54"/>
      <c r="T511" s="54"/>
      <c r="U511" s="54"/>
      <c r="V511" s="54"/>
      <c r="W511" s="54"/>
      <c r="X511" s="54"/>
      <c r="Y511" s="54"/>
      <c r="Z511" s="54"/>
      <c r="AA511" s="54"/>
      <c r="AB511" s="54"/>
      <c r="AC511" s="1300">
        <v>7</v>
      </c>
      <c r="AD511" s="1105"/>
      <c r="AE511" s="1105"/>
      <c r="AF511" s="1105"/>
      <c r="AG511" s="47" t="s">
        <v>248</v>
      </c>
      <c r="AH511" s="1060">
        <v>2024</v>
      </c>
      <c r="AI511" s="1060"/>
      <c r="AJ511" s="1060"/>
      <c r="AK511" s="106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1" t="s">
        <v>684</v>
      </c>
      <c r="C512" s="1302"/>
      <c r="D512" s="1302"/>
      <c r="E512" s="1302"/>
      <c r="F512" s="1302"/>
      <c r="G512" s="1302"/>
      <c r="H512" s="1303"/>
      <c r="I512" s="7" t="s">
        <v>681</v>
      </c>
      <c r="J512" s="7"/>
      <c r="K512" s="7"/>
      <c r="L512" s="7"/>
      <c r="M512" s="7"/>
      <c r="N512" s="7"/>
      <c r="O512" s="7"/>
      <c r="P512" s="7"/>
      <c r="Q512" s="7"/>
      <c r="R512" s="7"/>
      <c r="S512" s="7"/>
      <c r="T512" s="7"/>
      <c r="U512" s="7"/>
      <c r="V512" s="7"/>
      <c r="W512" s="7"/>
      <c r="X512" s="7"/>
      <c r="Y512" s="7"/>
      <c r="Z512" s="7"/>
      <c r="AA512" s="7"/>
      <c r="AB512" s="7"/>
      <c r="AC512" s="1084">
        <v>1</v>
      </c>
      <c r="AD512" s="1085"/>
      <c r="AE512" s="1085"/>
      <c r="AF512" s="1085"/>
      <c r="AG512" s="230" t="s">
        <v>248</v>
      </c>
      <c r="AH512" s="1060">
        <v>2024</v>
      </c>
      <c r="AI512" s="1060"/>
      <c r="AJ512" s="1060"/>
      <c r="AK512" s="106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4"/>
      <c r="C513" s="1305"/>
      <c r="D513" s="1305"/>
      <c r="E513" s="1305"/>
      <c r="F513" s="1305"/>
      <c r="G513" s="1305"/>
      <c r="H513" s="1306"/>
      <c r="I513" t="s">
        <v>682</v>
      </c>
      <c r="AC513" s="1300">
        <v>2</v>
      </c>
      <c r="AD513" s="1105"/>
      <c r="AE513" s="1105"/>
      <c r="AF513" s="1105"/>
      <c r="AG513" s="18" t="s">
        <v>248</v>
      </c>
      <c r="AH513" s="1060">
        <v>2024</v>
      </c>
      <c r="AI513" s="1060"/>
      <c r="AJ513" s="1060"/>
      <c r="AK513" s="106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7"/>
      <c r="C514" s="1308"/>
      <c r="D514" s="1308"/>
      <c r="E514" s="1308"/>
      <c r="F514" s="1308"/>
      <c r="G514" s="1308"/>
      <c r="H514" s="1309"/>
      <c r="I514" s="54" t="s">
        <v>683</v>
      </c>
      <c r="J514" s="54"/>
      <c r="K514" s="54"/>
      <c r="L514" s="54"/>
      <c r="M514" s="54"/>
      <c r="N514" s="54"/>
      <c r="O514" s="54"/>
      <c r="P514" s="54"/>
      <c r="Q514" s="54"/>
      <c r="R514" s="54"/>
      <c r="S514" s="54"/>
      <c r="T514" s="54"/>
      <c r="U514" s="54"/>
      <c r="V514" s="54"/>
      <c r="W514" s="54"/>
      <c r="X514" s="54"/>
      <c r="Y514" s="54"/>
      <c r="Z514" s="54"/>
      <c r="AA514" s="54"/>
      <c r="AB514" s="54"/>
      <c r="AC514" s="1300">
        <v>7</v>
      </c>
      <c r="AD514" s="1105"/>
      <c r="AE514" s="1105"/>
      <c r="AF514" s="1105"/>
      <c r="AG514" s="47" t="s">
        <v>248</v>
      </c>
      <c r="AH514" s="1060">
        <v>2024</v>
      </c>
      <c r="AI514" s="1060"/>
      <c r="AJ514" s="1060"/>
      <c r="AK514" s="106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1" t="s">
        <v>685</v>
      </c>
      <c r="C515" s="1302"/>
      <c r="D515" s="1302"/>
      <c r="E515" s="1302"/>
      <c r="F515" s="1302"/>
      <c r="G515" s="1302"/>
      <c r="H515" s="1303"/>
      <c r="I515" s="6" t="s">
        <v>686</v>
      </c>
      <c r="J515" s="7"/>
      <c r="K515" s="7"/>
      <c r="L515" s="7"/>
      <c r="M515" s="7"/>
      <c r="N515" s="7"/>
      <c r="O515" s="1297" t="s">
        <v>563</v>
      </c>
      <c r="P515" s="1298"/>
      <c r="Q515" s="1298"/>
      <c r="R515" s="1298"/>
      <c r="S515" s="1298"/>
      <c r="T515" s="1298"/>
      <c r="U515" s="1298"/>
      <c r="V515" s="1298"/>
      <c r="W515" s="1298"/>
      <c r="X515" s="1298"/>
      <c r="Y515" s="1298"/>
      <c r="Z515" s="1298"/>
      <c r="AA515" s="1298"/>
      <c r="AB515" s="64"/>
      <c r="AC515" s="1084" t="s">
        <v>124</v>
      </c>
      <c r="AD515" s="1085"/>
      <c r="AE515" s="1085"/>
      <c r="AF515" s="1085"/>
      <c r="AG515" s="230" t="s">
        <v>248</v>
      </c>
      <c r="AH515" s="1060"/>
      <c r="AI515" s="1060"/>
      <c r="AJ515" s="1060"/>
      <c r="AK515" s="106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4"/>
      <c r="C516" s="1305"/>
      <c r="D516" s="1305"/>
      <c r="E516" s="1305"/>
      <c r="F516" s="1305"/>
      <c r="G516" s="1305"/>
      <c r="H516" s="1306"/>
      <c r="I516" s="204" t="s">
        <v>687</v>
      </c>
      <c r="AB516" s="71"/>
      <c r="AC516" s="1300" t="s">
        <v>124</v>
      </c>
      <c r="AD516" s="1105"/>
      <c r="AE516" s="1105"/>
      <c r="AF516" s="1105"/>
      <c r="AG516" s="18" t="s">
        <v>248</v>
      </c>
      <c r="AH516" s="1060"/>
      <c r="AI516" s="1060"/>
      <c r="AJ516" s="1060"/>
      <c r="AK516" s="106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4"/>
      <c r="C517" s="1305"/>
      <c r="D517" s="1305"/>
      <c r="E517" s="1305"/>
      <c r="F517" s="1305"/>
      <c r="G517" s="1305"/>
      <c r="H517" s="1306"/>
      <c r="I517" s="53" t="s">
        <v>688</v>
      </c>
      <c r="J517" s="54"/>
      <c r="K517" s="54"/>
      <c r="L517" s="54"/>
      <c r="M517" s="54"/>
      <c r="N517" s="54"/>
      <c r="O517" s="54"/>
      <c r="P517" s="54"/>
      <c r="Q517" s="54"/>
      <c r="R517" s="54"/>
      <c r="S517" s="54"/>
      <c r="T517" s="54"/>
      <c r="U517" s="54"/>
      <c r="V517" s="54"/>
      <c r="W517" s="54"/>
      <c r="X517" s="54"/>
      <c r="Y517" s="54"/>
      <c r="Z517" s="54"/>
      <c r="AA517" s="54"/>
      <c r="AB517" s="55"/>
      <c r="AC517" s="1300" t="s">
        <v>124</v>
      </c>
      <c r="AD517" s="1105"/>
      <c r="AE517" s="1105"/>
      <c r="AF517" s="1105"/>
      <c r="AG517" s="47" t="s">
        <v>248</v>
      </c>
      <c r="AH517" s="1060"/>
      <c r="AI517" s="1060"/>
      <c r="AJ517" s="1060"/>
      <c r="AK517" s="1061"/>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4"/>
      <c r="C518" s="1305"/>
      <c r="D518" s="1305"/>
      <c r="E518" s="1305"/>
      <c r="F518" s="1305"/>
      <c r="G518" s="1305"/>
      <c r="H518" s="1306"/>
      <c r="I518" s="7" t="s">
        <v>689</v>
      </c>
      <c r="J518" s="7"/>
      <c r="K518" s="7"/>
      <c r="L518" s="7"/>
      <c r="M518" s="7"/>
      <c r="N518" s="7"/>
      <c r="O518" s="1297" t="s">
        <v>563</v>
      </c>
      <c r="P518" s="1298"/>
      <c r="Q518" s="1298"/>
      <c r="R518" s="1298"/>
      <c r="S518" s="1298"/>
      <c r="T518" s="1298"/>
      <c r="U518" s="1298"/>
      <c r="V518" s="1298"/>
      <c r="W518" s="1298"/>
      <c r="X518" s="1298"/>
      <c r="Y518" s="1298"/>
      <c r="Z518" s="1298"/>
      <c r="AA518" s="1298"/>
      <c r="AC518" s="1300" t="s">
        <v>124</v>
      </c>
      <c r="AD518" s="1105"/>
      <c r="AE518" s="1105"/>
      <c r="AF518" s="1105"/>
      <c r="AG518" s="18" t="s">
        <v>248</v>
      </c>
      <c r="AH518" s="1060"/>
      <c r="AI518" s="1060"/>
      <c r="AJ518" s="1060"/>
      <c r="AK518" s="1061"/>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4"/>
      <c r="C519" s="1305"/>
      <c r="D519" s="1305"/>
      <c r="E519" s="1305"/>
      <c r="F519" s="1305"/>
      <c r="G519" s="1305"/>
      <c r="H519" s="1306"/>
      <c r="I519" t="s">
        <v>687</v>
      </c>
      <c r="AC519" s="1300" t="s">
        <v>124</v>
      </c>
      <c r="AD519" s="1105"/>
      <c r="AE519" s="1105"/>
      <c r="AF519" s="1105"/>
      <c r="AG519" s="18" t="s">
        <v>248</v>
      </c>
      <c r="AH519" s="1060"/>
      <c r="AI519" s="1060"/>
      <c r="AJ519" s="1060"/>
      <c r="AK519" s="1061"/>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4"/>
      <c r="C520" s="1305"/>
      <c r="D520" s="1305"/>
      <c r="E520" s="1305"/>
      <c r="F520" s="1305"/>
      <c r="G520" s="1305"/>
      <c r="H520" s="1306"/>
      <c r="I520" s="54" t="s">
        <v>688</v>
      </c>
      <c r="J520" s="54"/>
      <c r="K520" s="54"/>
      <c r="L520" s="54"/>
      <c r="M520" s="54"/>
      <c r="N520" s="54"/>
      <c r="O520" s="54"/>
      <c r="P520" s="54"/>
      <c r="Q520" s="54"/>
      <c r="R520" s="54"/>
      <c r="S520" s="54"/>
      <c r="T520" s="54"/>
      <c r="U520" s="54"/>
      <c r="V520" s="54"/>
      <c r="W520" s="54"/>
      <c r="X520" s="54"/>
      <c r="Y520" s="54"/>
      <c r="Z520" s="54"/>
      <c r="AA520" s="54"/>
      <c r="AB520" s="54"/>
      <c r="AC520" s="1300" t="s">
        <v>124</v>
      </c>
      <c r="AD520" s="1105"/>
      <c r="AE520" s="1105"/>
      <c r="AF520" s="1105"/>
      <c r="AG520" s="47" t="s">
        <v>248</v>
      </c>
      <c r="AH520" s="1060"/>
      <c r="AI520" s="1060"/>
      <c r="AJ520" s="1060"/>
      <c r="AK520" s="1061"/>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4"/>
      <c r="C521" s="1305"/>
      <c r="D521" s="1305"/>
      <c r="E521" s="1305"/>
      <c r="F521" s="1305"/>
      <c r="G521" s="1305"/>
      <c r="H521" s="1306"/>
      <c r="I521" s="7" t="s">
        <v>689</v>
      </c>
      <c r="J521" s="7"/>
      <c r="K521" s="7"/>
      <c r="L521" s="7"/>
      <c r="M521" s="7"/>
      <c r="N521" s="7"/>
      <c r="O521" s="1297" t="s">
        <v>563</v>
      </c>
      <c r="P521" s="1298"/>
      <c r="Q521" s="1298"/>
      <c r="R521" s="1298"/>
      <c r="S521" s="1298"/>
      <c r="T521" s="1298"/>
      <c r="U521" s="1298"/>
      <c r="V521" s="1298"/>
      <c r="W521" s="1298"/>
      <c r="X521" s="1298"/>
      <c r="Y521" s="1298"/>
      <c r="Z521" s="1298"/>
      <c r="AA521" s="1298"/>
      <c r="AC521" s="1300" t="s">
        <v>124</v>
      </c>
      <c r="AD521" s="1105"/>
      <c r="AE521" s="1105"/>
      <c r="AF521" s="1105"/>
      <c r="AG521" s="18" t="s">
        <v>248</v>
      </c>
      <c r="AH521" s="1060"/>
      <c r="AI521" s="1060"/>
      <c r="AJ521" s="1060"/>
      <c r="AK521" s="1061"/>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4"/>
      <c r="C522" s="1305"/>
      <c r="D522" s="1305"/>
      <c r="E522" s="1305"/>
      <c r="F522" s="1305"/>
      <c r="G522" s="1305"/>
      <c r="H522" s="1306"/>
      <c r="I522" t="s">
        <v>687</v>
      </c>
      <c r="AC522" s="1300" t="s">
        <v>124</v>
      </c>
      <c r="AD522" s="1105"/>
      <c r="AE522" s="1105"/>
      <c r="AF522" s="1105"/>
      <c r="AG522" s="18" t="s">
        <v>248</v>
      </c>
      <c r="AH522" s="1060"/>
      <c r="AI522" s="1060"/>
      <c r="AJ522" s="1060"/>
      <c r="AK522" s="1061"/>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4"/>
      <c r="C523" s="1305"/>
      <c r="D523" s="1305"/>
      <c r="E523" s="1305"/>
      <c r="F523" s="1305"/>
      <c r="G523" s="1305"/>
      <c r="H523" s="1306"/>
      <c r="I523" s="54" t="s">
        <v>688</v>
      </c>
      <c r="J523" s="54"/>
      <c r="K523" s="54"/>
      <c r="L523" s="54"/>
      <c r="M523" s="54"/>
      <c r="N523" s="54"/>
      <c r="O523" s="54"/>
      <c r="P523" s="54"/>
      <c r="Q523" s="54"/>
      <c r="R523" s="54"/>
      <c r="S523" s="54"/>
      <c r="T523" s="54"/>
      <c r="U523" s="54"/>
      <c r="V523" s="54"/>
      <c r="W523" s="54"/>
      <c r="X523" s="54"/>
      <c r="Y523" s="54"/>
      <c r="Z523" s="54"/>
      <c r="AA523" s="54"/>
      <c r="AB523" s="54"/>
      <c r="AC523" s="1300" t="s">
        <v>124</v>
      </c>
      <c r="AD523" s="1105"/>
      <c r="AE523" s="1105"/>
      <c r="AF523" s="1105"/>
      <c r="AG523" s="47" t="s">
        <v>248</v>
      </c>
      <c r="AH523" s="1060"/>
      <c r="AI523" s="1060"/>
      <c r="AJ523" s="1060"/>
      <c r="AK523" s="1061"/>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4"/>
      <c r="C524" s="1305"/>
      <c r="D524" s="1305"/>
      <c r="E524" s="1305"/>
      <c r="F524" s="1305"/>
      <c r="G524" s="1305"/>
      <c r="H524" s="1306"/>
      <c r="I524" s="7" t="s">
        <v>689</v>
      </c>
      <c r="J524" s="7"/>
      <c r="K524" s="7"/>
      <c r="L524" s="7"/>
      <c r="M524" s="7"/>
      <c r="N524" s="7"/>
      <c r="O524" s="1297" t="s">
        <v>563</v>
      </c>
      <c r="P524" s="1298"/>
      <c r="Q524" s="1298"/>
      <c r="R524" s="1298"/>
      <c r="S524" s="1298"/>
      <c r="T524" s="1298"/>
      <c r="U524" s="1298"/>
      <c r="V524" s="1298"/>
      <c r="W524" s="1298"/>
      <c r="X524" s="1298"/>
      <c r="Y524" s="1298"/>
      <c r="Z524" s="1298"/>
      <c r="AA524" s="1298"/>
      <c r="AC524" s="1300" t="s">
        <v>124</v>
      </c>
      <c r="AD524" s="1105"/>
      <c r="AE524" s="1105"/>
      <c r="AF524" s="1105"/>
      <c r="AG524" s="18" t="s">
        <v>248</v>
      </c>
      <c r="AH524" s="1060"/>
      <c r="AI524" s="1060"/>
      <c r="AJ524" s="1060"/>
      <c r="AK524" s="1061"/>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4"/>
      <c r="C525" s="1305"/>
      <c r="D525" s="1305"/>
      <c r="E525" s="1305"/>
      <c r="F525" s="1305"/>
      <c r="G525" s="1305"/>
      <c r="H525" s="1306"/>
      <c r="I525" t="s">
        <v>687</v>
      </c>
      <c r="AC525" s="1300" t="s">
        <v>124</v>
      </c>
      <c r="AD525" s="1105"/>
      <c r="AE525" s="1105"/>
      <c r="AF525" s="1105"/>
      <c r="AG525" s="18" t="s">
        <v>248</v>
      </c>
      <c r="AH525" s="1060"/>
      <c r="AI525" s="1060"/>
      <c r="AJ525" s="1060"/>
      <c r="AK525" s="1061"/>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4"/>
      <c r="C526" s="1305"/>
      <c r="D526" s="1305"/>
      <c r="E526" s="1305"/>
      <c r="F526" s="1305"/>
      <c r="G526" s="1305"/>
      <c r="H526" s="1306"/>
      <c r="I526" s="54" t="s">
        <v>688</v>
      </c>
      <c r="J526" s="54"/>
      <c r="K526" s="54"/>
      <c r="L526" s="54"/>
      <c r="M526" s="54"/>
      <c r="N526" s="54"/>
      <c r="O526" s="54"/>
      <c r="P526" s="54"/>
      <c r="Q526" s="54"/>
      <c r="R526" s="54"/>
      <c r="S526" s="54"/>
      <c r="T526" s="54"/>
      <c r="U526" s="54"/>
      <c r="V526" s="54"/>
      <c r="W526" s="54"/>
      <c r="X526" s="54"/>
      <c r="Y526" s="54"/>
      <c r="Z526" s="54"/>
      <c r="AA526" s="54"/>
      <c r="AB526" s="54"/>
      <c r="AC526" s="1300" t="s">
        <v>124</v>
      </c>
      <c r="AD526" s="1105"/>
      <c r="AE526" s="1105"/>
      <c r="AF526" s="1105"/>
      <c r="AG526" s="47" t="s">
        <v>248</v>
      </c>
      <c r="AH526" s="1060"/>
      <c r="AI526" s="1060"/>
      <c r="AJ526" s="1060"/>
      <c r="AK526" s="1061"/>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4"/>
      <c r="C527" s="1305"/>
      <c r="D527" s="1305"/>
      <c r="E527" s="1305"/>
      <c r="F527" s="1305"/>
      <c r="G527" s="1305"/>
      <c r="H527" s="1306"/>
      <c r="I527" s="7" t="s">
        <v>689</v>
      </c>
      <c r="J527" s="7"/>
      <c r="K527" s="7"/>
      <c r="L527" s="7"/>
      <c r="M527" s="7"/>
      <c r="N527" s="7"/>
      <c r="O527" s="1297" t="s">
        <v>563</v>
      </c>
      <c r="P527" s="1298"/>
      <c r="Q527" s="1298"/>
      <c r="R527" s="1298"/>
      <c r="S527" s="1298"/>
      <c r="T527" s="1298"/>
      <c r="U527" s="1298"/>
      <c r="V527" s="1298"/>
      <c r="W527" s="1298"/>
      <c r="X527" s="1298"/>
      <c r="Y527" s="1298"/>
      <c r="Z527" s="1298"/>
      <c r="AA527" s="1298"/>
      <c r="AC527" s="1300" t="s">
        <v>124</v>
      </c>
      <c r="AD527" s="1105"/>
      <c r="AE527" s="1105"/>
      <c r="AF527" s="1105"/>
      <c r="AG527" s="18" t="s">
        <v>248</v>
      </c>
      <c r="AH527" s="1060"/>
      <c r="AI527" s="1060"/>
      <c r="AJ527" s="1060"/>
      <c r="AK527" s="1061"/>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4"/>
      <c r="C528" s="1305"/>
      <c r="D528" s="1305"/>
      <c r="E528" s="1305"/>
      <c r="F528" s="1305"/>
      <c r="G528" s="1305"/>
      <c r="H528" s="1306"/>
      <c r="I528" t="s">
        <v>687</v>
      </c>
      <c r="AC528" s="1300" t="s">
        <v>124</v>
      </c>
      <c r="AD528" s="1105"/>
      <c r="AE528" s="1105"/>
      <c r="AF528" s="1105"/>
      <c r="AG528" s="47" t="s">
        <v>248</v>
      </c>
      <c r="AH528" s="1060"/>
      <c r="AI528" s="1060"/>
      <c r="AJ528" s="1060"/>
      <c r="AK528" s="1061"/>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4"/>
      <c r="C529" s="1305"/>
      <c r="D529" s="1305"/>
      <c r="E529" s="1305"/>
      <c r="F529" s="1305"/>
      <c r="G529" s="1305"/>
      <c r="H529" s="1306"/>
      <c r="I529" s="54" t="s">
        <v>688</v>
      </c>
      <c r="J529" s="54"/>
      <c r="K529" s="54"/>
      <c r="L529" s="54"/>
      <c r="M529" s="54"/>
      <c r="N529" s="54"/>
      <c r="O529" s="54"/>
      <c r="P529" s="54"/>
      <c r="Q529" s="54"/>
      <c r="R529" s="54"/>
      <c r="S529" s="54"/>
      <c r="T529" s="54"/>
      <c r="U529" s="54"/>
      <c r="V529" s="54"/>
      <c r="W529" s="54"/>
      <c r="X529" s="54"/>
      <c r="Y529" s="54"/>
      <c r="Z529" s="54"/>
      <c r="AA529" s="54"/>
      <c r="AB529" s="54"/>
      <c r="AC529" s="1300" t="s">
        <v>124</v>
      </c>
      <c r="AD529" s="1105"/>
      <c r="AE529" s="1105"/>
      <c r="AF529" s="1105"/>
      <c r="AG529" s="18" t="s">
        <v>248</v>
      </c>
      <c r="AH529" s="1060"/>
      <c r="AI529" s="1060"/>
      <c r="AJ529" s="1060"/>
      <c r="AK529" s="1061"/>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4"/>
      <c r="C530" s="1305"/>
      <c r="D530" s="1305"/>
      <c r="E530" s="1305"/>
      <c r="F530" s="1305"/>
      <c r="G530" s="1305"/>
      <c r="H530" s="1306"/>
      <c r="I530" s="7" t="s">
        <v>689</v>
      </c>
      <c r="J530" s="7"/>
      <c r="K530" s="7"/>
      <c r="L530" s="7"/>
      <c r="M530" s="7"/>
      <c r="N530" s="7"/>
      <c r="O530" s="1297" t="s">
        <v>563</v>
      </c>
      <c r="P530" s="1298"/>
      <c r="Q530" s="1298"/>
      <c r="R530" s="1298"/>
      <c r="S530" s="1298"/>
      <c r="T530" s="1298"/>
      <c r="U530" s="1298"/>
      <c r="V530" s="1298"/>
      <c r="W530" s="1298"/>
      <c r="X530" s="1298"/>
      <c r="Y530" s="1298"/>
      <c r="Z530" s="1298"/>
      <c r="AA530" s="1298"/>
      <c r="AC530" s="1300" t="s">
        <v>124</v>
      </c>
      <c r="AD530" s="1105"/>
      <c r="AE530" s="1105"/>
      <c r="AF530" s="1105"/>
      <c r="AG530" s="47" t="s">
        <v>248</v>
      </c>
      <c r="AH530" s="1060"/>
      <c r="AI530" s="1060"/>
      <c r="AJ530" s="1060"/>
      <c r="AK530" s="1061"/>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4"/>
      <c r="C531" s="1305"/>
      <c r="D531" s="1305"/>
      <c r="E531" s="1305"/>
      <c r="F531" s="1305"/>
      <c r="G531" s="1305"/>
      <c r="H531" s="1306"/>
      <c r="I531" t="s">
        <v>687</v>
      </c>
      <c r="AC531" s="1300" t="s">
        <v>124</v>
      </c>
      <c r="AD531" s="1105"/>
      <c r="AE531" s="1105"/>
      <c r="AF531" s="1105"/>
      <c r="AG531" s="18" t="s">
        <v>248</v>
      </c>
      <c r="AH531" s="1060"/>
      <c r="AI531" s="1060"/>
      <c r="AJ531" s="1060"/>
      <c r="AK531" s="1061"/>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4"/>
      <c r="C532" s="1305"/>
      <c r="D532" s="1305"/>
      <c r="E532" s="1305"/>
      <c r="F532" s="1305"/>
      <c r="G532" s="1305"/>
      <c r="H532" s="1306"/>
      <c r="I532" s="54" t="s">
        <v>688</v>
      </c>
      <c r="J532" s="54"/>
      <c r="K532" s="54"/>
      <c r="L532" s="54"/>
      <c r="M532" s="54"/>
      <c r="N532" s="54"/>
      <c r="O532" s="54"/>
      <c r="P532" s="54"/>
      <c r="Q532" s="54"/>
      <c r="R532" s="54"/>
      <c r="S532" s="54"/>
      <c r="T532" s="54"/>
      <c r="U532" s="54"/>
      <c r="V532" s="54"/>
      <c r="W532" s="54"/>
      <c r="X532" s="54"/>
      <c r="Y532" s="54"/>
      <c r="Z532" s="54"/>
      <c r="AA532" s="54"/>
      <c r="AB532" s="54"/>
      <c r="AC532" s="1300" t="s">
        <v>124</v>
      </c>
      <c r="AD532" s="1105"/>
      <c r="AE532" s="1105"/>
      <c r="AF532" s="1105"/>
      <c r="AG532" s="47" t="s">
        <v>248</v>
      </c>
      <c r="AH532" s="1060"/>
      <c r="AI532" s="1060"/>
      <c r="AJ532" s="1060"/>
      <c r="AK532" s="1061"/>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4"/>
      <c r="C533" s="1305"/>
      <c r="D533" s="1305"/>
      <c r="E533" s="1305"/>
      <c r="F533" s="1305"/>
      <c r="G533" s="1305"/>
      <c r="H533" s="1306"/>
      <c r="I533" s="7" t="s">
        <v>736</v>
      </c>
      <c r="J533" s="7"/>
      <c r="K533" s="7"/>
      <c r="L533" s="7"/>
      <c r="M533" s="7"/>
      <c r="N533" s="7"/>
      <c r="O533" s="7"/>
      <c r="P533" s="7"/>
      <c r="Q533" s="7"/>
      <c r="R533" s="7"/>
      <c r="S533" s="7"/>
      <c r="T533" s="7"/>
      <c r="U533" s="7"/>
      <c r="V533" s="7"/>
      <c r="W533" s="7"/>
      <c r="AC533" s="1300">
        <v>9</v>
      </c>
      <c r="AD533" s="1105"/>
      <c r="AE533" s="1105"/>
      <c r="AF533" s="1105"/>
      <c r="AG533" s="47" t="s">
        <v>248</v>
      </c>
      <c r="AH533" s="1060">
        <v>2024</v>
      </c>
      <c r="AI533" s="1060"/>
      <c r="AJ533" s="1060"/>
      <c r="AK533" s="1061"/>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4"/>
      <c r="C534" s="1305"/>
      <c r="D534" s="1305"/>
      <c r="E534" s="1305"/>
      <c r="F534" s="1305"/>
      <c r="G534" s="1305"/>
      <c r="H534" s="1306"/>
      <c r="I534" t="s">
        <v>737</v>
      </c>
      <c r="AC534" s="1300">
        <v>7</v>
      </c>
      <c r="AD534" s="1105"/>
      <c r="AE534" s="1105"/>
      <c r="AF534" s="1105"/>
      <c r="AG534" s="18" t="s">
        <v>248</v>
      </c>
      <c r="AH534" s="1060">
        <v>2024</v>
      </c>
      <c r="AI534" s="1060"/>
      <c r="AJ534" s="1060"/>
      <c r="AK534" s="1061"/>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4"/>
      <c r="C535" s="1305"/>
      <c r="D535" s="1305"/>
      <c r="E535" s="1305"/>
      <c r="F535" s="1305"/>
      <c r="G535" s="1305"/>
      <c r="H535" s="1306"/>
      <c r="I535" t="s">
        <v>738</v>
      </c>
      <c r="AC535" s="1300">
        <v>6</v>
      </c>
      <c r="AD535" s="1105"/>
      <c r="AE535" s="1105"/>
      <c r="AF535" s="1105"/>
      <c r="AG535" s="47" t="s">
        <v>248</v>
      </c>
      <c r="AH535" s="1060">
        <v>2025</v>
      </c>
      <c r="AI535" s="1060"/>
      <c r="AJ535" s="1060"/>
      <c r="AK535" s="1061"/>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4"/>
      <c r="C536" s="1305"/>
      <c r="D536" s="1305"/>
      <c r="E536" s="1305"/>
      <c r="F536" s="1305"/>
      <c r="G536" s="1305"/>
      <c r="H536" s="1306"/>
      <c r="I536" t="s">
        <v>739</v>
      </c>
      <c r="AC536" s="1300">
        <v>6</v>
      </c>
      <c r="AD536" s="1105"/>
      <c r="AE536" s="1105"/>
      <c r="AF536" s="1105"/>
      <c r="AG536" s="47" t="s">
        <v>248</v>
      </c>
      <c r="AH536" s="1060">
        <v>2025</v>
      </c>
      <c r="AI536" s="1060"/>
      <c r="AJ536" s="1060"/>
      <c r="AK536" s="1061"/>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7"/>
      <c r="C537" s="1308"/>
      <c r="D537" s="1308"/>
      <c r="E537" s="1308"/>
      <c r="F537" s="1308"/>
      <c r="G537" s="1308"/>
      <c r="H537" s="1309"/>
      <c r="I537" s="54" t="s">
        <v>1366</v>
      </c>
      <c r="J537" s="54"/>
      <c r="K537" s="54"/>
      <c r="L537" s="54"/>
      <c r="M537" s="54"/>
      <c r="N537" s="54"/>
      <c r="O537" s="54"/>
      <c r="P537" s="54"/>
      <c r="Q537" s="54"/>
      <c r="R537" s="54"/>
      <c r="S537" s="54"/>
      <c r="T537" s="54"/>
      <c r="U537" s="54"/>
      <c r="V537" s="54"/>
      <c r="W537" s="54"/>
      <c r="X537" s="54"/>
      <c r="Y537" s="54"/>
      <c r="Z537" s="54"/>
      <c r="AA537" s="54"/>
      <c r="AB537" s="54"/>
      <c r="AC537" s="1300">
        <v>12</v>
      </c>
      <c r="AD537" s="1105"/>
      <c r="AE537" s="1105"/>
      <c r="AF537" s="1105"/>
      <c r="AG537" s="47" t="s">
        <v>248</v>
      </c>
      <c r="AH537" s="1060">
        <v>2025</v>
      </c>
      <c r="AI537" s="1060"/>
      <c r="AJ537" s="1060"/>
      <c r="AK537" s="1061"/>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2" t="s">
        <v>499</v>
      </c>
      <c r="B539" s="982"/>
      <c r="C539" s="982"/>
      <c r="D539" s="982"/>
      <c r="E539" s="982"/>
      <c r="F539" s="982"/>
      <c r="G539" s="982"/>
      <c r="H539" s="982"/>
      <c r="I539" s="982"/>
      <c r="J539" s="982"/>
      <c r="K539" s="982"/>
      <c r="L539" s="982"/>
      <c r="M539" s="982"/>
      <c r="N539" s="982"/>
      <c r="O539" s="982"/>
      <c r="P539" s="982"/>
      <c r="Q539" s="982"/>
      <c r="R539" s="982"/>
      <c r="S539" s="982"/>
      <c r="T539" s="982"/>
      <c r="U539" s="982"/>
      <c r="V539" s="982"/>
      <c r="W539" s="982"/>
      <c r="X539" s="982"/>
      <c r="Y539" s="982"/>
      <c r="Z539" s="982"/>
      <c r="AA539" s="982"/>
      <c r="AB539" s="982"/>
      <c r="AC539" s="982"/>
      <c r="AD539" s="982"/>
      <c r="AE539" s="982"/>
      <c r="AF539" s="982"/>
      <c r="AG539" s="982"/>
      <c r="AH539" s="982"/>
      <c r="AI539" s="982"/>
      <c r="AJ539" s="982"/>
      <c r="AK539" s="982"/>
      <c r="AL539" s="982"/>
      <c r="AM539" s="982"/>
      <c r="AN539" s="982"/>
      <c r="AO539" s="982"/>
      <c r="AP539" s="982"/>
      <c r="AQ539" s="982"/>
      <c r="AR539" s="982"/>
      <c r="AS539" s="982"/>
      <c r="AT539" s="982"/>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2"/>
      <c r="B540" s="982"/>
      <c r="C540" s="982"/>
      <c r="D540" s="982"/>
      <c r="E540" s="982"/>
      <c r="F540" s="982"/>
      <c r="G540" s="982"/>
      <c r="H540" s="982"/>
      <c r="I540" s="982"/>
      <c r="J540" s="982"/>
      <c r="K540" s="982"/>
      <c r="L540" s="982"/>
      <c r="M540" s="982"/>
      <c r="N540" s="982"/>
      <c r="O540" s="982"/>
      <c r="P540" s="982"/>
      <c r="Q540" s="982"/>
      <c r="R540" s="982"/>
      <c r="S540" s="982"/>
      <c r="T540" s="982"/>
      <c r="U540" s="982"/>
      <c r="V540" s="982"/>
      <c r="W540" s="982"/>
      <c r="X540" s="982"/>
      <c r="Y540" s="982"/>
      <c r="Z540" s="982"/>
      <c r="AA540" s="982"/>
      <c r="AB540" s="982"/>
      <c r="AC540" s="982"/>
      <c r="AD540" s="982"/>
      <c r="AE540" s="982"/>
      <c r="AF540" s="982"/>
      <c r="AG540" s="982"/>
      <c r="AH540" s="982"/>
      <c r="AI540" s="982"/>
      <c r="AJ540" s="982"/>
      <c r="AK540" s="982"/>
      <c r="AL540" s="982"/>
      <c r="AM540" s="982"/>
      <c r="AN540" s="982"/>
      <c r="AO540" s="982"/>
      <c r="AP540" s="982"/>
      <c r="AQ540" s="982"/>
      <c r="AR540" s="982"/>
      <c r="AS540" s="982"/>
      <c r="AT540" s="982"/>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1" t="s">
        <v>2198</v>
      </c>
      <c r="C546" s="1302"/>
      <c r="D546" s="1302"/>
      <c r="E546" s="1302"/>
      <c r="F546" s="1302"/>
      <c r="G546" s="1302"/>
      <c r="H546" s="1302"/>
      <c r="I546" s="1302"/>
      <c r="J546" s="1302"/>
      <c r="K546" s="1302"/>
      <c r="L546" s="1302"/>
      <c r="M546" s="1413" t="s">
        <v>2172</v>
      </c>
      <c r="N546" s="1413"/>
      <c r="O546" s="1413"/>
      <c r="P546" s="1413"/>
      <c r="Q546" s="1301" t="s">
        <v>441</v>
      </c>
      <c r="R546" s="1302"/>
      <c r="S546" s="1303"/>
      <c r="T546" s="1301" t="s">
        <v>1993</v>
      </c>
      <c r="U546" s="1302"/>
      <c r="V546" s="1303"/>
      <c r="W546" s="1301" t="s">
        <v>741</v>
      </c>
      <c r="X546" s="1302"/>
      <c r="Y546" s="1303"/>
      <c r="Z546" s="1301" t="s">
        <v>1995</v>
      </c>
      <c r="AA546" s="1302"/>
      <c r="AB546" s="1302"/>
      <c r="AC546" s="1302"/>
      <c r="AD546" s="1303"/>
      <c r="AE546" s="1301" t="s">
        <v>1994</v>
      </c>
      <c r="AF546" s="1302"/>
      <c r="AG546" s="1302"/>
      <c r="AH546" s="1303"/>
      <c r="AI546" s="1301" t="s">
        <v>1996</v>
      </c>
      <c r="AJ546" s="1302"/>
      <c r="AK546" s="1302"/>
      <c r="AL546" s="1303"/>
      <c r="AM546" s="1301" t="s">
        <v>742</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4"/>
      <c r="C547" s="1305"/>
      <c r="D547" s="1305"/>
      <c r="E547" s="1305"/>
      <c r="F547" s="1305"/>
      <c r="G547" s="1305"/>
      <c r="H547" s="1305"/>
      <c r="I547" s="1305"/>
      <c r="J547" s="1305"/>
      <c r="K547" s="1305"/>
      <c r="L547" s="1305"/>
      <c r="M547" s="1413"/>
      <c r="N547" s="1413"/>
      <c r="O547" s="1413"/>
      <c r="P547" s="1413"/>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7"/>
      <c r="C548" s="1308"/>
      <c r="D548" s="1308"/>
      <c r="E548" s="1308"/>
      <c r="F548" s="1308"/>
      <c r="G548" s="1308"/>
      <c r="H548" s="1308"/>
      <c r="I548" s="1308"/>
      <c r="J548" s="1308"/>
      <c r="K548" s="1308"/>
      <c r="L548" s="1308"/>
      <c r="M548" s="1413"/>
      <c r="N548" s="1413"/>
      <c r="O548" s="1413"/>
      <c r="P548" s="1413"/>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11" t="s">
        <v>2475</v>
      </c>
      <c r="D549" s="1411"/>
      <c r="E549" s="1411"/>
      <c r="F549" s="1411"/>
      <c r="G549" s="1411"/>
      <c r="H549" s="1411"/>
      <c r="I549" s="1411"/>
      <c r="J549" s="1411"/>
      <c r="K549" s="1411"/>
      <c r="L549" s="1411"/>
      <c r="M549" s="1299" t="s">
        <v>2187</v>
      </c>
      <c r="N549" s="1299"/>
      <c r="O549" s="1299"/>
      <c r="P549" s="1299"/>
      <c r="Q549" s="1285">
        <v>360</v>
      </c>
      <c r="R549" s="1285"/>
      <c r="S549" s="1286"/>
      <c r="T549" s="1284">
        <v>480</v>
      </c>
      <c r="U549" s="1285"/>
      <c r="V549" s="1286"/>
      <c r="W549" s="1287">
        <v>5.9499999999999997E-2</v>
      </c>
      <c r="X549" s="1288"/>
      <c r="Y549" s="1289"/>
      <c r="Z549" s="1293" t="s">
        <v>2401</v>
      </c>
      <c r="AA549" s="1293"/>
      <c r="AB549" s="1293"/>
      <c r="AC549" s="1293"/>
      <c r="AD549" s="1293"/>
      <c r="AE549" s="1294">
        <v>1</v>
      </c>
      <c r="AF549" s="1295"/>
      <c r="AG549" s="1295"/>
      <c r="AH549" s="1296"/>
      <c r="AI549" s="1290">
        <v>0</v>
      </c>
      <c r="AJ549" s="1291"/>
      <c r="AK549" s="1291"/>
      <c r="AL549" s="1292"/>
      <c r="AM549" s="1203">
        <f>AO621</f>
        <v>7280000</v>
      </c>
      <c r="AN549" s="1204"/>
      <c r="AO549" s="1204"/>
      <c r="AP549" s="1204"/>
      <c r="AQ549" s="1204"/>
      <c r="AR549" s="1204"/>
      <c r="AS549" s="1205"/>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11" t="s">
        <v>2464</v>
      </c>
      <c r="D550" s="1411"/>
      <c r="E550" s="1411"/>
      <c r="F550" s="1411"/>
      <c r="G550" s="1411"/>
      <c r="H550" s="1411"/>
      <c r="I550" s="1411"/>
      <c r="J550" s="1411"/>
      <c r="K550" s="1411"/>
      <c r="L550" s="1411"/>
      <c r="M550" s="1299" t="s">
        <v>2179</v>
      </c>
      <c r="N550" s="1299"/>
      <c r="O550" s="1299"/>
      <c r="P550" s="1299"/>
      <c r="Q550" s="1284">
        <v>0</v>
      </c>
      <c r="R550" s="1285"/>
      <c r="S550" s="1286"/>
      <c r="T550" s="1284">
        <v>0</v>
      </c>
      <c r="U550" s="1285"/>
      <c r="V550" s="1286"/>
      <c r="W550" s="1287">
        <v>0</v>
      </c>
      <c r="X550" s="1288"/>
      <c r="Y550" s="1289"/>
      <c r="Z550" s="1293" t="s">
        <v>124</v>
      </c>
      <c r="AA550" s="1293"/>
      <c r="AB550" s="1293"/>
      <c r="AC550" s="1293"/>
      <c r="AD550" s="1293"/>
      <c r="AE550" s="1294">
        <v>0</v>
      </c>
      <c r="AF550" s="1295"/>
      <c r="AG550" s="1295"/>
      <c r="AH550" s="1296"/>
      <c r="AI550" s="1290">
        <v>0</v>
      </c>
      <c r="AJ550" s="1291"/>
      <c r="AK550" s="1291"/>
      <c r="AL550" s="1292"/>
      <c r="AM550" s="1203">
        <f>0.2*AO634</f>
        <v>2069793</v>
      </c>
      <c r="AN550" s="1204"/>
      <c r="AO550" s="1204"/>
      <c r="AP550" s="1204"/>
      <c r="AQ550" s="1204"/>
      <c r="AR550" s="1204"/>
      <c r="AS550" s="1205"/>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11" t="s">
        <v>2465</v>
      </c>
      <c r="D551" s="1411"/>
      <c r="E551" s="1411"/>
      <c r="F551" s="1411"/>
      <c r="G551" s="1411"/>
      <c r="H551" s="1411"/>
      <c r="I551" s="1411"/>
      <c r="J551" s="1411"/>
      <c r="K551" s="1411"/>
      <c r="L551" s="1411"/>
      <c r="M551" s="1299" t="s">
        <v>2183</v>
      </c>
      <c r="N551" s="1299"/>
      <c r="O551" s="1299"/>
      <c r="P551" s="1299"/>
      <c r="Q551" s="1284">
        <v>24</v>
      </c>
      <c r="R551" s="1285"/>
      <c r="S551" s="1286"/>
      <c r="T551" s="1284">
        <v>0</v>
      </c>
      <c r="U551" s="1285"/>
      <c r="V551" s="1286"/>
      <c r="W551" s="1287">
        <v>8.5000000000000006E-2</v>
      </c>
      <c r="X551" s="1288"/>
      <c r="Y551" s="1289"/>
      <c r="Z551" s="1293" t="s">
        <v>2401</v>
      </c>
      <c r="AA551" s="1293"/>
      <c r="AB551" s="1293"/>
      <c r="AC551" s="1293"/>
      <c r="AD551" s="1293"/>
      <c r="AE551" s="1294">
        <v>2</v>
      </c>
      <c r="AF551" s="1295"/>
      <c r="AG551" s="1295"/>
      <c r="AH551" s="1296"/>
      <c r="AI551" s="1290">
        <v>0</v>
      </c>
      <c r="AJ551" s="1291"/>
      <c r="AK551" s="1291"/>
      <c r="AL551" s="1292"/>
      <c r="AM551" s="1203">
        <v>5475000</v>
      </c>
      <c r="AN551" s="1204"/>
      <c r="AO551" s="1204"/>
      <c r="AP551" s="1204"/>
      <c r="AQ551" s="1204"/>
      <c r="AR551" s="1204"/>
      <c r="AS551" s="1205"/>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11"/>
      <c r="D552" s="1411"/>
      <c r="E552" s="1411"/>
      <c r="F552" s="1411"/>
      <c r="G552" s="1411"/>
      <c r="H552" s="1411"/>
      <c r="I552" s="1411"/>
      <c r="J552" s="1411"/>
      <c r="K552" s="1411"/>
      <c r="L552" s="1411"/>
      <c r="M552" s="1299" t="s">
        <v>1981</v>
      </c>
      <c r="N552" s="1299"/>
      <c r="O552" s="1299"/>
      <c r="P552" s="1299"/>
      <c r="Q552" s="1284"/>
      <c r="R552" s="1285"/>
      <c r="S552" s="1286"/>
      <c r="T552" s="1284"/>
      <c r="U552" s="1285"/>
      <c r="V552" s="1286"/>
      <c r="W552" s="1287"/>
      <c r="X552" s="1288"/>
      <c r="Y552" s="1289"/>
      <c r="Z552" s="1293" t="s">
        <v>1981</v>
      </c>
      <c r="AA552" s="1293"/>
      <c r="AB552" s="1293"/>
      <c r="AC552" s="1293"/>
      <c r="AD552" s="1293"/>
      <c r="AE552" s="1294"/>
      <c r="AF552" s="1295"/>
      <c r="AG552" s="1295"/>
      <c r="AH552" s="1296"/>
      <c r="AI552" s="1290"/>
      <c r="AJ552" s="1291"/>
      <c r="AK552" s="1291"/>
      <c r="AL552" s="1292"/>
      <c r="AM552" s="1203"/>
      <c r="AN552" s="1204"/>
      <c r="AO552" s="1204"/>
      <c r="AP552" s="1204"/>
      <c r="AQ552" s="1204"/>
      <c r="AR552" s="1204"/>
      <c r="AS552" s="1205"/>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11"/>
      <c r="D553" s="1411"/>
      <c r="E553" s="1411"/>
      <c r="F553" s="1411"/>
      <c r="G553" s="1411"/>
      <c r="H553" s="1411"/>
      <c r="I553" s="1411"/>
      <c r="J553" s="1411"/>
      <c r="K553" s="1411"/>
      <c r="L553" s="1411"/>
      <c r="M553" s="1299" t="s">
        <v>1981</v>
      </c>
      <c r="N553" s="1299"/>
      <c r="O553" s="1299"/>
      <c r="P553" s="1299"/>
      <c r="Q553" s="1284"/>
      <c r="R553" s="1285"/>
      <c r="S553" s="1286"/>
      <c r="T553" s="1284"/>
      <c r="U553" s="1285"/>
      <c r="V553" s="1286"/>
      <c r="W553" s="1287"/>
      <c r="X553" s="1288"/>
      <c r="Y553" s="1289"/>
      <c r="Z553" s="1293" t="s">
        <v>1981</v>
      </c>
      <c r="AA553" s="1293"/>
      <c r="AB553" s="1293"/>
      <c r="AC553" s="1293"/>
      <c r="AD553" s="1293"/>
      <c r="AE553" s="1294"/>
      <c r="AF553" s="1295"/>
      <c r="AG553" s="1295"/>
      <c r="AH553" s="1296"/>
      <c r="AI553" s="1290"/>
      <c r="AJ553" s="1291"/>
      <c r="AK553" s="1291"/>
      <c r="AL553" s="1292"/>
      <c r="AM553" s="1203"/>
      <c r="AN553" s="1204"/>
      <c r="AO553" s="1204"/>
      <c r="AP553" s="1204"/>
      <c r="AQ553" s="1204"/>
      <c r="AR553" s="1204"/>
      <c r="AS553" s="1205"/>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11"/>
      <c r="D554" s="1411"/>
      <c r="E554" s="1411"/>
      <c r="F554" s="1411"/>
      <c r="G554" s="1411"/>
      <c r="H554" s="1411"/>
      <c r="I554" s="1411"/>
      <c r="J554" s="1411"/>
      <c r="K554" s="1411"/>
      <c r="L554" s="1411"/>
      <c r="M554" s="1299" t="s">
        <v>1981</v>
      </c>
      <c r="N554" s="1299"/>
      <c r="O554" s="1299"/>
      <c r="P554" s="1299"/>
      <c r="Q554" s="1284"/>
      <c r="R554" s="1285"/>
      <c r="S554" s="1286"/>
      <c r="T554" s="1284"/>
      <c r="U554" s="1285"/>
      <c r="V554" s="1286"/>
      <c r="W554" s="1287"/>
      <c r="X554" s="1288"/>
      <c r="Y554" s="1289"/>
      <c r="Z554" s="1293" t="s">
        <v>1981</v>
      </c>
      <c r="AA554" s="1293"/>
      <c r="AB554" s="1293"/>
      <c r="AC554" s="1293"/>
      <c r="AD554" s="1293"/>
      <c r="AE554" s="1294"/>
      <c r="AF554" s="1295"/>
      <c r="AG554" s="1295"/>
      <c r="AH554" s="1296"/>
      <c r="AI554" s="1290"/>
      <c r="AJ554" s="1291"/>
      <c r="AK554" s="1291"/>
      <c r="AL554" s="1292"/>
      <c r="AM554" s="1203"/>
      <c r="AN554" s="1204"/>
      <c r="AO554" s="1204"/>
      <c r="AP554" s="1204"/>
      <c r="AQ554" s="1204"/>
      <c r="AR554" s="1204"/>
      <c r="AS554" s="1205"/>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11"/>
      <c r="D555" s="1411"/>
      <c r="E555" s="1411"/>
      <c r="F555" s="1411"/>
      <c r="G555" s="1411"/>
      <c r="H555" s="1411"/>
      <c r="I555" s="1411"/>
      <c r="J555" s="1411"/>
      <c r="K555" s="1411"/>
      <c r="L555" s="1411"/>
      <c r="M555" s="1299" t="s">
        <v>1981</v>
      </c>
      <c r="N555" s="1299"/>
      <c r="O555" s="1299"/>
      <c r="P555" s="1299"/>
      <c r="Q555" s="1284"/>
      <c r="R555" s="1285"/>
      <c r="S555" s="1286"/>
      <c r="T555" s="1284"/>
      <c r="U555" s="1285"/>
      <c r="V555" s="1286"/>
      <c r="W555" s="1287"/>
      <c r="X555" s="1288"/>
      <c r="Y555" s="1289"/>
      <c r="Z555" s="1293" t="s">
        <v>1981</v>
      </c>
      <c r="AA555" s="1293"/>
      <c r="AB555" s="1293"/>
      <c r="AC555" s="1293"/>
      <c r="AD555" s="1293"/>
      <c r="AE555" s="1294"/>
      <c r="AF555" s="1295"/>
      <c r="AG555" s="1295"/>
      <c r="AH555" s="1296"/>
      <c r="AI555" s="1290"/>
      <c r="AJ555" s="1291"/>
      <c r="AK555" s="1291"/>
      <c r="AL555" s="1292"/>
      <c r="AM555" s="1203"/>
      <c r="AN555" s="1204"/>
      <c r="AO555" s="1204"/>
      <c r="AP555" s="1204"/>
      <c r="AQ555" s="1204"/>
      <c r="AR555" s="1204"/>
      <c r="AS555" s="1205"/>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11"/>
      <c r="D556" s="1411"/>
      <c r="E556" s="1411"/>
      <c r="F556" s="1411"/>
      <c r="G556" s="1411"/>
      <c r="H556" s="1411"/>
      <c r="I556" s="1411"/>
      <c r="J556" s="1411"/>
      <c r="K556" s="1411"/>
      <c r="L556" s="1411"/>
      <c r="M556" s="1299" t="s">
        <v>1981</v>
      </c>
      <c r="N556" s="1299"/>
      <c r="O556" s="1299"/>
      <c r="P556" s="1299"/>
      <c r="Q556" s="1284"/>
      <c r="R556" s="1285"/>
      <c r="S556" s="1286"/>
      <c r="T556" s="1284"/>
      <c r="U556" s="1285"/>
      <c r="V556" s="1286"/>
      <c r="W556" s="1287"/>
      <c r="X556" s="1288"/>
      <c r="Y556" s="1289"/>
      <c r="Z556" s="1293" t="s">
        <v>1981</v>
      </c>
      <c r="AA556" s="1293"/>
      <c r="AB556" s="1293"/>
      <c r="AC556" s="1293"/>
      <c r="AD556" s="1293"/>
      <c r="AE556" s="1294"/>
      <c r="AF556" s="1295"/>
      <c r="AG556" s="1295"/>
      <c r="AH556" s="1296"/>
      <c r="AI556" s="1290"/>
      <c r="AJ556" s="1291"/>
      <c r="AK556" s="1291"/>
      <c r="AL556" s="1292"/>
      <c r="AM556" s="1203"/>
      <c r="AN556" s="1204"/>
      <c r="AO556" s="1204"/>
      <c r="AP556" s="1204"/>
      <c r="AQ556" s="1204"/>
      <c r="AR556" s="1204"/>
      <c r="AS556" s="1205"/>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11"/>
      <c r="D557" s="1411"/>
      <c r="E557" s="1411"/>
      <c r="F557" s="1411"/>
      <c r="G557" s="1411"/>
      <c r="H557" s="1411"/>
      <c r="I557" s="1411"/>
      <c r="J557" s="1411"/>
      <c r="K557" s="1411"/>
      <c r="L557" s="1411"/>
      <c r="M557" s="1299" t="s">
        <v>1981</v>
      </c>
      <c r="N557" s="1299"/>
      <c r="O557" s="1299"/>
      <c r="P557" s="1299"/>
      <c r="Q557" s="1284"/>
      <c r="R557" s="1285"/>
      <c r="S557" s="1286"/>
      <c r="T557" s="1284"/>
      <c r="U557" s="1285"/>
      <c r="V557" s="1286"/>
      <c r="W557" s="1287"/>
      <c r="X557" s="1288"/>
      <c r="Y557" s="1289"/>
      <c r="Z557" s="1293" t="s">
        <v>1981</v>
      </c>
      <c r="AA557" s="1293"/>
      <c r="AB557" s="1293"/>
      <c r="AC557" s="1293"/>
      <c r="AD557" s="1293"/>
      <c r="AE557" s="1294"/>
      <c r="AF557" s="1295"/>
      <c r="AG557" s="1295"/>
      <c r="AH557" s="1296"/>
      <c r="AI557" s="1290"/>
      <c r="AJ557" s="1291"/>
      <c r="AK557" s="1291"/>
      <c r="AL557" s="1292"/>
      <c r="AM557" s="1203"/>
      <c r="AN557" s="1204"/>
      <c r="AO557" s="1204"/>
      <c r="AP557" s="1204"/>
      <c r="AQ557" s="1204"/>
      <c r="AR557" s="1204"/>
      <c r="AS557" s="1205"/>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11"/>
      <c r="D558" s="1411"/>
      <c r="E558" s="1411"/>
      <c r="F558" s="1411"/>
      <c r="G558" s="1411"/>
      <c r="H558" s="1411"/>
      <c r="I558" s="1411"/>
      <c r="J558" s="1411"/>
      <c r="K558" s="1411"/>
      <c r="L558" s="1411"/>
      <c r="M558" s="1299" t="s">
        <v>1981</v>
      </c>
      <c r="N558" s="1299"/>
      <c r="O558" s="1299"/>
      <c r="P558" s="1299"/>
      <c r="Q558" s="1284"/>
      <c r="R558" s="1285"/>
      <c r="S558" s="1286"/>
      <c r="T558" s="1284"/>
      <c r="U558" s="1285"/>
      <c r="V558" s="1286"/>
      <c r="W558" s="1287"/>
      <c r="X558" s="1288"/>
      <c r="Y558" s="1289"/>
      <c r="Z558" s="1293" t="s">
        <v>1981</v>
      </c>
      <c r="AA558" s="1293"/>
      <c r="AB558" s="1293"/>
      <c r="AC558" s="1293"/>
      <c r="AD558" s="1293"/>
      <c r="AE558" s="1294"/>
      <c r="AF558" s="1295"/>
      <c r="AG558" s="1295"/>
      <c r="AH558" s="1296"/>
      <c r="AI558" s="1290"/>
      <c r="AJ558" s="1291"/>
      <c r="AK558" s="1291"/>
      <c r="AL558" s="1292"/>
      <c r="AM558" s="1203"/>
      <c r="AN558" s="1204"/>
      <c r="AO558" s="1204"/>
      <c r="AP558" s="1204"/>
      <c r="AQ558" s="1204"/>
      <c r="AR558" s="1204"/>
      <c r="AS558" s="1205"/>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1"/>
      <c r="D559" s="1411"/>
      <c r="E559" s="1411"/>
      <c r="F559" s="1411"/>
      <c r="G559" s="1411"/>
      <c r="H559" s="1411"/>
      <c r="I559" s="1411"/>
      <c r="J559" s="1411"/>
      <c r="K559" s="1411"/>
      <c r="L559" s="1411"/>
      <c r="M559" s="1299" t="s">
        <v>1981</v>
      </c>
      <c r="N559" s="1299"/>
      <c r="O559" s="1299"/>
      <c r="P559" s="1299"/>
      <c r="Q559" s="1284"/>
      <c r="R559" s="1285"/>
      <c r="S559" s="1286"/>
      <c r="T559" s="1284"/>
      <c r="U559" s="1285"/>
      <c r="V559" s="1286"/>
      <c r="W559" s="1287"/>
      <c r="X559" s="1288"/>
      <c r="Y559" s="1289"/>
      <c r="Z559" s="1293" t="s">
        <v>1981</v>
      </c>
      <c r="AA559" s="1293"/>
      <c r="AB559" s="1293"/>
      <c r="AC559" s="1293"/>
      <c r="AD559" s="1293"/>
      <c r="AE559" s="1294"/>
      <c r="AF559" s="1295"/>
      <c r="AG559" s="1295"/>
      <c r="AH559" s="1296"/>
      <c r="AI559" s="1290"/>
      <c r="AJ559" s="1291"/>
      <c r="AK559" s="1291"/>
      <c r="AL559" s="1292"/>
      <c r="AM559" s="1203"/>
      <c r="AN559" s="1204"/>
      <c r="AO559" s="1204"/>
      <c r="AP559" s="1204"/>
      <c r="AQ559" s="1204"/>
      <c r="AR559" s="1204"/>
      <c r="AS559" s="1205"/>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1"/>
      <c r="D560" s="1411"/>
      <c r="E560" s="1411"/>
      <c r="F560" s="1411"/>
      <c r="G560" s="1411"/>
      <c r="H560" s="1411"/>
      <c r="I560" s="1411"/>
      <c r="J560" s="1411"/>
      <c r="K560" s="1411"/>
      <c r="L560" s="1411"/>
      <c r="M560" s="1299" t="s">
        <v>1981</v>
      </c>
      <c r="N560" s="1299"/>
      <c r="O560" s="1299"/>
      <c r="P560" s="1299"/>
      <c r="Q560" s="1284"/>
      <c r="R560" s="1285"/>
      <c r="S560" s="1286"/>
      <c r="T560" s="1284"/>
      <c r="U560" s="1285"/>
      <c r="V560" s="1286"/>
      <c r="W560" s="1287"/>
      <c r="X560" s="1288"/>
      <c r="Y560" s="1289"/>
      <c r="Z560" s="1293" t="s">
        <v>1981</v>
      </c>
      <c r="AA560" s="1293"/>
      <c r="AB560" s="1293"/>
      <c r="AC560" s="1293"/>
      <c r="AD560" s="1293"/>
      <c r="AE560" s="1294"/>
      <c r="AF560" s="1295"/>
      <c r="AG560" s="1295"/>
      <c r="AH560" s="1296"/>
      <c r="AI560" s="1290"/>
      <c r="AJ560" s="1291"/>
      <c r="AK560" s="1291"/>
      <c r="AL560" s="1292"/>
      <c r="AM560" s="1203"/>
      <c r="AN560" s="1204"/>
      <c r="AO560" s="1204"/>
      <c r="AP560" s="1204"/>
      <c r="AQ560" s="1204"/>
      <c r="AR560" s="1204"/>
      <c r="AS560" s="1205"/>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6" t="s">
        <v>358</v>
      </c>
      <c r="C561" s="1187"/>
      <c r="D561" s="1187"/>
      <c r="E561" s="1187"/>
      <c r="F561" s="1187"/>
      <c r="G561" s="1187"/>
      <c r="H561" s="1187"/>
      <c r="I561" s="1187"/>
      <c r="J561" s="1187"/>
      <c r="K561" s="1187"/>
      <c r="L561" s="1187"/>
      <c r="M561" s="1187"/>
      <c r="N561" s="1187"/>
      <c r="O561" s="1187"/>
      <c r="P561" s="1187"/>
      <c r="Q561" s="1187"/>
      <c r="R561" s="1187"/>
      <c r="S561" s="1187"/>
      <c r="T561" s="1187"/>
      <c r="U561" s="1445"/>
      <c r="V561" s="1187"/>
      <c r="W561" s="1187"/>
      <c r="X561" s="1187"/>
      <c r="Y561" s="1187"/>
      <c r="Z561" s="1187"/>
      <c r="AA561" s="1187"/>
      <c r="AB561" s="1187"/>
      <c r="AC561" s="1187"/>
      <c r="AD561" s="1187"/>
      <c r="AE561" s="1187"/>
      <c r="AF561" s="1187"/>
      <c r="AG561" s="1187"/>
      <c r="AH561" s="1187"/>
      <c r="AI561" s="1187"/>
      <c r="AJ561" s="1187"/>
      <c r="AK561" s="1187"/>
      <c r="AL561" s="1188"/>
      <c r="AM561" s="1197">
        <f>SUM(AM549:AS560)</f>
        <v>14824793</v>
      </c>
      <c r="AN561" s="1198"/>
      <c r="AO561" s="1198"/>
      <c r="AP561" s="1198"/>
      <c r="AQ561" s="1198"/>
      <c r="AR561" s="1198"/>
      <c r="AS561" s="119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4" t="str">
        <f>C549</f>
        <v>JP Morgan/Fannie</v>
      </c>
      <c r="H563" s="1264"/>
      <c r="I563" s="1264"/>
      <c r="J563" s="1264"/>
      <c r="K563" s="1264"/>
      <c r="L563" s="1264"/>
      <c r="M563" s="1264"/>
      <c r="N563" s="1264"/>
      <c r="O563" s="1264"/>
      <c r="P563" s="1264"/>
      <c r="Q563" s="1264"/>
      <c r="R563" s="1264"/>
      <c r="S563" s="12"/>
      <c r="T563" s="61" t="s">
        <v>902</v>
      </c>
      <c r="U563" t="s">
        <v>82</v>
      </c>
      <c r="Z563" s="1264" t="str">
        <f>C550</f>
        <v>R4/LIHTC Equity</v>
      </c>
      <c r="AA563" s="1264"/>
      <c r="AB563" s="1264"/>
      <c r="AC563" s="1264"/>
      <c r="AD563" s="1264"/>
      <c r="AE563" s="1264"/>
      <c r="AF563" s="1264"/>
      <c r="AG563" s="1264"/>
      <c r="AH563" s="1264"/>
      <c r="AI563" s="1264"/>
      <c r="AJ563" s="1264"/>
      <c r="AK563" s="126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7" t="s">
        <v>2485</v>
      </c>
      <c r="H564" s="1111"/>
      <c r="I564" s="1111"/>
      <c r="J564" s="1111"/>
      <c r="K564" s="1111"/>
      <c r="L564" s="1111"/>
      <c r="M564" s="1111"/>
      <c r="N564" s="1111"/>
      <c r="O564" s="1111"/>
      <c r="P564" s="1111"/>
      <c r="Q564" s="1111"/>
      <c r="R564" s="1111"/>
      <c r="S564" s="12"/>
      <c r="T564" s="4"/>
      <c r="U564" t="s">
        <v>373</v>
      </c>
      <c r="Z564" s="1111" t="s">
        <v>2466</v>
      </c>
      <c r="AA564" s="1111"/>
      <c r="AB564" s="1111"/>
      <c r="AC564" s="1111"/>
      <c r="AD564" s="1111"/>
      <c r="AE564" s="1111"/>
      <c r="AF564" s="1111"/>
      <c r="AG564" s="1111"/>
      <c r="AH564" s="1111"/>
      <c r="AI564" s="1111"/>
      <c r="AJ564" s="1111"/>
      <c r="AK564" s="111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7" t="s">
        <v>2486</v>
      </c>
      <c r="H565" s="1111"/>
      <c r="I565" s="1111"/>
      <c r="J565" s="1111"/>
      <c r="K565" s="1111"/>
      <c r="L565" s="1111"/>
      <c r="M565" s="1111"/>
      <c r="N565" s="1111"/>
      <c r="O565" s="1111"/>
      <c r="P565" s="1111"/>
      <c r="Q565" s="1111"/>
      <c r="R565" s="1111"/>
      <c r="T565" s="4"/>
      <c r="U565" t="s">
        <v>431</v>
      </c>
      <c r="Z565" s="1262" t="s">
        <v>2457</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7" t="s">
        <v>2484</v>
      </c>
      <c r="H566" s="1111"/>
      <c r="I566" s="1111"/>
      <c r="J566" s="1111"/>
      <c r="K566" s="1111"/>
      <c r="L566" s="1111"/>
      <c r="M566" s="1111"/>
      <c r="N566" s="1111"/>
      <c r="O566" s="1111"/>
      <c r="P566" s="1111"/>
      <c r="Q566" s="1111"/>
      <c r="R566" s="1111"/>
      <c r="S566" s="12"/>
      <c r="T566" s="4"/>
      <c r="U566" t="s">
        <v>834</v>
      </c>
      <c r="Z566" s="1262" t="s">
        <v>2491</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374" t="s">
        <v>2487</v>
      </c>
      <c r="H567" s="1268"/>
      <c r="I567" s="1268"/>
      <c r="J567" s="1268"/>
      <c r="K567" s="1268"/>
      <c r="L567" s="1268"/>
      <c r="O567" s="42" t="s">
        <v>819</v>
      </c>
      <c r="P567" s="1263"/>
      <c r="Q567" s="1263"/>
      <c r="R567" s="1263"/>
      <c r="S567" s="14"/>
      <c r="T567" s="4"/>
      <c r="U567" t="s">
        <v>651</v>
      </c>
      <c r="Z567" s="1374" t="s">
        <v>2492</v>
      </c>
      <c r="AA567" s="1268"/>
      <c r="AB567" s="1268"/>
      <c r="AC567" s="1268"/>
      <c r="AD567" s="1268"/>
      <c r="AE567" s="1268"/>
      <c r="AH567" s="42" t="s">
        <v>819</v>
      </c>
      <c r="AI567" s="1263"/>
      <c r="AJ567" s="1263"/>
      <c r="AK567" s="126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11" t="s">
        <v>2402</v>
      </c>
      <c r="I568" s="1111"/>
      <c r="J568" s="1111"/>
      <c r="K568" s="1111"/>
      <c r="L568" s="1111"/>
      <c r="M568" s="1111"/>
      <c r="N568" s="1111"/>
      <c r="O568" s="1111"/>
      <c r="P568" s="1111"/>
      <c r="Q568" s="1111"/>
      <c r="R568" s="1111"/>
      <c r="S568" s="12"/>
      <c r="T568" s="4"/>
      <c r="U568" t="s">
        <v>835</v>
      </c>
      <c r="AA568" s="1111" t="s">
        <v>2403</v>
      </c>
      <c r="AB568" s="1111"/>
      <c r="AC568" s="1111"/>
      <c r="AD568" s="1111"/>
      <c r="AE568" s="1111"/>
      <c r="AF568" s="1111"/>
      <c r="AG568" s="1111"/>
      <c r="AH568" s="1111"/>
      <c r="AI568" s="1111"/>
      <c r="AJ568" s="1111"/>
      <c r="AK568" s="111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102" t="s">
        <v>108</v>
      </c>
      <c r="O569" s="1102"/>
      <c r="T569" s="4"/>
      <c r="U569" t="s">
        <v>837</v>
      </c>
      <c r="AG569" s="1102" t="s">
        <v>108</v>
      </c>
      <c r="AH569" s="110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4" t="str">
        <f>C551</f>
        <v>Colliers/Equity Bridge Loan</v>
      </c>
      <c r="H571" s="1264"/>
      <c r="I571" s="1264"/>
      <c r="J571" s="1264"/>
      <c r="K571" s="1264"/>
      <c r="L571" s="1264"/>
      <c r="M571" s="1264"/>
      <c r="N571" s="1264"/>
      <c r="O571" s="1264"/>
      <c r="P571" s="1264"/>
      <c r="Q571" s="1264"/>
      <c r="R571" s="1264"/>
      <c r="T571" s="61" t="s">
        <v>432</v>
      </c>
      <c r="U571" t="s">
        <v>82</v>
      </c>
      <c r="Z571" s="1264">
        <f>C552</f>
        <v>0</v>
      </c>
      <c r="AA571" s="1264"/>
      <c r="AB571" s="1264"/>
      <c r="AC571" s="1264"/>
      <c r="AD571" s="1264"/>
      <c r="AE571" s="1264"/>
      <c r="AF571" s="1264"/>
      <c r="AG571" s="1264"/>
      <c r="AH571" s="1264"/>
      <c r="AI571" s="1264"/>
      <c r="AJ571" s="1264"/>
      <c r="AK571" s="126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11" t="s">
        <v>2467</v>
      </c>
      <c r="H572" s="1111"/>
      <c r="I572" s="1111"/>
      <c r="J572" s="1111"/>
      <c r="K572" s="1111"/>
      <c r="L572" s="1111"/>
      <c r="M572" s="1111"/>
      <c r="N572" s="1111"/>
      <c r="O572" s="1111"/>
      <c r="P572" s="1111"/>
      <c r="Q572" s="1111"/>
      <c r="R572" s="1111"/>
      <c r="T572" s="4"/>
      <c r="U572" t="s">
        <v>373</v>
      </c>
      <c r="Z572" s="1111"/>
      <c r="AA572" s="1111"/>
      <c r="AB572" s="1111"/>
      <c r="AC572" s="1111"/>
      <c r="AD572" s="1111"/>
      <c r="AE572" s="1111"/>
      <c r="AF572" s="1111"/>
      <c r="AG572" s="1111"/>
      <c r="AH572" s="1111"/>
      <c r="AI572" s="1111"/>
      <c r="AJ572" s="1111"/>
      <c r="AK572" s="111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62" t="s">
        <v>2351</v>
      </c>
      <c r="H573" s="1262"/>
      <c r="I573" s="1262"/>
      <c r="J573" s="1262"/>
      <c r="K573" s="1262"/>
      <c r="L573" s="1262"/>
      <c r="M573" s="1262"/>
      <c r="N573" s="1262"/>
      <c r="O573" s="1262"/>
      <c r="P573" s="1262"/>
      <c r="Q573" s="1262"/>
      <c r="R573" s="1262"/>
      <c r="T573" s="4"/>
      <c r="U573" t="s">
        <v>431</v>
      </c>
      <c r="Z573" s="1262"/>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62" t="s">
        <v>2468</v>
      </c>
      <c r="H574" s="1262"/>
      <c r="I574" s="1262"/>
      <c r="J574" s="1262"/>
      <c r="K574" s="1262"/>
      <c r="L574" s="1262"/>
      <c r="M574" s="1262"/>
      <c r="N574" s="1262"/>
      <c r="O574" s="1262"/>
      <c r="P574" s="1262"/>
      <c r="Q574" s="1262"/>
      <c r="R574" s="1262"/>
      <c r="T574" s="4"/>
      <c r="U574" t="s">
        <v>834</v>
      </c>
      <c r="Z574" s="1262"/>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374" t="s">
        <v>2469</v>
      </c>
      <c r="H575" s="1268"/>
      <c r="I575" s="1268"/>
      <c r="J575" s="1268"/>
      <c r="K575" s="1268"/>
      <c r="L575" s="1268"/>
      <c r="O575" s="42" t="s">
        <v>819</v>
      </c>
      <c r="P575" s="1263"/>
      <c r="Q575" s="1263"/>
      <c r="R575" s="1263"/>
      <c r="T575" s="4"/>
      <c r="U575" t="s">
        <v>651</v>
      </c>
      <c r="Z575" s="1268"/>
      <c r="AA575" s="1268"/>
      <c r="AB575" s="1268"/>
      <c r="AC575" s="1268"/>
      <c r="AD575" s="1268"/>
      <c r="AE575" s="1268"/>
      <c r="AH575" s="42" t="s">
        <v>819</v>
      </c>
      <c r="AI575" s="1263"/>
      <c r="AJ575" s="1263"/>
      <c r="AK575" s="126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11" t="s">
        <v>2404</v>
      </c>
      <c r="I576" s="1111"/>
      <c r="J576" s="1111"/>
      <c r="K576" s="1111"/>
      <c r="L576" s="1111"/>
      <c r="M576" s="1111"/>
      <c r="N576" s="1111"/>
      <c r="O576" s="1111"/>
      <c r="P576" s="1111"/>
      <c r="Q576" s="1111"/>
      <c r="R576" s="1111"/>
      <c r="T576" s="4"/>
      <c r="U576" t="s">
        <v>835</v>
      </c>
      <c r="AA576" s="1111"/>
      <c r="AB576" s="1111"/>
      <c r="AC576" s="1111"/>
      <c r="AD576" s="1111"/>
      <c r="AE576" s="1111"/>
      <c r="AF576" s="1111"/>
      <c r="AG576" s="1111"/>
      <c r="AH576" s="1111"/>
      <c r="AI576" s="1111"/>
      <c r="AJ576" s="1111"/>
      <c r="AK576" s="111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60" t="s">
        <v>108</v>
      </c>
      <c r="O577" s="1060"/>
      <c r="T577" s="4"/>
      <c r="U577" t="s">
        <v>837</v>
      </c>
      <c r="AG577" s="1060" t="s">
        <v>483</v>
      </c>
      <c r="AH577" s="1060"/>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4">
        <f>C553</f>
        <v>0</v>
      </c>
      <c r="H579" s="1264"/>
      <c r="I579" s="1264"/>
      <c r="J579" s="1264"/>
      <c r="K579" s="1264"/>
      <c r="L579" s="1264"/>
      <c r="M579" s="1264"/>
      <c r="N579" s="1264"/>
      <c r="O579" s="1264"/>
      <c r="P579" s="1264"/>
      <c r="Q579" s="1264"/>
      <c r="R579" s="1264"/>
      <c r="T579" s="61" t="s">
        <v>435</v>
      </c>
      <c r="U579" t="s">
        <v>82</v>
      </c>
      <c r="Z579" s="1264">
        <f>C554</f>
        <v>0</v>
      </c>
      <c r="AA579" s="1264"/>
      <c r="AB579" s="1264"/>
      <c r="AC579" s="1264"/>
      <c r="AD579" s="1264"/>
      <c r="AE579" s="1264"/>
      <c r="AF579" s="1264"/>
      <c r="AG579" s="1264"/>
      <c r="AH579" s="1264"/>
      <c r="AI579" s="1264"/>
      <c r="AJ579" s="1264"/>
      <c r="AK579" s="126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11"/>
      <c r="H580" s="1111"/>
      <c r="I580" s="1111"/>
      <c r="J580" s="1111"/>
      <c r="K580" s="1111"/>
      <c r="L580" s="1111"/>
      <c r="M580" s="1111"/>
      <c r="N580" s="1111"/>
      <c r="O580" s="1111"/>
      <c r="P580" s="1111"/>
      <c r="Q580" s="1111"/>
      <c r="R580" s="1111"/>
      <c r="T580" s="4"/>
      <c r="U580" t="s">
        <v>373</v>
      </c>
      <c r="Z580" s="1111"/>
      <c r="AA580" s="1111"/>
      <c r="AB580" s="1111"/>
      <c r="AC580" s="1111"/>
      <c r="AD580" s="1111"/>
      <c r="AE580" s="1111"/>
      <c r="AF580" s="1111"/>
      <c r="AG580" s="1111"/>
      <c r="AH580" s="1111"/>
      <c r="AI580" s="1111"/>
      <c r="AJ580" s="1111"/>
      <c r="AK580" s="111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11"/>
      <c r="H581" s="1111"/>
      <c r="I581" s="1111"/>
      <c r="J581" s="1111"/>
      <c r="K581" s="1111"/>
      <c r="L581" s="1111"/>
      <c r="M581" s="1111"/>
      <c r="N581" s="1111"/>
      <c r="O581" s="1111"/>
      <c r="P581" s="1111"/>
      <c r="Q581" s="1111"/>
      <c r="R581" s="1111"/>
      <c r="T581" s="4"/>
      <c r="U581" t="s">
        <v>431</v>
      </c>
      <c r="Z581" s="1262"/>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11"/>
      <c r="H582" s="1111"/>
      <c r="I582" s="1111"/>
      <c r="J582" s="1111"/>
      <c r="K582" s="1111"/>
      <c r="L582" s="1111"/>
      <c r="M582" s="1111"/>
      <c r="N582" s="1111"/>
      <c r="O582" s="1111"/>
      <c r="P582" s="1111"/>
      <c r="Q582" s="1111"/>
      <c r="R582" s="1111"/>
      <c r="T582" s="4"/>
      <c r="U582" t="s">
        <v>834</v>
      </c>
      <c r="Z582" s="1262"/>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8"/>
      <c r="H583" s="1268"/>
      <c r="I583" s="1268"/>
      <c r="J583" s="1268"/>
      <c r="K583" s="1268"/>
      <c r="L583" s="1268"/>
      <c r="O583" s="42" t="s">
        <v>819</v>
      </c>
      <c r="P583" s="1263"/>
      <c r="Q583" s="1263"/>
      <c r="R583" s="1263"/>
      <c r="T583" s="4"/>
      <c r="U583" t="s">
        <v>651</v>
      </c>
      <c r="Z583" s="1268"/>
      <c r="AA583" s="1268"/>
      <c r="AB583" s="1268"/>
      <c r="AC583" s="1268"/>
      <c r="AD583" s="1268"/>
      <c r="AE583" s="1268"/>
      <c r="AH583" s="42" t="s">
        <v>819</v>
      </c>
      <c r="AI583" s="1263"/>
      <c r="AJ583" s="1263"/>
      <c r="AK583" s="126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11"/>
      <c r="I584" s="1111"/>
      <c r="J584" s="1111"/>
      <c r="K584" s="1111"/>
      <c r="L584" s="1111"/>
      <c r="M584" s="1111"/>
      <c r="N584" s="1111"/>
      <c r="O584" s="1111"/>
      <c r="P584" s="1111"/>
      <c r="Q584" s="1111"/>
      <c r="R584" s="1111"/>
      <c r="T584" s="4"/>
      <c r="U584" t="s">
        <v>835</v>
      </c>
      <c r="AA584" s="1111"/>
      <c r="AB584" s="1111"/>
      <c r="AC584" s="1111"/>
      <c r="AD584" s="1111"/>
      <c r="AE584" s="1111"/>
      <c r="AF584" s="1111"/>
      <c r="AG584" s="1111"/>
      <c r="AH584" s="1111"/>
      <c r="AI584" s="1111"/>
      <c r="AJ584" s="1111"/>
      <c r="AK584" s="111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60" t="s">
        <v>483</v>
      </c>
      <c r="O585" s="1060"/>
      <c r="T585" s="4"/>
      <c r="U585" t="s">
        <v>837</v>
      </c>
      <c r="AG585" s="1060" t="s">
        <v>483</v>
      </c>
      <c r="AH585" s="1060"/>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4">
        <f>C555</f>
        <v>0</v>
      </c>
      <c r="H587" s="1264"/>
      <c r="I587" s="1264"/>
      <c r="J587" s="1264"/>
      <c r="K587" s="1264"/>
      <c r="L587" s="1264"/>
      <c r="M587" s="1264"/>
      <c r="N587" s="1264"/>
      <c r="O587" s="1264"/>
      <c r="P587" s="1264"/>
      <c r="Q587" s="1264"/>
      <c r="R587" s="1264"/>
      <c r="T587" s="61" t="s">
        <v>744</v>
      </c>
      <c r="U587" t="s">
        <v>82</v>
      </c>
      <c r="Z587" s="1264">
        <f>C556</f>
        <v>0</v>
      </c>
      <c r="AA587" s="1264"/>
      <c r="AB587" s="1264"/>
      <c r="AC587" s="1264"/>
      <c r="AD587" s="1264"/>
      <c r="AE587" s="1264"/>
      <c r="AF587" s="1264"/>
      <c r="AG587" s="1264"/>
      <c r="AH587" s="1264"/>
      <c r="AI587" s="1264"/>
      <c r="AJ587" s="1264"/>
      <c r="AK587" s="126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11"/>
      <c r="H588" s="1111"/>
      <c r="I588" s="1111"/>
      <c r="J588" s="1111"/>
      <c r="K588" s="1111"/>
      <c r="L588" s="1111"/>
      <c r="M588" s="1111"/>
      <c r="N588" s="1111"/>
      <c r="O588" s="1111"/>
      <c r="P588" s="1111"/>
      <c r="Q588" s="1111"/>
      <c r="R588" s="1111"/>
      <c r="T588" s="4"/>
      <c r="U588" t="s">
        <v>373</v>
      </c>
      <c r="Z588" s="1111"/>
      <c r="AA588" s="1111"/>
      <c r="AB588" s="1111"/>
      <c r="AC588" s="1111"/>
      <c r="AD588" s="1111"/>
      <c r="AE588" s="1111"/>
      <c r="AF588" s="1111"/>
      <c r="AG588" s="1111"/>
      <c r="AH588" s="1111"/>
      <c r="AI588" s="1111"/>
      <c r="AJ588" s="1111"/>
      <c r="AK588" s="111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11"/>
      <c r="H589" s="1111"/>
      <c r="I589" s="1111"/>
      <c r="J589" s="1111"/>
      <c r="K589" s="1111"/>
      <c r="L589" s="1111"/>
      <c r="M589" s="1111"/>
      <c r="N589" s="1111"/>
      <c r="O589" s="1111"/>
      <c r="P589" s="1111"/>
      <c r="Q589" s="1111"/>
      <c r="R589" s="1111"/>
      <c r="S589"/>
      <c r="T589" s="4"/>
      <c r="U589" t="s">
        <v>431</v>
      </c>
      <c r="V589"/>
      <c r="W589"/>
      <c r="X589"/>
      <c r="Y589"/>
      <c r="Z589" s="1262"/>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11"/>
      <c r="H590" s="1111"/>
      <c r="I590" s="1111"/>
      <c r="J590" s="1111"/>
      <c r="K590" s="1111"/>
      <c r="L590" s="1111"/>
      <c r="M590" s="1111"/>
      <c r="N590" s="1111"/>
      <c r="O590" s="1111"/>
      <c r="P590" s="1111"/>
      <c r="Q590" s="1111"/>
      <c r="R590" s="1111"/>
      <c r="S590"/>
      <c r="T590" s="4"/>
      <c r="U590" t="s">
        <v>834</v>
      </c>
      <c r="V590"/>
      <c r="W590"/>
      <c r="X590"/>
      <c r="Y590"/>
      <c r="Z590" s="1262"/>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8"/>
      <c r="H591" s="1268"/>
      <c r="I591" s="1268"/>
      <c r="J591" s="1268"/>
      <c r="K591" s="1268"/>
      <c r="L591" s="1268"/>
      <c r="M591"/>
      <c r="N591"/>
      <c r="O591" s="42" t="s">
        <v>819</v>
      </c>
      <c r="P591" s="1263"/>
      <c r="Q591" s="1263"/>
      <c r="R591" s="1263"/>
      <c r="S591"/>
      <c r="T591" s="4"/>
      <c r="U591" t="s">
        <v>651</v>
      </c>
      <c r="V591"/>
      <c r="W591"/>
      <c r="X591"/>
      <c r="Y591"/>
      <c r="Z591" s="1268"/>
      <c r="AA591" s="1268"/>
      <c r="AB591" s="1268"/>
      <c r="AC591" s="1268"/>
      <c r="AD591" s="1268"/>
      <c r="AE591" s="1268"/>
      <c r="AF591"/>
      <c r="AG591"/>
      <c r="AH591" s="42" t="s">
        <v>819</v>
      </c>
      <c r="AI591" s="1263"/>
      <c r="AJ591" s="1263"/>
      <c r="AK591" s="1263"/>
      <c r="AL591"/>
      <c r="AZ591" s="5" t="s">
        <v>442</v>
      </c>
      <c r="BA591" s="41"/>
      <c r="BB591" s="41"/>
      <c r="BC591" s="41"/>
      <c r="BD591" s="41"/>
      <c r="BE591" s="214" t="s">
        <v>352</v>
      </c>
      <c r="BF591" s="215"/>
      <c r="BG591" s="1269"/>
      <c r="BH591" s="1271"/>
      <c r="BI591" s="214" t="s">
        <v>353</v>
      </c>
      <c r="BJ591" s="215"/>
      <c r="BK591" s="1269"/>
      <c r="BL591" s="1271"/>
      <c r="BN591" s="1269">
        <f t="shared" ref="BN591" si="1">IF(B695="SRO/Studio",G695,0)</f>
        <v>0</v>
      </c>
      <c r="BO591" s="1270"/>
      <c r="BP591" s="1270"/>
      <c r="BQ591" s="1270"/>
      <c r="BR591" s="1280"/>
      <c r="BS591" s="1269">
        <f t="shared" ref="BS591" si="2">IF(B695="1 Bedroom",G695,0)</f>
        <v>6</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111"/>
      <c r="I592" s="1111"/>
      <c r="J592" s="1111"/>
      <c r="K592" s="1111"/>
      <c r="L592" s="1111"/>
      <c r="M592" s="1111"/>
      <c r="N592" s="1111"/>
      <c r="O592" s="1111"/>
      <c r="P592" s="1111"/>
      <c r="Q592" s="1111"/>
      <c r="R592" s="1111"/>
      <c r="S592"/>
      <c r="T592" s="4"/>
      <c r="U592" t="s">
        <v>835</v>
      </c>
      <c r="V592"/>
      <c r="W592"/>
      <c r="X592"/>
      <c r="Y592"/>
      <c r="Z592"/>
      <c r="AA592" s="1111"/>
      <c r="AB592" s="1111"/>
      <c r="AC592" s="1111"/>
      <c r="AD592" s="1111"/>
      <c r="AE592" s="1111"/>
      <c r="AF592" s="1111"/>
      <c r="AG592" s="1111"/>
      <c r="AH592" s="1111"/>
      <c r="AI592" s="1111"/>
      <c r="AJ592" s="1111"/>
      <c r="AK592" s="1111"/>
      <c r="AL592"/>
      <c r="AZ592" s="5" t="s">
        <v>443</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6</v>
      </c>
      <c r="BL592" s="1271"/>
      <c r="BN592" s="1269">
        <f t="shared" ref="BN592:BN625" si="9">IF(B696="SRO/Studio",G696,0)</f>
        <v>0</v>
      </c>
      <c r="BO592" s="1270"/>
      <c r="BP592" s="1270"/>
      <c r="BQ592" s="1270"/>
      <c r="BR592" s="1280"/>
      <c r="BS592" s="1269">
        <f t="shared" ref="BS592:BS625" si="10">IF(B696="1 Bedroom",G696,0)</f>
        <v>3</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0</v>
      </c>
      <c r="CT592" s="1282"/>
      <c r="CU592" s="1282"/>
      <c r="CV592" s="1282"/>
      <c r="CW592" s="1283"/>
      <c r="CX592" s="1281">
        <f>IF(AND(B695="1 Bedroom",AH695&lt;=0.3),G695,0)</f>
        <v>6</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2.95" customHeight="1">
      <c r="A593" s="4"/>
      <c r="B593" t="s">
        <v>837</v>
      </c>
      <c r="C593"/>
      <c r="D593"/>
      <c r="E593"/>
      <c r="F593"/>
      <c r="G593"/>
      <c r="H593"/>
      <c r="I593"/>
      <c r="J593"/>
      <c r="K593"/>
      <c r="L593"/>
      <c r="M593"/>
      <c r="N593" s="1060" t="s">
        <v>483</v>
      </c>
      <c r="O593" s="1060"/>
      <c r="P593"/>
      <c r="Q593"/>
      <c r="R593"/>
      <c r="S593"/>
      <c r="T593" s="4"/>
      <c r="U593" t="s">
        <v>837</v>
      </c>
      <c r="V593"/>
      <c r="W593"/>
      <c r="X593"/>
      <c r="Y593"/>
      <c r="Z593"/>
      <c r="AA593"/>
      <c r="AB593"/>
      <c r="AC593"/>
      <c r="AD593"/>
      <c r="AE593"/>
      <c r="AF593"/>
      <c r="AG593" s="1060" t="s">
        <v>483</v>
      </c>
      <c r="AH593" s="1060"/>
      <c r="AI593"/>
      <c r="AJ593"/>
      <c r="AK593"/>
      <c r="AL593"/>
      <c r="AZ593" s="5" t="s">
        <v>781</v>
      </c>
      <c r="BA593" s="41"/>
      <c r="BB593" s="41"/>
      <c r="BC593" s="41"/>
      <c r="BD593" s="41"/>
      <c r="BE593" s="1275">
        <f t="shared" ref="BE593:BE615" si="15">IF(AND(AH696&lt;=0.5,AH696&gt;=0.36),1,0)</f>
        <v>0</v>
      </c>
      <c r="BF593" s="1277"/>
      <c r="BG593" s="1269">
        <f t="shared" si="7"/>
        <v>0</v>
      </c>
      <c r="BH593" s="1271"/>
      <c r="BI593" s="1275">
        <f t="shared" ref="BI593:BI615" si="16">IF(AND(AH696&lt;=0.35,AH696&gt;0),1,0)</f>
        <v>1</v>
      </c>
      <c r="BJ593" s="1277"/>
      <c r="BK593" s="1269">
        <f t="shared" si="8"/>
        <v>3</v>
      </c>
      <c r="BL593" s="1271"/>
      <c r="BN593" s="1269">
        <f t="shared" si="9"/>
        <v>0</v>
      </c>
      <c r="BO593" s="1270"/>
      <c r="BP593" s="1270"/>
      <c r="BQ593" s="1270"/>
      <c r="BR593" s="1280"/>
      <c r="BS593" s="1269">
        <f t="shared" si="10"/>
        <v>3</v>
      </c>
      <c r="BT593" s="1270"/>
      <c r="BU593" s="1270"/>
      <c r="BV593" s="1270"/>
      <c r="BW593" s="1271"/>
      <c r="BX593" s="1269">
        <f t="shared" si="11"/>
        <v>0</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3</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2.95" customHeight="1">
      <c r="AZ594" s="5" t="s">
        <v>782</v>
      </c>
      <c r="BA594" s="41"/>
      <c r="BB594" s="41"/>
      <c r="BC594" s="41"/>
      <c r="BD594" s="41"/>
      <c r="BE594" s="1275">
        <f t="shared" si="15"/>
        <v>0</v>
      </c>
      <c r="BF594" s="1277"/>
      <c r="BG594" s="1269">
        <f t="shared" si="7"/>
        <v>0</v>
      </c>
      <c r="BH594" s="1271"/>
      <c r="BI594" s="1275">
        <f t="shared" si="16"/>
        <v>1</v>
      </c>
      <c r="BJ594" s="1277"/>
      <c r="BK594" s="1269">
        <f t="shared" si="8"/>
        <v>3</v>
      </c>
      <c r="BL594" s="1271"/>
      <c r="BN594" s="1269">
        <f t="shared" si="9"/>
        <v>0</v>
      </c>
      <c r="BO594" s="1270"/>
      <c r="BP594" s="1270"/>
      <c r="BQ594" s="1270"/>
      <c r="BR594" s="1280"/>
      <c r="BS594" s="1269">
        <f t="shared" si="10"/>
        <v>0</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3</v>
      </c>
      <c r="CY594" s="1282"/>
      <c r="CZ594" s="1282"/>
      <c r="DA594" s="1282"/>
      <c r="DB594" s="1283"/>
      <c r="DC594" s="1281">
        <f t="shared" si="19"/>
        <v>0</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2.95" customHeight="1">
      <c r="A595" s="61" t="s">
        <v>547</v>
      </c>
      <c r="B595" t="s">
        <v>82</v>
      </c>
      <c r="G595" s="1264">
        <f>C557</f>
        <v>0</v>
      </c>
      <c r="H595" s="1264"/>
      <c r="I595" s="1264"/>
      <c r="J595" s="1264"/>
      <c r="K595" s="1264"/>
      <c r="L595" s="1264"/>
      <c r="M595" s="1264"/>
      <c r="N595" s="1264"/>
      <c r="O595" s="1264"/>
      <c r="P595" s="1264"/>
      <c r="Q595" s="1264"/>
      <c r="R595" s="1264"/>
      <c r="T595" s="61" t="s">
        <v>174</v>
      </c>
      <c r="U595" t="s">
        <v>82</v>
      </c>
      <c r="Z595" s="1264">
        <f>C558</f>
        <v>0</v>
      </c>
      <c r="AA595" s="1264"/>
      <c r="AB595" s="1264"/>
      <c r="AC595" s="1264"/>
      <c r="AD595" s="1264"/>
      <c r="AE595" s="1264"/>
      <c r="AF595" s="1264"/>
      <c r="AG595" s="1264"/>
      <c r="AH595" s="1264"/>
      <c r="AI595" s="1264"/>
      <c r="AJ595" s="1264"/>
      <c r="AK595" s="1264"/>
      <c r="AZ595" s="5" t="s">
        <v>783</v>
      </c>
      <c r="BA595" s="41"/>
      <c r="BB595" s="41"/>
      <c r="BC595" s="41"/>
      <c r="BD595" s="41"/>
      <c r="BE595" s="1275">
        <f t="shared" si="15"/>
        <v>0</v>
      </c>
      <c r="BF595" s="1277"/>
      <c r="BG595" s="1269">
        <f t="shared" si="7"/>
        <v>0</v>
      </c>
      <c r="BH595" s="1271"/>
      <c r="BI595" s="1275">
        <f t="shared" si="16"/>
        <v>0</v>
      </c>
      <c r="BJ595" s="1277"/>
      <c r="BK595" s="1269">
        <f t="shared" si="8"/>
        <v>0</v>
      </c>
      <c r="BL595" s="1271"/>
      <c r="BN595" s="1269">
        <f t="shared" si="9"/>
        <v>0</v>
      </c>
      <c r="BO595" s="1270"/>
      <c r="BP595" s="1270"/>
      <c r="BQ595" s="1270"/>
      <c r="BR595" s="1280"/>
      <c r="BS595" s="1269">
        <f t="shared" si="10"/>
        <v>42</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2.95" customHeight="1">
      <c r="A596" s="4"/>
      <c r="B596" t="s">
        <v>373</v>
      </c>
      <c r="G596" s="1111"/>
      <c r="H596" s="1111"/>
      <c r="I596" s="1111"/>
      <c r="J596" s="1111"/>
      <c r="K596" s="1111"/>
      <c r="L596" s="1111"/>
      <c r="M596" s="1111"/>
      <c r="N596" s="1111"/>
      <c r="O596" s="1111"/>
      <c r="P596" s="1111"/>
      <c r="Q596" s="1111"/>
      <c r="R596" s="1111"/>
      <c r="T596" s="4"/>
      <c r="U596" t="s">
        <v>373</v>
      </c>
      <c r="Z596" s="1111"/>
      <c r="AA596" s="1111"/>
      <c r="AB596" s="1111"/>
      <c r="AC596" s="1111"/>
      <c r="AD596" s="1111"/>
      <c r="AE596" s="1111"/>
      <c r="AF596" s="1111"/>
      <c r="AG596" s="1111"/>
      <c r="AH596" s="1111"/>
      <c r="AI596" s="1111"/>
      <c r="AJ596" s="1111"/>
      <c r="AK596" s="1111"/>
      <c r="AZ596" s="5" t="s">
        <v>345</v>
      </c>
      <c r="BA596" s="41"/>
      <c r="BB596" s="41"/>
      <c r="BC596" s="41"/>
      <c r="BD596" s="41"/>
      <c r="BE596" s="1275">
        <f t="shared" si="15"/>
        <v>1</v>
      </c>
      <c r="BF596" s="1277"/>
      <c r="BG596" s="1269">
        <f t="shared" si="7"/>
        <v>42</v>
      </c>
      <c r="BH596" s="1271"/>
      <c r="BI596" s="1275">
        <f t="shared" si="16"/>
        <v>0</v>
      </c>
      <c r="BJ596" s="1277"/>
      <c r="BK596" s="1269">
        <f t="shared" si="8"/>
        <v>0</v>
      </c>
      <c r="BL596" s="1271"/>
      <c r="BN596" s="1269">
        <f t="shared" si="9"/>
        <v>0</v>
      </c>
      <c r="BO596" s="1270"/>
      <c r="BP596" s="1270"/>
      <c r="BQ596" s="1270"/>
      <c r="BR596" s="1280"/>
      <c r="BS596" s="1269">
        <f t="shared" si="10"/>
        <v>2</v>
      </c>
      <c r="BT596" s="1270"/>
      <c r="BU596" s="1270"/>
      <c r="BV596" s="1270"/>
      <c r="BW596" s="1271"/>
      <c r="BX596" s="1269">
        <f t="shared" si="11"/>
        <v>0</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2.95" customHeight="1">
      <c r="A597" s="4"/>
      <c r="B597" t="s">
        <v>431</v>
      </c>
      <c r="G597" s="1111"/>
      <c r="H597" s="1111"/>
      <c r="I597" s="1111"/>
      <c r="J597" s="1111"/>
      <c r="K597" s="1111"/>
      <c r="L597" s="1111"/>
      <c r="M597" s="1111"/>
      <c r="N597" s="1111"/>
      <c r="O597" s="1111"/>
      <c r="P597" s="1111"/>
      <c r="Q597" s="1111"/>
      <c r="R597" s="1111"/>
      <c r="T597" s="4"/>
      <c r="U597" t="s">
        <v>431</v>
      </c>
      <c r="Z597" s="1262"/>
      <c r="AA597" s="1262"/>
      <c r="AB597" s="1262"/>
      <c r="AC597" s="1262"/>
      <c r="AD597" s="1262"/>
      <c r="AE597" s="1262"/>
      <c r="AF597" s="1262"/>
      <c r="AG597" s="1262"/>
      <c r="AH597" s="1262"/>
      <c r="AI597" s="1262"/>
      <c r="AJ597" s="1262"/>
      <c r="AK597" s="1262"/>
      <c r="AZ597" s="41"/>
      <c r="BA597" s="41"/>
      <c r="BB597" s="41"/>
      <c r="BC597" s="41"/>
      <c r="BD597" s="41"/>
      <c r="BE597" s="1275">
        <f t="shared" si="15"/>
        <v>1</v>
      </c>
      <c r="BF597" s="1277"/>
      <c r="BG597" s="1269">
        <f t="shared" si="7"/>
        <v>2</v>
      </c>
      <c r="BH597" s="1271"/>
      <c r="BI597" s="1275">
        <f t="shared" si="16"/>
        <v>0</v>
      </c>
      <c r="BJ597" s="1277"/>
      <c r="BK597" s="1269">
        <f t="shared" si="8"/>
        <v>0</v>
      </c>
      <c r="BL597" s="1271"/>
      <c r="BN597" s="1269">
        <f t="shared" si="9"/>
        <v>0</v>
      </c>
      <c r="BO597" s="1270"/>
      <c r="BP597" s="1270"/>
      <c r="BQ597" s="1270"/>
      <c r="BR597" s="1280"/>
      <c r="BS597" s="1269">
        <f t="shared" si="10"/>
        <v>0</v>
      </c>
      <c r="BT597" s="1270"/>
      <c r="BU597" s="1270"/>
      <c r="BV597" s="1270"/>
      <c r="BW597" s="1271"/>
      <c r="BX597" s="1269">
        <f t="shared" si="11"/>
        <v>0</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2.95" customHeight="1">
      <c r="A598" s="4"/>
      <c r="B598" t="s">
        <v>834</v>
      </c>
      <c r="G598" s="1111"/>
      <c r="H598" s="1111"/>
      <c r="I598" s="1111"/>
      <c r="J598" s="1111"/>
      <c r="K598" s="1111"/>
      <c r="L598" s="1111"/>
      <c r="M598" s="1111"/>
      <c r="N598" s="1111"/>
      <c r="O598" s="1111"/>
      <c r="P598" s="1111"/>
      <c r="Q598" s="1111"/>
      <c r="R598" s="1111"/>
      <c r="T598" s="4"/>
      <c r="U598" t="s">
        <v>834</v>
      </c>
      <c r="Z598" s="1262"/>
      <c r="AA598" s="1262"/>
      <c r="AB598" s="1262"/>
      <c r="AC598" s="1262"/>
      <c r="AD598" s="1262"/>
      <c r="AE598" s="1262"/>
      <c r="AF598" s="1262"/>
      <c r="AG598" s="1262"/>
      <c r="AH598" s="1262"/>
      <c r="AI598" s="1262"/>
      <c r="AJ598" s="1262"/>
      <c r="AK598" s="1262"/>
      <c r="AZ598" s="41"/>
      <c r="BA598" s="41"/>
      <c r="BB598" s="41"/>
      <c r="BC598" s="41"/>
      <c r="BD598" s="41"/>
      <c r="BE598" s="1275">
        <f t="shared" si="15"/>
        <v>0</v>
      </c>
      <c r="BF598" s="1277"/>
      <c r="BG598" s="1269">
        <f t="shared" si="7"/>
        <v>0</v>
      </c>
      <c r="BH598" s="1271"/>
      <c r="BI598" s="1275">
        <f t="shared" si="16"/>
        <v>0</v>
      </c>
      <c r="BJ598" s="1277"/>
      <c r="BK598" s="1269">
        <f t="shared" si="8"/>
        <v>0</v>
      </c>
      <c r="BL598" s="1271"/>
      <c r="BN598" s="1269">
        <f t="shared" si="9"/>
        <v>0</v>
      </c>
      <c r="BO598" s="1270"/>
      <c r="BP598" s="1270"/>
      <c r="BQ598" s="1270"/>
      <c r="BR598" s="1280"/>
      <c r="BS598" s="1269">
        <f t="shared" si="10"/>
        <v>0</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2.95" customHeight="1">
      <c r="A599" s="4"/>
      <c r="B599" t="s">
        <v>651</v>
      </c>
      <c r="G599" s="1268"/>
      <c r="H599" s="1268"/>
      <c r="I599" s="1268"/>
      <c r="J599" s="1268"/>
      <c r="K599" s="1268"/>
      <c r="L599" s="1268"/>
      <c r="O599" s="42" t="s">
        <v>819</v>
      </c>
      <c r="P599" s="1263"/>
      <c r="Q599" s="1263"/>
      <c r="R599" s="1263"/>
      <c r="T599" s="4"/>
      <c r="U599" t="s">
        <v>651</v>
      </c>
      <c r="Z599" s="1268"/>
      <c r="AA599" s="1268"/>
      <c r="AB599" s="1268"/>
      <c r="AC599" s="1268"/>
      <c r="AD599" s="1268"/>
      <c r="AE599" s="1268"/>
      <c r="AH599" s="42" t="s">
        <v>819</v>
      </c>
      <c r="AI599" s="1263"/>
      <c r="AJ599" s="1263"/>
      <c r="AK599" s="1263"/>
      <c r="AZ599" s="41"/>
      <c r="BA599" s="41"/>
      <c r="BB599" s="41"/>
      <c r="BC599" s="41"/>
      <c r="BD599" s="41"/>
      <c r="BE599" s="1275">
        <f t="shared" si="15"/>
        <v>0</v>
      </c>
      <c r="BF599" s="1277"/>
      <c r="BG599" s="1269">
        <f t="shared" si="7"/>
        <v>0</v>
      </c>
      <c r="BH599" s="1271"/>
      <c r="BI599" s="1275">
        <f t="shared" si="16"/>
        <v>0</v>
      </c>
      <c r="BJ599" s="1277"/>
      <c r="BK599" s="1269">
        <f t="shared" si="8"/>
        <v>0</v>
      </c>
      <c r="BL599" s="1271"/>
      <c r="BN599" s="1269">
        <f t="shared" si="9"/>
        <v>0</v>
      </c>
      <c r="BO599" s="1270"/>
      <c r="BP599" s="1270"/>
      <c r="BQ599" s="1270"/>
      <c r="BR599" s="1280"/>
      <c r="BS599" s="1269">
        <f t="shared" si="10"/>
        <v>0</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2.95" customHeight="1">
      <c r="A600" s="4"/>
      <c r="B600" t="s">
        <v>835</v>
      </c>
      <c r="C600"/>
      <c r="D600"/>
      <c r="E600"/>
      <c r="F600"/>
      <c r="G600"/>
      <c r="H600" s="1111"/>
      <c r="I600" s="1111"/>
      <c r="J600" s="1111"/>
      <c r="K600" s="1111"/>
      <c r="L600" s="1111"/>
      <c r="M600" s="1111"/>
      <c r="N600" s="1111"/>
      <c r="O600" s="1111"/>
      <c r="P600" s="1111"/>
      <c r="Q600" s="1111"/>
      <c r="R600" s="1111"/>
      <c r="S600"/>
      <c r="T600" s="4"/>
      <c r="U600" t="s">
        <v>835</v>
      </c>
      <c r="V600"/>
      <c r="W600"/>
      <c r="X600"/>
      <c r="Y600"/>
      <c r="Z600"/>
      <c r="AA600" s="1111"/>
      <c r="AB600" s="1111"/>
      <c r="AC600" s="1111"/>
      <c r="AD600" s="1111"/>
      <c r="AE600" s="1111"/>
      <c r="AF600" s="1111"/>
      <c r="AG600" s="1111"/>
      <c r="AH600" s="1111"/>
      <c r="AI600" s="1111"/>
      <c r="AJ600" s="1111"/>
      <c r="AK600" s="1111"/>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0</v>
      </c>
      <c r="BT600" s="1270"/>
      <c r="BU600" s="1270"/>
      <c r="BV600" s="1270"/>
      <c r="BW600" s="1271"/>
      <c r="BX600" s="1269">
        <f t="shared" si="11"/>
        <v>0</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2.95" customHeight="1">
      <c r="A601" s="4"/>
      <c r="B601" t="s">
        <v>837</v>
      </c>
      <c r="C601"/>
      <c r="D601"/>
      <c r="E601"/>
      <c r="F601"/>
      <c r="G601"/>
      <c r="H601"/>
      <c r="I601"/>
      <c r="J601"/>
      <c r="K601"/>
      <c r="L601"/>
      <c r="M601"/>
      <c r="N601" s="1060" t="s">
        <v>483</v>
      </c>
      <c r="O601" s="1060"/>
      <c r="P601"/>
      <c r="Q601"/>
      <c r="R601"/>
      <c r="S601"/>
      <c r="T601" s="4"/>
      <c r="U601" t="s">
        <v>837</v>
      </c>
      <c r="V601"/>
      <c r="W601"/>
      <c r="X601"/>
      <c r="Y601"/>
      <c r="Z601"/>
      <c r="AA601"/>
      <c r="AB601"/>
      <c r="AC601"/>
      <c r="AD601"/>
      <c r="AE601"/>
      <c r="AF601"/>
      <c r="AG601" s="1060" t="s">
        <v>483</v>
      </c>
      <c r="AH601" s="1060"/>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2.95" customHeight="1">
      <c r="A603" s="61" t="s">
        <v>32</v>
      </c>
      <c r="B603" t="s">
        <v>82</v>
      </c>
      <c r="G603" s="1264">
        <f>C559</f>
        <v>0</v>
      </c>
      <c r="H603" s="1264"/>
      <c r="I603" s="1264"/>
      <c r="J603" s="1264"/>
      <c r="K603" s="1264"/>
      <c r="L603" s="1264"/>
      <c r="M603" s="1264"/>
      <c r="N603" s="1264"/>
      <c r="O603" s="1264"/>
      <c r="P603" s="1264"/>
      <c r="Q603" s="1264"/>
      <c r="R603" s="1264"/>
      <c r="T603" s="61" t="s">
        <v>33</v>
      </c>
      <c r="U603" t="s">
        <v>82</v>
      </c>
      <c r="Z603" s="1264">
        <f>C560</f>
        <v>0</v>
      </c>
      <c r="AA603" s="1264"/>
      <c r="AB603" s="1264"/>
      <c r="AC603" s="1264"/>
      <c r="AD603" s="1264"/>
      <c r="AE603" s="1264"/>
      <c r="AF603" s="1264"/>
      <c r="AG603" s="1264"/>
      <c r="AH603" s="1264"/>
      <c r="AI603" s="1264"/>
      <c r="AJ603" s="1264"/>
      <c r="AK603" s="1264"/>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2.95" customHeight="1">
      <c r="B604" t="s">
        <v>373</v>
      </c>
      <c r="G604" s="1111"/>
      <c r="H604" s="1111"/>
      <c r="I604" s="1111"/>
      <c r="J604" s="1111"/>
      <c r="K604" s="1111"/>
      <c r="L604" s="1111"/>
      <c r="M604" s="1111"/>
      <c r="N604" s="1111"/>
      <c r="O604" s="1111"/>
      <c r="P604" s="1111"/>
      <c r="Q604" s="1111"/>
      <c r="R604" s="1111"/>
      <c r="U604" t="s">
        <v>373</v>
      </c>
      <c r="Z604" s="1111"/>
      <c r="AA604" s="1111"/>
      <c r="AB604" s="1111"/>
      <c r="AC604" s="1111"/>
      <c r="AD604" s="1111"/>
      <c r="AE604" s="1111"/>
      <c r="AF604" s="1111"/>
      <c r="AG604" s="1111"/>
      <c r="AH604" s="1111"/>
      <c r="AI604" s="1111"/>
      <c r="AJ604" s="1111"/>
      <c r="AK604" s="1111"/>
      <c r="AZ604" s="41"/>
      <c r="BA604" s="41"/>
      <c r="BB604" s="41"/>
      <c r="BC604" s="41"/>
      <c r="BD604" s="41"/>
      <c r="BE604" s="1275">
        <f t="shared" si="15"/>
        <v>0</v>
      </c>
      <c r="BF604" s="1277"/>
      <c r="BG604" s="1269">
        <f t="shared" si="7"/>
        <v>0</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0</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2.95" customHeight="1">
      <c r="B605" t="s">
        <v>431</v>
      </c>
      <c r="G605" s="1111"/>
      <c r="H605" s="1111"/>
      <c r="I605" s="1111"/>
      <c r="J605" s="1111"/>
      <c r="K605" s="1111"/>
      <c r="L605" s="1111"/>
      <c r="M605" s="1111"/>
      <c r="N605" s="1111"/>
      <c r="O605" s="1111"/>
      <c r="P605" s="1111"/>
      <c r="Q605" s="1111"/>
      <c r="R605" s="1111"/>
      <c r="U605" t="s">
        <v>431</v>
      </c>
      <c r="Z605" s="1262"/>
      <c r="AA605" s="1262"/>
      <c r="AB605" s="1262"/>
      <c r="AC605" s="1262"/>
      <c r="AD605" s="1262"/>
      <c r="AE605" s="1262"/>
      <c r="AF605" s="1262"/>
      <c r="AG605" s="1262"/>
      <c r="AH605" s="1262"/>
      <c r="AI605" s="1262"/>
      <c r="AJ605" s="1262"/>
      <c r="AK605" s="1262"/>
      <c r="AL605" s="305"/>
      <c r="BA605" s="41"/>
      <c r="BB605" s="41"/>
      <c r="BC605" s="41"/>
      <c r="BD605" s="41"/>
      <c r="BE605" s="1275">
        <f t="shared" si="15"/>
        <v>0</v>
      </c>
      <c r="BF605" s="1277"/>
      <c r="BG605" s="1269">
        <f t="shared" si="7"/>
        <v>0</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0</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2.95" customHeight="1">
      <c r="B606" t="s">
        <v>834</v>
      </c>
      <c r="G606" s="1111"/>
      <c r="H606" s="1111"/>
      <c r="I606" s="1111"/>
      <c r="J606" s="1111"/>
      <c r="K606" s="1111"/>
      <c r="L606" s="1111"/>
      <c r="M606" s="1111"/>
      <c r="N606" s="1111"/>
      <c r="O606" s="1111"/>
      <c r="P606" s="1111"/>
      <c r="Q606" s="1111"/>
      <c r="R606" s="1111"/>
      <c r="U606" t="s">
        <v>834</v>
      </c>
      <c r="Z606" s="1262"/>
      <c r="AA606" s="1262"/>
      <c r="AB606" s="1262"/>
      <c r="AC606" s="1262"/>
      <c r="AD606" s="1262"/>
      <c r="AE606" s="1262"/>
      <c r="AF606" s="1262"/>
      <c r="AG606" s="1262"/>
      <c r="AH606" s="1262"/>
      <c r="AI606" s="1262"/>
      <c r="AJ606" s="1262"/>
      <c r="AK606" s="1262"/>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2.95" customHeight="1">
      <c r="B607" t="s">
        <v>651</v>
      </c>
      <c r="G607" s="1268"/>
      <c r="H607" s="1268"/>
      <c r="I607" s="1268"/>
      <c r="J607" s="1268"/>
      <c r="K607" s="1268"/>
      <c r="L607" s="1268"/>
      <c r="O607" s="42" t="s">
        <v>819</v>
      </c>
      <c r="P607" s="1263"/>
      <c r="Q607" s="1263"/>
      <c r="R607" s="1263"/>
      <c r="U607" t="s">
        <v>651</v>
      </c>
      <c r="Z607" s="1268"/>
      <c r="AA607" s="1268"/>
      <c r="AB607" s="1268"/>
      <c r="AC607" s="1268"/>
      <c r="AD607" s="1268"/>
      <c r="AE607" s="1268"/>
      <c r="AH607" s="42" t="s">
        <v>819</v>
      </c>
      <c r="AI607" s="1263"/>
      <c r="AJ607" s="1263"/>
      <c r="AK607" s="1263"/>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2.95" customHeight="1">
      <c r="B608" t="s">
        <v>835</v>
      </c>
      <c r="H608" s="1111"/>
      <c r="I608" s="1111"/>
      <c r="J608" s="1111"/>
      <c r="K608" s="1111"/>
      <c r="L608" s="1111"/>
      <c r="M608" s="1111"/>
      <c r="N608" s="1111"/>
      <c r="O608" s="1111"/>
      <c r="P608" s="1111"/>
      <c r="Q608" s="1111"/>
      <c r="R608" s="1111"/>
      <c r="U608" t="s">
        <v>835</v>
      </c>
      <c r="AA608" s="1111"/>
      <c r="AB608" s="1111"/>
      <c r="AC608" s="1111"/>
      <c r="AD608" s="1111"/>
      <c r="AE608" s="1111"/>
      <c r="AF608" s="1111"/>
      <c r="AG608" s="1111"/>
      <c r="AH608" s="1111"/>
      <c r="AI608" s="1111"/>
      <c r="AJ608" s="1111"/>
      <c r="AK608" s="1111"/>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2.95" customHeight="1">
      <c r="B609" t="s">
        <v>837</v>
      </c>
      <c r="N609" s="1102" t="s">
        <v>483</v>
      </c>
      <c r="O609" s="1102"/>
      <c r="U609" t="s">
        <v>837</v>
      </c>
      <c r="AG609" s="1102" t="s">
        <v>483</v>
      </c>
      <c r="AH609" s="1102"/>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2.95"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2.95" customHeight="1">
      <c r="A611" s="982" t="s">
        <v>126</v>
      </c>
      <c r="B611" s="982"/>
      <c r="C611" s="982"/>
      <c r="D611" s="982"/>
      <c r="E611" s="982"/>
      <c r="F611" s="982"/>
      <c r="G611" s="982"/>
      <c r="H611" s="982"/>
      <c r="I611" s="982"/>
      <c r="J611" s="982"/>
      <c r="K611" s="982"/>
      <c r="L611" s="982"/>
      <c r="M611" s="982"/>
      <c r="N611" s="982"/>
      <c r="O611" s="982"/>
      <c r="P611" s="982"/>
      <c r="Q611" s="982"/>
      <c r="R611" s="982"/>
      <c r="S611" s="982"/>
      <c r="T611" s="982"/>
      <c r="U611" s="982"/>
      <c r="V611" s="982"/>
      <c r="W611" s="982"/>
      <c r="X611" s="982"/>
      <c r="Y611" s="982"/>
      <c r="Z611" s="982"/>
      <c r="AA611" s="982"/>
      <c r="AB611" s="982"/>
      <c r="AC611" s="982"/>
      <c r="AD611" s="982"/>
      <c r="AE611" s="982"/>
      <c r="AF611" s="982"/>
      <c r="AG611" s="982"/>
      <c r="AH611" s="982"/>
      <c r="AI611" s="982"/>
      <c r="AJ611" s="982"/>
      <c r="AK611" s="982"/>
      <c r="AL611" s="982"/>
      <c r="AM611" s="982"/>
      <c r="AN611" s="982"/>
      <c r="AO611" s="982"/>
      <c r="AP611" s="982"/>
      <c r="AQ611" s="982"/>
      <c r="AR611" s="982"/>
      <c r="AS611" s="982"/>
      <c r="AT611" s="982"/>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2.95" customHeight="1">
      <c r="A612" s="982"/>
      <c r="B612" s="982"/>
      <c r="C612" s="982"/>
      <c r="D612" s="982"/>
      <c r="E612" s="982"/>
      <c r="F612" s="982"/>
      <c r="G612" s="982"/>
      <c r="H612" s="982"/>
      <c r="I612" s="982"/>
      <c r="J612" s="982"/>
      <c r="K612" s="982"/>
      <c r="L612" s="982"/>
      <c r="M612" s="982"/>
      <c r="N612" s="982"/>
      <c r="O612" s="982"/>
      <c r="P612" s="982"/>
      <c r="Q612" s="982"/>
      <c r="R612" s="982"/>
      <c r="S612" s="982"/>
      <c r="T612" s="982"/>
      <c r="U612" s="982"/>
      <c r="V612" s="982"/>
      <c r="W612" s="982"/>
      <c r="X612" s="982"/>
      <c r="Y612" s="982"/>
      <c r="Z612" s="982"/>
      <c r="AA612" s="982"/>
      <c r="AB612" s="982"/>
      <c r="AC612" s="982"/>
      <c r="AD612" s="982"/>
      <c r="AE612" s="982"/>
      <c r="AF612" s="982"/>
      <c r="AG612" s="982"/>
      <c r="AH612" s="982"/>
      <c r="AI612" s="982"/>
      <c r="AJ612" s="982"/>
      <c r="AK612" s="982"/>
      <c r="AL612" s="982"/>
      <c r="AM612" s="982"/>
      <c r="AN612" s="982"/>
      <c r="AO612" s="982"/>
      <c r="AP612" s="982"/>
      <c r="AQ612" s="982"/>
      <c r="AR612" s="982"/>
      <c r="AS612" s="982"/>
      <c r="AT612" s="982"/>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2.95"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2.95" customHeight="1">
      <c r="A614" s="3" t="s">
        <v>654</v>
      </c>
      <c r="B614" s="3"/>
      <c r="C614" s="3" t="s">
        <v>838</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2.95"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2.95" customHeight="1">
      <c r="C616" s="3" t="s">
        <v>2129</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2.95" customHeight="1">
      <c r="B617" s="839"/>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2.95" customHeight="1">
      <c r="B618" s="1572" t="s">
        <v>2198</v>
      </c>
      <c r="C618" s="1573"/>
      <c r="D618" s="1573"/>
      <c r="E618" s="1573"/>
      <c r="F618" s="1573"/>
      <c r="G618" s="1573"/>
      <c r="H618" s="1573"/>
      <c r="I618" s="1573"/>
      <c r="J618" s="1573"/>
      <c r="K618" s="1573"/>
      <c r="L618" s="1573"/>
      <c r="M618" s="1413" t="s">
        <v>2172</v>
      </c>
      <c r="N618" s="1413"/>
      <c r="O618" s="1413"/>
      <c r="P618" s="1413"/>
      <c r="Q618" s="1301" t="s">
        <v>2202</v>
      </c>
      <c r="R618" s="1302"/>
      <c r="S618" s="1303"/>
      <c r="T618" s="1301" t="s">
        <v>2201</v>
      </c>
      <c r="U618" s="1302"/>
      <c r="V618" s="1303"/>
      <c r="W618" s="1432" t="s">
        <v>741</v>
      </c>
      <c r="X618" s="1432"/>
      <c r="Y618" s="1433"/>
      <c r="Z618" s="1413" t="s">
        <v>2199</v>
      </c>
      <c r="AA618" s="1413"/>
      <c r="AB618" s="1413"/>
      <c r="AC618" s="1420" t="s">
        <v>1994</v>
      </c>
      <c r="AD618" s="1421"/>
      <c r="AE618" s="1422"/>
      <c r="AF618" s="1301" t="s">
        <v>2130</v>
      </c>
      <c r="AG618" s="1302"/>
      <c r="AH618" s="1302"/>
      <c r="AI618" s="1302"/>
      <c r="AJ618" s="1303"/>
      <c r="AK618" s="1511" t="s">
        <v>2131</v>
      </c>
      <c r="AL618" s="1512"/>
      <c r="AM618" s="1512"/>
      <c r="AN618" s="1513"/>
      <c r="AO618" s="1413" t="s">
        <v>742</v>
      </c>
      <c r="AP618" s="1413"/>
      <c r="AQ618" s="1413"/>
      <c r="AR618" s="1413"/>
      <c r="AS618" s="1413"/>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2.95" customHeight="1">
      <c r="B619" s="1574"/>
      <c r="C619" s="1468"/>
      <c r="D619" s="1468"/>
      <c r="E619" s="1468"/>
      <c r="F619" s="1468"/>
      <c r="G619" s="1468"/>
      <c r="H619" s="1468"/>
      <c r="I619" s="1468"/>
      <c r="J619" s="1468"/>
      <c r="K619" s="1468"/>
      <c r="L619" s="1468"/>
      <c r="M619" s="1413"/>
      <c r="N619" s="1413"/>
      <c r="O619" s="1413"/>
      <c r="P619" s="1413"/>
      <c r="Q619" s="1304"/>
      <c r="R619" s="1305"/>
      <c r="S619" s="1306"/>
      <c r="T619" s="1304"/>
      <c r="U619" s="1305"/>
      <c r="V619" s="1306"/>
      <c r="W619" s="1434"/>
      <c r="X619" s="1434"/>
      <c r="Y619" s="1435"/>
      <c r="Z619" s="1413"/>
      <c r="AA619" s="1413"/>
      <c r="AB619" s="1413"/>
      <c r="AC619" s="1423"/>
      <c r="AD619" s="1424"/>
      <c r="AE619" s="1425"/>
      <c r="AF619" s="1304"/>
      <c r="AG619" s="1305"/>
      <c r="AH619" s="1305"/>
      <c r="AI619" s="1305"/>
      <c r="AJ619" s="1306"/>
      <c r="AK619" s="1514"/>
      <c r="AL619" s="1515"/>
      <c r="AM619" s="1515"/>
      <c r="AN619" s="1516"/>
      <c r="AO619" s="1413"/>
      <c r="AP619" s="1413"/>
      <c r="AQ619" s="1413"/>
      <c r="AR619" s="1413"/>
      <c r="AS619" s="1413"/>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2.95" customHeight="1">
      <c r="B620" s="1575"/>
      <c r="C620" s="1576"/>
      <c r="D620" s="1576"/>
      <c r="E620" s="1576"/>
      <c r="F620" s="1576"/>
      <c r="G620" s="1576"/>
      <c r="H620" s="1576"/>
      <c r="I620" s="1576"/>
      <c r="J620" s="1576"/>
      <c r="K620" s="1576"/>
      <c r="L620" s="1576"/>
      <c r="M620" s="1413"/>
      <c r="N620" s="1413"/>
      <c r="O620" s="1413"/>
      <c r="P620" s="1413"/>
      <c r="Q620" s="1307"/>
      <c r="R620" s="1308"/>
      <c r="S620" s="1309"/>
      <c r="T620" s="1307"/>
      <c r="U620" s="1308"/>
      <c r="V620" s="1309"/>
      <c r="W620" s="1436"/>
      <c r="X620" s="1436"/>
      <c r="Y620" s="1437"/>
      <c r="Z620" s="1413"/>
      <c r="AA620" s="1413"/>
      <c r="AB620" s="1413"/>
      <c r="AC620" s="1426"/>
      <c r="AD620" s="1427"/>
      <c r="AE620" s="1428"/>
      <c r="AF620" s="1307"/>
      <c r="AG620" s="1308"/>
      <c r="AH620" s="1308"/>
      <c r="AI620" s="1308"/>
      <c r="AJ620" s="1309"/>
      <c r="AK620" s="1517"/>
      <c r="AL620" s="1518"/>
      <c r="AM620" s="1518"/>
      <c r="AN620" s="1519"/>
      <c r="AO620" s="1413"/>
      <c r="AP620" s="1413"/>
      <c r="AQ620" s="1413"/>
      <c r="AR620" s="1413"/>
      <c r="AS620" s="1413"/>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2.95" customHeight="1">
      <c r="B621" s="57" t="s">
        <v>901</v>
      </c>
      <c r="C621" s="1299" t="s">
        <v>2475</v>
      </c>
      <c r="D621" s="1299"/>
      <c r="E621" s="1299"/>
      <c r="F621" s="1299"/>
      <c r="G621" s="1299"/>
      <c r="H621" s="1299"/>
      <c r="I621" s="1299"/>
      <c r="J621" s="1299"/>
      <c r="K621" s="1299"/>
      <c r="L621" s="1299"/>
      <c r="M621" s="1375" t="s">
        <v>2187</v>
      </c>
      <c r="N621" s="1375"/>
      <c r="O621" s="1375"/>
      <c r="P621" s="1375"/>
      <c r="Q621" s="1376">
        <f>17*12</f>
        <v>204</v>
      </c>
      <c r="R621" s="1377"/>
      <c r="S621" s="1378"/>
      <c r="T621" s="1417">
        <v>480</v>
      </c>
      <c r="U621" s="1418"/>
      <c r="V621" s="1419"/>
      <c r="W621" s="1429">
        <v>5.9499999999999997E-2</v>
      </c>
      <c r="X621" s="1430"/>
      <c r="Y621" s="1431"/>
      <c r="Z621" s="1414" t="s">
        <v>2200</v>
      </c>
      <c r="AA621" s="1415"/>
      <c r="AB621" s="1416"/>
      <c r="AC621" s="1330">
        <v>1</v>
      </c>
      <c r="AD621" s="1331"/>
      <c r="AE621" s="1332"/>
      <c r="AF621" s="1212">
        <v>477443</v>
      </c>
      <c r="AG621" s="1213"/>
      <c r="AH621" s="1213"/>
      <c r="AI621" s="1213"/>
      <c r="AJ621" s="1214"/>
      <c r="AK621" s="1371">
        <v>0</v>
      </c>
      <c r="AL621" s="1372"/>
      <c r="AM621" s="1372"/>
      <c r="AN621" s="1373"/>
      <c r="AO621" s="1215">
        <v>7280000</v>
      </c>
      <c r="AP621" s="1215"/>
      <c r="AQ621" s="1215"/>
      <c r="AR621" s="1215"/>
      <c r="AS621" s="1215"/>
      <c r="AT621" s="946" t="str">
        <f t="shared" ref="AT621:AT632" si="33">IF(AND(NOT(C620=""),C621="",NOT(C622="")),"!","")</f>
        <v/>
      </c>
      <c r="AU621" s="43"/>
      <c r="AV621" s="43"/>
      <c r="AW621" s="43"/>
      <c r="AX621" s="43"/>
      <c r="AY621" s="43"/>
      <c r="BA621" s="41" t="s">
        <v>1981</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2.95" customHeight="1">
      <c r="B622" s="58" t="s">
        <v>902</v>
      </c>
      <c r="C622" s="1299" t="s">
        <v>2405</v>
      </c>
      <c r="D622" s="1299"/>
      <c r="E622" s="1299"/>
      <c r="F622" s="1299"/>
      <c r="G622" s="1299"/>
      <c r="H622" s="1299"/>
      <c r="I622" s="1299"/>
      <c r="J622" s="1299"/>
      <c r="K622" s="1299"/>
      <c r="L622" s="1299"/>
      <c r="M622" s="1375" t="s">
        <v>2175</v>
      </c>
      <c r="N622" s="1375"/>
      <c r="O622" s="1375"/>
      <c r="P622" s="1375"/>
      <c r="Q622" s="1376">
        <v>96</v>
      </c>
      <c r="R622" s="1377"/>
      <c r="S622" s="1378"/>
      <c r="T622" s="1417">
        <v>10000</v>
      </c>
      <c r="U622" s="1418"/>
      <c r="V622" s="1419"/>
      <c r="W622" s="1429">
        <v>0.01</v>
      </c>
      <c r="X622" s="1430"/>
      <c r="Y622" s="1431"/>
      <c r="Z622" s="1414" t="s">
        <v>790</v>
      </c>
      <c r="AA622" s="1415"/>
      <c r="AB622" s="1416"/>
      <c r="AC622" s="1330">
        <v>0</v>
      </c>
      <c r="AD622" s="1331"/>
      <c r="AE622" s="1332"/>
      <c r="AF622" s="1212">
        <v>0</v>
      </c>
      <c r="AG622" s="1213"/>
      <c r="AH622" s="1213"/>
      <c r="AI622" s="1213"/>
      <c r="AJ622" s="1214"/>
      <c r="AK622" s="1371">
        <v>0</v>
      </c>
      <c r="AL622" s="1372"/>
      <c r="AM622" s="1372"/>
      <c r="AN622" s="1373"/>
      <c r="AO622" s="1215">
        <v>327360</v>
      </c>
      <c r="AP622" s="1215"/>
      <c r="AQ622" s="1215"/>
      <c r="AR622" s="1215"/>
      <c r="AS622" s="1215"/>
      <c r="AT622" s="946" t="str">
        <f t="shared" si="33"/>
        <v/>
      </c>
      <c r="AU622" s="43"/>
      <c r="AV622" s="43"/>
      <c r="AW622" s="43"/>
      <c r="AX622" s="43"/>
      <c r="AY622" s="43"/>
      <c r="BA622" s="41" t="s">
        <v>790</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2.95" customHeight="1">
      <c r="B623" s="58" t="s">
        <v>908</v>
      </c>
      <c r="C623" s="1299" t="s">
        <v>2406</v>
      </c>
      <c r="D623" s="1299"/>
      <c r="E623" s="1299"/>
      <c r="F623" s="1299"/>
      <c r="G623" s="1299"/>
      <c r="H623" s="1299"/>
      <c r="I623" s="1299"/>
      <c r="J623" s="1299"/>
      <c r="K623" s="1299"/>
      <c r="L623" s="1299"/>
      <c r="M623" s="1375" t="s">
        <v>2178</v>
      </c>
      <c r="N623" s="1375"/>
      <c r="O623" s="1375"/>
      <c r="P623" s="1375"/>
      <c r="Q623" s="1376"/>
      <c r="R623" s="1377"/>
      <c r="S623" s="1378"/>
      <c r="T623" s="1417"/>
      <c r="U623" s="1418"/>
      <c r="V623" s="1419"/>
      <c r="W623" s="1429"/>
      <c r="X623" s="1430"/>
      <c r="Y623" s="1431"/>
      <c r="Z623" s="1414" t="s">
        <v>790</v>
      </c>
      <c r="AA623" s="1415"/>
      <c r="AB623" s="1416"/>
      <c r="AC623" s="1330">
        <v>0</v>
      </c>
      <c r="AD623" s="1331"/>
      <c r="AE623" s="1332"/>
      <c r="AF623" s="1212">
        <v>0</v>
      </c>
      <c r="AG623" s="1213"/>
      <c r="AH623" s="1213"/>
      <c r="AI623" s="1213"/>
      <c r="AJ623" s="1214"/>
      <c r="AK623" s="1371">
        <v>0</v>
      </c>
      <c r="AL623" s="1372"/>
      <c r="AM623" s="1372"/>
      <c r="AN623" s="1373"/>
      <c r="AO623" s="1215">
        <v>100</v>
      </c>
      <c r="AP623" s="1215"/>
      <c r="AQ623" s="1215"/>
      <c r="AR623" s="1215"/>
      <c r="AS623" s="1215"/>
      <c r="AT623" s="946" t="str">
        <f t="shared" si="33"/>
        <v/>
      </c>
      <c r="AU623" s="43"/>
      <c r="AV623" s="43"/>
      <c r="AW623" s="43"/>
      <c r="AX623" s="43"/>
      <c r="AY623" s="43"/>
      <c r="AZ623" s="43"/>
      <c r="BA623" s="41" t="s">
        <v>789</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2.95" customHeight="1">
      <c r="B624" s="58" t="s">
        <v>432</v>
      </c>
      <c r="C624" s="1299"/>
      <c r="D624" s="1299"/>
      <c r="E624" s="1299"/>
      <c r="F624" s="1299"/>
      <c r="G624" s="1299"/>
      <c r="H624" s="1299"/>
      <c r="I624" s="1299"/>
      <c r="J624" s="1299"/>
      <c r="K624" s="1299"/>
      <c r="L624" s="1299"/>
      <c r="M624" s="1375" t="s">
        <v>1981</v>
      </c>
      <c r="N624" s="1375"/>
      <c r="O624" s="1375"/>
      <c r="P624" s="1375"/>
      <c r="Q624" s="1376"/>
      <c r="R624" s="1377"/>
      <c r="S624" s="1378"/>
      <c r="T624" s="1417"/>
      <c r="U624" s="1418"/>
      <c r="V624" s="1419"/>
      <c r="W624" s="1429"/>
      <c r="X624" s="1430"/>
      <c r="Y624" s="1431"/>
      <c r="Z624" s="1414" t="s">
        <v>1981</v>
      </c>
      <c r="AA624" s="1415"/>
      <c r="AB624" s="1416"/>
      <c r="AC624" s="1330"/>
      <c r="AD624" s="1331"/>
      <c r="AE624" s="1332"/>
      <c r="AF624" s="1212"/>
      <c r="AG624" s="1213"/>
      <c r="AH624" s="1213"/>
      <c r="AI624" s="1213"/>
      <c r="AJ624" s="1214"/>
      <c r="AK624" s="1371"/>
      <c r="AL624" s="1372"/>
      <c r="AM624" s="1372"/>
      <c r="AN624" s="1373"/>
      <c r="AO624" s="1215"/>
      <c r="AP624" s="1215"/>
      <c r="AQ624" s="1215"/>
      <c r="AR624" s="1215"/>
      <c r="AS624" s="1215"/>
      <c r="AT624" s="946" t="str">
        <f t="shared" si="33"/>
        <v/>
      </c>
      <c r="AU624" s="43"/>
      <c r="AV624" s="43"/>
      <c r="AW624" s="43"/>
      <c r="AX624" s="43"/>
      <c r="AY624" s="43"/>
      <c r="AZ624" s="43"/>
      <c r="BA624" s="41" t="s">
        <v>2200</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2.95" customHeight="1">
      <c r="B625" s="58" t="s">
        <v>171</v>
      </c>
      <c r="C625" s="1299"/>
      <c r="D625" s="1299"/>
      <c r="E625" s="1299"/>
      <c r="F625" s="1299"/>
      <c r="G625" s="1299"/>
      <c r="H625" s="1299"/>
      <c r="I625" s="1299"/>
      <c r="J625" s="1299"/>
      <c r="K625" s="1299"/>
      <c r="L625" s="1299"/>
      <c r="M625" s="1375" t="s">
        <v>1981</v>
      </c>
      <c r="N625" s="1375"/>
      <c r="O625" s="1375"/>
      <c r="P625" s="1375"/>
      <c r="Q625" s="1376"/>
      <c r="R625" s="1377"/>
      <c r="S625" s="1378"/>
      <c r="T625" s="1417"/>
      <c r="U625" s="1418"/>
      <c r="V625" s="1419"/>
      <c r="W625" s="1429"/>
      <c r="X625" s="1430"/>
      <c r="Y625" s="1431"/>
      <c r="Z625" s="1414" t="s">
        <v>1981</v>
      </c>
      <c r="AA625" s="1415"/>
      <c r="AB625" s="1416"/>
      <c r="AC625" s="1330"/>
      <c r="AD625" s="1331"/>
      <c r="AE625" s="1332"/>
      <c r="AF625" s="1212"/>
      <c r="AG625" s="1213"/>
      <c r="AH625" s="1213"/>
      <c r="AI625" s="1213"/>
      <c r="AJ625" s="1214"/>
      <c r="AK625" s="1371"/>
      <c r="AL625" s="1372"/>
      <c r="AM625" s="1372"/>
      <c r="AN625" s="1373"/>
      <c r="AO625" s="1215"/>
      <c r="AP625" s="1215"/>
      <c r="AQ625" s="1215"/>
      <c r="AR625" s="1215"/>
      <c r="AS625" s="1215"/>
      <c r="AT625" s="946" t="str">
        <f t="shared" si="33"/>
        <v/>
      </c>
      <c r="AU625" s="43"/>
      <c r="AV625" s="43"/>
      <c r="AW625" s="43"/>
      <c r="AX625" s="43"/>
      <c r="AY625" s="43"/>
      <c r="AZ625" s="43"/>
      <c r="BA625" s="41" t="s">
        <v>500</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2.95" customHeight="1">
      <c r="B626" s="58" t="s">
        <v>435</v>
      </c>
      <c r="C626" s="1299"/>
      <c r="D626" s="1299"/>
      <c r="E626" s="1299"/>
      <c r="F626" s="1299"/>
      <c r="G626" s="1299"/>
      <c r="H626" s="1299"/>
      <c r="I626" s="1299"/>
      <c r="J626" s="1299"/>
      <c r="K626" s="1299"/>
      <c r="L626" s="1299"/>
      <c r="M626" s="1375" t="s">
        <v>1981</v>
      </c>
      <c r="N626" s="1375"/>
      <c r="O626" s="1375"/>
      <c r="P626" s="1375"/>
      <c r="Q626" s="1376"/>
      <c r="R626" s="1377"/>
      <c r="S626" s="1378"/>
      <c r="T626" s="1417"/>
      <c r="U626" s="1418"/>
      <c r="V626" s="1419"/>
      <c r="W626" s="1429"/>
      <c r="X626" s="1430"/>
      <c r="Y626" s="1431"/>
      <c r="Z626" s="1414" t="s">
        <v>1981</v>
      </c>
      <c r="AA626" s="1415"/>
      <c r="AB626" s="1416"/>
      <c r="AC626" s="1330"/>
      <c r="AD626" s="1331"/>
      <c r="AE626" s="1332"/>
      <c r="AF626" s="1212"/>
      <c r="AG626" s="1213"/>
      <c r="AH626" s="1213"/>
      <c r="AI626" s="1213"/>
      <c r="AJ626" s="1214"/>
      <c r="AK626" s="1371"/>
      <c r="AL626" s="1372"/>
      <c r="AM626" s="1372"/>
      <c r="AN626" s="1373"/>
      <c r="AO626" s="1215"/>
      <c r="AP626" s="1215"/>
      <c r="AQ626" s="1215"/>
      <c r="AR626" s="1215"/>
      <c r="AS626" s="1215"/>
      <c r="AT626" s="946"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0</v>
      </c>
      <c r="BO626" s="1276"/>
      <c r="BP626" s="1276"/>
      <c r="BQ626" s="1276"/>
      <c r="BR626" s="1277"/>
      <c r="BS626" s="1275">
        <f t="shared" ref="BS626" si="34">SUM(BS591:BW625)</f>
        <v>56</v>
      </c>
      <c r="BT626" s="1276"/>
      <c r="BU626" s="1276"/>
      <c r="BV626" s="1276"/>
      <c r="BW626" s="1277"/>
      <c r="BX626" s="1275">
        <f t="shared" ref="BX626" si="35">SUM(BX591:CB625)</f>
        <v>0</v>
      </c>
      <c r="BY626" s="1276"/>
      <c r="BZ626" s="1276"/>
      <c r="CA626" s="1276"/>
      <c r="CB626" s="1277"/>
      <c r="CC626" s="1275">
        <f t="shared" ref="CC626" si="36">SUM(CC591:CG625)</f>
        <v>0</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2.95" customHeight="1" thickBot="1">
      <c r="B627" s="58" t="s">
        <v>743</v>
      </c>
      <c r="C627" s="1299"/>
      <c r="D627" s="1299"/>
      <c r="E627" s="1299"/>
      <c r="F627" s="1299"/>
      <c r="G627" s="1299"/>
      <c r="H627" s="1299"/>
      <c r="I627" s="1299"/>
      <c r="J627" s="1299"/>
      <c r="K627" s="1299"/>
      <c r="L627" s="1299"/>
      <c r="M627" s="1375" t="s">
        <v>1981</v>
      </c>
      <c r="N627" s="1375"/>
      <c r="O627" s="1375"/>
      <c r="P627" s="1375"/>
      <c r="Q627" s="1376"/>
      <c r="R627" s="1377"/>
      <c r="S627" s="1378"/>
      <c r="T627" s="1417"/>
      <c r="U627" s="1418"/>
      <c r="V627" s="1419"/>
      <c r="W627" s="1429"/>
      <c r="X627" s="1430"/>
      <c r="Y627" s="1431"/>
      <c r="Z627" s="1414" t="s">
        <v>1981</v>
      </c>
      <c r="AA627" s="1415"/>
      <c r="AB627" s="1416"/>
      <c r="AC627" s="1330"/>
      <c r="AD627" s="1331"/>
      <c r="AE627" s="1332"/>
      <c r="AF627" s="1212"/>
      <c r="AG627" s="1213"/>
      <c r="AH627" s="1213"/>
      <c r="AI627" s="1213"/>
      <c r="AJ627" s="1214"/>
      <c r="AK627" s="1371"/>
      <c r="AL627" s="1372"/>
      <c r="AM627" s="1372"/>
      <c r="AN627" s="1373"/>
      <c r="AO627" s="1215"/>
      <c r="AP627" s="1215"/>
      <c r="AQ627" s="1215"/>
      <c r="AR627" s="1215"/>
      <c r="AS627" s="1215"/>
      <c r="AT627" s="946" t="str">
        <f t="shared" si="33"/>
        <v/>
      </c>
      <c r="AU627" s="43"/>
      <c r="AV627" s="43"/>
      <c r="AW627" s="43"/>
      <c r="AX627" s="43"/>
      <c r="AY627" s="43"/>
      <c r="AZ627" s="43"/>
      <c r="BE627" s="41"/>
      <c r="BF627" s="41"/>
      <c r="BG627" s="1275">
        <f>SUM(BG592:BH626)</f>
        <v>44</v>
      </c>
      <c r="BH627" s="1277"/>
      <c r="BI627" s="41"/>
      <c r="BJ627" s="41"/>
      <c r="BK627" s="1275">
        <f>SUM(BK592:BL626)</f>
        <v>12</v>
      </c>
      <c r="BL627" s="1277"/>
      <c r="BN627" s="41" t="s">
        <v>1725</v>
      </c>
      <c r="BO627" s="41"/>
      <c r="BP627" s="41"/>
      <c r="BQ627" s="41"/>
      <c r="BR627" s="467">
        <f>BN626*1</f>
        <v>0</v>
      </c>
      <c r="BS627" s="41"/>
      <c r="BT627" s="41"/>
      <c r="BU627" s="41"/>
      <c r="BV627" s="41"/>
      <c r="BW627" s="467">
        <f>BS626*1</f>
        <v>56</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5">
        <f>SUM(CS592:CW626)</f>
        <v>0</v>
      </c>
      <c r="CT627" s="1276"/>
      <c r="CU627" s="1276"/>
      <c r="CV627" s="1276"/>
      <c r="CW627" s="1277"/>
      <c r="CX627" s="1275">
        <f>SUM(CX592:DB626)</f>
        <v>12</v>
      </c>
      <c r="CY627" s="1276"/>
      <c r="CZ627" s="1276"/>
      <c r="DA627" s="1276"/>
      <c r="DB627" s="1277"/>
      <c r="DC627" s="1275">
        <f>SUM(DC592:DG626)</f>
        <v>0</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2.95" customHeight="1" thickBot="1">
      <c r="B628" s="58" t="s">
        <v>744</v>
      </c>
      <c r="C628" s="1299"/>
      <c r="D628" s="1299"/>
      <c r="E628" s="1299"/>
      <c r="F628" s="1299"/>
      <c r="G628" s="1299"/>
      <c r="H628" s="1299"/>
      <c r="I628" s="1299"/>
      <c r="J628" s="1299"/>
      <c r="K628" s="1299"/>
      <c r="L628" s="1299"/>
      <c r="M628" s="1375" t="s">
        <v>1981</v>
      </c>
      <c r="N628" s="1375"/>
      <c r="O628" s="1375"/>
      <c r="P628" s="1375"/>
      <c r="Q628" s="1376"/>
      <c r="R628" s="1377"/>
      <c r="S628" s="1378"/>
      <c r="T628" s="1417"/>
      <c r="U628" s="1418"/>
      <c r="V628" s="1419"/>
      <c r="W628" s="1429"/>
      <c r="X628" s="1430"/>
      <c r="Y628" s="1431"/>
      <c r="Z628" s="1414" t="s">
        <v>1981</v>
      </c>
      <c r="AA628" s="1415"/>
      <c r="AB628" s="1416"/>
      <c r="AC628" s="1330"/>
      <c r="AD628" s="1331"/>
      <c r="AE628" s="1332"/>
      <c r="AF628" s="1212"/>
      <c r="AG628" s="1213"/>
      <c r="AH628" s="1213"/>
      <c r="AI628" s="1213"/>
      <c r="AJ628" s="1214"/>
      <c r="AK628" s="1371"/>
      <c r="AL628" s="1372"/>
      <c r="AM628" s="1372"/>
      <c r="AN628" s="1373"/>
      <c r="AO628" s="1215"/>
      <c r="AP628" s="1215"/>
      <c r="AQ628" s="1215"/>
      <c r="AR628" s="1215"/>
      <c r="AS628" s="1215"/>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56</v>
      </c>
      <c r="CR628" s="41"/>
      <c r="CS628" s="41"/>
    </row>
    <row r="629" spans="1:126" ht="12.95" customHeight="1">
      <c r="B629" s="58" t="s">
        <v>547</v>
      </c>
      <c r="C629" s="1299"/>
      <c r="D629" s="1299"/>
      <c r="E629" s="1299"/>
      <c r="F629" s="1299"/>
      <c r="G629" s="1299"/>
      <c r="H629" s="1299"/>
      <c r="I629" s="1299"/>
      <c r="J629" s="1299"/>
      <c r="K629" s="1299"/>
      <c r="L629" s="1299"/>
      <c r="M629" s="1375" t="s">
        <v>1981</v>
      </c>
      <c r="N629" s="1375"/>
      <c r="O629" s="1375"/>
      <c r="P629" s="1375"/>
      <c r="Q629" s="1376"/>
      <c r="R629" s="1377"/>
      <c r="S629" s="1378"/>
      <c r="T629" s="1417"/>
      <c r="U629" s="1418"/>
      <c r="V629" s="1419"/>
      <c r="W629" s="1429"/>
      <c r="X629" s="1430"/>
      <c r="Y629" s="1431"/>
      <c r="Z629" s="1414" t="s">
        <v>1981</v>
      </c>
      <c r="AA629" s="1415"/>
      <c r="AB629" s="1416"/>
      <c r="AC629" s="1330"/>
      <c r="AD629" s="1331"/>
      <c r="AE629" s="1332"/>
      <c r="AF629" s="1212"/>
      <c r="AG629" s="1213"/>
      <c r="AH629" s="1213"/>
      <c r="AI629" s="1213"/>
      <c r="AJ629" s="1214"/>
      <c r="AK629" s="1371"/>
      <c r="AL629" s="1372"/>
      <c r="AM629" s="1372"/>
      <c r="AN629" s="1373"/>
      <c r="AO629" s="1215"/>
      <c r="AP629" s="1215"/>
      <c r="AQ629" s="1215"/>
      <c r="AR629" s="1215"/>
      <c r="AS629" s="1215"/>
      <c r="AT629" s="946" t="str">
        <f t="shared" si="33"/>
        <v/>
      </c>
      <c r="AU629" s="41"/>
      <c r="AV629" s="41"/>
      <c r="AW629" s="41"/>
      <c r="AX629" s="41"/>
      <c r="AY629" s="41"/>
      <c r="AZ629" s="41"/>
      <c r="BN629" s="1269">
        <f>IF(J752="SRO/Studio",O752,0)</f>
        <v>0</v>
      </c>
      <c r="BO629" s="1270"/>
      <c r="BP629" s="1270"/>
      <c r="BQ629" s="1270"/>
      <c r="BR629" s="1271"/>
      <c r="BS629" s="1269">
        <f>IF(J752="1 Bedroom",O752,0)</f>
        <v>1</v>
      </c>
      <c r="BT629" s="1270"/>
      <c r="BU629" s="1270"/>
      <c r="BV629" s="1270"/>
      <c r="BW629" s="1271"/>
      <c r="BX629" s="1269">
        <f>IF(J752="2 Bedrooms",O752,0)</f>
        <v>0</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2.95" customHeight="1">
      <c r="B630" s="58" t="s">
        <v>174</v>
      </c>
      <c r="C630" s="1299"/>
      <c r="D630" s="1299"/>
      <c r="E630" s="1299"/>
      <c r="F630" s="1299"/>
      <c r="G630" s="1299"/>
      <c r="H630" s="1299"/>
      <c r="I630" s="1299"/>
      <c r="J630" s="1299"/>
      <c r="K630" s="1299"/>
      <c r="L630" s="1299"/>
      <c r="M630" s="1375" t="s">
        <v>1981</v>
      </c>
      <c r="N630" s="1375"/>
      <c r="O630" s="1375"/>
      <c r="P630" s="1375"/>
      <c r="Q630" s="1376"/>
      <c r="R630" s="1377"/>
      <c r="S630" s="1378"/>
      <c r="T630" s="1417"/>
      <c r="U630" s="1418"/>
      <c r="V630" s="1419"/>
      <c r="W630" s="1429"/>
      <c r="X630" s="1430"/>
      <c r="Y630" s="1431"/>
      <c r="Z630" s="1414" t="s">
        <v>1981</v>
      </c>
      <c r="AA630" s="1415"/>
      <c r="AB630" s="1416"/>
      <c r="AC630" s="1330"/>
      <c r="AD630" s="1331"/>
      <c r="AE630" s="1332"/>
      <c r="AF630" s="1212"/>
      <c r="AG630" s="1213"/>
      <c r="AH630" s="1213"/>
      <c r="AI630" s="1213"/>
      <c r="AJ630" s="1214"/>
      <c r="AK630" s="1371"/>
      <c r="AL630" s="1372"/>
      <c r="AM630" s="1372"/>
      <c r="AN630" s="1373"/>
      <c r="AO630" s="1215"/>
      <c r="AP630" s="1215"/>
      <c r="AQ630" s="1215"/>
      <c r="AR630" s="1215"/>
      <c r="AS630" s="1215"/>
      <c r="AT630" s="946"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2.95" customHeight="1">
      <c r="B631" s="58" t="s">
        <v>32</v>
      </c>
      <c r="C631" s="1299"/>
      <c r="D631" s="1299"/>
      <c r="E631" s="1299"/>
      <c r="F631" s="1299"/>
      <c r="G631" s="1299"/>
      <c r="H631" s="1299"/>
      <c r="I631" s="1299"/>
      <c r="J631" s="1299"/>
      <c r="K631" s="1299"/>
      <c r="L631" s="1299"/>
      <c r="M631" s="1375" t="s">
        <v>1981</v>
      </c>
      <c r="N631" s="1375"/>
      <c r="O631" s="1375"/>
      <c r="P631" s="1375"/>
      <c r="Q631" s="1376"/>
      <c r="R631" s="1377"/>
      <c r="S631" s="1378"/>
      <c r="T631" s="1417"/>
      <c r="U631" s="1418"/>
      <c r="V631" s="1419"/>
      <c r="W631" s="1429"/>
      <c r="X631" s="1430"/>
      <c r="Y631" s="1431"/>
      <c r="Z631" s="1414" t="s">
        <v>1981</v>
      </c>
      <c r="AA631" s="1415"/>
      <c r="AB631" s="1416"/>
      <c r="AC631" s="1330"/>
      <c r="AD631" s="1331"/>
      <c r="AE631" s="1332"/>
      <c r="AF631" s="1212"/>
      <c r="AG631" s="1213"/>
      <c r="AH631" s="1213"/>
      <c r="AI631" s="1213"/>
      <c r="AJ631" s="1214"/>
      <c r="AK631" s="1371"/>
      <c r="AL631" s="1372"/>
      <c r="AM631" s="1372"/>
      <c r="AN631" s="1373"/>
      <c r="AO631" s="1215"/>
      <c r="AP631" s="1215"/>
      <c r="AQ631" s="1215"/>
      <c r="AR631" s="1215"/>
      <c r="AS631" s="1215"/>
      <c r="AT631" s="946"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2.95" customHeight="1">
      <c r="B632" s="58" t="s">
        <v>33</v>
      </c>
      <c r="C632" s="1299"/>
      <c r="D632" s="1299"/>
      <c r="E632" s="1299"/>
      <c r="F632" s="1299"/>
      <c r="G632" s="1299"/>
      <c r="H632" s="1299"/>
      <c r="I632" s="1299"/>
      <c r="J632" s="1299"/>
      <c r="K632" s="1299"/>
      <c r="L632" s="1299"/>
      <c r="M632" s="1375" t="s">
        <v>1981</v>
      </c>
      <c r="N632" s="1375"/>
      <c r="O632" s="1375"/>
      <c r="P632" s="1375"/>
      <c r="Q632" s="1376"/>
      <c r="R632" s="1377"/>
      <c r="S632" s="1378"/>
      <c r="T632" s="1417"/>
      <c r="U632" s="1418"/>
      <c r="V632" s="1419"/>
      <c r="W632" s="1429"/>
      <c r="X632" s="1430"/>
      <c r="Y632" s="1431"/>
      <c r="Z632" s="1414" t="s">
        <v>1981</v>
      </c>
      <c r="AA632" s="1415"/>
      <c r="AB632" s="1416"/>
      <c r="AC632" s="1330"/>
      <c r="AD632" s="1331"/>
      <c r="AE632" s="1332"/>
      <c r="AF632" s="1212"/>
      <c r="AG632" s="1213"/>
      <c r="AH632" s="1213"/>
      <c r="AI632" s="1213"/>
      <c r="AJ632" s="1214"/>
      <c r="AK632" s="1371"/>
      <c r="AL632" s="1372"/>
      <c r="AM632" s="1372"/>
      <c r="AN632" s="1373"/>
      <c r="AO632" s="1215"/>
      <c r="AP632" s="1215"/>
      <c r="AQ632" s="1215"/>
      <c r="AR632" s="1215"/>
      <c r="AS632" s="1215"/>
      <c r="AT632" s="946"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2.95" customHeight="1">
      <c r="B633" s="1186" t="s">
        <v>359</v>
      </c>
      <c r="C633" s="1187"/>
      <c r="D633" s="1187"/>
      <c r="E633" s="1187"/>
      <c r="F633" s="1187"/>
      <c r="G633" s="1187"/>
      <c r="H633" s="1187"/>
      <c r="I633" s="1187"/>
      <c r="J633" s="1187"/>
      <c r="K633" s="1187"/>
      <c r="L633" s="1187"/>
      <c r="M633" s="1187"/>
      <c r="N633" s="1187"/>
      <c r="O633" s="1187"/>
      <c r="P633" s="1187"/>
      <c r="Q633" s="1187"/>
      <c r="R633" s="1187"/>
      <c r="S633" s="1187"/>
      <c r="T633" s="1187"/>
      <c r="U633" s="1187"/>
      <c r="V633" s="1187"/>
      <c r="W633" s="1187"/>
      <c r="X633" s="1187"/>
      <c r="Y633" s="1187"/>
      <c r="Z633" s="1187"/>
      <c r="AA633" s="1187"/>
      <c r="AB633" s="1187"/>
      <c r="AC633" s="1187"/>
      <c r="AD633" s="1187"/>
      <c r="AE633" s="1187"/>
      <c r="AF633" s="1187"/>
      <c r="AG633" s="1187"/>
      <c r="AH633" s="1187"/>
      <c r="AI633" s="1187"/>
      <c r="AJ633" s="1187"/>
      <c r="AK633" s="1187"/>
      <c r="AL633" s="1187"/>
      <c r="AM633" s="1187"/>
      <c r="AN633" s="1188"/>
      <c r="AO633" s="1197">
        <f>SUM(AO621:AS632)</f>
        <v>7607460</v>
      </c>
      <c r="AP633" s="1198"/>
      <c r="AQ633" s="1198"/>
      <c r="AR633" s="1198"/>
      <c r="AS633" s="1199"/>
      <c r="AT633" s="43"/>
      <c r="AU633" s="43"/>
      <c r="AV633" s="43"/>
      <c r="AW633" s="43"/>
      <c r="AX633" s="43"/>
      <c r="AY633" s="43"/>
      <c r="AZ633" s="43"/>
      <c r="BN633" s="1272">
        <f>SUM(BN629:BR632)</f>
        <v>0</v>
      </c>
      <c r="BO633" s="1273"/>
      <c r="BP633" s="1273"/>
      <c r="BQ633" s="1273"/>
      <c r="BR633" s="1274"/>
      <c r="BS633" s="1272">
        <f>SUM(BS629:BW632)</f>
        <v>1</v>
      </c>
      <c r="BT633" s="1273"/>
      <c r="BU633" s="1273"/>
      <c r="BV633" s="1273"/>
      <c r="BW633" s="1274"/>
      <c r="BX633" s="1272">
        <f>SUM(BX629:CB632)</f>
        <v>0</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1985</v>
      </c>
      <c r="CU633" s="41"/>
    </row>
    <row r="634" spans="1:126" ht="12.95" customHeight="1">
      <c r="B634" s="1186" t="s">
        <v>360</v>
      </c>
      <c r="C634" s="1187"/>
      <c r="D634" s="1187"/>
      <c r="E634" s="1187"/>
      <c r="F634" s="1187"/>
      <c r="G634" s="1187"/>
      <c r="H634" s="1187"/>
      <c r="I634" s="1187"/>
      <c r="J634" s="1187"/>
      <c r="K634" s="1187"/>
      <c r="L634" s="1187"/>
      <c r="M634" s="1187"/>
      <c r="N634" s="1187"/>
      <c r="O634" s="1187"/>
      <c r="P634" s="1187"/>
      <c r="Q634" s="1187"/>
      <c r="R634" s="1187"/>
      <c r="S634" s="1187"/>
      <c r="T634" s="1187"/>
      <c r="U634" s="1187"/>
      <c r="V634" s="1187"/>
      <c r="W634" s="1187"/>
      <c r="X634" s="1187"/>
      <c r="Y634" s="1187"/>
      <c r="Z634" s="1187"/>
      <c r="AA634" s="1187"/>
      <c r="AB634" s="1187"/>
      <c r="AC634" s="1187"/>
      <c r="AD634" s="1187"/>
      <c r="AE634" s="1187"/>
      <c r="AF634" s="1187"/>
      <c r="AG634" s="1187"/>
      <c r="AH634" s="1187"/>
      <c r="AI634" s="1187"/>
      <c r="AJ634" s="1187"/>
      <c r="AK634" s="1187"/>
      <c r="AL634" s="1187"/>
      <c r="AM634" s="1187"/>
      <c r="AN634" s="1188"/>
      <c r="AO634" s="1203">
        <v>10348965</v>
      </c>
      <c r="AP634" s="1204"/>
      <c r="AQ634" s="1204"/>
      <c r="AR634" s="1204"/>
      <c r="AS634" s="1205"/>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4" t="s">
        <v>941</v>
      </c>
      <c r="C635" s="1445"/>
      <c r="D635" s="1445"/>
      <c r="E635" s="1445"/>
      <c r="F635" s="1445"/>
      <c r="G635" s="1445"/>
      <c r="H635" s="1445"/>
      <c r="I635" s="1445"/>
      <c r="J635" s="1445"/>
      <c r="K635" s="1445"/>
      <c r="L635" s="1445"/>
      <c r="M635" s="1445"/>
      <c r="N635" s="1445"/>
      <c r="O635" s="1445"/>
      <c r="P635" s="1445"/>
      <c r="Q635" s="1445"/>
      <c r="R635" s="1445"/>
      <c r="S635" s="1445"/>
      <c r="T635" s="1445"/>
      <c r="U635" s="1445"/>
      <c r="V635" s="1445"/>
      <c r="W635" s="1445"/>
      <c r="X635" s="1445"/>
      <c r="Y635" s="1445"/>
      <c r="Z635" s="1445"/>
      <c r="AA635" s="1445"/>
      <c r="AB635" s="1445"/>
      <c r="AC635" s="1445"/>
      <c r="AD635" s="1445"/>
      <c r="AE635" s="1445"/>
      <c r="AF635" s="1445"/>
      <c r="AG635" s="1445"/>
      <c r="AH635" s="1445"/>
      <c r="AI635" s="1445"/>
      <c r="AJ635" s="1445"/>
      <c r="AK635" s="1445"/>
      <c r="AL635" s="1445"/>
      <c r="AM635" s="1445"/>
      <c r="AN635" s="1446"/>
      <c r="AO635" s="1197">
        <f>AO633+AO634</f>
        <v>17956425</v>
      </c>
      <c r="AP635" s="1198"/>
      <c r="AQ635" s="1198"/>
      <c r="AR635" s="1198"/>
      <c r="AS635" s="1199"/>
      <c r="AT635" s="43"/>
      <c r="AU635" s="43"/>
      <c r="AV635" s="43"/>
      <c r="AW635" s="43"/>
      <c r="AX635" s="43"/>
      <c r="AY635" s="43"/>
      <c r="AZ635" s="43"/>
      <c r="BN635" s="1269">
        <f t="shared" ref="BN635:BN644" si="39">IF(J766="SRO/Studio",O766,0)</f>
        <v>0</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2.95" customHeight="1">
      <c r="A637" s="61" t="s">
        <v>901</v>
      </c>
      <c r="B637" t="s">
        <v>82</v>
      </c>
      <c r="G637" s="1264" t="str">
        <f>C621</f>
        <v>JP Morgan/Fannie</v>
      </c>
      <c r="H637" s="1264"/>
      <c r="I637" s="1264"/>
      <c r="J637" s="1264"/>
      <c r="K637" s="1264"/>
      <c r="L637" s="1264"/>
      <c r="M637" s="1264"/>
      <c r="N637" s="1264"/>
      <c r="O637" s="1264"/>
      <c r="P637" s="1264"/>
      <c r="Q637" s="1264"/>
      <c r="R637" s="1264"/>
      <c r="S637" s="12"/>
      <c r="T637" s="61" t="s">
        <v>902</v>
      </c>
      <c r="U637" t="s">
        <v>82</v>
      </c>
      <c r="Z637" s="1264" t="str">
        <f>C622</f>
        <v>Deferred Developer Fee</v>
      </c>
      <c r="AA637" s="1264"/>
      <c r="AB637" s="1264"/>
      <c r="AC637" s="1264"/>
      <c r="AD637" s="1264"/>
      <c r="AE637" s="1264"/>
      <c r="AF637" s="1264"/>
      <c r="AG637" s="1264"/>
      <c r="AH637" s="1264"/>
      <c r="AI637" s="1264"/>
      <c r="AJ637" s="1264"/>
      <c r="AK637" s="1264"/>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2.95" customHeight="1">
      <c r="A638" s="4"/>
      <c r="B638" t="s">
        <v>373</v>
      </c>
      <c r="G638" s="1111" t="s">
        <v>2485</v>
      </c>
      <c r="H638" s="1111"/>
      <c r="I638" s="1111"/>
      <c r="J638" s="1111"/>
      <c r="K638" s="1111"/>
      <c r="L638" s="1111"/>
      <c r="M638" s="1111"/>
      <c r="N638" s="1111"/>
      <c r="O638" s="1111"/>
      <c r="P638" s="1111"/>
      <c r="Q638" s="1111"/>
      <c r="R638" s="1111"/>
      <c r="S638" s="12"/>
      <c r="T638" s="4"/>
      <c r="U638" t="s">
        <v>373</v>
      </c>
      <c r="Z638" s="1111" t="s">
        <v>2407</v>
      </c>
      <c r="AA638" s="1111"/>
      <c r="AB638" s="1111"/>
      <c r="AC638" s="1111"/>
      <c r="AD638" s="1111"/>
      <c r="AE638" s="1111"/>
      <c r="AF638" s="1111"/>
      <c r="AG638" s="1111"/>
      <c r="AH638" s="1111"/>
      <c r="AI638" s="1111"/>
      <c r="AJ638" s="1111"/>
      <c r="AK638" s="1111"/>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2.95" customHeight="1">
      <c r="A639" s="4"/>
      <c r="B639" t="s">
        <v>431</v>
      </c>
      <c r="G639" s="1107" t="s">
        <v>2486</v>
      </c>
      <c r="H639" s="1111"/>
      <c r="I639" s="1111"/>
      <c r="J639" s="1111"/>
      <c r="K639" s="1111"/>
      <c r="L639" s="1111"/>
      <c r="M639" s="1111"/>
      <c r="N639" s="1111"/>
      <c r="O639" s="1111"/>
      <c r="P639" s="1111"/>
      <c r="Q639" s="1111"/>
      <c r="R639" s="1111"/>
      <c r="T639" s="4"/>
      <c r="U639" t="s">
        <v>431</v>
      </c>
      <c r="Z639" s="1262" t="s">
        <v>2343</v>
      </c>
      <c r="AA639" s="1262"/>
      <c r="AB639" s="1262"/>
      <c r="AC639" s="1262"/>
      <c r="AD639" s="1262"/>
      <c r="AE639" s="1262"/>
      <c r="AF639" s="1262"/>
      <c r="AG639" s="1262"/>
      <c r="AH639" s="1262"/>
      <c r="AI639" s="1262"/>
      <c r="AJ639" s="1262"/>
      <c r="AK639" s="1262"/>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2.95" customHeight="1">
      <c r="A640" s="4"/>
      <c r="B640" t="s">
        <v>834</v>
      </c>
      <c r="G640" s="1107" t="s">
        <v>2484</v>
      </c>
      <c r="H640" s="1111"/>
      <c r="I640" s="1111"/>
      <c r="J640" s="1111"/>
      <c r="K640" s="1111"/>
      <c r="L640" s="1111"/>
      <c r="M640" s="1111"/>
      <c r="N640" s="1111"/>
      <c r="O640" s="1111"/>
      <c r="P640" s="1111"/>
      <c r="Q640" s="1111"/>
      <c r="R640" s="1111"/>
      <c r="S640" s="12"/>
      <c r="T640" s="4"/>
      <c r="U640" t="s">
        <v>834</v>
      </c>
      <c r="Z640" s="1262" t="s">
        <v>2335</v>
      </c>
      <c r="AA640" s="1262"/>
      <c r="AB640" s="1262"/>
      <c r="AC640" s="1262"/>
      <c r="AD640" s="1262"/>
      <c r="AE640" s="1262"/>
      <c r="AF640" s="1262"/>
      <c r="AG640" s="1262"/>
      <c r="AH640" s="1262"/>
      <c r="AI640" s="1262"/>
      <c r="AJ640" s="1262"/>
      <c r="AK640" s="1262"/>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2.95" customHeight="1">
      <c r="A641" s="4"/>
      <c r="B641" t="s">
        <v>651</v>
      </c>
      <c r="G641" s="1268" t="s">
        <v>2487</v>
      </c>
      <c r="H641" s="1268"/>
      <c r="I641" s="1268"/>
      <c r="J641" s="1268"/>
      <c r="K641" s="1268"/>
      <c r="L641" s="1268"/>
      <c r="O641" s="42" t="s">
        <v>819</v>
      </c>
      <c r="P641" s="1263"/>
      <c r="Q641" s="1263"/>
      <c r="R641" s="1263"/>
      <c r="S641" s="14"/>
      <c r="T641" s="4"/>
      <c r="U641" t="s">
        <v>651</v>
      </c>
      <c r="Z641" s="1374" t="s">
        <v>2362</v>
      </c>
      <c r="AA641" s="1268"/>
      <c r="AB641" s="1268"/>
      <c r="AC641" s="1268"/>
      <c r="AD641" s="1268"/>
      <c r="AE641" s="1268"/>
      <c r="AH641" s="42" t="s">
        <v>819</v>
      </c>
      <c r="AI641" s="1263"/>
      <c r="AJ641" s="1263"/>
      <c r="AK641" s="1263"/>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2.95" customHeight="1">
      <c r="A642" s="4"/>
      <c r="B642" t="s">
        <v>835</v>
      </c>
      <c r="H642" s="1111" t="s">
        <v>2402</v>
      </c>
      <c r="I642" s="1111"/>
      <c r="J642" s="1111"/>
      <c r="K642" s="1111"/>
      <c r="L642" s="1111"/>
      <c r="M642" s="1111"/>
      <c r="N642" s="1111"/>
      <c r="O642" s="1111"/>
      <c r="P642" s="1111"/>
      <c r="Q642" s="1111"/>
      <c r="R642" s="1111"/>
      <c r="S642" s="12"/>
      <c r="T642" s="4"/>
      <c r="U642" t="s">
        <v>835</v>
      </c>
      <c r="AA642" s="1111" t="s">
        <v>2405</v>
      </c>
      <c r="AB642" s="1111"/>
      <c r="AC642" s="1111"/>
      <c r="AD642" s="1111"/>
      <c r="AE642" s="1111"/>
      <c r="AF642" s="1111"/>
      <c r="AG642" s="1111"/>
      <c r="AH642" s="1111"/>
      <c r="AI642" s="1111"/>
      <c r="AJ642" s="1111"/>
      <c r="AK642" s="1111"/>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2.95" customHeight="1">
      <c r="A643" s="5"/>
      <c r="B643" t="s">
        <v>837</v>
      </c>
      <c r="N643" s="1102" t="s">
        <v>108</v>
      </c>
      <c r="O643" s="1102"/>
      <c r="T643" s="4"/>
      <c r="U643" t="s">
        <v>837</v>
      </c>
      <c r="AG643" s="1102" t="s">
        <v>108</v>
      </c>
      <c r="AH643" s="1102"/>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2.95" customHeight="1">
      <c r="A645" s="61" t="s">
        <v>908</v>
      </c>
      <c r="B645" t="s">
        <v>82</v>
      </c>
      <c r="G645" s="1264" t="str">
        <f>C623</f>
        <v>Marina Annex Housing Management, LLC</v>
      </c>
      <c r="H645" s="1264"/>
      <c r="I645" s="1264"/>
      <c r="J645" s="1264"/>
      <c r="K645" s="1264"/>
      <c r="L645" s="1264"/>
      <c r="M645" s="1264"/>
      <c r="N645" s="1264"/>
      <c r="O645" s="1264"/>
      <c r="P645" s="1264"/>
      <c r="Q645" s="1264"/>
      <c r="R645" s="1264"/>
      <c r="T645" s="61" t="s">
        <v>432</v>
      </c>
      <c r="U645" t="s">
        <v>82</v>
      </c>
      <c r="Z645" s="1264">
        <f>C624</f>
        <v>0</v>
      </c>
      <c r="AA645" s="1264"/>
      <c r="AB645" s="1264"/>
      <c r="AC645" s="1264"/>
      <c r="AD645" s="1264"/>
      <c r="AE645" s="1264"/>
      <c r="AF645" s="1264"/>
      <c r="AG645" s="1264"/>
      <c r="AH645" s="1264"/>
      <c r="AI645" s="1264"/>
      <c r="AJ645" s="1264"/>
      <c r="AK645" s="1264"/>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2.95" customHeight="1" thickBot="1">
      <c r="A646" s="4"/>
      <c r="B646" t="s">
        <v>373</v>
      </c>
      <c r="G646" s="1111" t="s">
        <v>2407</v>
      </c>
      <c r="H646" s="1111"/>
      <c r="I646" s="1111"/>
      <c r="J646" s="1111"/>
      <c r="K646" s="1111"/>
      <c r="L646" s="1111"/>
      <c r="M646" s="1111"/>
      <c r="N646" s="1111"/>
      <c r="O646" s="1111"/>
      <c r="P646" s="1111"/>
      <c r="Q646" s="1111"/>
      <c r="R646" s="1111"/>
      <c r="T646" s="4"/>
      <c r="U646" t="s">
        <v>373</v>
      </c>
      <c r="Z646" s="1111"/>
      <c r="AA646" s="1111"/>
      <c r="AB646" s="1111"/>
      <c r="AC646" s="1111"/>
      <c r="AD646" s="1111"/>
      <c r="AE646" s="1111"/>
      <c r="AF646" s="1111"/>
      <c r="AG646" s="1111"/>
      <c r="AH646" s="1111"/>
      <c r="AI646" s="1111"/>
      <c r="AJ646" s="1111"/>
      <c r="AK646" s="1111"/>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62" t="s">
        <v>2343</v>
      </c>
      <c r="H647" s="1262"/>
      <c r="I647" s="1262"/>
      <c r="J647" s="1262"/>
      <c r="K647" s="1262"/>
      <c r="L647" s="1262"/>
      <c r="M647" s="1262"/>
      <c r="N647" s="1262"/>
      <c r="O647" s="1262"/>
      <c r="P647" s="1262"/>
      <c r="Q647" s="1262"/>
      <c r="R647" s="1262"/>
      <c r="T647" s="4"/>
      <c r="U647" t="s">
        <v>431</v>
      </c>
      <c r="Z647" s="1262"/>
      <c r="AA647" s="1262"/>
      <c r="AB647" s="1262"/>
      <c r="AC647" s="1262"/>
      <c r="AD647" s="1262"/>
      <c r="AE647" s="1262"/>
      <c r="AF647" s="1262"/>
      <c r="AG647" s="1262"/>
      <c r="AH647" s="1262"/>
      <c r="AI647" s="1262"/>
      <c r="AJ647" s="1262"/>
      <c r="AK647" s="1262"/>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262" t="s">
        <v>2335</v>
      </c>
      <c r="H648" s="1262"/>
      <c r="I648" s="1262"/>
      <c r="J648" s="1262"/>
      <c r="K648" s="1262"/>
      <c r="L648" s="1262"/>
      <c r="M648" s="1262"/>
      <c r="N648" s="1262"/>
      <c r="O648" s="1262"/>
      <c r="P648" s="1262"/>
      <c r="Q648" s="1262"/>
      <c r="R648" s="1262"/>
      <c r="T648" s="4"/>
      <c r="U648" t="s">
        <v>834</v>
      </c>
      <c r="Z648" s="1262"/>
      <c r="AA648" s="1262"/>
      <c r="AB648" s="1262"/>
      <c r="AC648" s="1262"/>
      <c r="AD648" s="1262"/>
      <c r="AE648" s="1262"/>
      <c r="AF648" s="1262"/>
      <c r="AG648" s="1262"/>
      <c r="AH648" s="1262"/>
      <c r="AI648" s="1262"/>
      <c r="AJ648" s="1262"/>
      <c r="AK648" s="126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8" t="s">
        <v>2362</v>
      </c>
      <c r="H649" s="1268"/>
      <c r="I649" s="1268"/>
      <c r="J649" s="1268"/>
      <c r="K649" s="1268"/>
      <c r="L649" s="1268"/>
      <c r="O649" s="42" t="s">
        <v>819</v>
      </c>
      <c r="P649" s="1263"/>
      <c r="Q649" s="1263"/>
      <c r="R649" s="1263"/>
      <c r="T649" s="4"/>
      <c r="U649" t="s">
        <v>651</v>
      </c>
      <c r="Z649" s="1268"/>
      <c r="AA649" s="1268"/>
      <c r="AB649" s="1268"/>
      <c r="AC649" s="1268"/>
      <c r="AD649" s="1268"/>
      <c r="AE649" s="1268"/>
      <c r="AH649" s="42" t="s">
        <v>819</v>
      </c>
      <c r="AI649" s="1263"/>
      <c r="AJ649" s="1263"/>
      <c r="AK649" s="1263"/>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56</v>
      </c>
      <c r="CR649" s="41"/>
      <c r="CS649" s="41"/>
    </row>
    <row r="650" spans="1:97" ht="12.95" customHeight="1">
      <c r="A650" s="4"/>
      <c r="B650" t="s">
        <v>835</v>
      </c>
      <c r="H650" s="1111" t="s">
        <v>2408</v>
      </c>
      <c r="I650" s="1111"/>
      <c r="J650" s="1111"/>
      <c r="K650" s="1111"/>
      <c r="L650" s="1111"/>
      <c r="M650" s="1111"/>
      <c r="N650" s="1111"/>
      <c r="O650" s="1111"/>
      <c r="P650" s="1111"/>
      <c r="Q650" s="1111"/>
      <c r="R650" s="1111"/>
      <c r="T650" s="4"/>
      <c r="U650" t="s">
        <v>835</v>
      </c>
      <c r="AA650" s="1111"/>
      <c r="AB650" s="1111"/>
      <c r="AC650" s="1111"/>
      <c r="AD650" s="1111"/>
      <c r="AE650" s="1111"/>
      <c r="AF650" s="1111"/>
      <c r="AG650" s="1111"/>
      <c r="AH650" s="1111"/>
      <c r="AI650" s="1111"/>
      <c r="AJ650" s="1111"/>
      <c r="AK650" s="1111"/>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102" t="s">
        <v>108</v>
      </c>
      <c r="O651" s="1102"/>
      <c r="T651" s="4"/>
      <c r="U651" t="s">
        <v>837</v>
      </c>
      <c r="AG651" s="1102" t="s">
        <v>483</v>
      </c>
      <c r="AH651" s="1102"/>
      <c r="AM651" s="41"/>
      <c r="AN651" s="41"/>
      <c r="AO651" s="41"/>
      <c r="AP651" s="41"/>
      <c r="AQ651" s="41"/>
      <c r="AR651" s="41"/>
      <c r="AS651" s="41"/>
      <c r="AT651" s="41"/>
      <c r="AU651" s="41"/>
      <c r="AV651" s="41"/>
      <c r="AW651" s="41"/>
      <c r="AX651" s="41"/>
      <c r="AY651" s="41"/>
      <c r="AZ651" s="41"/>
      <c r="BA651" s="41"/>
      <c r="BB651" s="41"/>
      <c r="BC651" s="41"/>
      <c r="BD651" s="41"/>
      <c r="BN651" s="1272">
        <f>BN626+BN633+BN645</f>
        <v>0</v>
      </c>
      <c r="BO651" s="1273"/>
      <c r="BP651" s="1273"/>
      <c r="BQ651" s="1273"/>
      <c r="BR651" s="1274"/>
      <c r="BS651" s="1272">
        <f>BS626+BS633+BS645</f>
        <v>57</v>
      </c>
      <c r="BT651" s="1273"/>
      <c r="BU651" s="1273"/>
      <c r="BV651" s="1273"/>
      <c r="BW651" s="1274"/>
      <c r="BX651" s="1272">
        <f>BX626+BX633+BX645</f>
        <v>0</v>
      </c>
      <c r="BY651" s="1273"/>
      <c r="BZ651" s="1273"/>
      <c r="CA651" s="1273"/>
      <c r="CB651" s="1274"/>
      <c r="CC651" s="1272">
        <f>CC626+CC633+CC645</f>
        <v>0</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4">
        <f>C625</f>
        <v>0</v>
      </c>
      <c r="H653" s="1264"/>
      <c r="I653" s="1264"/>
      <c r="J653" s="1264"/>
      <c r="K653" s="1264"/>
      <c r="L653" s="1264"/>
      <c r="M653" s="1264"/>
      <c r="N653" s="1264"/>
      <c r="O653" s="1264"/>
      <c r="P653" s="1264"/>
      <c r="Q653" s="1264"/>
      <c r="R653" s="1264"/>
      <c r="T653" s="61" t="s">
        <v>435</v>
      </c>
      <c r="U653" t="s">
        <v>82</v>
      </c>
      <c r="Z653" s="1264">
        <f>C626</f>
        <v>0</v>
      </c>
      <c r="AA653" s="1264"/>
      <c r="AB653" s="1264"/>
      <c r="AC653" s="1264"/>
      <c r="AD653" s="1264"/>
      <c r="AE653" s="1264"/>
      <c r="AF653" s="1264"/>
      <c r="AG653" s="1264"/>
      <c r="AH653" s="1264"/>
      <c r="AI653" s="1264"/>
      <c r="AJ653" s="1264"/>
      <c r="AK653" s="126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11"/>
      <c r="H654" s="1111"/>
      <c r="I654" s="1111"/>
      <c r="J654" s="1111"/>
      <c r="K654" s="1111"/>
      <c r="L654" s="1111"/>
      <c r="M654" s="1111"/>
      <c r="N654" s="1111"/>
      <c r="O654" s="1111"/>
      <c r="P654" s="1111"/>
      <c r="Q654" s="1111"/>
      <c r="R654" s="1111"/>
      <c r="T654" s="4"/>
      <c r="U654" t="s">
        <v>373</v>
      </c>
      <c r="Z654" s="1111"/>
      <c r="AA654" s="1111"/>
      <c r="AB654" s="1111"/>
      <c r="AC654" s="1111"/>
      <c r="AD654" s="1111"/>
      <c r="AE654" s="1111"/>
      <c r="AF654" s="1111"/>
      <c r="AG654" s="1111"/>
      <c r="AH654" s="1111"/>
      <c r="AI654" s="1111"/>
      <c r="AJ654" s="1111"/>
      <c r="AK654" s="111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11"/>
      <c r="H655" s="1111"/>
      <c r="I655" s="1111"/>
      <c r="J655" s="1111"/>
      <c r="K655" s="1111"/>
      <c r="L655" s="1111"/>
      <c r="M655" s="1111"/>
      <c r="N655" s="1111"/>
      <c r="O655" s="1111"/>
      <c r="P655" s="1111"/>
      <c r="Q655" s="1111"/>
      <c r="R655" s="1111"/>
      <c r="T655" s="4"/>
      <c r="U655" t="s">
        <v>431</v>
      </c>
      <c r="Z655" s="1262"/>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11"/>
      <c r="H656" s="1111"/>
      <c r="I656" s="1111"/>
      <c r="J656" s="1111"/>
      <c r="K656" s="1111"/>
      <c r="L656" s="1111"/>
      <c r="M656" s="1111"/>
      <c r="N656" s="1111"/>
      <c r="O656" s="1111"/>
      <c r="P656" s="1111"/>
      <c r="Q656" s="1111"/>
      <c r="R656" s="1111"/>
      <c r="T656" s="4"/>
      <c r="U656" t="s">
        <v>834</v>
      </c>
      <c r="Z656" s="1262"/>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8"/>
      <c r="H657" s="1268"/>
      <c r="I657" s="1268"/>
      <c r="J657" s="1268"/>
      <c r="K657" s="1268"/>
      <c r="L657" s="1268"/>
      <c r="O657" s="42" t="s">
        <v>819</v>
      </c>
      <c r="P657" s="1263"/>
      <c r="Q657" s="1263"/>
      <c r="R657" s="1263"/>
      <c r="T657" s="4"/>
      <c r="U657" t="s">
        <v>651</v>
      </c>
      <c r="Z657" s="1268"/>
      <c r="AA657" s="1268"/>
      <c r="AB657" s="1268"/>
      <c r="AC657" s="1268"/>
      <c r="AD657" s="1268"/>
      <c r="AE657" s="1268"/>
      <c r="AH657" s="42" t="s">
        <v>819</v>
      </c>
      <c r="AI657" s="1263"/>
      <c r="AJ657" s="1263"/>
      <c r="AK657" s="126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11"/>
      <c r="I658" s="1111"/>
      <c r="J658" s="1111"/>
      <c r="K658" s="1111"/>
      <c r="L658" s="1111"/>
      <c r="M658" s="1111"/>
      <c r="N658" s="1111"/>
      <c r="O658" s="1111"/>
      <c r="P658" s="1111"/>
      <c r="Q658" s="1111"/>
      <c r="R658" s="1111"/>
      <c r="T658" s="4"/>
      <c r="U658" t="s">
        <v>835</v>
      </c>
      <c r="AA658" s="1111"/>
      <c r="AB658" s="1111"/>
      <c r="AC658" s="1111"/>
      <c r="AD658" s="1111"/>
      <c r="AE658" s="1111"/>
      <c r="AF658" s="1111"/>
      <c r="AG658" s="1111"/>
      <c r="AH658" s="1111"/>
      <c r="AI658" s="1111"/>
      <c r="AJ658" s="1111"/>
      <c r="AK658" s="111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102" t="s">
        <v>483</v>
      </c>
      <c r="O659" s="1102"/>
      <c r="T659" s="4"/>
      <c r="U659" t="s">
        <v>837</v>
      </c>
      <c r="AG659" s="1102" t="s">
        <v>483</v>
      </c>
      <c r="AH659" s="110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4">
        <f>C627</f>
        <v>0</v>
      </c>
      <c r="H661" s="1264"/>
      <c r="I661" s="1264"/>
      <c r="J661" s="1264"/>
      <c r="K661" s="1264"/>
      <c r="L661" s="1264"/>
      <c r="M661" s="1264"/>
      <c r="N661" s="1264"/>
      <c r="O661" s="1264"/>
      <c r="P661" s="1264"/>
      <c r="Q661" s="1264"/>
      <c r="R661" s="1264"/>
      <c r="T661" s="61" t="s">
        <v>744</v>
      </c>
      <c r="U661" t="s">
        <v>82</v>
      </c>
      <c r="Z661" s="1264">
        <f>C628</f>
        <v>0</v>
      </c>
      <c r="AA661" s="1264"/>
      <c r="AB661" s="1264"/>
      <c r="AC661" s="1264"/>
      <c r="AD661" s="1264"/>
      <c r="AE661" s="1264"/>
      <c r="AF661" s="1264"/>
      <c r="AG661" s="1264"/>
      <c r="AH661" s="1264"/>
      <c r="AI661" s="1264"/>
      <c r="AJ661" s="1264"/>
      <c r="AK661" s="126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11"/>
      <c r="H662" s="1111"/>
      <c r="I662" s="1111"/>
      <c r="J662" s="1111"/>
      <c r="K662" s="1111"/>
      <c r="L662" s="1111"/>
      <c r="M662" s="1111"/>
      <c r="N662" s="1111"/>
      <c r="O662" s="1111"/>
      <c r="P662" s="1111"/>
      <c r="Q662" s="1111"/>
      <c r="R662" s="1111"/>
      <c r="T662" s="4"/>
      <c r="U662" t="s">
        <v>373</v>
      </c>
      <c r="Z662" s="1111"/>
      <c r="AA662" s="1111"/>
      <c r="AB662" s="1111"/>
      <c r="AC662" s="1111"/>
      <c r="AD662" s="1111"/>
      <c r="AE662" s="1111"/>
      <c r="AF662" s="1111"/>
      <c r="AG662" s="1111"/>
      <c r="AH662" s="1111"/>
      <c r="AI662" s="1111"/>
      <c r="AJ662" s="1111"/>
      <c r="AK662" s="111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11"/>
      <c r="H663" s="1111"/>
      <c r="I663" s="1111"/>
      <c r="J663" s="1111"/>
      <c r="K663" s="1111"/>
      <c r="L663" s="1111"/>
      <c r="M663" s="1111"/>
      <c r="N663" s="1111"/>
      <c r="O663" s="1111"/>
      <c r="P663" s="1111"/>
      <c r="Q663" s="1111"/>
      <c r="R663" s="1111"/>
      <c r="T663" s="4"/>
      <c r="U663" t="s">
        <v>431</v>
      </c>
      <c r="Z663" s="1262"/>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11"/>
      <c r="H664" s="1111"/>
      <c r="I664" s="1111"/>
      <c r="J664" s="1111"/>
      <c r="K664" s="1111"/>
      <c r="L664" s="1111"/>
      <c r="M664" s="1111"/>
      <c r="N664" s="1111"/>
      <c r="O664" s="1111"/>
      <c r="P664" s="1111"/>
      <c r="Q664" s="1111"/>
      <c r="R664" s="1111"/>
      <c r="T664" s="4"/>
      <c r="U664" t="s">
        <v>834</v>
      </c>
      <c r="Z664" s="1262"/>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8"/>
      <c r="H665" s="1268"/>
      <c r="I665" s="1268"/>
      <c r="J665" s="1268"/>
      <c r="K665" s="1268"/>
      <c r="L665" s="1268"/>
      <c r="O665" s="42" t="s">
        <v>819</v>
      </c>
      <c r="P665" s="1263"/>
      <c r="Q665" s="1263"/>
      <c r="R665" s="1263"/>
      <c r="T665" s="4"/>
      <c r="U665" t="s">
        <v>651</v>
      </c>
      <c r="Z665" s="1268"/>
      <c r="AA665" s="1268"/>
      <c r="AB665" s="1268"/>
      <c r="AC665" s="1268"/>
      <c r="AD665" s="1268"/>
      <c r="AE665" s="1268"/>
      <c r="AH665" s="42" t="s">
        <v>819</v>
      </c>
      <c r="AI665" s="1263"/>
      <c r="AJ665" s="1263"/>
      <c r="AK665" s="126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11"/>
      <c r="I666" s="1111"/>
      <c r="J666" s="1111"/>
      <c r="K666" s="1111"/>
      <c r="L666" s="1111"/>
      <c r="M666" s="1111"/>
      <c r="N666" s="1111"/>
      <c r="O666" s="1111"/>
      <c r="P666" s="1111"/>
      <c r="Q666" s="1111"/>
      <c r="R666" s="1111"/>
      <c r="T666" s="4"/>
      <c r="U666" t="s">
        <v>835</v>
      </c>
      <c r="AA666" s="1111"/>
      <c r="AB666" s="1111"/>
      <c r="AC666" s="1111"/>
      <c r="AD666" s="1111"/>
      <c r="AE666" s="1111"/>
      <c r="AF666" s="1111"/>
      <c r="AG666" s="1111"/>
      <c r="AH666" s="1111"/>
      <c r="AI666" s="1111"/>
      <c r="AJ666" s="1111"/>
      <c r="AK666" s="111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102" t="s">
        <v>483</v>
      </c>
      <c r="O667" s="1102"/>
      <c r="T667" s="4"/>
      <c r="U667" t="s">
        <v>837</v>
      </c>
      <c r="AG667" s="1102" t="s">
        <v>483</v>
      </c>
      <c r="AH667" s="110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4">
        <f>C629</f>
        <v>0</v>
      </c>
      <c r="H669" s="1264"/>
      <c r="I669" s="1264"/>
      <c r="J669" s="1264"/>
      <c r="K669" s="1264"/>
      <c r="L669" s="1264"/>
      <c r="M669" s="1264"/>
      <c r="N669" s="1264"/>
      <c r="O669" s="1264"/>
      <c r="P669" s="1264"/>
      <c r="Q669" s="1264"/>
      <c r="R669" s="1264"/>
      <c r="T669" s="61" t="s">
        <v>174</v>
      </c>
      <c r="U669" t="s">
        <v>82</v>
      </c>
      <c r="Z669" s="1264">
        <f>C630</f>
        <v>0</v>
      </c>
      <c r="AA669" s="1264"/>
      <c r="AB669" s="1264"/>
      <c r="AC669" s="1264"/>
      <c r="AD669" s="1264"/>
      <c r="AE669" s="1264"/>
      <c r="AF669" s="1264"/>
      <c r="AG669" s="1264"/>
      <c r="AH669" s="1264"/>
      <c r="AI669" s="1264"/>
      <c r="AJ669" s="1264"/>
      <c r="AK669" s="126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11"/>
      <c r="H670" s="1111"/>
      <c r="I670" s="1111"/>
      <c r="J670" s="1111"/>
      <c r="K670" s="1111"/>
      <c r="L670" s="1111"/>
      <c r="M670" s="1111"/>
      <c r="N670" s="1111"/>
      <c r="O670" s="1111"/>
      <c r="P670" s="1111"/>
      <c r="Q670" s="1111"/>
      <c r="R670" s="1111"/>
      <c r="T670" s="4"/>
      <c r="U670" t="s">
        <v>373</v>
      </c>
      <c r="Z670" s="1111"/>
      <c r="AA670" s="1111"/>
      <c r="AB670" s="1111"/>
      <c r="AC670" s="1111"/>
      <c r="AD670" s="1111"/>
      <c r="AE670" s="1111"/>
      <c r="AF670" s="1111"/>
      <c r="AG670" s="1111"/>
      <c r="AH670" s="1111"/>
      <c r="AI670" s="1111"/>
      <c r="AJ670" s="1111"/>
      <c r="AK670" s="111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11"/>
      <c r="H671" s="1111"/>
      <c r="I671" s="1111"/>
      <c r="J671" s="1111"/>
      <c r="K671" s="1111"/>
      <c r="L671" s="1111"/>
      <c r="M671" s="1111"/>
      <c r="N671" s="1111"/>
      <c r="O671" s="1111"/>
      <c r="P671" s="1111"/>
      <c r="Q671" s="1111"/>
      <c r="R671" s="1111"/>
      <c r="T671" s="4"/>
      <c r="U671" t="s">
        <v>431</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11"/>
      <c r="H672" s="1111"/>
      <c r="I672" s="1111"/>
      <c r="J672" s="1111"/>
      <c r="K672" s="1111"/>
      <c r="L672" s="1111"/>
      <c r="M672" s="1111"/>
      <c r="N672" s="1111"/>
      <c r="O672" s="1111"/>
      <c r="P672" s="1111"/>
      <c r="Q672" s="1111"/>
      <c r="R672" s="1111"/>
      <c r="T672" s="4"/>
      <c r="U672" t="s">
        <v>834</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8"/>
      <c r="H673" s="1268"/>
      <c r="I673" s="1268"/>
      <c r="J673" s="1268"/>
      <c r="K673" s="1268"/>
      <c r="L673" s="1268"/>
      <c r="O673" s="42" t="s">
        <v>819</v>
      </c>
      <c r="P673" s="1263"/>
      <c r="Q673" s="1263"/>
      <c r="R673" s="1263"/>
      <c r="T673" s="4"/>
      <c r="U673" t="s">
        <v>651</v>
      </c>
      <c r="Z673" s="1268"/>
      <c r="AA673" s="1268"/>
      <c r="AB673" s="1268"/>
      <c r="AC673" s="1268"/>
      <c r="AD673" s="1268"/>
      <c r="AE673" s="1268"/>
      <c r="AH673" s="42" t="s">
        <v>819</v>
      </c>
      <c r="AI673" s="1263"/>
      <c r="AJ673" s="1263"/>
      <c r="AK673" s="126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11"/>
      <c r="I674" s="1111"/>
      <c r="J674" s="1111"/>
      <c r="K674" s="1111"/>
      <c r="L674" s="1111"/>
      <c r="M674" s="1111"/>
      <c r="N674" s="1111"/>
      <c r="O674" s="1111"/>
      <c r="P674" s="1111"/>
      <c r="Q674" s="1111"/>
      <c r="R674" s="1111"/>
      <c r="T674" s="4"/>
      <c r="U674" t="s">
        <v>835</v>
      </c>
      <c r="AA674" s="1111"/>
      <c r="AB674" s="1111"/>
      <c r="AC674" s="1111"/>
      <c r="AD674" s="1111"/>
      <c r="AE674" s="1111"/>
      <c r="AF674" s="1111"/>
      <c r="AG674" s="1111"/>
      <c r="AH674" s="1111"/>
      <c r="AI674" s="1111"/>
      <c r="AJ674" s="1111"/>
      <c r="AK674" s="111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102" t="s">
        <v>483</v>
      </c>
      <c r="O675" s="1102"/>
      <c r="T675" s="4"/>
      <c r="U675" t="s">
        <v>837</v>
      </c>
      <c r="AG675" s="1102" t="s">
        <v>483</v>
      </c>
      <c r="AH675" s="110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4">
        <f>C631</f>
        <v>0</v>
      </c>
      <c r="H677" s="1264"/>
      <c r="I677" s="1264"/>
      <c r="J677" s="1264"/>
      <c r="K677" s="1264"/>
      <c r="L677" s="1264"/>
      <c r="M677" s="1264"/>
      <c r="N677" s="1264"/>
      <c r="O677" s="1264"/>
      <c r="P677" s="1264"/>
      <c r="Q677" s="1264"/>
      <c r="R677" s="1264"/>
      <c r="T677" s="61" t="s">
        <v>33</v>
      </c>
      <c r="U677" t="s">
        <v>82</v>
      </c>
      <c r="Z677" s="1264">
        <f>C632</f>
        <v>0</v>
      </c>
      <c r="AA677" s="1264"/>
      <c r="AB677" s="1264"/>
      <c r="AC677" s="1264"/>
      <c r="AD677" s="1264"/>
      <c r="AE677" s="1264"/>
      <c r="AF677" s="1264"/>
      <c r="AG677" s="1264"/>
      <c r="AH677" s="1264"/>
      <c r="AI677" s="1264"/>
      <c r="AJ677" s="1264"/>
      <c r="AK677" s="1264"/>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11"/>
      <c r="H678" s="1111"/>
      <c r="I678" s="1111"/>
      <c r="J678" s="1111"/>
      <c r="K678" s="1111"/>
      <c r="L678" s="1111"/>
      <c r="M678" s="1111"/>
      <c r="N678" s="1111"/>
      <c r="O678" s="1111"/>
      <c r="P678" s="1111"/>
      <c r="Q678" s="1111"/>
      <c r="R678" s="1111"/>
      <c r="T678" s="4"/>
      <c r="U678" t="s">
        <v>373</v>
      </c>
      <c r="Z678" s="1111"/>
      <c r="AA678" s="1111"/>
      <c r="AB678" s="1111"/>
      <c r="AC678" s="1111"/>
      <c r="AD678" s="1111"/>
      <c r="AE678" s="1111"/>
      <c r="AF678" s="1111"/>
      <c r="AG678" s="1111"/>
      <c r="AH678" s="1111"/>
      <c r="AI678" s="1111"/>
      <c r="AJ678" s="1111"/>
      <c r="AK678" s="1111"/>
      <c r="AM678" s="43"/>
      <c r="BA678" s="43">
        <f>IF($G695=0,"N/A",VLOOKUP($T$189,TC_Rent,(MATCH($B695,bedrooms,FALSE))))</f>
        <v>2146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11"/>
      <c r="H679" s="1111"/>
      <c r="I679" s="1111"/>
      <c r="J679" s="1111"/>
      <c r="K679" s="1111"/>
      <c r="L679" s="1111"/>
      <c r="M679" s="1111"/>
      <c r="N679" s="1111"/>
      <c r="O679" s="1111"/>
      <c r="P679" s="1111"/>
      <c r="Q679" s="1111"/>
      <c r="R679" s="1111"/>
      <c r="U679" t="s">
        <v>431</v>
      </c>
      <c r="Z679" s="1262"/>
      <c r="AA679" s="1262"/>
      <c r="AB679" s="1262"/>
      <c r="AC679" s="1262"/>
      <c r="AD679" s="1262"/>
      <c r="AE679" s="1262"/>
      <c r="AF679" s="1262"/>
      <c r="AG679" s="1262"/>
      <c r="AH679" s="1262"/>
      <c r="AI679" s="1262"/>
      <c r="AJ679" s="1262"/>
      <c r="AK679" s="1262"/>
      <c r="AM679" s="43"/>
      <c r="BA679" s="43">
        <f t="shared" ref="BA679:BA701" si="45">IF($G696=0,"N/A",VLOOKUP($T$189,TC_Rent,(MATCH($B696,bedrooms,FALSE))))</f>
        <v>2146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11"/>
      <c r="H680" s="1111"/>
      <c r="I680" s="1111"/>
      <c r="J680" s="1111"/>
      <c r="K680" s="1111"/>
      <c r="L680" s="1111"/>
      <c r="M680" s="1111"/>
      <c r="N680" s="1111"/>
      <c r="O680" s="1111"/>
      <c r="P680" s="1111"/>
      <c r="Q680" s="1111"/>
      <c r="R680" s="1111"/>
      <c r="U680" t="s">
        <v>834</v>
      </c>
      <c r="Z680" s="1262"/>
      <c r="AA680" s="1262"/>
      <c r="AB680" s="1262"/>
      <c r="AC680" s="1262"/>
      <c r="AD680" s="1262"/>
      <c r="AE680" s="1262"/>
      <c r="AF680" s="1262"/>
      <c r="AG680" s="1262"/>
      <c r="AH680" s="1262"/>
      <c r="AI680" s="1262"/>
      <c r="AJ680" s="1262"/>
      <c r="AK680" s="1262"/>
      <c r="AM680" s="43"/>
      <c r="BA680" s="43">
        <f t="shared" si="45"/>
        <v>2146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8"/>
      <c r="H681" s="1268"/>
      <c r="I681" s="1268"/>
      <c r="J681" s="1268"/>
      <c r="K681" s="1268"/>
      <c r="L681" s="1268"/>
      <c r="O681" s="42" t="s">
        <v>819</v>
      </c>
      <c r="P681" s="1263"/>
      <c r="Q681" s="1263"/>
      <c r="R681" s="1263"/>
      <c r="U681" t="s">
        <v>651</v>
      </c>
      <c r="Z681" s="1268"/>
      <c r="AA681" s="1268"/>
      <c r="AB681" s="1268"/>
      <c r="AC681" s="1268"/>
      <c r="AD681" s="1268"/>
      <c r="AE681" s="1268"/>
      <c r="AH681" s="42" t="s">
        <v>819</v>
      </c>
      <c r="AI681" s="1263"/>
      <c r="AJ681" s="1263"/>
      <c r="AK681" s="1263"/>
      <c r="AM681" s="43"/>
      <c r="BA681" s="43" t="str">
        <f t="shared" si="45"/>
        <v>N/A</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11"/>
      <c r="I682" s="1111"/>
      <c r="J682" s="1111"/>
      <c r="K682" s="1111"/>
      <c r="L682" s="1111"/>
      <c r="M682" s="1111"/>
      <c r="N682" s="1111"/>
      <c r="O682" s="1111"/>
      <c r="P682" s="1111"/>
      <c r="Q682" s="1111"/>
      <c r="R682" s="1111"/>
      <c r="U682" t="s">
        <v>835</v>
      </c>
      <c r="AA682" s="1111"/>
      <c r="AB682" s="1111"/>
      <c r="AC682" s="1111"/>
      <c r="AD682" s="1111"/>
      <c r="AE682" s="1111"/>
      <c r="AF682" s="1111"/>
      <c r="AG682" s="1111"/>
      <c r="AH682" s="1111"/>
      <c r="AI682" s="1111"/>
      <c r="AJ682" s="1111"/>
      <c r="AK682" s="1111"/>
      <c r="AM682" s="41"/>
      <c r="BA682" s="43">
        <f t="shared" si="45"/>
        <v>2146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102" t="s">
        <v>483</v>
      </c>
      <c r="O683" s="1102"/>
      <c r="U683" t="s">
        <v>837</v>
      </c>
      <c r="AG683" s="1102" t="s">
        <v>483</v>
      </c>
      <c r="AH683" s="1102"/>
      <c r="AM683" s="41"/>
      <c r="BA683" s="43">
        <f t="shared" si="45"/>
        <v>2146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t="str">
        <f t="shared" si="45"/>
        <v>N/A</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7" t="s">
        <v>127</v>
      </c>
      <c r="B686" s="1087"/>
      <c r="C686" s="1087"/>
      <c r="D686" s="1087"/>
      <c r="E686" s="1087"/>
      <c r="F686" s="1087"/>
      <c r="G686" s="1087"/>
      <c r="H686" s="1087"/>
      <c r="I686" s="1087"/>
      <c r="J686" s="1087"/>
      <c r="K686" s="1087"/>
      <c r="L686" s="1087"/>
      <c r="M686" s="1087"/>
      <c r="N686" s="1087"/>
      <c r="O686" s="1087"/>
      <c r="P686" s="1087"/>
      <c r="Q686" s="1087"/>
      <c r="R686" s="1087"/>
      <c r="S686" s="1087"/>
      <c r="T686" s="1087"/>
      <c r="U686" s="1087"/>
      <c r="V686" s="1087"/>
      <c r="W686" s="1087"/>
      <c r="X686" s="1087"/>
      <c r="Y686" s="1087"/>
      <c r="Z686" s="1087"/>
      <c r="AA686" s="1087"/>
      <c r="AB686" s="1087"/>
      <c r="AC686" s="1087"/>
      <c r="AD686" s="1087"/>
      <c r="AE686" s="1087"/>
      <c r="AF686" s="1087"/>
      <c r="AG686" s="1087"/>
      <c r="AH686" s="1087"/>
      <c r="AI686" s="1087"/>
      <c r="AJ686" s="1087"/>
      <c r="AK686" s="1087"/>
      <c r="AL686" s="1087"/>
      <c r="AM686" s="1087"/>
      <c r="AN686" s="1087"/>
      <c r="AO686" s="1087"/>
      <c r="AP686" s="1087"/>
      <c r="AQ686" s="1087"/>
      <c r="AR686" s="1087"/>
      <c r="AS686" s="1087"/>
      <c r="AT686" s="1087"/>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7"/>
      <c r="B687" s="1087"/>
      <c r="C687" s="1087"/>
      <c r="D687" s="1087"/>
      <c r="E687" s="1087"/>
      <c r="F687" s="1087"/>
      <c r="G687" s="1087"/>
      <c r="H687" s="1087"/>
      <c r="I687" s="1087"/>
      <c r="J687" s="1087"/>
      <c r="K687" s="1087"/>
      <c r="L687" s="1087"/>
      <c r="M687" s="1087"/>
      <c r="N687" s="1087"/>
      <c r="O687" s="1087"/>
      <c r="P687" s="1087"/>
      <c r="Q687" s="1087"/>
      <c r="R687" s="1087"/>
      <c r="S687" s="1087"/>
      <c r="T687" s="1087"/>
      <c r="U687" s="1087"/>
      <c r="V687" s="1087"/>
      <c r="W687" s="1087"/>
      <c r="X687" s="1087"/>
      <c r="Y687" s="1087"/>
      <c r="Z687" s="1087"/>
      <c r="AA687" s="1087"/>
      <c r="AB687" s="1087"/>
      <c r="AC687" s="1087"/>
      <c r="AD687" s="1087"/>
      <c r="AE687" s="1087"/>
      <c r="AF687" s="1087"/>
      <c r="AG687" s="1087"/>
      <c r="AH687" s="1087"/>
      <c r="AI687" s="1087"/>
      <c r="AJ687" s="1087"/>
      <c r="AK687" s="1087"/>
      <c r="AL687" s="1087"/>
      <c r="AM687" s="1087"/>
      <c r="AN687" s="1087"/>
      <c r="AO687" s="1087"/>
      <c r="AP687" s="1087"/>
      <c r="AQ687" s="1087"/>
      <c r="AR687" s="1087"/>
      <c r="AS687" s="1087"/>
      <c r="AT687" s="1087"/>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7"/>
      <c r="B688" s="1087"/>
      <c r="C688" s="1087"/>
      <c r="D688" s="1087"/>
      <c r="E688" s="1087"/>
      <c r="F688" s="1087"/>
      <c r="G688" s="1087"/>
      <c r="H688" s="1087"/>
      <c r="I688" s="1087"/>
      <c r="J688" s="1087"/>
      <c r="K688" s="1087"/>
      <c r="L688" s="1087"/>
      <c r="M688" s="1087"/>
      <c r="N688" s="1087"/>
      <c r="O688" s="1087"/>
      <c r="P688" s="1087"/>
      <c r="Q688" s="1087"/>
      <c r="R688" s="1087"/>
      <c r="S688" s="1087"/>
      <c r="T688" s="1087"/>
      <c r="U688" s="1087"/>
      <c r="V688" s="1087"/>
      <c r="W688" s="1087"/>
      <c r="X688" s="1087"/>
      <c r="Y688" s="1087"/>
      <c r="Z688" s="1087"/>
      <c r="AA688" s="1087"/>
      <c r="AB688" s="1087"/>
      <c r="AC688" s="1087"/>
      <c r="AD688" s="1087"/>
      <c r="AE688" s="1087"/>
      <c r="AF688" s="1087"/>
      <c r="AG688" s="1087"/>
      <c r="AH688" s="1087"/>
      <c r="AI688" s="1087"/>
      <c r="AJ688" s="1087"/>
      <c r="AK688" s="1087"/>
      <c r="AL688" s="1087"/>
      <c r="AM688" s="1087"/>
      <c r="AN688" s="1087"/>
      <c r="AO688" s="1087"/>
      <c r="AP688" s="1087"/>
      <c r="AQ688" s="1087"/>
      <c r="AR688" s="1087"/>
      <c r="AS688" s="1087"/>
      <c r="AT688" s="1087"/>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5">
        <f t="shared" ref="BG689:BG712" si="46">G695</f>
        <v>6</v>
      </c>
      <c r="BH689" s="452">
        <f>IF($BG$714=0,"",BG689/$BG$714)</f>
        <v>0.10714285714285714</v>
      </c>
      <c r="BI689" s="453">
        <f>IF(BH689="","",BH689*AH695)</f>
        <v>3.214285714285714E-2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3</v>
      </c>
      <c r="BH690" s="452">
        <f t="shared" ref="BH690:BH713" si="47">IF($BG$714=0,"",BG690/$BG$714)</f>
        <v>5.3571428571428568E-2</v>
      </c>
      <c r="BI690" s="453">
        <f t="shared" ref="BI690:BI713" si="48">IF(BH690="","",BH690*AH696)</f>
        <v>1.607142857142857E-2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3" t="s">
        <v>54</v>
      </c>
      <c r="C691" s="1244"/>
      <c r="D691" s="1244"/>
      <c r="E691" s="1244"/>
      <c r="F691" s="1245"/>
      <c r="G691" s="1243" t="s">
        <v>256</v>
      </c>
      <c r="H691" s="1244"/>
      <c r="I691" s="1244"/>
      <c r="J691" s="1245"/>
      <c r="K691" s="1234" t="s">
        <v>1997</v>
      </c>
      <c r="L691" s="1235"/>
      <c r="M691" s="1235"/>
      <c r="N691" s="1236"/>
      <c r="O691" s="1243" t="s">
        <v>590</v>
      </c>
      <c r="P691" s="1244"/>
      <c r="Q691" s="1244"/>
      <c r="R691" s="1244"/>
      <c r="S691" s="1245"/>
      <c r="T691" s="1243" t="s">
        <v>257</v>
      </c>
      <c r="U691" s="1244"/>
      <c r="V691" s="1244"/>
      <c r="W691" s="1244"/>
      <c r="X691" s="1245"/>
      <c r="Y691" s="1243" t="s">
        <v>258</v>
      </c>
      <c r="Z691" s="1244"/>
      <c r="AA691" s="1244"/>
      <c r="AB691" s="1245"/>
      <c r="AC691" s="1243" t="s">
        <v>259</v>
      </c>
      <c r="AD691" s="1244"/>
      <c r="AE691" s="1244"/>
      <c r="AF691" s="1244"/>
      <c r="AG691" s="1245"/>
      <c r="AH691" s="1243" t="s">
        <v>1998</v>
      </c>
      <c r="AI691" s="1244"/>
      <c r="AJ691" s="1244"/>
      <c r="AK691" s="1244"/>
      <c r="AL691" s="1245"/>
      <c r="AM691" s="1243" t="s">
        <v>1999</v>
      </c>
      <c r="AN691" s="1244"/>
      <c r="AO691" s="1245"/>
      <c r="BA691" s="43" t="str">
        <f t="shared" si="45"/>
        <v>N/A</v>
      </c>
      <c r="BB691" s="41"/>
      <c r="BC691" s="41"/>
      <c r="BD691" s="41"/>
      <c r="BE691" s="41"/>
      <c r="BF691" s="41"/>
      <c r="BG691" s="446">
        <f t="shared" si="46"/>
        <v>3</v>
      </c>
      <c r="BH691" s="452">
        <f t="shared" si="47"/>
        <v>5.3571428571428568E-2</v>
      </c>
      <c r="BI691" s="453">
        <f t="shared" si="48"/>
        <v>1.607142857142857E-2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A692" s="43" t="str">
        <f t="shared" si="45"/>
        <v>N/A</v>
      </c>
      <c r="BB692" s="41"/>
      <c r="BC692" s="41"/>
      <c r="BD692" s="41"/>
      <c r="BE692" s="41"/>
      <c r="BF692" s="41"/>
      <c r="BG692" s="446">
        <f t="shared" si="46"/>
        <v>0</v>
      </c>
      <c r="BH692" s="452">
        <f t="shared" si="47"/>
        <v>0</v>
      </c>
      <c r="BI692" s="453">
        <f t="shared" si="48"/>
        <v>0</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BA693" s="43" t="str">
        <f t="shared" si="45"/>
        <v>N/A</v>
      </c>
      <c r="BB693" s="41"/>
      <c r="BC693" s="41"/>
      <c r="BD693" s="41"/>
      <c r="BE693" s="41"/>
      <c r="BF693" s="41"/>
      <c r="BG693" s="446">
        <f t="shared" si="46"/>
        <v>42</v>
      </c>
      <c r="BH693" s="452">
        <f t="shared" si="47"/>
        <v>0.75</v>
      </c>
      <c r="BI693" s="453">
        <f t="shared" si="48"/>
        <v>0.375</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BA694" s="43" t="str">
        <f t="shared" si="45"/>
        <v>N/A</v>
      </c>
      <c r="BB694" s="41"/>
      <c r="BC694" s="41"/>
      <c r="BD694" s="41"/>
      <c r="BE694" s="41"/>
      <c r="BF694" s="41"/>
      <c r="BG694" s="446">
        <f t="shared" si="46"/>
        <v>2</v>
      </c>
      <c r="BH694" s="452">
        <f t="shared" si="47"/>
        <v>3.5714285714285712E-2</v>
      </c>
      <c r="BI694" s="453">
        <f t="shared" si="48"/>
        <v>1.7857142857142856E-2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5" t="s">
        <v>443</v>
      </c>
      <c r="C695" s="1336"/>
      <c r="D695" s="1336"/>
      <c r="E695" s="1336"/>
      <c r="F695" s="1337"/>
      <c r="G695" s="1265">
        <f>6</f>
        <v>6</v>
      </c>
      <c r="H695" s="1266"/>
      <c r="I695" s="1266"/>
      <c r="J695" s="1267"/>
      <c r="K695" s="1252">
        <v>523</v>
      </c>
      <c r="L695" s="1253"/>
      <c r="M695" s="1253"/>
      <c r="N695" s="1254"/>
      <c r="O695" s="1255">
        <f>643-17</f>
        <v>626</v>
      </c>
      <c r="P695" s="1256"/>
      <c r="Q695" s="1256"/>
      <c r="R695" s="1256"/>
      <c r="S695" s="1257"/>
      <c r="T695" s="1228">
        <f t="shared" ref="T695:T729" si="49">G695*O695</f>
        <v>3756</v>
      </c>
      <c r="U695" s="1229"/>
      <c r="V695" s="1229"/>
      <c r="W695" s="1229"/>
      <c r="X695" s="1230"/>
      <c r="Y695" s="1255">
        <v>17</v>
      </c>
      <c r="Z695" s="1256"/>
      <c r="AA695" s="1256"/>
      <c r="AB695" s="1257"/>
      <c r="AC695" s="1228">
        <f t="shared" ref="AC695:AC729" si="50">O695+Y695</f>
        <v>643</v>
      </c>
      <c r="AD695" s="1229"/>
      <c r="AE695" s="1229"/>
      <c r="AF695" s="1229"/>
      <c r="AG695" s="1230"/>
      <c r="AH695" s="1469">
        <v>0.3</v>
      </c>
      <c r="AI695" s="1470"/>
      <c r="AJ695" s="1470"/>
      <c r="AK695" s="1470"/>
      <c r="AL695" s="1471"/>
      <c r="AM695" s="1225">
        <f>IF($AH695&gt;0,($AC695/$BA678),"")</f>
        <v>0.2996272134203169</v>
      </c>
      <c r="AN695" s="1226"/>
      <c r="AO695" s="1227"/>
      <c r="BA695" s="43" t="str">
        <f t="shared" si="45"/>
        <v>N/A</v>
      </c>
      <c r="BB695" s="41"/>
      <c r="BC695" s="41"/>
      <c r="BD695" s="41"/>
      <c r="BE695" s="41"/>
      <c r="BF695" s="41"/>
      <c r="BG695" s="446">
        <f t="shared" si="46"/>
        <v>0</v>
      </c>
      <c r="BH695" s="452">
        <f t="shared" si="47"/>
        <v>0</v>
      </c>
      <c r="BI695" s="453">
        <f t="shared" si="48"/>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5" t="s">
        <v>443</v>
      </c>
      <c r="C696" s="1336"/>
      <c r="D696" s="1336"/>
      <c r="E696" s="1336"/>
      <c r="F696" s="1337"/>
      <c r="G696" s="1265">
        <v>3</v>
      </c>
      <c r="H696" s="1266"/>
      <c r="I696" s="1266"/>
      <c r="J696" s="1267"/>
      <c r="K696" s="1252">
        <v>576</v>
      </c>
      <c r="L696" s="1253"/>
      <c r="M696" s="1253"/>
      <c r="N696" s="1254"/>
      <c r="O696" s="1255">
        <f>643-17</f>
        <v>626</v>
      </c>
      <c r="P696" s="1256"/>
      <c r="Q696" s="1256"/>
      <c r="R696" s="1256"/>
      <c r="S696" s="1257"/>
      <c r="T696" s="1228">
        <f t="shared" si="49"/>
        <v>1878</v>
      </c>
      <c r="U696" s="1229"/>
      <c r="V696" s="1229"/>
      <c r="W696" s="1229"/>
      <c r="X696" s="1230"/>
      <c r="Y696" s="1255">
        <v>17</v>
      </c>
      <c r="Z696" s="1256"/>
      <c r="AA696" s="1256"/>
      <c r="AB696" s="1257"/>
      <c r="AC696" s="1228">
        <f t="shared" si="50"/>
        <v>643</v>
      </c>
      <c r="AD696" s="1229"/>
      <c r="AE696" s="1229"/>
      <c r="AF696" s="1229"/>
      <c r="AG696" s="1230"/>
      <c r="AH696" s="1259">
        <v>0.3</v>
      </c>
      <c r="AI696" s="1260"/>
      <c r="AJ696" s="1260"/>
      <c r="AK696" s="1260"/>
      <c r="AL696" s="1261"/>
      <c r="AM696" s="1225">
        <f t="shared" ref="AM696:AM728" si="51">IF($AH696&gt;0,($AC696/$BA679), "")</f>
        <v>0.2996272134203169</v>
      </c>
      <c r="AN696" s="1226"/>
      <c r="AO696" s="1227"/>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5" t="s">
        <v>443</v>
      </c>
      <c r="C697" s="1336"/>
      <c r="D697" s="1336"/>
      <c r="E697" s="1336"/>
      <c r="F697" s="1337"/>
      <c r="G697" s="1265">
        <v>3</v>
      </c>
      <c r="H697" s="1266"/>
      <c r="I697" s="1266"/>
      <c r="J697" s="1267"/>
      <c r="K697" s="1252">
        <v>579</v>
      </c>
      <c r="L697" s="1253"/>
      <c r="M697" s="1253"/>
      <c r="N697" s="1254"/>
      <c r="O697" s="1255">
        <f>643-17</f>
        <v>626</v>
      </c>
      <c r="P697" s="1256"/>
      <c r="Q697" s="1256"/>
      <c r="R697" s="1256"/>
      <c r="S697" s="1257"/>
      <c r="T697" s="1228">
        <f t="shared" si="49"/>
        <v>1878</v>
      </c>
      <c r="U697" s="1229"/>
      <c r="V697" s="1229"/>
      <c r="W697" s="1229"/>
      <c r="X697" s="1230"/>
      <c r="Y697" s="1255">
        <v>17</v>
      </c>
      <c r="Z697" s="1256"/>
      <c r="AA697" s="1256"/>
      <c r="AB697" s="1257"/>
      <c r="AC697" s="1228">
        <f t="shared" si="50"/>
        <v>643</v>
      </c>
      <c r="AD697" s="1229"/>
      <c r="AE697" s="1229"/>
      <c r="AF697" s="1229"/>
      <c r="AG697" s="1230"/>
      <c r="AH697" s="1259">
        <v>0.3</v>
      </c>
      <c r="AI697" s="1260"/>
      <c r="AJ697" s="1260"/>
      <c r="AK697" s="1260"/>
      <c r="AL697" s="1261"/>
      <c r="AM697" s="1225">
        <f t="shared" si="51"/>
        <v>0.2996272134203169</v>
      </c>
      <c r="AN697" s="1226"/>
      <c r="AO697" s="1227"/>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5"/>
      <c r="C698" s="1336"/>
      <c r="D698" s="1336"/>
      <c r="E698" s="1336"/>
      <c r="F698" s="1337"/>
      <c r="G698" s="1265"/>
      <c r="H698" s="1266"/>
      <c r="I698" s="1266"/>
      <c r="J698" s="1267"/>
      <c r="K698" s="1252"/>
      <c r="L698" s="1253"/>
      <c r="M698" s="1253"/>
      <c r="N698" s="1254"/>
      <c r="O698" s="1255"/>
      <c r="P698" s="1256"/>
      <c r="Q698" s="1256"/>
      <c r="R698" s="1256"/>
      <c r="S698" s="1257"/>
      <c r="T698" s="1228">
        <f t="shared" si="49"/>
        <v>0</v>
      </c>
      <c r="U698" s="1229"/>
      <c r="V698" s="1229"/>
      <c r="W698" s="1229"/>
      <c r="X698" s="1230"/>
      <c r="Y698" s="1255"/>
      <c r="Z698" s="1256"/>
      <c r="AA698" s="1256"/>
      <c r="AB698" s="1257"/>
      <c r="AC698" s="1228">
        <f t="shared" si="50"/>
        <v>0</v>
      </c>
      <c r="AD698" s="1229"/>
      <c r="AE698" s="1229"/>
      <c r="AF698" s="1229"/>
      <c r="AG698" s="1230"/>
      <c r="AH698" s="1259"/>
      <c r="AI698" s="1260"/>
      <c r="AJ698" s="1260"/>
      <c r="AK698" s="1260"/>
      <c r="AL698" s="1261"/>
      <c r="AM698" s="1225" t="str">
        <f t="shared" si="51"/>
        <v/>
      </c>
      <c r="AN698" s="1226"/>
      <c r="AO698" s="1227"/>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5" t="s">
        <v>443</v>
      </c>
      <c r="C699" s="1336"/>
      <c r="D699" s="1336"/>
      <c r="E699" s="1336"/>
      <c r="F699" s="1337"/>
      <c r="G699" s="1265">
        <v>42</v>
      </c>
      <c r="H699" s="1266"/>
      <c r="I699" s="1266"/>
      <c r="J699" s="1267"/>
      <c r="K699" s="1252">
        <v>523</v>
      </c>
      <c r="L699" s="1253"/>
      <c r="M699" s="1253"/>
      <c r="N699" s="1254"/>
      <c r="O699" s="1255">
        <v>1056</v>
      </c>
      <c r="P699" s="1256"/>
      <c r="Q699" s="1256"/>
      <c r="R699" s="1256"/>
      <c r="S699" s="1257"/>
      <c r="T699" s="1228">
        <f t="shared" si="49"/>
        <v>44352</v>
      </c>
      <c r="U699" s="1229"/>
      <c r="V699" s="1229"/>
      <c r="W699" s="1229"/>
      <c r="X699" s="1230"/>
      <c r="Y699" s="1255">
        <v>17</v>
      </c>
      <c r="Z699" s="1256"/>
      <c r="AA699" s="1256"/>
      <c r="AB699" s="1257"/>
      <c r="AC699" s="1228">
        <f t="shared" si="50"/>
        <v>1073</v>
      </c>
      <c r="AD699" s="1229"/>
      <c r="AE699" s="1229"/>
      <c r="AF699" s="1229"/>
      <c r="AG699" s="1230"/>
      <c r="AH699" s="1259">
        <v>0.5</v>
      </c>
      <c r="AI699" s="1260"/>
      <c r="AJ699" s="1260"/>
      <c r="AK699" s="1260"/>
      <c r="AL699" s="1261"/>
      <c r="AM699" s="1225">
        <f t="shared" si="51"/>
        <v>0.5</v>
      </c>
      <c r="AN699" s="1226"/>
      <c r="AO699" s="1227"/>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5" t="s">
        <v>443</v>
      </c>
      <c r="C700" s="1336"/>
      <c r="D700" s="1336"/>
      <c r="E700" s="1336"/>
      <c r="F700" s="1337"/>
      <c r="G700" s="1265">
        <v>2</v>
      </c>
      <c r="H700" s="1266"/>
      <c r="I700" s="1266"/>
      <c r="J700" s="1267"/>
      <c r="K700" s="1252">
        <v>523</v>
      </c>
      <c r="L700" s="1253"/>
      <c r="M700" s="1253"/>
      <c r="N700" s="1254"/>
      <c r="O700" s="1255">
        <v>1056</v>
      </c>
      <c r="P700" s="1256"/>
      <c r="Q700" s="1256"/>
      <c r="R700" s="1256"/>
      <c r="S700" s="1257"/>
      <c r="T700" s="1228">
        <f t="shared" si="49"/>
        <v>2112</v>
      </c>
      <c r="U700" s="1229"/>
      <c r="V700" s="1229"/>
      <c r="W700" s="1229"/>
      <c r="X700" s="1230"/>
      <c r="Y700" s="1255">
        <v>17</v>
      </c>
      <c r="Z700" s="1256"/>
      <c r="AA700" s="1256"/>
      <c r="AB700" s="1257"/>
      <c r="AC700" s="1228">
        <f t="shared" si="50"/>
        <v>1073</v>
      </c>
      <c r="AD700" s="1229"/>
      <c r="AE700" s="1229"/>
      <c r="AF700" s="1229"/>
      <c r="AG700" s="1230"/>
      <c r="AH700" s="1259">
        <v>0.5</v>
      </c>
      <c r="AI700" s="1260"/>
      <c r="AJ700" s="1260"/>
      <c r="AK700" s="1260"/>
      <c r="AL700" s="1261"/>
      <c r="AM700" s="1225">
        <f t="shared" si="51"/>
        <v>0.5</v>
      </c>
      <c r="AN700" s="1226"/>
      <c r="AO700" s="1227"/>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5"/>
      <c r="C701" s="1336"/>
      <c r="D701" s="1336"/>
      <c r="E701" s="1336"/>
      <c r="F701" s="1337"/>
      <c r="G701" s="1265"/>
      <c r="H701" s="1266"/>
      <c r="I701" s="1266"/>
      <c r="J701" s="1267"/>
      <c r="K701" s="1252"/>
      <c r="L701" s="1253"/>
      <c r="M701" s="1253"/>
      <c r="N701" s="1254"/>
      <c r="O701" s="1255"/>
      <c r="P701" s="1256"/>
      <c r="Q701" s="1256"/>
      <c r="R701" s="1256"/>
      <c r="S701" s="1257"/>
      <c r="T701" s="1228">
        <f t="shared" si="49"/>
        <v>0</v>
      </c>
      <c r="U701" s="1229"/>
      <c r="V701" s="1229"/>
      <c r="W701" s="1229"/>
      <c r="X701" s="1230"/>
      <c r="Y701" s="1255"/>
      <c r="Z701" s="1256"/>
      <c r="AA701" s="1256"/>
      <c r="AB701" s="1257"/>
      <c r="AC701" s="1228">
        <f t="shared" si="50"/>
        <v>0</v>
      </c>
      <c r="AD701" s="1229"/>
      <c r="AE701" s="1229"/>
      <c r="AF701" s="1229"/>
      <c r="AG701" s="1230"/>
      <c r="AH701" s="1259"/>
      <c r="AI701" s="1260"/>
      <c r="AJ701" s="1260"/>
      <c r="AK701" s="1260"/>
      <c r="AL701" s="1261"/>
      <c r="AM701" s="1225" t="str">
        <f t="shared" si="51"/>
        <v/>
      </c>
      <c r="AN701" s="1226"/>
      <c r="AO701" s="1227"/>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5"/>
      <c r="C702" s="1336"/>
      <c r="D702" s="1336"/>
      <c r="E702" s="1336"/>
      <c r="F702" s="1337"/>
      <c r="G702" s="1265"/>
      <c r="H702" s="1266"/>
      <c r="I702" s="1266"/>
      <c r="J702" s="1267"/>
      <c r="K702" s="1252"/>
      <c r="L702" s="1253"/>
      <c r="M702" s="1253"/>
      <c r="N702" s="1254"/>
      <c r="O702" s="1255"/>
      <c r="P702" s="1256"/>
      <c r="Q702" s="1256"/>
      <c r="R702" s="1256"/>
      <c r="S702" s="1257"/>
      <c r="T702" s="1228">
        <f t="shared" si="49"/>
        <v>0</v>
      </c>
      <c r="U702" s="1229"/>
      <c r="V702" s="1229"/>
      <c r="W702" s="1229"/>
      <c r="X702" s="1230"/>
      <c r="Y702" s="1255"/>
      <c r="Z702" s="1256"/>
      <c r="AA702" s="1256"/>
      <c r="AB702" s="1257"/>
      <c r="AC702" s="1228">
        <f t="shared" si="50"/>
        <v>0</v>
      </c>
      <c r="AD702" s="1229"/>
      <c r="AE702" s="1229"/>
      <c r="AF702" s="1229"/>
      <c r="AG702" s="1230"/>
      <c r="AH702" s="1259"/>
      <c r="AI702" s="1260"/>
      <c r="AJ702" s="1260"/>
      <c r="AK702" s="1260"/>
      <c r="AL702" s="1261"/>
      <c r="AM702" s="1225" t="str">
        <f t="shared" si="51"/>
        <v/>
      </c>
      <c r="AN702" s="1226"/>
      <c r="AO702" s="1227"/>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5"/>
      <c r="C703" s="1336"/>
      <c r="D703" s="1336"/>
      <c r="E703" s="1336"/>
      <c r="F703" s="1337"/>
      <c r="G703" s="1265"/>
      <c r="H703" s="1266"/>
      <c r="I703" s="1266"/>
      <c r="J703" s="1267"/>
      <c r="K703" s="1252"/>
      <c r="L703" s="1253"/>
      <c r="M703" s="1253"/>
      <c r="N703" s="1254"/>
      <c r="O703" s="1255"/>
      <c r="P703" s="1256"/>
      <c r="Q703" s="1256"/>
      <c r="R703" s="1256"/>
      <c r="S703" s="1257"/>
      <c r="T703" s="1228">
        <f t="shared" si="49"/>
        <v>0</v>
      </c>
      <c r="U703" s="1229"/>
      <c r="V703" s="1229"/>
      <c r="W703" s="1229"/>
      <c r="X703" s="1230"/>
      <c r="Y703" s="1255"/>
      <c r="Z703" s="1256"/>
      <c r="AA703" s="1256"/>
      <c r="AB703" s="1257"/>
      <c r="AC703" s="1228">
        <f t="shared" si="50"/>
        <v>0</v>
      </c>
      <c r="AD703" s="1229"/>
      <c r="AE703" s="1229"/>
      <c r="AF703" s="1229"/>
      <c r="AG703" s="1230"/>
      <c r="AH703" s="1259"/>
      <c r="AI703" s="1260"/>
      <c r="AJ703" s="1260"/>
      <c r="AK703" s="1260"/>
      <c r="AL703" s="1261"/>
      <c r="AM703" s="1225" t="str">
        <f t="shared" si="51"/>
        <v/>
      </c>
      <c r="AN703" s="1226"/>
      <c r="AO703" s="1227"/>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5"/>
      <c r="C704" s="1336"/>
      <c r="D704" s="1336"/>
      <c r="E704" s="1336"/>
      <c r="F704" s="1337"/>
      <c r="G704" s="1265"/>
      <c r="H704" s="1266"/>
      <c r="I704" s="1266"/>
      <c r="J704" s="1267"/>
      <c r="K704" s="1252"/>
      <c r="L704" s="1253"/>
      <c r="M704" s="1253"/>
      <c r="N704" s="1254"/>
      <c r="O704" s="1255"/>
      <c r="P704" s="1256"/>
      <c r="Q704" s="1256"/>
      <c r="R704" s="1256"/>
      <c r="S704" s="1257"/>
      <c r="T704" s="1228">
        <f t="shared" si="49"/>
        <v>0</v>
      </c>
      <c r="U704" s="1229"/>
      <c r="V704" s="1229"/>
      <c r="W704" s="1229"/>
      <c r="X704" s="1230"/>
      <c r="Y704" s="1255"/>
      <c r="Z704" s="1256"/>
      <c r="AA704" s="1256"/>
      <c r="AB704" s="1257"/>
      <c r="AC704" s="1228">
        <f t="shared" si="50"/>
        <v>0</v>
      </c>
      <c r="AD704" s="1229"/>
      <c r="AE704" s="1229"/>
      <c r="AF704" s="1229"/>
      <c r="AG704" s="1230"/>
      <c r="AH704" s="1259"/>
      <c r="AI704" s="1260"/>
      <c r="AJ704" s="1260"/>
      <c r="AK704" s="1260"/>
      <c r="AL704" s="1261"/>
      <c r="AM704" s="1225" t="str">
        <f t="shared" si="51"/>
        <v/>
      </c>
      <c r="AN704" s="1226"/>
      <c r="AO704" s="1227"/>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5"/>
      <c r="C705" s="1336"/>
      <c r="D705" s="1336"/>
      <c r="E705" s="1336"/>
      <c r="F705" s="1337"/>
      <c r="G705" s="1265"/>
      <c r="H705" s="1266"/>
      <c r="I705" s="1266"/>
      <c r="J705" s="1267"/>
      <c r="K705" s="1252"/>
      <c r="L705" s="1253"/>
      <c r="M705" s="1253"/>
      <c r="N705" s="1254"/>
      <c r="O705" s="1255"/>
      <c r="P705" s="1256"/>
      <c r="Q705" s="1256"/>
      <c r="R705" s="1256"/>
      <c r="S705" s="1257"/>
      <c r="T705" s="1228">
        <f t="shared" si="49"/>
        <v>0</v>
      </c>
      <c r="U705" s="1229"/>
      <c r="V705" s="1229"/>
      <c r="W705" s="1229"/>
      <c r="X705" s="1230"/>
      <c r="Y705" s="1255"/>
      <c r="Z705" s="1256"/>
      <c r="AA705" s="1256"/>
      <c r="AB705" s="1257"/>
      <c r="AC705" s="1228">
        <f t="shared" si="50"/>
        <v>0</v>
      </c>
      <c r="AD705" s="1229"/>
      <c r="AE705" s="1229"/>
      <c r="AF705" s="1229"/>
      <c r="AG705" s="1230"/>
      <c r="AH705" s="1259"/>
      <c r="AI705" s="1260"/>
      <c r="AJ705" s="1260"/>
      <c r="AK705" s="1260"/>
      <c r="AL705" s="1261"/>
      <c r="AM705" s="1225" t="str">
        <f t="shared" si="51"/>
        <v/>
      </c>
      <c r="AN705" s="1226"/>
      <c r="AO705" s="1227"/>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5"/>
      <c r="C706" s="1336"/>
      <c r="D706" s="1336"/>
      <c r="E706" s="1336"/>
      <c r="F706" s="1337"/>
      <c r="G706" s="1265"/>
      <c r="H706" s="1266"/>
      <c r="I706" s="1266"/>
      <c r="J706" s="1267"/>
      <c r="K706" s="1252"/>
      <c r="L706" s="1253"/>
      <c r="M706" s="1253"/>
      <c r="N706" s="1254"/>
      <c r="O706" s="1255"/>
      <c r="P706" s="1256"/>
      <c r="Q706" s="1256"/>
      <c r="R706" s="1256"/>
      <c r="S706" s="1257"/>
      <c r="T706" s="1228">
        <f t="shared" si="49"/>
        <v>0</v>
      </c>
      <c r="U706" s="1229"/>
      <c r="V706" s="1229"/>
      <c r="W706" s="1229"/>
      <c r="X706" s="1230"/>
      <c r="Y706" s="1255"/>
      <c r="Z706" s="1256"/>
      <c r="AA706" s="1256"/>
      <c r="AB706" s="1257"/>
      <c r="AC706" s="1228">
        <f t="shared" si="50"/>
        <v>0</v>
      </c>
      <c r="AD706" s="1229"/>
      <c r="AE706" s="1229"/>
      <c r="AF706" s="1229"/>
      <c r="AG706" s="1230"/>
      <c r="AH706" s="1259"/>
      <c r="AI706" s="1260"/>
      <c r="AJ706" s="1260"/>
      <c r="AK706" s="1260"/>
      <c r="AL706" s="1261"/>
      <c r="AM706" s="1225" t="str">
        <f t="shared" si="51"/>
        <v/>
      </c>
      <c r="AN706" s="1226"/>
      <c r="AO706" s="1227"/>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5"/>
      <c r="C707" s="1336"/>
      <c r="D707" s="1336"/>
      <c r="E707" s="1336"/>
      <c r="F707" s="1337"/>
      <c r="G707" s="1265"/>
      <c r="H707" s="1266"/>
      <c r="I707" s="1266"/>
      <c r="J707" s="1267"/>
      <c r="K707" s="1252"/>
      <c r="L707" s="1253"/>
      <c r="M707" s="1253"/>
      <c r="N707" s="1254"/>
      <c r="O707" s="1255"/>
      <c r="P707" s="1256"/>
      <c r="Q707" s="1256"/>
      <c r="R707" s="1256"/>
      <c r="S707" s="1257"/>
      <c r="T707" s="1228">
        <f t="shared" si="49"/>
        <v>0</v>
      </c>
      <c r="U707" s="1229"/>
      <c r="V707" s="1229"/>
      <c r="W707" s="1229"/>
      <c r="X707" s="1230"/>
      <c r="Y707" s="1255"/>
      <c r="Z707" s="1256"/>
      <c r="AA707" s="1256"/>
      <c r="AB707" s="1257"/>
      <c r="AC707" s="1228">
        <f t="shared" si="50"/>
        <v>0</v>
      </c>
      <c r="AD707" s="1229"/>
      <c r="AE707" s="1229"/>
      <c r="AF707" s="1229"/>
      <c r="AG707" s="1230"/>
      <c r="AH707" s="1259"/>
      <c r="AI707" s="1260"/>
      <c r="AJ707" s="1260"/>
      <c r="AK707" s="1260"/>
      <c r="AL707" s="1261"/>
      <c r="AM707" s="1225" t="str">
        <f t="shared" si="51"/>
        <v/>
      </c>
      <c r="AN707" s="1226"/>
      <c r="AO707" s="1227"/>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5"/>
      <c r="C708" s="1336"/>
      <c r="D708" s="1336"/>
      <c r="E708" s="1336"/>
      <c r="F708" s="1337"/>
      <c r="G708" s="1265"/>
      <c r="H708" s="1266"/>
      <c r="I708" s="1266"/>
      <c r="J708" s="1267"/>
      <c r="K708" s="1252"/>
      <c r="L708" s="1253"/>
      <c r="M708" s="1253"/>
      <c r="N708" s="1254"/>
      <c r="O708" s="1255"/>
      <c r="P708" s="1256"/>
      <c r="Q708" s="1256"/>
      <c r="R708" s="1256"/>
      <c r="S708" s="1257"/>
      <c r="T708" s="1228">
        <f t="shared" si="49"/>
        <v>0</v>
      </c>
      <c r="U708" s="1229"/>
      <c r="V708" s="1229"/>
      <c r="W708" s="1229"/>
      <c r="X708" s="1230"/>
      <c r="Y708" s="1255"/>
      <c r="Z708" s="1256"/>
      <c r="AA708" s="1256"/>
      <c r="AB708" s="1257"/>
      <c r="AC708" s="1228">
        <f t="shared" si="50"/>
        <v>0</v>
      </c>
      <c r="AD708" s="1229"/>
      <c r="AE708" s="1229"/>
      <c r="AF708" s="1229"/>
      <c r="AG708" s="1230"/>
      <c r="AH708" s="1259"/>
      <c r="AI708" s="1260"/>
      <c r="AJ708" s="1260"/>
      <c r="AK708" s="1260"/>
      <c r="AL708" s="1261"/>
      <c r="AM708" s="1225" t="str">
        <f t="shared" si="51"/>
        <v/>
      </c>
      <c r="AN708" s="1226"/>
      <c r="AO708" s="1227"/>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5"/>
      <c r="C709" s="1336"/>
      <c r="D709" s="1336"/>
      <c r="E709" s="1336"/>
      <c r="F709" s="1337"/>
      <c r="G709" s="1265"/>
      <c r="H709" s="1266"/>
      <c r="I709" s="1266"/>
      <c r="J709" s="1267"/>
      <c r="K709" s="1252"/>
      <c r="L709" s="1253"/>
      <c r="M709" s="1253"/>
      <c r="N709" s="1254"/>
      <c r="O709" s="1255"/>
      <c r="P709" s="1256"/>
      <c r="Q709" s="1256"/>
      <c r="R709" s="1256"/>
      <c r="S709" s="1257"/>
      <c r="T709" s="1228">
        <f t="shared" si="49"/>
        <v>0</v>
      </c>
      <c r="U709" s="1229"/>
      <c r="V709" s="1229"/>
      <c r="W709" s="1229"/>
      <c r="X709" s="1230"/>
      <c r="Y709" s="1255"/>
      <c r="Z709" s="1256"/>
      <c r="AA709" s="1256"/>
      <c r="AB709" s="1257"/>
      <c r="AC709" s="1228">
        <f t="shared" si="50"/>
        <v>0</v>
      </c>
      <c r="AD709" s="1229"/>
      <c r="AE709" s="1229"/>
      <c r="AF709" s="1229"/>
      <c r="AG709" s="1230"/>
      <c r="AH709" s="1259"/>
      <c r="AI709" s="1260"/>
      <c r="AJ709" s="1260"/>
      <c r="AK709" s="1260"/>
      <c r="AL709" s="1261"/>
      <c r="AM709" s="1225" t="str">
        <f t="shared" si="51"/>
        <v/>
      </c>
      <c r="AN709" s="1226"/>
      <c r="AO709" s="1227"/>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5"/>
      <c r="C710" s="1336"/>
      <c r="D710" s="1336"/>
      <c r="E710" s="1336"/>
      <c r="F710" s="1337"/>
      <c r="G710" s="1265"/>
      <c r="H710" s="1266"/>
      <c r="I710" s="1266"/>
      <c r="J710" s="1267"/>
      <c r="K710" s="1252"/>
      <c r="L710" s="1253"/>
      <c r="M710" s="1253"/>
      <c r="N710" s="1254"/>
      <c r="O710" s="1255"/>
      <c r="P710" s="1256"/>
      <c r="Q710" s="1256"/>
      <c r="R710" s="1256"/>
      <c r="S710" s="1257"/>
      <c r="T710" s="1228">
        <f t="shared" si="49"/>
        <v>0</v>
      </c>
      <c r="U710" s="1229"/>
      <c r="V710" s="1229"/>
      <c r="W710" s="1229"/>
      <c r="X710" s="1230"/>
      <c r="Y710" s="1255"/>
      <c r="Z710" s="1256"/>
      <c r="AA710" s="1256"/>
      <c r="AB710" s="1257"/>
      <c r="AC710" s="1228">
        <f t="shared" si="50"/>
        <v>0</v>
      </c>
      <c r="AD710" s="1229"/>
      <c r="AE710" s="1229"/>
      <c r="AF710" s="1229"/>
      <c r="AG710" s="1230"/>
      <c r="AH710" s="1259"/>
      <c r="AI710" s="1260"/>
      <c r="AJ710" s="1260"/>
      <c r="AK710" s="1260"/>
      <c r="AL710" s="1261"/>
      <c r="AM710" s="1225" t="str">
        <f t="shared" si="51"/>
        <v/>
      </c>
      <c r="AN710" s="1226"/>
      <c r="AO710" s="1227"/>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5"/>
      <c r="C711" s="1336"/>
      <c r="D711" s="1336"/>
      <c r="E711" s="1336"/>
      <c r="F711" s="1337"/>
      <c r="G711" s="1265"/>
      <c r="H711" s="1266"/>
      <c r="I711" s="1266"/>
      <c r="J711" s="1267"/>
      <c r="K711" s="1252"/>
      <c r="L711" s="1253"/>
      <c r="M711" s="1253"/>
      <c r="N711" s="1254"/>
      <c r="O711" s="1255"/>
      <c r="P711" s="1256"/>
      <c r="Q711" s="1256"/>
      <c r="R711" s="1256"/>
      <c r="S711" s="1257"/>
      <c r="T711" s="1228">
        <f t="shared" si="49"/>
        <v>0</v>
      </c>
      <c r="U711" s="1229"/>
      <c r="V711" s="1229"/>
      <c r="W711" s="1229"/>
      <c r="X711" s="1230"/>
      <c r="Y711" s="1255"/>
      <c r="Z711" s="1256"/>
      <c r="AA711" s="1256"/>
      <c r="AB711" s="1257"/>
      <c r="AC711" s="1228">
        <f t="shared" si="50"/>
        <v>0</v>
      </c>
      <c r="AD711" s="1229"/>
      <c r="AE711" s="1229"/>
      <c r="AF711" s="1229"/>
      <c r="AG711" s="1230"/>
      <c r="AH711" s="1259"/>
      <c r="AI711" s="1260"/>
      <c r="AJ711" s="1260"/>
      <c r="AK711" s="1260"/>
      <c r="AL711" s="1261"/>
      <c r="AM711" s="1225" t="str">
        <f t="shared" si="51"/>
        <v/>
      </c>
      <c r="AN711" s="1226"/>
      <c r="AO711" s="1227"/>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5"/>
      <c r="C712" s="1336"/>
      <c r="D712" s="1336"/>
      <c r="E712" s="1336"/>
      <c r="F712" s="1337"/>
      <c r="G712" s="1265"/>
      <c r="H712" s="1266"/>
      <c r="I712" s="1266"/>
      <c r="J712" s="1267"/>
      <c r="K712" s="1252"/>
      <c r="L712" s="1253"/>
      <c r="M712" s="1253"/>
      <c r="N712" s="1254"/>
      <c r="O712" s="1255"/>
      <c r="P712" s="1256"/>
      <c r="Q712" s="1256"/>
      <c r="R712" s="1256"/>
      <c r="S712" s="1257"/>
      <c r="T712" s="1228">
        <f t="shared" si="49"/>
        <v>0</v>
      </c>
      <c r="U712" s="1229"/>
      <c r="V712" s="1229"/>
      <c r="W712" s="1229"/>
      <c r="X712" s="1230"/>
      <c r="Y712" s="1255"/>
      <c r="Z712" s="1256"/>
      <c r="AA712" s="1256"/>
      <c r="AB712" s="1257"/>
      <c r="AC712" s="1228">
        <f t="shared" si="50"/>
        <v>0</v>
      </c>
      <c r="AD712" s="1229"/>
      <c r="AE712" s="1229"/>
      <c r="AF712" s="1229"/>
      <c r="AG712" s="1230"/>
      <c r="AH712" s="1259"/>
      <c r="AI712" s="1260"/>
      <c r="AJ712" s="1260"/>
      <c r="AK712" s="1260"/>
      <c r="AL712" s="1261"/>
      <c r="AM712" s="1225" t="str">
        <f t="shared" si="51"/>
        <v/>
      </c>
      <c r="AN712" s="1226"/>
      <c r="AO712" s="1227"/>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5"/>
      <c r="C713" s="1336"/>
      <c r="D713" s="1336"/>
      <c r="E713" s="1336"/>
      <c r="F713" s="1337"/>
      <c r="G713" s="1265"/>
      <c r="H713" s="1266"/>
      <c r="I713" s="1266"/>
      <c r="J713" s="1267"/>
      <c r="K713" s="1252"/>
      <c r="L713" s="1253"/>
      <c r="M713" s="1253"/>
      <c r="N713" s="1254"/>
      <c r="O713" s="1255"/>
      <c r="P713" s="1256"/>
      <c r="Q713" s="1256"/>
      <c r="R713" s="1256"/>
      <c r="S713" s="1257"/>
      <c r="T713" s="1228">
        <f t="shared" si="49"/>
        <v>0</v>
      </c>
      <c r="U713" s="1229"/>
      <c r="V713" s="1229"/>
      <c r="W713" s="1229"/>
      <c r="X713" s="1230"/>
      <c r="Y713" s="1255"/>
      <c r="Z713" s="1256"/>
      <c r="AA713" s="1256"/>
      <c r="AB713" s="1257"/>
      <c r="AC713" s="1228">
        <f t="shared" si="50"/>
        <v>0</v>
      </c>
      <c r="AD713" s="1229"/>
      <c r="AE713" s="1229"/>
      <c r="AF713" s="1229"/>
      <c r="AG713" s="1230"/>
      <c r="AH713" s="1259"/>
      <c r="AI713" s="1260"/>
      <c r="AJ713" s="1260"/>
      <c r="AK713" s="1260"/>
      <c r="AL713" s="1261"/>
      <c r="AM713" s="1225" t="str">
        <f t="shared" si="51"/>
        <v/>
      </c>
      <c r="AN713" s="1226"/>
      <c r="AO713" s="1227"/>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5"/>
      <c r="C714" s="1336"/>
      <c r="D714" s="1336"/>
      <c r="E714" s="1336"/>
      <c r="F714" s="1337"/>
      <c r="G714" s="1265"/>
      <c r="H714" s="1266"/>
      <c r="I714" s="1266"/>
      <c r="J714" s="1267"/>
      <c r="K714" s="1252"/>
      <c r="L714" s="1253"/>
      <c r="M714" s="1253"/>
      <c r="N714" s="1254"/>
      <c r="O714" s="1255"/>
      <c r="P714" s="1256"/>
      <c r="Q714" s="1256"/>
      <c r="R714" s="1256"/>
      <c r="S714" s="1257"/>
      <c r="T714" s="1228">
        <f t="shared" si="49"/>
        <v>0</v>
      </c>
      <c r="U714" s="1229"/>
      <c r="V714" s="1229"/>
      <c r="W714" s="1229"/>
      <c r="X714" s="1230"/>
      <c r="Y714" s="1255"/>
      <c r="Z714" s="1256"/>
      <c r="AA714" s="1256"/>
      <c r="AB714" s="1257"/>
      <c r="AC714" s="1228">
        <f t="shared" si="50"/>
        <v>0</v>
      </c>
      <c r="AD714" s="1229"/>
      <c r="AE714" s="1229"/>
      <c r="AF714" s="1229"/>
      <c r="AG714" s="1230"/>
      <c r="AH714" s="1259"/>
      <c r="AI714" s="1260"/>
      <c r="AJ714" s="1260"/>
      <c r="AK714" s="1260"/>
      <c r="AL714" s="1261"/>
      <c r="AM714" s="1225" t="str">
        <f t="shared" si="51"/>
        <v/>
      </c>
      <c r="AN714" s="1226"/>
      <c r="AO714" s="1227"/>
      <c r="BA714" s="43"/>
      <c r="BB714" s="43"/>
      <c r="BC714" s="43"/>
      <c r="BD714" s="43"/>
      <c r="BE714" s="42"/>
      <c r="BF714" s="62" t="s">
        <v>876</v>
      </c>
      <c r="BG714" s="454">
        <f>SUM(BG689:BG713)</f>
        <v>56</v>
      </c>
      <c r="BH714" s="455">
        <f>SUM(BH689:BH713)</f>
        <v>1</v>
      </c>
      <c r="BI714" s="455">
        <f>SUM(BI689:BI713)</f>
        <v>0.45714285714285713</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5"/>
      <c r="C715" s="1336"/>
      <c r="D715" s="1336"/>
      <c r="E715" s="1336"/>
      <c r="F715" s="1337"/>
      <c r="G715" s="1265"/>
      <c r="H715" s="1266"/>
      <c r="I715" s="1266"/>
      <c r="J715" s="1267"/>
      <c r="K715" s="1252"/>
      <c r="L715" s="1253"/>
      <c r="M715" s="1253"/>
      <c r="N715" s="1254"/>
      <c r="O715" s="1255"/>
      <c r="P715" s="1256"/>
      <c r="Q715" s="1256"/>
      <c r="R715" s="1256"/>
      <c r="S715" s="1257"/>
      <c r="T715" s="1228">
        <f t="shared" si="49"/>
        <v>0</v>
      </c>
      <c r="U715" s="1229"/>
      <c r="V715" s="1229"/>
      <c r="W715" s="1229"/>
      <c r="X715" s="1230"/>
      <c r="Y715" s="1255"/>
      <c r="Z715" s="1256"/>
      <c r="AA715" s="1256"/>
      <c r="AB715" s="1257"/>
      <c r="AC715" s="1228">
        <f t="shared" si="50"/>
        <v>0</v>
      </c>
      <c r="AD715" s="1229"/>
      <c r="AE715" s="1229"/>
      <c r="AF715" s="1229"/>
      <c r="AG715" s="1230"/>
      <c r="AH715" s="1259"/>
      <c r="AI715" s="1260"/>
      <c r="AJ715" s="1260"/>
      <c r="AK715" s="1260"/>
      <c r="AL715" s="1261"/>
      <c r="AM715" s="1225" t="str">
        <f t="shared" si="51"/>
        <v/>
      </c>
      <c r="AN715" s="1226"/>
      <c r="AO715" s="1227"/>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5"/>
      <c r="C716" s="1336"/>
      <c r="D716" s="1336"/>
      <c r="E716" s="1336"/>
      <c r="F716" s="1337"/>
      <c r="G716" s="1265"/>
      <c r="H716" s="1266"/>
      <c r="I716" s="1266"/>
      <c r="J716" s="1267"/>
      <c r="K716" s="1252"/>
      <c r="L716" s="1253"/>
      <c r="M716" s="1253"/>
      <c r="N716" s="1254"/>
      <c r="O716" s="1255"/>
      <c r="P716" s="1256"/>
      <c r="Q716" s="1256"/>
      <c r="R716" s="1256"/>
      <c r="S716" s="1257"/>
      <c r="T716" s="1228">
        <f t="shared" si="49"/>
        <v>0</v>
      </c>
      <c r="U716" s="1229"/>
      <c r="V716" s="1229"/>
      <c r="W716" s="1229"/>
      <c r="X716" s="1230"/>
      <c r="Y716" s="1255"/>
      <c r="Z716" s="1256"/>
      <c r="AA716" s="1256"/>
      <c r="AB716" s="1257"/>
      <c r="AC716" s="1228">
        <f t="shared" si="50"/>
        <v>0</v>
      </c>
      <c r="AD716" s="1229"/>
      <c r="AE716" s="1229"/>
      <c r="AF716" s="1229"/>
      <c r="AG716" s="1230"/>
      <c r="AH716" s="1259"/>
      <c r="AI716" s="1260"/>
      <c r="AJ716" s="1260"/>
      <c r="AK716" s="1260"/>
      <c r="AL716" s="1261"/>
      <c r="AM716" s="1225" t="str">
        <f t="shared" si="51"/>
        <v/>
      </c>
      <c r="AN716" s="1226"/>
      <c r="AO716" s="1227"/>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5"/>
      <c r="C717" s="1336"/>
      <c r="D717" s="1336"/>
      <c r="E717" s="1336"/>
      <c r="F717" s="1337"/>
      <c r="G717" s="1265"/>
      <c r="H717" s="1266"/>
      <c r="I717" s="1266"/>
      <c r="J717" s="1267"/>
      <c r="K717" s="1252"/>
      <c r="L717" s="1253"/>
      <c r="M717" s="1253"/>
      <c r="N717" s="1254"/>
      <c r="O717" s="1255"/>
      <c r="P717" s="1256"/>
      <c r="Q717" s="1256"/>
      <c r="R717" s="1256"/>
      <c r="S717" s="1257"/>
      <c r="T717" s="1228">
        <f t="shared" si="49"/>
        <v>0</v>
      </c>
      <c r="U717" s="1229"/>
      <c r="V717" s="1229"/>
      <c r="W717" s="1229"/>
      <c r="X717" s="1230"/>
      <c r="Y717" s="1255"/>
      <c r="Z717" s="1256"/>
      <c r="AA717" s="1256"/>
      <c r="AB717" s="1257"/>
      <c r="AC717" s="1228">
        <f t="shared" si="50"/>
        <v>0</v>
      </c>
      <c r="AD717" s="1229"/>
      <c r="AE717" s="1229"/>
      <c r="AF717" s="1229"/>
      <c r="AG717" s="1230"/>
      <c r="AH717" s="1259"/>
      <c r="AI717" s="1260"/>
      <c r="AJ717" s="1260"/>
      <c r="AK717" s="1260"/>
      <c r="AL717" s="1261"/>
      <c r="AM717" s="1225" t="str">
        <f t="shared" si="51"/>
        <v/>
      </c>
      <c r="AN717" s="1226"/>
      <c r="AO717" s="1227"/>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5"/>
      <c r="C718" s="1336"/>
      <c r="D718" s="1336"/>
      <c r="E718" s="1336"/>
      <c r="F718" s="1337"/>
      <c r="G718" s="1265"/>
      <c r="H718" s="1266"/>
      <c r="I718" s="1266"/>
      <c r="J718" s="1267"/>
      <c r="K718" s="1252"/>
      <c r="L718" s="1253"/>
      <c r="M718" s="1253"/>
      <c r="N718" s="1254"/>
      <c r="O718" s="1255"/>
      <c r="P718" s="1256"/>
      <c r="Q718" s="1256"/>
      <c r="R718" s="1256"/>
      <c r="S718" s="1257"/>
      <c r="T718" s="1228">
        <f t="shared" si="49"/>
        <v>0</v>
      </c>
      <c r="U718" s="1229"/>
      <c r="V718" s="1229"/>
      <c r="W718" s="1229"/>
      <c r="X718" s="1230"/>
      <c r="Y718" s="1255"/>
      <c r="Z718" s="1256"/>
      <c r="AA718" s="1256"/>
      <c r="AB718" s="1257"/>
      <c r="AC718" s="1228">
        <f t="shared" si="50"/>
        <v>0</v>
      </c>
      <c r="AD718" s="1229"/>
      <c r="AE718" s="1229"/>
      <c r="AF718" s="1229"/>
      <c r="AG718" s="1230"/>
      <c r="AH718" s="1259"/>
      <c r="AI718" s="1260"/>
      <c r="AJ718" s="1260"/>
      <c r="AK718" s="1260"/>
      <c r="AL718" s="1261"/>
      <c r="AM718" s="1225" t="str">
        <f t="shared" si="51"/>
        <v/>
      </c>
      <c r="AN718" s="1226"/>
      <c r="AO718" s="1227"/>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5"/>
      <c r="C719" s="1336"/>
      <c r="D719" s="1336"/>
      <c r="E719" s="1336"/>
      <c r="F719" s="1337"/>
      <c r="G719" s="1265"/>
      <c r="H719" s="1266"/>
      <c r="I719" s="1266"/>
      <c r="J719" s="1267"/>
      <c r="K719" s="1252"/>
      <c r="L719" s="1253"/>
      <c r="M719" s="1253"/>
      <c r="N719" s="1254"/>
      <c r="O719" s="1255"/>
      <c r="P719" s="1256"/>
      <c r="Q719" s="1256"/>
      <c r="R719" s="1256"/>
      <c r="S719" s="1257"/>
      <c r="T719" s="1228">
        <f t="shared" ref="T719:T728" si="52">G719*O719</f>
        <v>0</v>
      </c>
      <c r="U719" s="1229"/>
      <c r="V719" s="1229"/>
      <c r="W719" s="1229"/>
      <c r="X719" s="1230"/>
      <c r="Y719" s="1255"/>
      <c r="Z719" s="1256"/>
      <c r="AA719" s="1256"/>
      <c r="AB719" s="1257"/>
      <c r="AC719" s="1228">
        <f t="shared" ref="AC719:AC728" si="53">O719+Y719</f>
        <v>0</v>
      </c>
      <c r="AD719" s="1229"/>
      <c r="AE719" s="1229"/>
      <c r="AF719" s="1229"/>
      <c r="AG719" s="1230"/>
      <c r="AH719" s="1259"/>
      <c r="AI719" s="1260"/>
      <c r="AJ719" s="1260"/>
      <c r="AK719" s="1260"/>
      <c r="AL719" s="1261"/>
      <c r="AM719" s="1225" t="str">
        <f t="shared" si="51"/>
        <v/>
      </c>
      <c r="AN719" s="1226"/>
      <c r="AO719" s="1227"/>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5"/>
      <c r="C720" s="1336"/>
      <c r="D720" s="1336"/>
      <c r="E720" s="1336"/>
      <c r="F720" s="1337"/>
      <c r="G720" s="1265"/>
      <c r="H720" s="1266"/>
      <c r="I720" s="1266"/>
      <c r="J720" s="1267"/>
      <c r="K720" s="1252"/>
      <c r="L720" s="1253"/>
      <c r="M720" s="1253"/>
      <c r="N720" s="1254"/>
      <c r="O720" s="1255"/>
      <c r="P720" s="1256"/>
      <c r="Q720" s="1256"/>
      <c r="R720" s="1256"/>
      <c r="S720" s="1257"/>
      <c r="T720" s="1228">
        <f t="shared" si="52"/>
        <v>0</v>
      </c>
      <c r="U720" s="1229"/>
      <c r="V720" s="1229"/>
      <c r="W720" s="1229"/>
      <c r="X720" s="1230"/>
      <c r="Y720" s="1255"/>
      <c r="Z720" s="1256"/>
      <c r="AA720" s="1256"/>
      <c r="AB720" s="1257"/>
      <c r="AC720" s="1228">
        <f t="shared" si="53"/>
        <v>0</v>
      </c>
      <c r="AD720" s="1229"/>
      <c r="AE720" s="1229"/>
      <c r="AF720" s="1229"/>
      <c r="AG720" s="1230"/>
      <c r="AH720" s="1259"/>
      <c r="AI720" s="1260"/>
      <c r="AJ720" s="1260"/>
      <c r="AK720" s="1260"/>
      <c r="AL720" s="1261"/>
      <c r="AM720" s="1225" t="str">
        <f t="shared" si="51"/>
        <v/>
      </c>
      <c r="AN720" s="1226"/>
      <c r="AO720" s="1227"/>
      <c r="BA720" s="41"/>
      <c r="BB720" s="41"/>
      <c r="BC720" s="41"/>
      <c r="BD720" s="41"/>
      <c r="BE720" s="41"/>
      <c r="BF720" s="41"/>
      <c r="BG720" s="851">
        <f t="shared" ref="BG720:BG733" si="54">G695</f>
        <v>6</v>
      </c>
      <c r="BH720" s="855">
        <f>IF(BG720=0,"",BG720/$BG$745)</f>
        <v>0.10714285714285714</v>
      </c>
      <c r="BI720" s="856">
        <f>IF(BH720="","",BH720*AM695)</f>
        <v>3.210291572360538E-2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5"/>
      <c r="C721" s="1336"/>
      <c r="D721" s="1336"/>
      <c r="E721" s="1336"/>
      <c r="F721" s="1337"/>
      <c r="G721" s="1265"/>
      <c r="H721" s="1266"/>
      <c r="I721" s="1266"/>
      <c r="J721" s="1267"/>
      <c r="K721" s="1252"/>
      <c r="L721" s="1253"/>
      <c r="M721" s="1253"/>
      <c r="N721" s="1254"/>
      <c r="O721" s="1255"/>
      <c r="P721" s="1256"/>
      <c r="Q721" s="1256"/>
      <c r="R721" s="1256"/>
      <c r="S721" s="1257"/>
      <c r="T721" s="1228">
        <f t="shared" si="52"/>
        <v>0</v>
      </c>
      <c r="U721" s="1229"/>
      <c r="V721" s="1229"/>
      <c r="W721" s="1229"/>
      <c r="X721" s="1230"/>
      <c r="Y721" s="1255"/>
      <c r="Z721" s="1256"/>
      <c r="AA721" s="1256"/>
      <c r="AB721" s="1257"/>
      <c r="AC721" s="1228">
        <f t="shared" si="53"/>
        <v>0</v>
      </c>
      <c r="AD721" s="1229"/>
      <c r="AE721" s="1229"/>
      <c r="AF721" s="1229"/>
      <c r="AG721" s="1230"/>
      <c r="AH721" s="1259"/>
      <c r="AI721" s="1260"/>
      <c r="AJ721" s="1260"/>
      <c r="AK721" s="1260"/>
      <c r="AL721" s="1261"/>
      <c r="AM721" s="1225" t="str">
        <f t="shared" si="51"/>
        <v/>
      </c>
      <c r="AN721" s="1226"/>
      <c r="AO721" s="1227"/>
      <c r="BA721" s="41"/>
      <c r="BB721" s="41"/>
      <c r="BC721" s="41"/>
      <c r="BD721" s="41"/>
      <c r="BE721" s="41"/>
      <c r="BF721" s="41"/>
      <c r="BG721" s="851">
        <f t="shared" si="54"/>
        <v>3</v>
      </c>
      <c r="BH721" s="855">
        <f t="shared" ref="BH721:BH744" si="55">IF(BG721=0,"",BG721/$BG$745)</f>
        <v>5.3571428571428568E-2</v>
      </c>
      <c r="BI721" s="856">
        <f t="shared" ref="BI721:BI744" si="56">IF(BH721="","",BH721*AM696)</f>
        <v>1.605145786180269E-2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5"/>
      <c r="C722" s="1336"/>
      <c r="D722" s="1336"/>
      <c r="E722" s="1336"/>
      <c r="F722" s="1337"/>
      <c r="G722" s="1265"/>
      <c r="H722" s="1266"/>
      <c r="I722" s="1266"/>
      <c r="J722" s="1267"/>
      <c r="K722" s="1252"/>
      <c r="L722" s="1253"/>
      <c r="M722" s="1253"/>
      <c r="N722" s="1254"/>
      <c r="O722" s="1255"/>
      <c r="P722" s="1256"/>
      <c r="Q722" s="1256"/>
      <c r="R722" s="1256"/>
      <c r="S722" s="1257"/>
      <c r="T722" s="1228">
        <f t="shared" si="52"/>
        <v>0</v>
      </c>
      <c r="U722" s="1229"/>
      <c r="V722" s="1229"/>
      <c r="W722" s="1229"/>
      <c r="X722" s="1230"/>
      <c r="Y722" s="1255"/>
      <c r="Z722" s="1256"/>
      <c r="AA722" s="1256"/>
      <c r="AB722" s="1257"/>
      <c r="AC722" s="1228">
        <f t="shared" si="53"/>
        <v>0</v>
      </c>
      <c r="AD722" s="1229"/>
      <c r="AE722" s="1229"/>
      <c r="AF722" s="1229"/>
      <c r="AG722" s="1230"/>
      <c r="AH722" s="1259"/>
      <c r="AI722" s="1260"/>
      <c r="AJ722" s="1260"/>
      <c r="AK722" s="1260"/>
      <c r="AL722" s="1261"/>
      <c r="AM722" s="1225" t="str">
        <f t="shared" si="51"/>
        <v/>
      </c>
      <c r="AN722" s="1226"/>
      <c r="AO722" s="1227"/>
      <c r="BA722" s="41"/>
      <c r="BB722" s="41"/>
      <c r="BC722" s="41"/>
      <c r="BD722" s="41"/>
      <c r="BE722" s="43"/>
      <c r="BF722" s="43"/>
      <c r="BG722" s="851">
        <f t="shared" si="54"/>
        <v>3</v>
      </c>
      <c r="BH722" s="855">
        <f t="shared" si="55"/>
        <v>5.3571428571428568E-2</v>
      </c>
      <c r="BI722" s="856">
        <f t="shared" si="56"/>
        <v>1.605145786180269E-2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5"/>
      <c r="C723" s="1336"/>
      <c r="D723" s="1336"/>
      <c r="E723" s="1336"/>
      <c r="F723" s="1337"/>
      <c r="G723" s="1265"/>
      <c r="H723" s="1266"/>
      <c r="I723" s="1266"/>
      <c r="J723" s="1267"/>
      <c r="K723" s="1252"/>
      <c r="L723" s="1253"/>
      <c r="M723" s="1253"/>
      <c r="N723" s="1254"/>
      <c r="O723" s="1255"/>
      <c r="P723" s="1256"/>
      <c r="Q723" s="1256"/>
      <c r="R723" s="1256"/>
      <c r="S723" s="1257"/>
      <c r="T723" s="1228">
        <f t="shared" si="52"/>
        <v>0</v>
      </c>
      <c r="U723" s="1229"/>
      <c r="V723" s="1229"/>
      <c r="W723" s="1229"/>
      <c r="X723" s="1230"/>
      <c r="Y723" s="1255"/>
      <c r="Z723" s="1256"/>
      <c r="AA723" s="1256"/>
      <c r="AB723" s="1257"/>
      <c r="AC723" s="1228">
        <f t="shared" si="53"/>
        <v>0</v>
      </c>
      <c r="AD723" s="1229"/>
      <c r="AE723" s="1229"/>
      <c r="AF723" s="1229"/>
      <c r="AG723" s="1230"/>
      <c r="AH723" s="1259"/>
      <c r="AI723" s="1260"/>
      <c r="AJ723" s="1260"/>
      <c r="AK723" s="1260"/>
      <c r="AL723" s="1261"/>
      <c r="AM723" s="1225" t="str">
        <f t="shared" si="51"/>
        <v/>
      </c>
      <c r="AN723" s="1226"/>
      <c r="AO723" s="1227"/>
      <c r="BA723" s="41"/>
      <c r="BB723" s="41"/>
      <c r="BC723" s="41"/>
      <c r="BD723" s="41"/>
      <c r="BE723" s="43"/>
      <c r="BF723" s="43"/>
      <c r="BG723" s="851">
        <f t="shared" si="54"/>
        <v>0</v>
      </c>
      <c r="BH723" s="855" t="str">
        <f t="shared" si="55"/>
        <v/>
      </c>
      <c r="BI723" s="856" t="str">
        <f t="shared" si="56"/>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5"/>
      <c r="C724" s="1336"/>
      <c r="D724" s="1336"/>
      <c r="E724" s="1336"/>
      <c r="F724" s="1337"/>
      <c r="G724" s="1265"/>
      <c r="H724" s="1266"/>
      <c r="I724" s="1266"/>
      <c r="J724" s="1267"/>
      <c r="K724" s="1252"/>
      <c r="L724" s="1253"/>
      <c r="M724" s="1253"/>
      <c r="N724" s="1254"/>
      <c r="O724" s="1255"/>
      <c r="P724" s="1256"/>
      <c r="Q724" s="1256"/>
      <c r="R724" s="1256"/>
      <c r="S724" s="1257"/>
      <c r="T724" s="1228">
        <f t="shared" si="52"/>
        <v>0</v>
      </c>
      <c r="U724" s="1229"/>
      <c r="V724" s="1229"/>
      <c r="W724" s="1229"/>
      <c r="X724" s="1230"/>
      <c r="Y724" s="1255"/>
      <c r="Z724" s="1256"/>
      <c r="AA724" s="1256"/>
      <c r="AB724" s="1257"/>
      <c r="AC724" s="1228">
        <f t="shared" si="53"/>
        <v>0</v>
      </c>
      <c r="AD724" s="1229"/>
      <c r="AE724" s="1229"/>
      <c r="AF724" s="1229"/>
      <c r="AG724" s="1230"/>
      <c r="AH724" s="1259"/>
      <c r="AI724" s="1260"/>
      <c r="AJ724" s="1260"/>
      <c r="AK724" s="1260"/>
      <c r="AL724" s="1261"/>
      <c r="AM724" s="1225" t="str">
        <f t="shared" si="51"/>
        <v/>
      </c>
      <c r="AN724" s="1226"/>
      <c r="AO724" s="1227"/>
      <c r="BA724" s="41"/>
      <c r="BB724" s="41"/>
      <c r="BC724" s="41"/>
      <c r="BD724" s="41"/>
      <c r="BE724" s="43"/>
      <c r="BF724" s="43"/>
      <c r="BG724" s="851">
        <f t="shared" si="54"/>
        <v>42</v>
      </c>
      <c r="BH724" s="855">
        <f t="shared" si="55"/>
        <v>0.75</v>
      </c>
      <c r="BI724" s="856">
        <f t="shared" si="56"/>
        <v>0.375</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5"/>
      <c r="C725" s="1336"/>
      <c r="D725" s="1336"/>
      <c r="E725" s="1336"/>
      <c r="F725" s="1337"/>
      <c r="G725" s="1265"/>
      <c r="H725" s="1266"/>
      <c r="I725" s="1266"/>
      <c r="J725" s="1267"/>
      <c r="K725" s="1252"/>
      <c r="L725" s="1253"/>
      <c r="M725" s="1253"/>
      <c r="N725" s="1254"/>
      <c r="O725" s="1255"/>
      <c r="P725" s="1256"/>
      <c r="Q725" s="1256"/>
      <c r="R725" s="1256"/>
      <c r="S725" s="1257"/>
      <c r="T725" s="1228">
        <f t="shared" si="52"/>
        <v>0</v>
      </c>
      <c r="U725" s="1229"/>
      <c r="V725" s="1229"/>
      <c r="W725" s="1229"/>
      <c r="X725" s="1230"/>
      <c r="Y725" s="1255"/>
      <c r="Z725" s="1256"/>
      <c r="AA725" s="1256"/>
      <c r="AB725" s="1257"/>
      <c r="AC725" s="1228">
        <f t="shared" si="53"/>
        <v>0</v>
      </c>
      <c r="AD725" s="1229"/>
      <c r="AE725" s="1229"/>
      <c r="AF725" s="1229"/>
      <c r="AG725" s="1230"/>
      <c r="AH725" s="1259"/>
      <c r="AI725" s="1260"/>
      <c r="AJ725" s="1260"/>
      <c r="AK725" s="1260"/>
      <c r="AL725" s="1261"/>
      <c r="AM725" s="1225" t="str">
        <f t="shared" si="51"/>
        <v/>
      </c>
      <c r="AN725" s="1226"/>
      <c r="AO725" s="1227"/>
      <c r="BA725" s="41"/>
      <c r="BB725" s="41"/>
      <c r="BC725" s="41"/>
      <c r="BD725" s="41"/>
      <c r="BE725" s="43"/>
      <c r="BF725" s="43"/>
      <c r="BG725" s="851">
        <f t="shared" si="54"/>
        <v>2</v>
      </c>
      <c r="BH725" s="855">
        <f t="shared" si="55"/>
        <v>3.5714285714285712E-2</v>
      </c>
      <c r="BI725" s="856">
        <f t="shared" si="56"/>
        <v>1.7857142857142856E-2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5"/>
      <c r="C726" s="1336"/>
      <c r="D726" s="1336"/>
      <c r="E726" s="1336"/>
      <c r="F726" s="1337"/>
      <c r="G726" s="1265"/>
      <c r="H726" s="1266"/>
      <c r="I726" s="1266"/>
      <c r="J726" s="1267"/>
      <c r="K726" s="1252"/>
      <c r="L726" s="1253"/>
      <c r="M726" s="1253"/>
      <c r="N726" s="1254"/>
      <c r="O726" s="1255"/>
      <c r="P726" s="1256"/>
      <c r="Q726" s="1256"/>
      <c r="R726" s="1256"/>
      <c r="S726" s="1257"/>
      <c r="T726" s="1228">
        <f t="shared" si="52"/>
        <v>0</v>
      </c>
      <c r="U726" s="1229"/>
      <c r="V726" s="1229"/>
      <c r="W726" s="1229"/>
      <c r="X726" s="1230"/>
      <c r="Y726" s="1255"/>
      <c r="Z726" s="1256"/>
      <c r="AA726" s="1256"/>
      <c r="AB726" s="1257"/>
      <c r="AC726" s="1228">
        <f t="shared" si="53"/>
        <v>0</v>
      </c>
      <c r="AD726" s="1229"/>
      <c r="AE726" s="1229"/>
      <c r="AF726" s="1229"/>
      <c r="AG726" s="1230"/>
      <c r="AH726" s="1259"/>
      <c r="AI726" s="1260"/>
      <c r="AJ726" s="1260"/>
      <c r="AK726" s="1260"/>
      <c r="AL726" s="1261"/>
      <c r="AM726" s="1225" t="str">
        <f t="shared" si="51"/>
        <v/>
      </c>
      <c r="AN726" s="1226"/>
      <c r="AO726" s="1227"/>
      <c r="BA726" s="41"/>
      <c r="BB726" s="41"/>
      <c r="BC726" s="41"/>
      <c r="BD726" s="41"/>
      <c r="BE726" s="43"/>
      <c r="BF726" s="43"/>
      <c r="BG726" s="851">
        <f t="shared" si="54"/>
        <v>0</v>
      </c>
      <c r="BH726" s="855" t="str">
        <f t="shared" si="55"/>
        <v/>
      </c>
      <c r="BI726" s="856" t="str">
        <f t="shared" si="5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5"/>
      <c r="C727" s="1336"/>
      <c r="D727" s="1336"/>
      <c r="E727" s="1336"/>
      <c r="F727" s="1337"/>
      <c r="G727" s="1265"/>
      <c r="H727" s="1266"/>
      <c r="I727" s="1266"/>
      <c r="J727" s="1267"/>
      <c r="K727" s="1252"/>
      <c r="L727" s="1253"/>
      <c r="M727" s="1253"/>
      <c r="N727" s="1254"/>
      <c r="O727" s="1255"/>
      <c r="P727" s="1256"/>
      <c r="Q727" s="1256"/>
      <c r="R727" s="1256"/>
      <c r="S727" s="1257"/>
      <c r="T727" s="1228">
        <f t="shared" si="52"/>
        <v>0</v>
      </c>
      <c r="U727" s="1229"/>
      <c r="V727" s="1229"/>
      <c r="W727" s="1229"/>
      <c r="X727" s="1230"/>
      <c r="Y727" s="1255"/>
      <c r="Z727" s="1256"/>
      <c r="AA727" s="1256"/>
      <c r="AB727" s="1257"/>
      <c r="AC727" s="1228">
        <f t="shared" si="53"/>
        <v>0</v>
      </c>
      <c r="AD727" s="1229"/>
      <c r="AE727" s="1229"/>
      <c r="AF727" s="1229"/>
      <c r="AG727" s="1230"/>
      <c r="AH727" s="1259"/>
      <c r="AI727" s="1260"/>
      <c r="AJ727" s="1260"/>
      <c r="AK727" s="1260"/>
      <c r="AL727" s="1261"/>
      <c r="AM727" s="1225" t="str">
        <f t="shared" si="51"/>
        <v/>
      </c>
      <c r="AN727" s="1226"/>
      <c r="AO727" s="1227"/>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5"/>
      <c r="C728" s="1336"/>
      <c r="D728" s="1336"/>
      <c r="E728" s="1336"/>
      <c r="F728" s="1337"/>
      <c r="G728" s="1265"/>
      <c r="H728" s="1266"/>
      <c r="I728" s="1266"/>
      <c r="J728" s="1267"/>
      <c r="K728" s="1252"/>
      <c r="L728" s="1253"/>
      <c r="M728" s="1253"/>
      <c r="N728" s="1254"/>
      <c r="O728" s="1255"/>
      <c r="P728" s="1256"/>
      <c r="Q728" s="1256"/>
      <c r="R728" s="1256"/>
      <c r="S728" s="1257"/>
      <c r="T728" s="1228">
        <f t="shared" si="52"/>
        <v>0</v>
      </c>
      <c r="U728" s="1229"/>
      <c r="V728" s="1229"/>
      <c r="W728" s="1229"/>
      <c r="X728" s="1230"/>
      <c r="Y728" s="1255"/>
      <c r="Z728" s="1256"/>
      <c r="AA728" s="1256"/>
      <c r="AB728" s="1257"/>
      <c r="AC728" s="1228">
        <f t="shared" si="53"/>
        <v>0</v>
      </c>
      <c r="AD728" s="1229"/>
      <c r="AE728" s="1229"/>
      <c r="AF728" s="1229"/>
      <c r="AG728" s="1230"/>
      <c r="AH728" s="1259"/>
      <c r="AI728" s="1260"/>
      <c r="AJ728" s="1260"/>
      <c r="AK728" s="1260"/>
      <c r="AL728" s="1261"/>
      <c r="AM728" s="1225" t="str">
        <f t="shared" si="51"/>
        <v/>
      </c>
      <c r="AN728" s="1226"/>
      <c r="AO728" s="1227"/>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5"/>
      <c r="C729" s="1336"/>
      <c r="D729" s="1336"/>
      <c r="E729" s="1336"/>
      <c r="F729" s="1337"/>
      <c r="G729" s="1265"/>
      <c r="H729" s="1266"/>
      <c r="I729" s="1266"/>
      <c r="J729" s="1267"/>
      <c r="K729" s="1252"/>
      <c r="L729" s="1253"/>
      <c r="M729" s="1253"/>
      <c r="N729" s="1254"/>
      <c r="O729" s="1255"/>
      <c r="P729" s="1256"/>
      <c r="Q729" s="1256"/>
      <c r="R729" s="1256"/>
      <c r="S729" s="1257"/>
      <c r="T729" s="1228">
        <f t="shared" si="49"/>
        <v>0</v>
      </c>
      <c r="U729" s="1229"/>
      <c r="V729" s="1229"/>
      <c r="W729" s="1229"/>
      <c r="X729" s="1230"/>
      <c r="Y729" s="1255"/>
      <c r="Z729" s="1256"/>
      <c r="AA729" s="1256"/>
      <c r="AB729" s="1257"/>
      <c r="AC729" s="1228">
        <f t="shared" si="50"/>
        <v>0</v>
      </c>
      <c r="AD729" s="1229"/>
      <c r="AE729" s="1229"/>
      <c r="AF729" s="1229"/>
      <c r="AG729" s="1230"/>
      <c r="AH729" s="1259"/>
      <c r="AI729" s="1260"/>
      <c r="AJ729" s="1260"/>
      <c r="AK729" s="1260"/>
      <c r="AL729" s="1261"/>
      <c r="AM729" s="1225" t="str">
        <f>IF($AH729&gt;0,($AC729/$BA702), "")</f>
        <v/>
      </c>
      <c r="AN729" s="1226"/>
      <c r="AO729" s="1227"/>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6" t="s">
        <v>878</v>
      </c>
      <c r="C730" s="1187"/>
      <c r="D730" s="1187"/>
      <c r="E730" s="1187"/>
      <c r="F730" s="1188"/>
      <c r="G730" s="1502">
        <f>SUM(G695:J729)</f>
        <v>56</v>
      </c>
      <c r="H730" s="1503"/>
      <c r="I730" s="1503"/>
      <c r="J730" s="1504"/>
      <c r="O730" s="430" t="s">
        <v>877</v>
      </c>
      <c r="P730" s="168"/>
      <c r="Q730" s="168"/>
      <c r="R730" s="168"/>
      <c r="S730" s="842"/>
      <c r="T730" s="1228">
        <f>SUM(T695:X729)</f>
        <v>53976</v>
      </c>
      <c r="U730" s="1229"/>
      <c r="V730" s="1229"/>
      <c r="W730" s="1229"/>
      <c r="X730" s="1230"/>
      <c r="AC730" s="843" t="s">
        <v>1140</v>
      </c>
      <c r="AD730" s="844"/>
      <c r="AE730" s="844"/>
      <c r="AF730" s="844"/>
      <c r="AG730" s="845"/>
      <c r="AH730" s="1231">
        <f>BI714</f>
        <v>0.45714285714285713</v>
      </c>
      <c r="AI730" s="1232"/>
      <c r="AJ730" s="1232"/>
      <c r="AK730" s="1232"/>
      <c r="AL730" s="1233"/>
      <c r="AM730" s="1231">
        <f>IFERROR(BI745,0)</f>
        <v>0.45706297430435361</v>
      </c>
      <c r="AN730" s="1232"/>
      <c r="AO730" s="1233"/>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8" t="s">
        <v>2063</v>
      </c>
      <c r="D731" s="1468"/>
      <c r="E731" s="1468"/>
      <c r="F731" s="1468"/>
      <c r="G731" s="1468"/>
      <c r="H731" s="1468"/>
      <c r="I731" s="1468"/>
      <c r="J731" s="1468"/>
      <c r="K731" s="1468"/>
      <c r="L731" s="1468"/>
      <c r="M731" s="1468"/>
      <c r="N731" s="1468"/>
      <c r="O731" s="1468"/>
      <c r="P731" s="1468"/>
      <c r="Q731" s="1468"/>
      <c r="R731" s="1468"/>
      <c r="S731" s="1468"/>
      <c r="T731" s="1468"/>
      <c r="U731" s="1468"/>
      <c r="V731" s="1468"/>
      <c r="W731" s="1468"/>
      <c r="X731" s="1468"/>
      <c r="Y731" s="1468"/>
      <c r="Z731" s="1468"/>
      <c r="AA731" s="1468"/>
      <c r="AB731" s="1468"/>
      <c r="AC731" s="1468"/>
      <c r="AD731" s="1468"/>
      <c r="AE731" s="1468"/>
      <c r="AF731" s="1468"/>
      <c r="AG731" s="1468"/>
      <c r="AH731" s="1468"/>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8"/>
      <c r="D732" s="1468"/>
      <c r="E732" s="1468"/>
      <c r="F732" s="1468"/>
      <c r="G732" s="1468"/>
      <c r="H732" s="1468"/>
      <c r="I732" s="1468"/>
      <c r="J732" s="1468"/>
      <c r="K732" s="1468"/>
      <c r="L732" s="1468"/>
      <c r="M732" s="1468"/>
      <c r="N732" s="1468"/>
      <c r="O732" s="1468"/>
      <c r="P732" s="1468"/>
      <c r="Q732" s="1468"/>
      <c r="R732" s="1468"/>
      <c r="S732" s="1468"/>
      <c r="T732" s="1468"/>
      <c r="U732" s="1468"/>
      <c r="V732" s="1468"/>
      <c r="W732" s="1468"/>
      <c r="X732" s="1468"/>
      <c r="Y732" s="1468"/>
      <c r="Z732" s="1468"/>
      <c r="AA732" s="1468"/>
      <c r="AB732" s="1468"/>
      <c r="AC732" s="1468"/>
      <c r="AD732" s="1468"/>
      <c r="AE732" s="1468"/>
      <c r="AF732" s="1468"/>
      <c r="AG732" s="1468"/>
      <c r="AH732" s="1468"/>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533">
        <f>CQ628</f>
        <v>56</v>
      </c>
      <c r="P733" s="1533"/>
      <c r="Q733" s="1533"/>
      <c r="R733" s="1533"/>
      <c r="S733" s="924"/>
      <c r="T733" s="924"/>
      <c r="U733" s="270" t="s">
        <v>2065</v>
      </c>
      <c r="V733" s="922"/>
      <c r="W733" s="922"/>
      <c r="X733" s="922"/>
      <c r="Y733" s="923"/>
      <c r="Z733" s="923"/>
      <c r="AA733" s="923"/>
      <c r="AB733" s="923"/>
      <c r="AC733" s="922"/>
      <c r="AD733" s="922"/>
      <c r="AE733" s="922"/>
      <c r="AF733" s="922"/>
      <c r="AG733" s="1499"/>
      <c r="AH733" s="1499"/>
      <c r="AI733" s="1499"/>
      <c r="AJ733" s="1499"/>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4" t="str">
        <f>IF(G730&lt;&gt;AG433,"! Total Low-Income Units in the Unit Mix Table above does not match the number of Total Low-Income Units on row #"&amp;TEXT(ROW(AG433),"#"),"")</f>
        <v/>
      </c>
      <c r="D734" s="1094"/>
      <c r="E734" s="1094"/>
      <c r="F734" s="1094"/>
      <c r="G734" s="1094"/>
      <c r="H734" s="1094"/>
      <c r="I734" s="1094"/>
      <c r="J734" s="1094"/>
      <c r="K734" s="1094"/>
      <c r="L734" s="1094"/>
      <c r="M734" s="1094"/>
      <c r="N734" s="1094"/>
      <c r="O734" s="1094"/>
      <c r="P734" s="1094"/>
      <c r="Q734" s="1094"/>
      <c r="R734" s="1094"/>
      <c r="S734" s="1094"/>
      <c r="T734" s="1094"/>
      <c r="U734" s="1094"/>
      <c r="V734" s="1094"/>
      <c r="W734" s="1094"/>
      <c r="X734" s="1094"/>
      <c r="Y734" s="1094"/>
      <c r="Z734" s="1094"/>
      <c r="AA734" s="1094"/>
      <c r="AB734" s="1094"/>
      <c r="AC734" s="1094"/>
      <c r="AD734" s="1094"/>
      <c r="AE734" s="1094"/>
      <c r="AF734" s="1094"/>
      <c r="AG734" s="1094"/>
      <c r="AH734" s="1094"/>
      <c r="AI734" s="1094"/>
      <c r="AJ734" s="1094"/>
      <c r="AK734" s="1094"/>
      <c r="AL734" s="1094"/>
      <c r="AM734" s="1094"/>
      <c r="AN734" s="1094"/>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4"/>
      <c r="D735" s="1094"/>
      <c r="E735" s="1094"/>
      <c r="F735" s="1094"/>
      <c r="G735" s="1094"/>
      <c r="H735" s="1094"/>
      <c r="I735" s="1094"/>
      <c r="J735" s="1094"/>
      <c r="K735" s="1094"/>
      <c r="L735" s="1094"/>
      <c r="M735" s="1094"/>
      <c r="N735" s="1094"/>
      <c r="O735" s="1094"/>
      <c r="P735" s="1094"/>
      <c r="Q735" s="1094"/>
      <c r="R735" s="1094"/>
      <c r="S735" s="1094"/>
      <c r="T735" s="1094"/>
      <c r="U735" s="1094"/>
      <c r="V735" s="1094"/>
      <c r="W735" s="1094"/>
      <c r="X735" s="1094"/>
      <c r="Y735" s="1094"/>
      <c r="Z735" s="1094"/>
      <c r="AA735" s="1094"/>
      <c r="AB735" s="1094"/>
      <c r="AC735" s="1094"/>
      <c r="AD735" s="1094"/>
      <c r="AE735" s="1094"/>
      <c r="AF735" s="1094"/>
      <c r="AG735" s="1094"/>
      <c r="AH735" s="1094"/>
      <c r="AI735" s="1094"/>
      <c r="AJ735" s="1094"/>
      <c r="AK735" s="1094"/>
      <c r="AL735" s="1094"/>
      <c r="AM735" s="1094"/>
      <c r="AN735" s="1094"/>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124</v>
      </c>
      <c r="AA736" s="1258"/>
      <c r="AB736" s="1258"/>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6" t="s">
        <v>2061</v>
      </c>
      <c r="C737" s="986"/>
      <c r="D737" s="986"/>
      <c r="E737" s="986"/>
      <c r="F737" s="986"/>
      <c r="G737" s="986"/>
      <c r="H737" s="986"/>
      <c r="I737" s="986"/>
      <c r="J737" s="986"/>
      <c r="K737" s="986"/>
      <c r="L737" s="986"/>
      <c r="M737" s="986"/>
      <c r="N737" s="986"/>
      <c r="O737" s="986"/>
      <c r="P737" s="986"/>
      <c r="Q737" s="986"/>
      <c r="R737" s="986"/>
      <c r="S737" s="986"/>
      <c r="T737" s="986"/>
      <c r="U737" s="986"/>
      <c r="V737" s="986"/>
      <c r="W737" s="986"/>
      <c r="X737" s="986"/>
      <c r="Y737" s="986"/>
      <c r="Z737" s="986"/>
      <c r="AA737" s="986"/>
      <c r="AB737" s="986"/>
      <c r="AC737" s="986"/>
      <c r="AD737" s="986"/>
      <c r="AE737" s="986"/>
      <c r="AF737" s="986"/>
      <c r="AG737" s="986"/>
      <c r="AH737" s="986"/>
      <c r="AI737" s="986"/>
      <c r="AJ737" s="986"/>
      <c r="AK737" s="986"/>
      <c r="AL737" s="986"/>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6"/>
      <c r="C738" s="986"/>
      <c r="D738" s="986"/>
      <c r="E738" s="986"/>
      <c r="F738" s="986"/>
      <c r="G738" s="986"/>
      <c r="H738" s="986"/>
      <c r="I738" s="986"/>
      <c r="J738" s="986"/>
      <c r="K738" s="986"/>
      <c r="L738" s="986"/>
      <c r="M738" s="986"/>
      <c r="N738" s="986"/>
      <c r="O738" s="986"/>
      <c r="P738" s="986"/>
      <c r="Q738" s="986"/>
      <c r="R738" s="986"/>
      <c r="S738" s="986"/>
      <c r="T738" s="986"/>
      <c r="U738" s="986"/>
      <c r="V738" s="986"/>
      <c r="W738" s="986"/>
      <c r="X738" s="986"/>
      <c r="Y738" s="986"/>
      <c r="Z738" s="986"/>
      <c r="AA738" s="986"/>
      <c r="AB738" s="986"/>
      <c r="AC738" s="986"/>
      <c r="AD738" s="986"/>
      <c r="AE738" s="986"/>
      <c r="AF738" s="986"/>
      <c r="AG738" s="986"/>
      <c r="AH738" s="986"/>
      <c r="AI738" s="986"/>
      <c r="AJ738" s="986"/>
      <c r="AK738" s="986"/>
      <c r="AL738" s="986"/>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6" t="s">
        <v>1519</v>
      </c>
      <c r="D740" s="986"/>
      <c r="E740" s="986"/>
      <c r="F740" s="986"/>
      <c r="G740" s="986"/>
      <c r="H740" s="986"/>
      <c r="I740" s="986"/>
      <c r="J740" s="986"/>
      <c r="K740" s="986"/>
      <c r="L740" s="986"/>
      <c r="M740" s="986"/>
      <c r="N740" s="986"/>
      <c r="O740" s="986"/>
      <c r="P740" s="986"/>
      <c r="Q740" s="986"/>
      <c r="R740" s="986"/>
      <c r="S740" s="986"/>
      <c r="T740" s="986"/>
      <c r="U740" s="986"/>
      <c r="V740" s="986"/>
      <c r="W740" s="986"/>
      <c r="X740" s="986"/>
      <c r="Y740" s="986"/>
      <c r="Z740" s="986"/>
      <c r="AA740" s="986"/>
      <c r="AB740" s="986"/>
      <c r="AC740" s="986"/>
      <c r="AD740" s="986"/>
      <c r="AE740" s="986"/>
      <c r="AF740" s="986"/>
      <c r="AG740" s="986"/>
      <c r="AH740" s="986"/>
      <c r="AI740" s="986"/>
      <c r="AJ740" s="986"/>
      <c r="AK740" s="986"/>
      <c r="AL740" s="986"/>
      <c r="AM740" s="986"/>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6"/>
      <c r="D741" s="986"/>
      <c r="E741" s="986"/>
      <c r="F741" s="986"/>
      <c r="G741" s="986"/>
      <c r="H741" s="986"/>
      <c r="I741" s="986"/>
      <c r="J741" s="986"/>
      <c r="K741" s="986"/>
      <c r="L741" s="986"/>
      <c r="M741" s="986"/>
      <c r="N741" s="986"/>
      <c r="O741" s="986"/>
      <c r="P741" s="986"/>
      <c r="Q741" s="986"/>
      <c r="R741" s="986"/>
      <c r="S741" s="986"/>
      <c r="T741" s="986"/>
      <c r="U741" s="986"/>
      <c r="V741" s="986"/>
      <c r="W741" s="986"/>
      <c r="X741" s="986"/>
      <c r="Y741" s="986"/>
      <c r="Z741" s="986"/>
      <c r="AA741" s="986"/>
      <c r="AB741" s="986"/>
      <c r="AC741" s="986"/>
      <c r="AD741" s="986"/>
      <c r="AE741" s="986"/>
      <c r="AF741" s="986"/>
      <c r="AG741" s="986"/>
      <c r="AH741" s="986"/>
      <c r="AI741" s="986"/>
      <c r="AJ741" s="986"/>
      <c r="AK741" s="986"/>
      <c r="AL741" s="986"/>
      <c r="AM741" s="986"/>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6"/>
      <c r="D742" s="986"/>
      <c r="E742" s="986"/>
      <c r="F742" s="986"/>
      <c r="G742" s="986"/>
      <c r="H742" s="986"/>
      <c r="I742" s="986"/>
      <c r="J742" s="986"/>
      <c r="K742" s="986"/>
      <c r="L742" s="986"/>
      <c r="M742" s="986"/>
      <c r="N742" s="986"/>
      <c r="O742" s="986"/>
      <c r="P742" s="986"/>
      <c r="Q742" s="986"/>
      <c r="R742" s="986"/>
      <c r="S742" s="986"/>
      <c r="T742" s="986"/>
      <c r="U742" s="986"/>
      <c r="V742" s="986"/>
      <c r="W742" s="986"/>
      <c r="X742" s="986"/>
      <c r="Y742" s="986"/>
      <c r="Z742" s="986"/>
      <c r="AA742" s="986"/>
      <c r="AB742" s="986"/>
      <c r="AC742" s="986"/>
      <c r="AD742" s="986"/>
      <c r="AE742" s="986"/>
      <c r="AF742" s="986"/>
      <c r="AG742" s="986"/>
      <c r="AH742" s="986"/>
      <c r="AI742" s="986"/>
      <c r="AJ742" s="986"/>
      <c r="AK742" s="986"/>
      <c r="AL742" s="986"/>
      <c r="AM742" s="986"/>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6"/>
      <c r="D743" s="986"/>
      <c r="E743" s="986"/>
      <c r="F743" s="986"/>
      <c r="G743" s="986"/>
      <c r="H743" s="986"/>
      <c r="I743" s="986"/>
      <c r="J743" s="986"/>
      <c r="K743" s="986"/>
      <c r="L743" s="986"/>
      <c r="M743" s="986"/>
      <c r="N743" s="986"/>
      <c r="O743" s="986"/>
      <c r="P743" s="986"/>
      <c r="Q743" s="986"/>
      <c r="R743" s="986"/>
      <c r="S743" s="986"/>
      <c r="T743" s="986"/>
      <c r="U743" s="986"/>
      <c r="V743" s="986"/>
      <c r="W743" s="986"/>
      <c r="X743" s="986"/>
      <c r="Y743" s="986"/>
      <c r="Z743" s="986"/>
      <c r="AA743" s="986"/>
      <c r="AB743" s="986"/>
      <c r="AC743" s="986"/>
      <c r="AD743" s="986"/>
      <c r="AE743" s="986"/>
      <c r="AF743" s="986"/>
      <c r="AG743" s="986"/>
      <c r="AH743" s="986"/>
      <c r="AI743" s="986"/>
      <c r="AJ743" s="986"/>
      <c r="AK743" s="986"/>
      <c r="AL743" s="986"/>
      <c r="AM743" s="986"/>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6"/>
      <c r="D744" s="986"/>
      <c r="E744" s="986"/>
      <c r="F744" s="986"/>
      <c r="G744" s="986"/>
      <c r="H744" s="986"/>
      <c r="I744" s="986"/>
      <c r="J744" s="986"/>
      <c r="K744" s="986"/>
      <c r="L744" s="986"/>
      <c r="M744" s="986"/>
      <c r="N744" s="986"/>
      <c r="O744" s="986"/>
      <c r="P744" s="986"/>
      <c r="Q744" s="986"/>
      <c r="R744" s="986"/>
      <c r="S744" s="986"/>
      <c r="T744" s="986"/>
      <c r="U744" s="986"/>
      <c r="V744" s="986"/>
      <c r="W744" s="986"/>
      <c r="X744" s="986"/>
      <c r="Y744" s="986"/>
      <c r="Z744" s="986"/>
      <c r="AA744" s="986"/>
      <c r="AB744" s="986"/>
      <c r="AC744" s="986"/>
      <c r="AD744" s="986"/>
      <c r="AE744" s="986"/>
      <c r="AF744" s="986"/>
      <c r="AG744" s="986"/>
      <c r="AH744" s="986"/>
      <c r="AI744" s="986"/>
      <c r="AJ744" s="986"/>
      <c r="AK744" s="986"/>
      <c r="AL744" s="986"/>
      <c r="AM744" s="986"/>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6"/>
      <c r="D745" s="986"/>
      <c r="E745" s="986"/>
      <c r="F745" s="986"/>
      <c r="G745" s="986"/>
      <c r="H745" s="986"/>
      <c r="I745" s="986"/>
      <c r="J745" s="986"/>
      <c r="K745" s="986"/>
      <c r="L745" s="986"/>
      <c r="M745" s="986"/>
      <c r="N745" s="986"/>
      <c r="O745" s="986"/>
      <c r="P745" s="986"/>
      <c r="Q745" s="986"/>
      <c r="R745" s="986"/>
      <c r="S745" s="986"/>
      <c r="T745" s="986"/>
      <c r="U745" s="986"/>
      <c r="V745" s="986"/>
      <c r="W745" s="986"/>
      <c r="X745" s="986"/>
      <c r="Y745" s="986"/>
      <c r="Z745" s="986"/>
      <c r="AA745" s="986"/>
      <c r="AB745" s="986"/>
      <c r="AC745" s="986"/>
      <c r="AD745" s="986"/>
      <c r="AE745" s="986"/>
      <c r="AF745" s="986"/>
      <c r="AG745" s="986"/>
      <c r="AH745" s="986"/>
      <c r="AI745" s="986"/>
      <c r="AJ745" s="986"/>
      <c r="AK745" s="986"/>
      <c r="AL745" s="986"/>
      <c r="AM745" s="986"/>
      <c r="AT745" s="41"/>
      <c r="AU745" s="41"/>
      <c r="AV745" s="41"/>
      <c r="AW745" s="41"/>
      <c r="AX745" s="41"/>
      <c r="AY745" s="41"/>
      <c r="AZ745" s="41"/>
      <c r="BA745" s="41"/>
      <c r="BB745" s="41"/>
      <c r="BC745" s="41"/>
      <c r="BD745" s="41"/>
      <c r="BE745" s="41"/>
      <c r="BF745" s="41"/>
      <c r="BG745" s="852">
        <f>SUM(BG720:BG744)</f>
        <v>56</v>
      </c>
      <c r="BH745" s="853">
        <f>SUM(BH720:BH744)</f>
        <v>1</v>
      </c>
      <c r="BI745" s="853">
        <f>SUM(BI720:BI744)</f>
        <v>0.45706297430435361</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6"/>
      <c r="D746" s="986"/>
      <c r="E746" s="986"/>
      <c r="F746" s="986"/>
      <c r="G746" s="986"/>
      <c r="H746" s="986"/>
      <c r="I746" s="986"/>
      <c r="J746" s="986"/>
      <c r="K746" s="986"/>
      <c r="L746" s="986"/>
      <c r="M746" s="986"/>
      <c r="N746" s="986"/>
      <c r="O746" s="986"/>
      <c r="P746" s="986"/>
      <c r="Q746" s="986"/>
      <c r="R746" s="986"/>
      <c r="S746" s="986"/>
      <c r="T746" s="986"/>
      <c r="U746" s="986"/>
      <c r="V746" s="986"/>
      <c r="W746" s="986"/>
      <c r="X746" s="986"/>
      <c r="Y746" s="986"/>
      <c r="Z746" s="986"/>
      <c r="AA746" s="986"/>
      <c r="AB746" s="986"/>
      <c r="AC746" s="986"/>
      <c r="AD746" s="986"/>
      <c r="AE746" s="986"/>
      <c r="AF746" s="986"/>
      <c r="AG746" s="986"/>
      <c r="AH746" s="986"/>
      <c r="AI746" s="986"/>
      <c r="AJ746" s="986"/>
      <c r="AK746" s="986"/>
      <c r="AL746" s="986"/>
      <c r="AM746" s="98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6"/>
      <c r="D747" s="986"/>
      <c r="E747" s="986"/>
      <c r="F747" s="986"/>
      <c r="G747" s="986"/>
      <c r="H747" s="986"/>
      <c r="I747" s="986"/>
      <c r="J747" s="986"/>
      <c r="K747" s="986"/>
      <c r="L747" s="986"/>
      <c r="M747" s="986"/>
      <c r="N747" s="986"/>
      <c r="O747" s="986"/>
      <c r="P747" s="986"/>
      <c r="Q747" s="986"/>
      <c r="R747" s="986"/>
      <c r="S747" s="986"/>
      <c r="T747" s="986"/>
      <c r="U747" s="986"/>
      <c r="V747" s="986"/>
      <c r="W747" s="986"/>
      <c r="X747" s="986"/>
      <c r="Y747" s="986"/>
      <c r="Z747" s="986"/>
      <c r="AA747" s="986"/>
      <c r="AB747" s="986"/>
      <c r="AC747" s="986"/>
      <c r="AD747" s="986"/>
      <c r="AE747" s="986"/>
      <c r="AF747" s="986"/>
      <c r="AG747" s="986"/>
      <c r="AH747" s="986"/>
      <c r="AI747" s="986"/>
      <c r="AJ747" s="986"/>
      <c r="AK747" s="986"/>
      <c r="AL747" s="986"/>
      <c r="AM747" s="98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3" t="s">
        <v>54</v>
      </c>
      <c r="K748" s="1244"/>
      <c r="L748" s="1244"/>
      <c r="M748" s="1244"/>
      <c r="N748" s="1245"/>
      <c r="O748" s="1506" t="s">
        <v>256</v>
      </c>
      <c r="P748" s="1506"/>
      <c r="Q748" s="1506"/>
      <c r="R748" s="1506"/>
      <c r="S748" s="1506"/>
      <c r="T748" s="1234" t="s">
        <v>1997</v>
      </c>
      <c r="U748" s="1235"/>
      <c r="V748" s="1235"/>
      <c r="W748" s="1236"/>
      <c r="X748" s="1243" t="s">
        <v>590</v>
      </c>
      <c r="Y748" s="1244"/>
      <c r="Z748" s="1244"/>
      <c r="AA748" s="1244"/>
      <c r="AB748" s="1245"/>
      <c r="AC748" s="1243" t="s">
        <v>257</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6"/>
      <c r="K749" s="1247"/>
      <c r="L749" s="1247"/>
      <c r="M749" s="1247"/>
      <c r="N749" s="1248"/>
      <c r="O749" s="1506"/>
      <c r="P749" s="1506"/>
      <c r="Q749" s="1506"/>
      <c r="R749" s="1506"/>
      <c r="S749" s="1506"/>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6"/>
      <c r="K750" s="1247"/>
      <c r="L750" s="1247"/>
      <c r="M750" s="1247"/>
      <c r="N750" s="1248"/>
      <c r="O750" s="1506"/>
      <c r="P750" s="1506"/>
      <c r="Q750" s="1506"/>
      <c r="R750" s="1506"/>
      <c r="S750" s="1506"/>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9"/>
      <c r="K751" s="1250"/>
      <c r="L751" s="1250"/>
      <c r="M751" s="1250"/>
      <c r="N751" s="1251"/>
      <c r="O751" s="1506"/>
      <c r="P751" s="1506"/>
      <c r="Q751" s="1506"/>
      <c r="R751" s="1506"/>
      <c r="S751" s="1506"/>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5" t="s">
        <v>443</v>
      </c>
      <c r="K752" s="1336"/>
      <c r="L752" s="1336"/>
      <c r="M752" s="1336"/>
      <c r="N752" s="1337"/>
      <c r="O752" s="1385">
        <v>1</v>
      </c>
      <c r="P752" s="1385"/>
      <c r="Q752" s="1385"/>
      <c r="R752" s="1385"/>
      <c r="S752" s="1385"/>
      <c r="T752" s="1252">
        <v>523</v>
      </c>
      <c r="U752" s="1253"/>
      <c r="V752" s="1253"/>
      <c r="W752" s="1254"/>
      <c r="X752" s="1255">
        <v>0</v>
      </c>
      <c r="Y752" s="1256"/>
      <c r="Z752" s="1256"/>
      <c r="AA752" s="1256"/>
      <c r="AB752" s="1257"/>
      <c r="AC752" s="1228">
        <f>X752*O752</f>
        <v>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5"/>
      <c r="K753" s="1336"/>
      <c r="L753" s="1336"/>
      <c r="M753" s="1336"/>
      <c r="N753" s="1337"/>
      <c r="O753" s="1385"/>
      <c r="P753" s="1385"/>
      <c r="Q753" s="1385"/>
      <c r="R753" s="1385"/>
      <c r="S753" s="1385"/>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5"/>
      <c r="K754" s="1336"/>
      <c r="L754" s="1336"/>
      <c r="M754" s="1336"/>
      <c r="N754" s="1337"/>
      <c r="O754" s="1385"/>
      <c r="P754" s="1385"/>
      <c r="Q754" s="1385"/>
      <c r="R754" s="1385"/>
      <c r="S754" s="1385"/>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5"/>
      <c r="K755" s="1336"/>
      <c r="L755" s="1336"/>
      <c r="M755" s="1336"/>
      <c r="N755" s="1337"/>
      <c r="O755" s="1385"/>
      <c r="P755" s="1385"/>
      <c r="Q755" s="1385"/>
      <c r="R755" s="1385"/>
      <c r="S755" s="1385"/>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6" t="s">
        <v>878</v>
      </c>
      <c r="K756" s="1187"/>
      <c r="L756" s="1187"/>
      <c r="M756" s="1187"/>
      <c r="N756" s="1188"/>
      <c r="O756" s="1275">
        <f>SUM(O752:S755)</f>
        <v>1</v>
      </c>
      <c r="P756" s="1276"/>
      <c r="Q756" s="1276"/>
      <c r="R756" s="1276"/>
      <c r="S756" s="1277"/>
      <c r="X756" s="1186" t="s">
        <v>877</v>
      </c>
      <c r="Y756" s="1187"/>
      <c r="Z756" s="1187"/>
      <c r="AA756" s="1187"/>
      <c r="AB756" s="1188"/>
      <c r="AC756" s="1228">
        <f>SUM(AC752:AG755)</f>
        <v>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5" t="s">
        <v>483</v>
      </c>
      <c r="K758" s="1105"/>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3" t="s">
        <v>54</v>
      </c>
      <c r="K762" s="1244"/>
      <c r="L762" s="1244"/>
      <c r="M762" s="1244"/>
      <c r="N762" s="1245"/>
      <c r="O762" s="1506" t="s">
        <v>256</v>
      </c>
      <c r="P762" s="1506"/>
      <c r="Q762" s="1506"/>
      <c r="R762" s="1506"/>
      <c r="S762" s="1506"/>
      <c r="T762" s="1234" t="s">
        <v>1997</v>
      </c>
      <c r="U762" s="1235"/>
      <c r="V762" s="1235"/>
      <c r="W762" s="1236"/>
      <c r="X762" s="1243" t="s">
        <v>590</v>
      </c>
      <c r="Y762" s="1244"/>
      <c r="Z762" s="1244"/>
      <c r="AA762" s="1244"/>
      <c r="AB762" s="1245"/>
      <c r="AC762" s="1243" t="s">
        <v>257</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6"/>
      <c r="K763" s="1247"/>
      <c r="L763" s="1247"/>
      <c r="M763" s="1247"/>
      <c r="N763" s="1248"/>
      <c r="O763" s="1506"/>
      <c r="P763" s="1506"/>
      <c r="Q763" s="1506"/>
      <c r="R763" s="1506"/>
      <c r="S763" s="1506"/>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6"/>
      <c r="K764" s="1247"/>
      <c r="L764" s="1247"/>
      <c r="M764" s="1247"/>
      <c r="N764" s="1248"/>
      <c r="O764" s="1506"/>
      <c r="P764" s="1506"/>
      <c r="Q764" s="1506"/>
      <c r="R764" s="1506"/>
      <c r="S764" s="1506"/>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9"/>
      <c r="K765" s="1250"/>
      <c r="L765" s="1250"/>
      <c r="M765" s="1250"/>
      <c r="N765" s="1251"/>
      <c r="O765" s="1506"/>
      <c r="P765" s="1506"/>
      <c r="Q765" s="1506"/>
      <c r="R765" s="1506"/>
      <c r="S765" s="1506"/>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5"/>
      <c r="K766" s="1336"/>
      <c r="L766" s="1336"/>
      <c r="M766" s="1336"/>
      <c r="N766" s="1337"/>
      <c r="O766" s="1385"/>
      <c r="P766" s="1385"/>
      <c r="Q766" s="1385"/>
      <c r="R766" s="1385"/>
      <c r="S766" s="1385"/>
      <c r="T766" s="1252"/>
      <c r="U766" s="1253"/>
      <c r="V766" s="1253"/>
      <c r="W766" s="1254"/>
      <c r="X766" s="1255"/>
      <c r="Y766" s="1256"/>
      <c r="Z766" s="1256"/>
      <c r="AA766" s="1256"/>
      <c r="AB766" s="1257"/>
      <c r="AC766" s="1228">
        <f t="shared" ref="AC766:AC775" si="58">X766*O766</f>
        <v>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5"/>
      <c r="K767" s="1336"/>
      <c r="L767" s="1336"/>
      <c r="M767" s="1336"/>
      <c r="N767" s="1337"/>
      <c r="O767" s="1385"/>
      <c r="P767" s="1385"/>
      <c r="Q767" s="1385"/>
      <c r="R767" s="1385"/>
      <c r="S767" s="1385"/>
      <c r="T767" s="1252"/>
      <c r="U767" s="1253"/>
      <c r="V767" s="1253"/>
      <c r="W767" s="1254"/>
      <c r="X767" s="1255"/>
      <c r="Y767" s="1256"/>
      <c r="Z767" s="1256"/>
      <c r="AA767" s="1256"/>
      <c r="AB767" s="1257"/>
      <c r="AC767" s="1228">
        <f t="shared" si="58"/>
        <v>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5"/>
      <c r="K768" s="1336"/>
      <c r="L768" s="1336"/>
      <c r="M768" s="1336"/>
      <c r="N768" s="1337"/>
      <c r="O768" s="1385"/>
      <c r="P768" s="1385"/>
      <c r="Q768" s="1385"/>
      <c r="R768" s="1385"/>
      <c r="S768" s="1385"/>
      <c r="T768" s="1252"/>
      <c r="U768" s="1253"/>
      <c r="V768" s="1253"/>
      <c r="W768" s="1254"/>
      <c r="X768" s="1255"/>
      <c r="Y768" s="1256"/>
      <c r="Z768" s="1256"/>
      <c r="AA768" s="1256"/>
      <c r="AB768" s="1257"/>
      <c r="AC768" s="1228">
        <f t="shared" si="58"/>
        <v>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5"/>
      <c r="K769" s="1336"/>
      <c r="L769" s="1336"/>
      <c r="M769" s="1336"/>
      <c r="N769" s="1337"/>
      <c r="O769" s="1385"/>
      <c r="P769" s="1385"/>
      <c r="Q769" s="1385"/>
      <c r="R769" s="1385"/>
      <c r="S769" s="1385"/>
      <c r="T769" s="1252"/>
      <c r="U769" s="1253"/>
      <c r="V769" s="1253"/>
      <c r="W769" s="1254"/>
      <c r="X769" s="1255"/>
      <c r="Y769" s="1256"/>
      <c r="Z769" s="1256"/>
      <c r="AA769" s="1256"/>
      <c r="AB769" s="1257"/>
      <c r="AC769" s="1228">
        <f t="shared" si="58"/>
        <v>0</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5"/>
      <c r="K770" s="1336"/>
      <c r="L770" s="1336"/>
      <c r="M770" s="1336"/>
      <c r="N770" s="1337"/>
      <c r="O770" s="1385"/>
      <c r="P770" s="1385"/>
      <c r="Q770" s="1385"/>
      <c r="R770" s="1385"/>
      <c r="S770" s="1385"/>
      <c r="T770" s="1252"/>
      <c r="U770" s="1253"/>
      <c r="V770" s="1253"/>
      <c r="W770" s="1254"/>
      <c r="X770" s="1255"/>
      <c r="Y770" s="1256"/>
      <c r="Z770" s="1256"/>
      <c r="AA770" s="1256"/>
      <c r="AB770" s="1257"/>
      <c r="AC770" s="1228">
        <f t="shared" si="58"/>
        <v>0</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5"/>
      <c r="K771" s="1336"/>
      <c r="L771" s="1336"/>
      <c r="M771" s="1336"/>
      <c r="N771" s="1337"/>
      <c r="O771" s="1385"/>
      <c r="P771" s="1385"/>
      <c r="Q771" s="1385"/>
      <c r="R771" s="1385"/>
      <c r="S771" s="1385"/>
      <c r="T771" s="1252"/>
      <c r="U771" s="1253"/>
      <c r="V771" s="1253"/>
      <c r="W771" s="1254"/>
      <c r="X771" s="1255"/>
      <c r="Y771" s="1256"/>
      <c r="Z771" s="1256"/>
      <c r="AA771" s="1256"/>
      <c r="AB771" s="1257"/>
      <c r="AC771" s="1228">
        <f t="shared" si="58"/>
        <v>0</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5"/>
      <c r="K772" s="1336"/>
      <c r="L772" s="1336"/>
      <c r="M772" s="1336"/>
      <c r="N772" s="1337"/>
      <c r="O772" s="1385"/>
      <c r="P772" s="1385"/>
      <c r="Q772" s="1385"/>
      <c r="R772" s="1385"/>
      <c r="S772" s="1385"/>
      <c r="T772" s="1252"/>
      <c r="U772" s="1253"/>
      <c r="V772" s="1253"/>
      <c r="W772" s="1254"/>
      <c r="X772" s="1255"/>
      <c r="Y772" s="1256"/>
      <c r="Z772" s="1256"/>
      <c r="AA772" s="1256"/>
      <c r="AB772" s="1257"/>
      <c r="AC772" s="1228">
        <f t="shared" si="58"/>
        <v>0</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5"/>
      <c r="K773" s="1336"/>
      <c r="L773" s="1336"/>
      <c r="M773" s="1336"/>
      <c r="N773" s="1337"/>
      <c r="O773" s="1385"/>
      <c r="P773" s="1385"/>
      <c r="Q773" s="1385"/>
      <c r="R773" s="1385"/>
      <c r="S773" s="1385"/>
      <c r="T773" s="1252"/>
      <c r="U773" s="1253"/>
      <c r="V773" s="1253"/>
      <c r="W773" s="1254"/>
      <c r="X773" s="1255"/>
      <c r="Y773" s="1256"/>
      <c r="Z773" s="1256"/>
      <c r="AA773" s="1256"/>
      <c r="AB773" s="1257"/>
      <c r="AC773" s="1228">
        <f t="shared" si="58"/>
        <v>0</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5"/>
      <c r="K774" s="1336"/>
      <c r="L774" s="1336"/>
      <c r="M774" s="1336"/>
      <c r="N774" s="1337"/>
      <c r="O774" s="1385"/>
      <c r="P774" s="1385"/>
      <c r="Q774" s="1385"/>
      <c r="R774" s="1385"/>
      <c r="S774" s="1385"/>
      <c r="T774" s="1252"/>
      <c r="U774" s="1253"/>
      <c r="V774" s="1253"/>
      <c r="W774" s="1254"/>
      <c r="X774" s="1255"/>
      <c r="Y774" s="1256"/>
      <c r="Z774" s="1256"/>
      <c r="AA774" s="1256"/>
      <c r="AB774" s="1257"/>
      <c r="AC774" s="1228">
        <f t="shared" si="58"/>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5"/>
      <c r="K775" s="1336"/>
      <c r="L775" s="1336"/>
      <c r="M775" s="1336"/>
      <c r="N775" s="1337"/>
      <c r="O775" s="1385"/>
      <c r="P775" s="1385"/>
      <c r="Q775" s="1385"/>
      <c r="R775" s="1385"/>
      <c r="S775" s="1385"/>
      <c r="T775" s="1252"/>
      <c r="U775" s="1253"/>
      <c r="V775" s="1253"/>
      <c r="W775" s="1254"/>
      <c r="X775" s="1255"/>
      <c r="Y775" s="1256"/>
      <c r="Z775" s="1256"/>
      <c r="AA775" s="1256"/>
      <c r="AB775" s="1257"/>
      <c r="AC775" s="1228">
        <f t="shared" si="58"/>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6" t="s">
        <v>878</v>
      </c>
      <c r="K776" s="1187"/>
      <c r="L776" s="1187"/>
      <c r="M776" s="1187"/>
      <c r="N776" s="1188"/>
      <c r="O776" s="1533">
        <f>SUM(O766:S775)</f>
        <v>0</v>
      </c>
      <c r="P776" s="1533"/>
      <c r="Q776" s="1533"/>
      <c r="R776" s="1533"/>
      <c r="S776" s="1533"/>
      <c r="X776" s="430" t="s">
        <v>877</v>
      </c>
      <c r="Y776" s="168"/>
      <c r="Z776" s="168"/>
      <c r="AA776" s="168"/>
      <c r="AB776" s="842"/>
      <c r="AC776" s="1228">
        <f>SUM(AC766:AG775)</f>
        <v>0</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4" t="str">
        <f>IF(O776&lt;&gt;AG431,"! Total market rate units in the Unit Mix Table above does not match the number of market rate units on row #"&amp;TEXT(ROW(AG431),"#"),"")</f>
        <v/>
      </c>
      <c r="D777" s="1094"/>
      <c r="E777" s="1094"/>
      <c r="F777" s="1094"/>
      <c r="G777" s="1094"/>
      <c r="H777" s="1094"/>
      <c r="I777" s="1094"/>
      <c r="J777" s="1094"/>
      <c r="K777" s="1094"/>
      <c r="L777" s="1094"/>
      <c r="M777" s="1094"/>
      <c r="N777" s="1094"/>
      <c r="O777" s="1094"/>
      <c r="P777" s="1094"/>
      <c r="Q777" s="1094"/>
      <c r="R777" s="1094"/>
      <c r="S777" s="1094"/>
      <c r="T777" s="1094"/>
      <c r="U777" s="1094"/>
      <c r="V777" s="1094"/>
      <c r="W777" s="1094"/>
      <c r="X777" s="1094"/>
      <c r="Y777" s="1094"/>
      <c r="Z777" s="1094"/>
      <c r="AA777" s="1094"/>
      <c r="AB777" s="1094"/>
      <c r="AC777" s="1094"/>
      <c r="AD777" s="1094"/>
      <c r="AE777" s="1094"/>
      <c r="AF777" s="1094"/>
      <c r="AG777" s="1094"/>
      <c r="AH777" s="1094"/>
      <c r="AI777" s="1094"/>
      <c r="AJ777" s="1094"/>
      <c r="AK777" s="1094"/>
      <c r="AL777" s="1094"/>
      <c r="AM777" s="1094"/>
      <c r="AN777" s="1094"/>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4"/>
      <c r="D778" s="1094"/>
      <c r="E778" s="1094"/>
      <c r="F778" s="1094"/>
      <c r="G778" s="1094"/>
      <c r="H778" s="1094"/>
      <c r="I778" s="1094"/>
      <c r="J778" s="1094"/>
      <c r="K778" s="1094"/>
      <c r="L778" s="1094"/>
      <c r="M778" s="1094"/>
      <c r="N778" s="1094"/>
      <c r="O778" s="1094"/>
      <c r="P778" s="1094"/>
      <c r="Q778" s="1094"/>
      <c r="R778" s="1094"/>
      <c r="S778" s="1094"/>
      <c r="T778" s="1094"/>
      <c r="U778" s="1094"/>
      <c r="V778" s="1094"/>
      <c r="W778" s="1094"/>
      <c r="X778" s="1094"/>
      <c r="Y778" s="1094"/>
      <c r="Z778" s="1094"/>
      <c r="AA778" s="1094"/>
      <c r="AB778" s="1094"/>
      <c r="AC778" s="1094"/>
      <c r="AD778" s="1094"/>
      <c r="AE778" s="1094"/>
      <c r="AF778" s="1094"/>
      <c r="AG778" s="1094"/>
      <c r="AH778" s="1094"/>
      <c r="AI778" s="1094"/>
      <c r="AJ778" s="1094"/>
      <c r="AK778" s="1094"/>
      <c r="AL778" s="1094"/>
      <c r="AM778" s="1094"/>
      <c r="AN778" s="1094"/>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8">
        <f>T730+AC756+AC776</f>
        <v>53976</v>
      </c>
      <c r="Z779" s="1218"/>
      <c r="AA779" s="1218"/>
      <c r="AB779" s="1218"/>
      <c r="AC779" s="121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8">
        <f>(T730+AC756+AC776)*12</f>
        <v>647712</v>
      </c>
      <c r="Z780" s="1218"/>
      <c r="AA780" s="1218"/>
      <c r="AB780" s="1218"/>
      <c r="AC780" s="121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500">
        <v>57</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9">
        <v>59018</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7">
        <f>'Subsidy Contract Calculation'!I40</f>
        <v>599688</v>
      </c>
      <c r="AA788" s="1508"/>
      <c r="AB788" s="1508"/>
      <c r="AC788" s="1508"/>
      <c r="AD788" s="1508"/>
      <c r="AE788" s="150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203">
        <v>3420</v>
      </c>
      <c r="AA792" s="1204"/>
      <c r="AB792" s="1204"/>
      <c r="AC792" s="1204"/>
      <c r="AD792" s="1204"/>
      <c r="AE792" s="120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203"/>
      <c r="AA793" s="1204"/>
      <c r="AB793" s="1204"/>
      <c r="AC793" s="1204"/>
      <c r="AD793" s="1204"/>
      <c r="AE793" s="120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203"/>
      <c r="AA794" s="1204"/>
      <c r="AB794" s="1204"/>
      <c r="AC794" s="1204"/>
      <c r="AD794" s="1204"/>
      <c r="AE794" s="120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19" t="s">
        <v>563</v>
      </c>
      <c r="Q795" s="1207"/>
      <c r="R795" s="1207"/>
      <c r="S795" s="1207"/>
      <c r="T795" s="1207"/>
      <c r="U795" s="1207"/>
      <c r="V795" s="1207"/>
      <c r="W795" s="1207"/>
      <c r="X795" s="1207"/>
      <c r="Y795" s="1208"/>
      <c r="Z795" s="1203"/>
      <c r="AA795" s="1204"/>
      <c r="AB795" s="1204"/>
      <c r="AC795" s="1204"/>
      <c r="AD795" s="1204"/>
      <c r="AE795" s="120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7">
        <f>SUM(Z792:AE795)</f>
        <v>3420</v>
      </c>
      <c r="AA796" s="1198"/>
      <c r="AB796" s="1198"/>
      <c r="AC796" s="1198"/>
      <c r="AD796" s="1198"/>
      <c r="AE796" s="119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7">
        <f>Z796+Y780+Z788</f>
        <v>1250820</v>
      </c>
      <c r="AA797" s="1198"/>
      <c r="AB797" s="1198"/>
      <c r="AC797" s="1198"/>
      <c r="AD797" s="1198"/>
      <c r="AE797" s="119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2" t="s">
        <v>879</v>
      </c>
      <c r="N802" s="1552"/>
      <c r="O802" s="1552"/>
      <c r="P802" s="1553"/>
      <c r="Q802" s="1501" t="s">
        <v>263</v>
      </c>
      <c r="R802" s="1501"/>
      <c r="S802" s="1501"/>
      <c r="T802" s="1501"/>
      <c r="U802" s="1501" t="s">
        <v>264</v>
      </c>
      <c r="V802" s="1501"/>
      <c r="W802" s="1501"/>
      <c r="X802" s="1501"/>
      <c r="Y802" s="1501" t="s">
        <v>265</v>
      </c>
      <c r="Z802" s="1501"/>
      <c r="AA802" s="1501"/>
      <c r="AB802" s="1501"/>
      <c r="AC802" s="1501" t="s">
        <v>31</v>
      </c>
      <c r="AD802" s="1501"/>
      <c r="AE802" s="1501"/>
      <c r="AF802" s="1501"/>
      <c r="AG802" s="1505" t="s">
        <v>564</v>
      </c>
      <c r="AH802" s="1505"/>
      <c r="AI802" s="1505"/>
      <c r="AJ802" s="15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6"/>
      <c r="N803" s="1546"/>
      <c r="O803" s="1546"/>
      <c r="P803" s="1547"/>
      <c r="Q803" s="1501"/>
      <c r="R803" s="1501"/>
      <c r="S803" s="1501"/>
      <c r="T803" s="1501"/>
      <c r="U803" s="1501"/>
      <c r="V803" s="1501"/>
      <c r="W803" s="1501"/>
      <c r="X803" s="1501"/>
      <c r="Y803" s="1501"/>
      <c r="Z803" s="1501"/>
      <c r="AA803" s="1501"/>
      <c r="AB803" s="1501"/>
      <c r="AC803" s="1501"/>
      <c r="AD803" s="1501"/>
      <c r="AE803" s="1501"/>
      <c r="AF803" s="1501"/>
      <c r="AG803" s="1505"/>
      <c r="AH803" s="1505"/>
      <c r="AI803" s="1505"/>
      <c r="AJ803" s="15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7" t="s">
        <v>695</v>
      </c>
      <c r="D804" s="1264"/>
      <c r="E804" s="1264"/>
      <c r="F804" s="1264"/>
      <c r="G804" s="1264"/>
      <c r="H804" s="1264"/>
      <c r="I804" s="54"/>
      <c r="J804" s="54"/>
      <c r="K804" s="54"/>
      <c r="L804" s="55"/>
      <c r="M804" s="1068"/>
      <c r="N804" s="1068"/>
      <c r="O804" s="1068"/>
      <c r="P804" s="1068"/>
      <c r="Q804" s="1068"/>
      <c r="R804" s="1068"/>
      <c r="S804" s="1068"/>
      <c r="T804" s="1068"/>
      <c r="U804" s="1068"/>
      <c r="V804" s="1068"/>
      <c r="W804" s="1068"/>
      <c r="X804" s="1068"/>
      <c r="Y804" s="1068"/>
      <c r="Z804" s="1068"/>
      <c r="AA804" s="1068"/>
      <c r="AB804" s="1068"/>
      <c r="AC804" s="1212"/>
      <c r="AD804" s="1213"/>
      <c r="AE804" s="1213"/>
      <c r="AF804" s="1214"/>
      <c r="AG804" s="1212"/>
      <c r="AH804" s="1213"/>
      <c r="AI804" s="1213"/>
      <c r="AJ804" s="121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2" t="s">
        <v>696</v>
      </c>
      <c r="D805" s="1341"/>
      <c r="E805" s="1341"/>
      <c r="F805" s="1341"/>
      <c r="G805" s="1341"/>
      <c r="H805" s="1341"/>
      <c r="I805" s="9"/>
      <c r="J805" s="9"/>
      <c r="K805" s="9"/>
      <c r="L805" s="52"/>
      <c r="M805" s="1068"/>
      <c r="N805" s="1068"/>
      <c r="O805" s="1068"/>
      <c r="P805" s="1068"/>
      <c r="Q805" s="1068"/>
      <c r="R805" s="1068"/>
      <c r="S805" s="1068"/>
      <c r="T805" s="1068"/>
      <c r="U805" s="1068"/>
      <c r="V805" s="1068"/>
      <c r="W805" s="1068"/>
      <c r="X805" s="1068"/>
      <c r="Y805" s="1068"/>
      <c r="Z805" s="1068"/>
      <c r="AA805" s="1068"/>
      <c r="AB805" s="1068"/>
      <c r="AC805" s="1212"/>
      <c r="AD805" s="1213"/>
      <c r="AE805" s="1213"/>
      <c r="AF805" s="1214"/>
      <c r="AG805" s="1212"/>
      <c r="AH805" s="1213"/>
      <c r="AI805" s="1213"/>
      <c r="AJ805" s="121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2" t="s">
        <v>71</v>
      </c>
      <c r="D806" s="1341"/>
      <c r="E806" s="1341"/>
      <c r="F806" s="1341"/>
      <c r="G806" s="1341"/>
      <c r="H806" s="1341"/>
      <c r="I806" s="66"/>
      <c r="J806" s="66"/>
      <c r="K806" s="66"/>
      <c r="L806" s="67"/>
      <c r="M806" s="1068"/>
      <c r="N806" s="1068"/>
      <c r="O806" s="1068"/>
      <c r="P806" s="1068"/>
      <c r="Q806" s="1068"/>
      <c r="R806" s="1068"/>
      <c r="S806" s="1068"/>
      <c r="T806" s="1068"/>
      <c r="U806" s="1068"/>
      <c r="V806" s="1068"/>
      <c r="W806" s="1068"/>
      <c r="X806" s="1068"/>
      <c r="Y806" s="1068"/>
      <c r="Z806" s="1068"/>
      <c r="AA806" s="1068"/>
      <c r="AB806" s="1068"/>
      <c r="AC806" s="1212"/>
      <c r="AD806" s="1213"/>
      <c r="AE806" s="1213"/>
      <c r="AF806" s="1214"/>
      <c r="AG806" s="1212"/>
      <c r="AH806" s="1213"/>
      <c r="AI806" s="1213"/>
      <c r="AJ806" s="1214"/>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2" t="s">
        <v>178</v>
      </c>
      <c r="D807" s="1341"/>
      <c r="E807" s="1341"/>
      <c r="F807" s="1341"/>
      <c r="G807" s="1341"/>
      <c r="H807" s="1341"/>
      <c r="I807" s="66"/>
      <c r="J807" s="66"/>
      <c r="K807" s="66"/>
      <c r="L807" s="67"/>
      <c r="M807" s="1068"/>
      <c r="N807" s="1068"/>
      <c r="O807" s="1068"/>
      <c r="P807" s="1068"/>
      <c r="Q807" s="1068"/>
      <c r="R807" s="1068"/>
      <c r="S807" s="1068"/>
      <c r="T807" s="1068"/>
      <c r="U807" s="1068"/>
      <c r="V807" s="1068"/>
      <c r="W807" s="1068"/>
      <c r="X807" s="1068"/>
      <c r="Y807" s="1068"/>
      <c r="Z807" s="1068"/>
      <c r="AA807" s="1068"/>
      <c r="AB807" s="1068"/>
      <c r="AC807" s="1212"/>
      <c r="AD807" s="1213"/>
      <c r="AE807" s="1213"/>
      <c r="AF807" s="1214"/>
      <c r="AG807" s="1212"/>
      <c r="AH807" s="1213"/>
      <c r="AI807" s="1213"/>
      <c r="AJ807" s="1214"/>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2" t="s">
        <v>791</v>
      </c>
      <c r="D808" s="1341"/>
      <c r="E808" s="1341"/>
      <c r="F808" s="1341"/>
      <c r="G808" s="1341"/>
      <c r="H808" s="1341"/>
      <c r="I808" s="66"/>
      <c r="J808" s="66"/>
      <c r="K808" s="66"/>
      <c r="L808" s="67"/>
      <c r="M808" s="1068"/>
      <c r="N808" s="1068"/>
      <c r="O808" s="1068"/>
      <c r="P808" s="1068"/>
      <c r="Q808" s="1068"/>
      <c r="R808" s="1068"/>
      <c r="S808" s="1068"/>
      <c r="T808" s="1068"/>
      <c r="U808" s="1068"/>
      <c r="V808" s="1068"/>
      <c r="W808" s="1068"/>
      <c r="X808" s="1068"/>
      <c r="Y808" s="1068"/>
      <c r="Z808" s="1068"/>
      <c r="AA808" s="1068"/>
      <c r="AB808" s="1068"/>
      <c r="AC808" s="1212"/>
      <c r="AD808" s="1213"/>
      <c r="AE808" s="1213"/>
      <c r="AF808" s="1214"/>
      <c r="AG808" s="1212"/>
      <c r="AH808" s="1213"/>
      <c r="AI808" s="1213"/>
      <c r="AJ808" s="1214"/>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6" t="s">
        <v>944</v>
      </c>
      <c r="D809" s="1341"/>
      <c r="E809" s="1341"/>
      <c r="F809" s="1341"/>
      <c r="G809" s="1341"/>
      <c r="H809" s="1341"/>
      <c r="I809" s="66"/>
      <c r="J809" s="66"/>
      <c r="K809" s="66"/>
      <c r="L809" s="67"/>
      <c r="M809" s="1068"/>
      <c r="N809" s="1068"/>
      <c r="O809" s="1068"/>
      <c r="P809" s="1068"/>
      <c r="Q809" s="1068"/>
      <c r="R809" s="1068"/>
      <c r="S809" s="1068"/>
      <c r="T809" s="1068"/>
      <c r="U809" s="1068"/>
      <c r="V809" s="1068"/>
      <c r="W809" s="1068"/>
      <c r="X809" s="1068"/>
      <c r="Y809" s="1068"/>
      <c r="Z809" s="1068"/>
      <c r="AA809" s="1068"/>
      <c r="AB809" s="1068"/>
      <c r="AC809" s="1212"/>
      <c r="AD809" s="1213"/>
      <c r="AE809" s="1213"/>
      <c r="AF809" s="1214"/>
      <c r="AG809" s="1212"/>
      <c r="AH809" s="1213"/>
      <c r="AI809" s="1213"/>
      <c r="AJ809" s="1214"/>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19" t="s">
        <v>2409</v>
      </c>
      <c r="G810" s="1207"/>
      <c r="H810" s="1207"/>
      <c r="I810" s="1207"/>
      <c r="J810" s="1207"/>
      <c r="K810" s="1207"/>
      <c r="L810" s="1207"/>
      <c r="M810" s="1068"/>
      <c r="N810" s="1068"/>
      <c r="O810" s="1068"/>
      <c r="P810" s="1068"/>
      <c r="Q810" s="1068">
        <v>17</v>
      </c>
      <c r="R810" s="1068"/>
      <c r="S810" s="1068"/>
      <c r="T810" s="1068"/>
      <c r="U810" s="1068"/>
      <c r="V810" s="1068"/>
      <c r="W810" s="1068"/>
      <c r="X810" s="1068"/>
      <c r="Y810" s="1068"/>
      <c r="Z810" s="1068"/>
      <c r="AA810" s="1068"/>
      <c r="AB810" s="1068"/>
      <c r="AC810" s="1212"/>
      <c r="AD810" s="1213"/>
      <c r="AE810" s="1213"/>
      <c r="AF810" s="1214"/>
      <c r="AG810" s="1212"/>
      <c r="AH810" s="1213"/>
      <c r="AI810" s="1213"/>
      <c r="AJ810" s="1214"/>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6" t="s">
        <v>877</v>
      </c>
      <c r="D811" s="1187"/>
      <c r="E811" s="1187"/>
      <c r="F811" s="1187"/>
      <c r="G811" s="1187"/>
      <c r="H811" s="1187"/>
      <c r="I811" s="1187"/>
      <c r="J811" s="1187"/>
      <c r="K811" s="1187"/>
      <c r="L811" s="1188"/>
      <c r="M811" s="1206">
        <f>SUM(M804:P810)</f>
        <v>0</v>
      </c>
      <c r="N811" s="1206"/>
      <c r="O811" s="1206"/>
      <c r="P811" s="1206"/>
      <c r="Q811" s="1206">
        <f>SUM(Q804:T810)</f>
        <v>17</v>
      </c>
      <c r="R811" s="1206"/>
      <c r="S811" s="1206"/>
      <c r="T811" s="1206"/>
      <c r="U811" s="1206">
        <f>SUM(U804:X810)</f>
        <v>0</v>
      </c>
      <c r="V811" s="1206"/>
      <c r="W811" s="1206"/>
      <c r="X811" s="1206"/>
      <c r="Y811" s="1206">
        <f>SUM(Y804:AB810)</f>
        <v>0</v>
      </c>
      <c r="Z811" s="1206"/>
      <c r="AA811" s="1206"/>
      <c r="AB811" s="1206"/>
      <c r="AC811" s="1206">
        <f>SUM(AC804:AF810)</f>
        <v>0</v>
      </c>
      <c r="AD811" s="1206"/>
      <c r="AE811" s="1206"/>
      <c r="AF811" s="1206"/>
      <c r="AG811" s="1206">
        <f>SUM(AG804:AJ810)</f>
        <v>0</v>
      </c>
      <c r="AH811" s="1206"/>
      <c r="AI811" s="1206"/>
      <c r="AJ811" s="120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20" t="s">
        <v>2410</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24" t="s">
        <v>369</v>
      </c>
      <c r="BB819" s="152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15">
        <v>0</v>
      </c>
      <c r="X821" s="1215"/>
      <c r="Y821" s="1215"/>
      <c r="Z821" s="1215"/>
      <c r="AA821" s="1215"/>
      <c r="AB821" s="1215"/>
      <c r="AC821" s="1215"/>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15">
        <v>1200</v>
      </c>
      <c r="X822" s="1215"/>
      <c r="Y822" s="1215"/>
      <c r="Z822" s="1215"/>
      <c r="AA822" s="1215"/>
      <c r="AB822" s="1215"/>
      <c r="AC822" s="1215"/>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15">
        <v>11625</v>
      </c>
      <c r="X823" s="1215"/>
      <c r="Y823" s="1215"/>
      <c r="Z823" s="1215"/>
      <c r="AA823" s="1215"/>
      <c r="AB823" s="1215"/>
      <c r="AC823" s="1215"/>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15">
        <v>38751</v>
      </c>
      <c r="X824" s="1215"/>
      <c r="Y824" s="1215"/>
      <c r="Z824" s="1215"/>
      <c r="AA824" s="1215"/>
      <c r="AB824" s="1215"/>
      <c r="AC824" s="121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81" t="s">
        <v>2495</v>
      </c>
      <c r="N825" s="1207"/>
      <c r="O825" s="1207"/>
      <c r="P825" s="1207"/>
      <c r="Q825" s="1207"/>
      <c r="R825" s="1207"/>
      <c r="S825" s="1207"/>
      <c r="T825" s="1207"/>
      <c r="U825" s="1207"/>
      <c r="V825" s="1208"/>
      <c r="W825" s="1215">
        <f>5940+44056+13058+8892</f>
        <v>71946</v>
      </c>
      <c r="X825" s="1215"/>
      <c r="Y825" s="1215"/>
      <c r="Z825" s="1215"/>
      <c r="AA825" s="1215"/>
      <c r="AB825" s="1215"/>
      <c r="AC825" s="121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1" t="str">
        <f>T189</f>
        <v>Solano</v>
      </c>
      <c r="BP825" s="1522"/>
      <c r="BQ825" s="1522"/>
      <c r="BR825" s="1522"/>
      <c r="BS825" s="1522"/>
      <c r="BT825" s="1522"/>
      <c r="BU825" s="152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7">
        <f>SUM(W821:AC825)</f>
        <v>123522</v>
      </c>
      <c r="X826" s="1198"/>
      <c r="Y826" s="1198"/>
      <c r="Z826" s="1198"/>
      <c r="AA826" s="1198"/>
      <c r="AB826" s="1198"/>
      <c r="AC826" s="119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6" t="s">
        <v>470</v>
      </c>
      <c r="K828" s="1187"/>
      <c r="L828" s="1187"/>
      <c r="M828" s="1187"/>
      <c r="N828" s="1187"/>
      <c r="O828" s="1187"/>
      <c r="P828" s="1187"/>
      <c r="Q828" s="1187"/>
      <c r="R828" s="1187"/>
      <c r="S828" s="1187"/>
      <c r="T828" s="1187"/>
      <c r="U828" s="1187"/>
      <c r="V828" s="1188"/>
      <c r="W828" s="1203">
        <f>65*57*12</f>
        <v>44460</v>
      </c>
      <c r="X828" s="1204"/>
      <c r="Y828" s="1204"/>
      <c r="Z828" s="1204"/>
      <c r="AA828" s="1204"/>
      <c r="AB828" s="1204"/>
      <c r="AC828" s="120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6"/>
      <c r="X830" s="1196"/>
      <c r="Y830" s="1196"/>
      <c r="Z830" s="1196"/>
      <c r="AA830" s="1196"/>
      <c r="AB830" s="1196"/>
      <c r="AC830" s="119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6">
        <v>5140</v>
      </c>
      <c r="X831" s="1196"/>
      <c r="Y831" s="1196"/>
      <c r="Z831" s="1196"/>
      <c r="AA831" s="1196"/>
      <c r="AB831" s="1196"/>
      <c r="AC831" s="119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6">
        <v>18000</v>
      </c>
      <c r="X832" s="1196"/>
      <c r="Y832" s="1196"/>
      <c r="Z832" s="1196"/>
      <c r="AA832" s="1196"/>
      <c r="AB832" s="1196"/>
      <c r="AC832" s="119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6">
        <f>18568+46426</f>
        <v>64994</v>
      </c>
      <c r="X833" s="1196"/>
      <c r="Y833" s="1196"/>
      <c r="Z833" s="1196"/>
      <c r="AA833" s="1196"/>
      <c r="AB833" s="1196"/>
      <c r="AC833" s="119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0">
        <f>SUM(W830:AC833)</f>
        <v>88134</v>
      </c>
      <c r="X834" s="1520"/>
      <c r="Y834" s="1520"/>
      <c r="Z834" s="1520"/>
      <c r="AA834" s="1520"/>
      <c r="AB834" s="1520"/>
      <c r="AC834" s="1520"/>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9">
        <f>39000+18720</f>
        <v>57720</v>
      </c>
      <c r="X836" s="1210"/>
      <c r="Y836" s="1210"/>
      <c r="Z836" s="1210"/>
      <c r="AA836" s="1210"/>
      <c r="AB836" s="1210"/>
      <c r="AC836" s="121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065">
        <v>1</v>
      </c>
      <c r="U837" s="1066"/>
      <c r="V837" s="1067"/>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9">
        <v>67206</v>
      </c>
      <c r="X838" s="1210"/>
      <c r="Y838" s="1210"/>
      <c r="Z838" s="1210"/>
      <c r="AA838" s="1210"/>
      <c r="AB838" s="1210"/>
      <c r="AC838" s="121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065">
        <v>1</v>
      </c>
      <c r="U839" s="1066"/>
      <c r="V839" s="1067"/>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81" t="s">
        <v>868</v>
      </c>
      <c r="N840" s="1207"/>
      <c r="O840" s="1207"/>
      <c r="P840" s="1207"/>
      <c r="Q840" s="1207"/>
      <c r="R840" s="1207"/>
      <c r="S840" s="1207"/>
      <c r="T840" s="1207"/>
      <c r="U840" s="1207"/>
      <c r="V840" s="1208"/>
      <c r="W840" s="1209">
        <v>12000</v>
      </c>
      <c r="X840" s="1210"/>
      <c r="Y840" s="1210"/>
      <c r="Z840" s="1210"/>
      <c r="AA840" s="1210"/>
      <c r="AB840" s="1210"/>
      <c r="AC840" s="1211"/>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5">
        <f>SUM(W836:AC840)</f>
        <v>136926</v>
      </c>
      <c r="X841" s="1556"/>
      <c r="Y841" s="1556"/>
      <c r="Z841" s="1556"/>
      <c r="AA841" s="1556"/>
      <c r="AB841" s="1556"/>
      <c r="AC841" s="1557"/>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9">
        <f>39165+7200+27600+21227.39</f>
        <v>95192.39</v>
      </c>
      <c r="X842" s="1210"/>
      <c r="Y842" s="1210"/>
      <c r="Z842" s="1210"/>
      <c r="AA842" s="1210"/>
      <c r="AB842" s="1210"/>
      <c r="AC842" s="1211"/>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5"/>
      <c r="X844" s="1215"/>
      <c r="Y844" s="1215"/>
      <c r="Z844" s="1215"/>
      <c r="AA844" s="1215"/>
      <c r="AB844" s="1215"/>
      <c r="AC844" s="1215"/>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5">
        <v>54730</v>
      </c>
      <c r="X845" s="1215"/>
      <c r="Y845" s="1215"/>
      <c r="Z845" s="1215"/>
      <c r="AA845" s="1215"/>
      <c r="AB845" s="1215"/>
      <c r="AC845" s="121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5">
        <v>10200</v>
      </c>
      <c r="X846" s="1215"/>
      <c r="Y846" s="1215"/>
      <c r="Z846" s="1215"/>
      <c r="AA846" s="1215"/>
      <c r="AB846" s="1215"/>
      <c r="AC846" s="121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5"/>
      <c r="X847" s="1215"/>
      <c r="Y847" s="1215"/>
      <c r="Z847" s="1215"/>
      <c r="AA847" s="1215"/>
      <c r="AB847" s="1215"/>
      <c r="AC847" s="121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5"/>
      <c r="X848" s="1215"/>
      <c r="Y848" s="1215"/>
      <c r="Z848" s="1215"/>
      <c r="AA848" s="1215"/>
      <c r="AB848" s="1215"/>
      <c r="AC848" s="121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5">
        <v>10830</v>
      </c>
      <c r="X849" s="1215"/>
      <c r="Y849" s="1215"/>
      <c r="Z849" s="1215"/>
      <c r="AA849" s="1215"/>
      <c r="AB849" s="1215"/>
      <c r="AC849" s="121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81" t="s">
        <v>2494</v>
      </c>
      <c r="N850" s="1207"/>
      <c r="O850" s="1207"/>
      <c r="P850" s="1207"/>
      <c r="Q850" s="1207"/>
      <c r="R850" s="1207"/>
      <c r="S850" s="1207"/>
      <c r="T850" s="1207"/>
      <c r="U850" s="1207"/>
      <c r="V850" s="1208"/>
      <c r="W850" s="1215">
        <f>17000+1540</f>
        <v>18540</v>
      </c>
      <c r="X850" s="1215"/>
      <c r="Y850" s="1215"/>
      <c r="Z850" s="1215"/>
      <c r="AA850" s="1215"/>
      <c r="AB850" s="1215"/>
      <c r="AC850" s="121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8">
        <f>SUM(W844:AC850)</f>
        <v>94300</v>
      </c>
      <c r="X851" s="1218"/>
      <c r="Y851" s="1218"/>
      <c r="Z851" s="1218"/>
      <c r="AA851" s="1218"/>
      <c r="AB851" s="1218"/>
      <c r="AC851" s="121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219" t="s">
        <v>563</v>
      </c>
      <c r="N853" s="1207"/>
      <c r="O853" s="1207"/>
      <c r="P853" s="1207"/>
      <c r="Q853" s="1207"/>
      <c r="R853" s="1207"/>
      <c r="S853" s="1207"/>
      <c r="T853" s="1207"/>
      <c r="U853" s="1207"/>
      <c r="V853" s="1208"/>
      <c r="W853" s="1203"/>
      <c r="X853" s="1204"/>
      <c r="Y853" s="1204"/>
      <c r="Z853" s="1204"/>
      <c r="AA853" s="1204"/>
      <c r="AB853" s="1204"/>
      <c r="AC853" s="120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219" t="s">
        <v>563</v>
      </c>
      <c r="N854" s="1207"/>
      <c r="O854" s="1207"/>
      <c r="P854" s="1207"/>
      <c r="Q854" s="1207"/>
      <c r="R854" s="1207"/>
      <c r="S854" s="1207"/>
      <c r="T854" s="1207"/>
      <c r="U854" s="1207"/>
      <c r="V854" s="1208"/>
      <c r="W854" s="1203"/>
      <c r="X854" s="1204"/>
      <c r="Y854" s="1204"/>
      <c r="Z854" s="1204"/>
      <c r="AA854" s="1204"/>
      <c r="AB854" s="1204"/>
      <c r="AC854" s="120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9" t="s">
        <v>563</v>
      </c>
      <c r="N855" s="1207"/>
      <c r="O855" s="1207"/>
      <c r="P855" s="1207"/>
      <c r="Q855" s="1207"/>
      <c r="R855" s="1207"/>
      <c r="S855" s="1207"/>
      <c r="T855" s="1207"/>
      <c r="U855" s="1207"/>
      <c r="V855" s="1208"/>
      <c r="W855" s="1203"/>
      <c r="X855" s="1204"/>
      <c r="Y855" s="1204"/>
      <c r="Z855" s="1204"/>
      <c r="AA855" s="1204"/>
      <c r="AB855" s="1204"/>
      <c r="AC855" s="120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9" t="s">
        <v>563</v>
      </c>
      <c r="N856" s="1207"/>
      <c r="O856" s="1207"/>
      <c r="P856" s="1207"/>
      <c r="Q856" s="1207"/>
      <c r="R856" s="1207"/>
      <c r="S856" s="1207"/>
      <c r="T856" s="1207"/>
      <c r="U856" s="1207"/>
      <c r="V856" s="1208"/>
      <c r="W856" s="1203"/>
      <c r="X856" s="1204"/>
      <c r="Y856" s="1204"/>
      <c r="Z856" s="1204"/>
      <c r="AA856" s="1204"/>
      <c r="AB856" s="1204"/>
      <c r="AC856" s="120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9" t="s">
        <v>563</v>
      </c>
      <c r="N857" s="1207"/>
      <c r="O857" s="1207"/>
      <c r="P857" s="1207"/>
      <c r="Q857" s="1207"/>
      <c r="R857" s="1207"/>
      <c r="S857" s="1207"/>
      <c r="T857" s="1207"/>
      <c r="U857" s="1207"/>
      <c r="V857" s="1208"/>
      <c r="W857" s="1203"/>
      <c r="X857" s="1204"/>
      <c r="Y857" s="1204"/>
      <c r="Z857" s="1204"/>
      <c r="AA857" s="1204"/>
      <c r="AB857" s="1204"/>
      <c r="AC857" s="120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7">
        <f>SUM(W853:AC857)</f>
        <v>0</v>
      </c>
      <c r="X858" s="1198"/>
      <c r="Y858" s="1198"/>
      <c r="Z858" s="1198"/>
      <c r="AA858" s="1198"/>
      <c r="AB858" s="1198"/>
      <c r="AC858" s="119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7">
        <f>W826+W834+W841+W842+W851+W858+W828</f>
        <v>582534.39</v>
      </c>
      <c r="AD862" s="1198"/>
      <c r="AE862" s="1198"/>
      <c r="AF862" s="1198"/>
      <c r="AG862" s="1198"/>
      <c r="AH862" s="1199"/>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92">
        <f>O776+O756+G730</f>
        <v>57</v>
      </c>
      <c r="AD863" s="1193"/>
      <c r="AE863" s="1193"/>
      <c r="AF863" s="1193"/>
      <c r="AG863" s="1193"/>
      <c r="AH863" s="1194"/>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6" t="s">
        <v>347</v>
      </c>
      <c r="F864" s="1497"/>
      <c r="G864" s="1497"/>
      <c r="H864" s="1497"/>
      <c r="I864" s="1497"/>
      <c r="J864" s="1497"/>
      <c r="K864" s="1497"/>
      <c r="L864" s="1497"/>
      <c r="M864" s="1497"/>
      <c r="N864" s="1497"/>
      <c r="O864" s="1497"/>
      <c r="P864" s="1497"/>
      <c r="Q864" s="1497"/>
      <c r="R864" s="1497"/>
      <c r="S864" s="1497"/>
      <c r="T864" s="1497"/>
      <c r="U864" s="1497"/>
      <c r="V864" s="1497"/>
      <c r="W864" s="1497"/>
      <c r="X864" s="1497"/>
      <c r="Y864" s="1497"/>
      <c r="Z864" s="1497"/>
      <c r="AA864" s="1497"/>
      <c r="AB864" s="1498"/>
      <c r="AC864" s="1216">
        <f>IF(ISERROR((ROUNDDOWN(AC862/AC863,0))),0,(ROUNDDOWN(AC862/AC863,0)))</f>
        <v>10219</v>
      </c>
      <c r="AD864" s="1217"/>
      <c r="AE864" s="1217"/>
      <c r="AF864" s="1217"/>
      <c r="AG864" s="1217"/>
      <c r="AH864" s="1217"/>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4">
        <v>370000</v>
      </c>
      <c r="AD865" s="1224"/>
      <c r="AE865" s="1224"/>
      <c r="AF865" s="1224"/>
      <c r="AG865" s="1224"/>
      <c r="AH865" s="1224"/>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5"/>
      <c r="AD866" s="1215"/>
      <c r="AE866" s="1215"/>
      <c r="AF866" s="1215"/>
      <c r="AG866" s="1215"/>
      <c r="AH866" s="1215"/>
      <c r="AI866"/>
      <c r="AJ866"/>
      <c r="AK866"/>
      <c r="AL866"/>
      <c r="AM866" s="38"/>
      <c r="AN866" s="38"/>
      <c r="AV866" s="1495"/>
      <c r="AW866" s="1495"/>
      <c r="AX866" s="1495"/>
      <c r="AY866" s="1495"/>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3">
        <v>26960</v>
      </c>
      <c r="AD867" s="1204"/>
      <c r="AE867" s="1204"/>
      <c r="AF867" s="1204"/>
      <c r="AG867" s="1204"/>
      <c r="AH867" s="1205"/>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03">
        <v>19950</v>
      </c>
      <c r="AD868" s="1204"/>
      <c r="AE868" s="1204"/>
      <c r="AF868" s="1204"/>
      <c r="AG868" s="1204"/>
      <c r="AH868" s="1205"/>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03"/>
      <c r="AD869" s="1204"/>
      <c r="AE869" s="1204"/>
      <c r="AF869" s="1204"/>
      <c r="AG869" s="1204"/>
      <c r="AH869" s="1205"/>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03">
        <v>10000</v>
      </c>
      <c r="AD870" s="1204"/>
      <c r="AE870" s="1204"/>
      <c r="AF870" s="1204"/>
      <c r="AG870" s="1204"/>
      <c r="AH870" s="1205"/>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452"/>
      <c r="AD871" s="1215"/>
      <c r="AE871" s="1215"/>
      <c r="AF871" s="1215"/>
      <c r="AG871" s="1215"/>
      <c r="AH871" s="1215"/>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200" t="s">
        <v>1210</v>
      </c>
      <c r="F872" s="1201"/>
      <c r="G872" s="1201"/>
      <c r="H872" s="1201"/>
      <c r="I872" s="1201"/>
      <c r="J872" s="1201"/>
      <c r="K872" s="1201"/>
      <c r="L872" s="1201"/>
      <c r="M872" s="1201"/>
      <c r="N872" s="1201"/>
      <c r="O872" s="1201"/>
      <c r="P872" s="1201"/>
      <c r="Q872" s="1201"/>
      <c r="R872" s="1201"/>
      <c r="S872" s="1201"/>
      <c r="T872" s="1201"/>
      <c r="U872" s="1201"/>
      <c r="V872" s="1201"/>
      <c r="W872" s="1201"/>
      <c r="X872" s="1201"/>
      <c r="Y872" s="1201"/>
      <c r="Z872" s="1201"/>
      <c r="AA872" s="1201"/>
      <c r="AB872" s="1202"/>
      <c r="AC872" s="1215"/>
      <c r="AD872" s="1215"/>
      <c r="AE872" s="1215"/>
      <c r="AF872" s="1215"/>
      <c r="AG872" s="1215"/>
      <c r="AH872" s="1215"/>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200" t="s">
        <v>1210</v>
      </c>
      <c r="F873" s="1201"/>
      <c r="G873" s="1201"/>
      <c r="H873" s="1201"/>
      <c r="I873" s="1201"/>
      <c r="J873" s="1201"/>
      <c r="K873" s="1201"/>
      <c r="L873" s="1201"/>
      <c r="M873" s="1201"/>
      <c r="N873" s="1201"/>
      <c r="O873" s="1201"/>
      <c r="P873" s="1201"/>
      <c r="Q873" s="1201"/>
      <c r="R873" s="1201"/>
      <c r="S873" s="1201"/>
      <c r="T873" s="1201"/>
      <c r="U873" s="1201"/>
      <c r="V873" s="1201"/>
      <c r="W873" s="1201"/>
      <c r="X873" s="1201"/>
      <c r="Y873" s="1201"/>
      <c r="Z873" s="1201"/>
      <c r="AA873" s="1201"/>
      <c r="AB873" s="1202"/>
      <c r="AC873" s="1215"/>
      <c r="AD873" s="1215"/>
      <c r="AE873" s="1215"/>
      <c r="AF873" s="1215"/>
      <c r="AG873" s="1215"/>
      <c r="AH873" s="1215"/>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8"/>
      <c r="AO875" s="1548"/>
      <c r="AP875" s="1495"/>
      <c r="AQ875" s="1495"/>
      <c r="AR875" s="1495"/>
      <c r="AS875" s="1495"/>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5"/>
      <c r="AQ876" s="1495"/>
      <c r="AR876" s="1495"/>
      <c r="AS876" s="1495"/>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3"/>
      <c r="AA877" s="1204"/>
      <c r="AB877" s="1204"/>
      <c r="AC877" s="1204"/>
      <c r="AD877" s="1204"/>
      <c r="AE877" s="1205"/>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3"/>
      <c r="AA878" s="1204"/>
      <c r="AB878" s="1204"/>
      <c r="AC878" s="1204"/>
      <c r="AD878" s="1204"/>
      <c r="AE878" s="1205"/>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203"/>
      <c r="AA879" s="1204"/>
      <c r="AB879" s="1204"/>
      <c r="AC879" s="1204"/>
      <c r="AD879" s="1204"/>
      <c r="AE879" s="1205"/>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7">
        <f>Z877-(Z878+Z879)</f>
        <v>0</v>
      </c>
      <c r="AA880" s="1198"/>
      <c r="AB880" s="1198"/>
      <c r="AC880" s="1198"/>
      <c r="AD880" s="1198"/>
      <c r="AE880" s="1199"/>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7" t="s">
        <v>128</v>
      </c>
      <c r="B887" s="1087"/>
      <c r="C887" s="1087"/>
      <c r="D887" s="1087"/>
      <c r="E887" s="1087"/>
      <c r="F887" s="1087"/>
      <c r="G887" s="1087"/>
      <c r="H887" s="1087"/>
      <c r="I887" s="1087"/>
      <c r="J887" s="1087"/>
      <c r="K887" s="1087"/>
      <c r="L887" s="1087"/>
      <c r="M887" s="1087"/>
      <c r="N887" s="1087"/>
      <c r="O887" s="1087"/>
      <c r="P887" s="1087"/>
      <c r="Q887" s="1087"/>
      <c r="R887" s="1087"/>
      <c r="S887" s="1087"/>
      <c r="T887" s="1087"/>
      <c r="U887" s="1087"/>
      <c r="V887" s="1087"/>
      <c r="W887" s="1087"/>
      <c r="X887" s="1087"/>
      <c r="Y887" s="1087"/>
      <c r="Z887" s="1087"/>
      <c r="AA887" s="1087"/>
      <c r="AB887" s="1087"/>
      <c r="AC887" s="1087"/>
      <c r="AD887" s="1087"/>
      <c r="AE887" s="1087"/>
      <c r="AF887" s="1087"/>
      <c r="AG887" s="1087"/>
      <c r="AH887" s="1087"/>
      <c r="AI887" s="1087"/>
      <c r="AJ887" s="1087"/>
      <c r="AK887" s="1087"/>
      <c r="AL887" s="1087"/>
      <c r="AM887" s="1087"/>
      <c r="AN887" s="1087"/>
      <c r="AO887" s="1087"/>
      <c r="AP887" s="1087"/>
      <c r="AQ887" s="1087"/>
      <c r="AR887" s="1087"/>
      <c r="AS887" s="1087"/>
      <c r="AT887" s="108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7"/>
      <c r="B888" s="1087"/>
      <c r="C888" s="1087"/>
      <c r="D888" s="1087"/>
      <c r="E888" s="1087"/>
      <c r="F888" s="1087"/>
      <c r="G888" s="1087"/>
      <c r="H888" s="1087"/>
      <c r="I888" s="1087"/>
      <c r="J888" s="1087"/>
      <c r="K888" s="1087"/>
      <c r="L888" s="1087"/>
      <c r="M888" s="1087"/>
      <c r="N888" s="1087"/>
      <c r="O888" s="1087"/>
      <c r="P888" s="1087"/>
      <c r="Q888" s="1087"/>
      <c r="R888" s="1087"/>
      <c r="S888" s="1087"/>
      <c r="T888" s="1087"/>
      <c r="U888" s="1087"/>
      <c r="V888" s="1087"/>
      <c r="W888" s="1087"/>
      <c r="X888" s="1087"/>
      <c r="Y888" s="1087"/>
      <c r="Z888" s="1087"/>
      <c r="AA888" s="1087"/>
      <c r="AB888" s="1087"/>
      <c r="AC888" s="1087"/>
      <c r="AD888" s="1087"/>
      <c r="AE888" s="1087"/>
      <c r="AF888" s="1087"/>
      <c r="AG888" s="1087"/>
      <c r="AH888" s="1087"/>
      <c r="AI888" s="1087"/>
      <c r="AJ888" s="1087"/>
      <c r="AK888" s="1087"/>
      <c r="AL888" s="1087"/>
      <c r="AM888" s="1087"/>
      <c r="AN888" s="1087"/>
      <c r="AO888" s="1087"/>
      <c r="AP888" s="1087"/>
      <c r="AQ888" s="1087"/>
      <c r="AR888" s="1087"/>
      <c r="AS888" s="1087"/>
      <c r="AT888" s="108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9" t="s">
        <v>962</v>
      </c>
      <c r="G892" s="1550"/>
      <c r="H892" s="1550"/>
      <c r="I892" s="1550"/>
      <c r="J892" s="1550"/>
      <c r="K892" s="1550"/>
      <c r="L892" s="1550"/>
      <c r="M892" s="1550"/>
      <c r="N892" s="1550"/>
      <c r="O892" s="1550"/>
      <c r="P892" s="1550"/>
      <c r="Q892" s="1550"/>
      <c r="R892" s="1550"/>
      <c r="S892" s="1550"/>
      <c r="T892" s="1551"/>
      <c r="U892" s="1554" t="s">
        <v>346</v>
      </c>
      <c r="V892" s="1552"/>
      <c r="W892" s="1552"/>
      <c r="X892" s="1552"/>
      <c r="Y892" s="1552"/>
      <c r="Z892" s="155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2" t="s">
        <v>1040</v>
      </c>
      <c r="G893" s="1543"/>
      <c r="H893" s="1543"/>
      <c r="I893" s="1543"/>
      <c r="J893" s="1543"/>
      <c r="K893" s="1543"/>
      <c r="L893" s="1543"/>
      <c r="M893" s="1543"/>
      <c r="N893" s="1543"/>
      <c r="O893" s="1543"/>
      <c r="P893" s="1543"/>
      <c r="Q893" s="1543"/>
      <c r="R893" s="1543"/>
      <c r="S893" s="1543"/>
      <c r="T893" s="1544"/>
      <c r="U893" s="1542"/>
      <c r="V893" s="1543"/>
      <c r="W893" s="1543"/>
      <c r="X893" s="1543"/>
      <c r="Y893" s="1543"/>
      <c r="Z893" s="154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5"/>
      <c r="G894" s="1546"/>
      <c r="H894" s="1546"/>
      <c r="I894" s="1546"/>
      <c r="J894" s="1546"/>
      <c r="K894" s="1546"/>
      <c r="L894" s="1546"/>
      <c r="M894" s="1546"/>
      <c r="N894" s="1546"/>
      <c r="O894" s="1546"/>
      <c r="P894" s="1546"/>
      <c r="Q894" s="1546"/>
      <c r="R894" s="1546"/>
      <c r="S894" s="1546"/>
      <c r="T894" s="1547"/>
      <c r="U894" s="1545"/>
      <c r="V894" s="1546"/>
      <c r="W894" s="1546"/>
      <c r="X894" s="1546"/>
      <c r="Y894" s="1546"/>
      <c r="Z894" s="1546"/>
      <c r="AA894" s="198"/>
      <c r="AB894" s="1195" t="s">
        <v>56</v>
      </c>
      <c r="AC894" s="1195"/>
      <c r="AD894" s="1195"/>
      <c r="AE894" s="119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6" t="s">
        <v>158</v>
      </c>
      <c r="G895" s="1057"/>
      <c r="H895" s="1057"/>
      <c r="I895" s="1057"/>
      <c r="J895" s="1057"/>
      <c r="K895" s="1057"/>
      <c r="L895" s="1057"/>
      <c r="M895" s="1057"/>
      <c r="N895" s="1057"/>
      <c r="O895" s="1057"/>
      <c r="P895" s="1057"/>
      <c r="Q895" s="1057"/>
      <c r="R895" s="1057"/>
      <c r="S895" s="1057"/>
      <c r="T895" s="1058"/>
      <c r="U895" s="1059" t="s">
        <v>124</v>
      </c>
      <c r="V895" s="1060"/>
      <c r="W895" s="1060"/>
      <c r="X895" s="1060"/>
      <c r="Y895" s="1060"/>
      <c r="Z895" s="1061"/>
      <c r="AA895" s="1062"/>
      <c r="AB895" s="1063"/>
      <c r="AC895" s="1063"/>
      <c r="AD895" s="1063"/>
      <c r="AE895" s="1063"/>
      <c r="AF895" s="106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6" t="s">
        <v>160</v>
      </c>
      <c r="G896" s="1057"/>
      <c r="H896" s="1057"/>
      <c r="I896" s="1057"/>
      <c r="J896" s="1057"/>
      <c r="K896" s="1057"/>
      <c r="L896" s="1057"/>
      <c r="M896" s="1057"/>
      <c r="N896" s="1057"/>
      <c r="O896" s="1057"/>
      <c r="P896" s="1057"/>
      <c r="Q896" s="1057"/>
      <c r="R896" s="1057"/>
      <c r="S896" s="1057"/>
      <c r="T896" s="1058"/>
      <c r="U896" s="1059" t="s">
        <v>124</v>
      </c>
      <c r="V896" s="1060"/>
      <c r="W896" s="1060"/>
      <c r="X896" s="1060"/>
      <c r="Y896" s="1060"/>
      <c r="Z896" s="1061"/>
      <c r="AA896" s="1062"/>
      <c r="AB896" s="1063"/>
      <c r="AC896" s="1063"/>
      <c r="AD896" s="1063"/>
      <c r="AE896" s="1063"/>
      <c r="AF896" s="106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5" t="s">
        <v>947</v>
      </c>
      <c r="G897" s="1076"/>
      <c r="H897" s="1076"/>
      <c r="I897" s="1076"/>
      <c r="J897" s="1076"/>
      <c r="K897" s="1076"/>
      <c r="L897" s="1076"/>
      <c r="M897" s="1076"/>
      <c r="N897" s="1076"/>
      <c r="O897" s="1076"/>
      <c r="P897" s="1076"/>
      <c r="Q897" s="1076"/>
      <c r="R897" s="1076"/>
      <c r="S897" s="1076"/>
      <c r="T897" s="1077"/>
      <c r="U897" s="1059" t="s">
        <v>124</v>
      </c>
      <c r="V897" s="1060"/>
      <c r="W897" s="1060"/>
      <c r="X897" s="1060"/>
      <c r="Y897" s="1060"/>
      <c r="Z897" s="1061"/>
      <c r="AA897" s="1062"/>
      <c r="AB897" s="1063"/>
      <c r="AC897" s="1063"/>
      <c r="AD897" s="1063"/>
      <c r="AE897" s="1063"/>
      <c r="AF897" s="106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5" t="s">
        <v>948</v>
      </c>
      <c r="G898" s="1076"/>
      <c r="H898" s="1076"/>
      <c r="I898" s="1076"/>
      <c r="J898" s="1076"/>
      <c r="K898" s="1076"/>
      <c r="L898" s="1076"/>
      <c r="M898" s="1076"/>
      <c r="N898" s="1076"/>
      <c r="O898" s="1076"/>
      <c r="P898" s="1076"/>
      <c r="Q898" s="1076"/>
      <c r="R898" s="1076"/>
      <c r="S898" s="1076"/>
      <c r="T898" s="1077"/>
      <c r="U898" s="1059" t="s">
        <v>124</v>
      </c>
      <c r="V898" s="1060"/>
      <c r="W898" s="1060"/>
      <c r="X898" s="1060"/>
      <c r="Y898" s="1060"/>
      <c r="Z898" s="1061"/>
      <c r="AA898" s="1062"/>
      <c r="AB898" s="1063"/>
      <c r="AC898" s="1063"/>
      <c r="AD898" s="1063"/>
      <c r="AE898" s="1063"/>
      <c r="AF898" s="106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5" t="s">
        <v>949</v>
      </c>
      <c r="G899" s="1076"/>
      <c r="H899" s="1076"/>
      <c r="I899" s="1076"/>
      <c r="J899" s="1076"/>
      <c r="K899" s="1076"/>
      <c r="L899" s="1076"/>
      <c r="M899" s="1076"/>
      <c r="N899" s="1076"/>
      <c r="O899" s="1076"/>
      <c r="P899" s="1076"/>
      <c r="Q899" s="1076"/>
      <c r="R899" s="1076"/>
      <c r="S899" s="1076"/>
      <c r="T899" s="1077"/>
      <c r="U899" s="1059" t="s">
        <v>124</v>
      </c>
      <c r="V899" s="1060"/>
      <c r="W899" s="1060"/>
      <c r="X899" s="1060"/>
      <c r="Y899" s="1060"/>
      <c r="Z899" s="1061"/>
      <c r="AA899" s="1062"/>
      <c r="AB899" s="1063"/>
      <c r="AC899" s="1063"/>
      <c r="AD899" s="1063"/>
      <c r="AE899" s="1063"/>
      <c r="AF899" s="106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6" t="s">
        <v>159</v>
      </c>
      <c r="G900" s="1057"/>
      <c r="H900" s="1057"/>
      <c r="I900" s="1057"/>
      <c r="J900" s="1057"/>
      <c r="K900" s="1057"/>
      <c r="L900" s="1057"/>
      <c r="M900" s="1057"/>
      <c r="N900" s="1057"/>
      <c r="O900" s="1057"/>
      <c r="P900" s="1057"/>
      <c r="Q900" s="1057"/>
      <c r="R900" s="1057"/>
      <c r="S900" s="1057"/>
      <c r="T900" s="1058"/>
      <c r="U900" s="1059" t="s">
        <v>124</v>
      </c>
      <c r="V900" s="1060"/>
      <c r="W900" s="1060"/>
      <c r="X900" s="1060"/>
      <c r="Y900" s="1060"/>
      <c r="Z900" s="1061"/>
      <c r="AA900" s="1062"/>
      <c r="AB900" s="1063"/>
      <c r="AC900" s="1063"/>
      <c r="AD900" s="1063"/>
      <c r="AE900" s="1063"/>
      <c r="AF900" s="106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6" t="s">
        <v>2291</v>
      </c>
      <c r="G901" s="1057"/>
      <c r="H901" s="1057"/>
      <c r="I901" s="1057"/>
      <c r="J901" s="1057"/>
      <c r="K901" s="1057"/>
      <c r="L901" s="1057"/>
      <c r="M901" s="1057"/>
      <c r="N901" s="1057"/>
      <c r="O901" s="1057"/>
      <c r="P901" s="1057"/>
      <c r="Q901" s="1057"/>
      <c r="R901" s="1057"/>
      <c r="S901" s="1057"/>
      <c r="T901" s="1058"/>
      <c r="U901" s="1059" t="s">
        <v>124</v>
      </c>
      <c r="V901" s="1060"/>
      <c r="W901" s="1060"/>
      <c r="X901" s="1060"/>
      <c r="Y901" s="1060"/>
      <c r="Z901" s="1061"/>
      <c r="AA901" s="1062"/>
      <c r="AB901" s="1063"/>
      <c r="AC901" s="1063"/>
      <c r="AD901" s="1063"/>
      <c r="AE901" s="1063"/>
      <c r="AF901" s="106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6" t="s">
        <v>161</v>
      </c>
      <c r="G902" s="1057"/>
      <c r="H902" s="1057"/>
      <c r="I902" s="1057"/>
      <c r="J902" s="1057"/>
      <c r="K902" s="1057"/>
      <c r="L902" s="1057"/>
      <c r="M902" s="1057"/>
      <c r="N902" s="1057"/>
      <c r="O902" s="1057"/>
      <c r="P902" s="1057"/>
      <c r="Q902" s="1057"/>
      <c r="R902" s="1057"/>
      <c r="S902" s="1057"/>
      <c r="T902" s="1058"/>
      <c r="U902" s="1059" t="s">
        <v>124</v>
      </c>
      <c r="V902" s="1060"/>
      <c r="W902" s="1060"/>
      <c r="X902" s="1060"/>
      <c r="Y902" s="1060"/>
      <c r="Z902" s="1061"/>
      <c r="AA902" s="1062"/>
      <c r="AB902" s="1063"/>
      <c r="AC902" s="1063"/>
      <c r="AD902" s="1063"/>
      <c r="AE902" s="1063"/>
      <c r="AF902" s="106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6" t="s">
        <v>2288</v>
      </c>
      <c r="G903" s="1057"/>
      <c r="H903" s="1057"/>
      <c r="I903" s="1057"/>
      <c r="J903" s="1057"/>
      <c r="K903" s="1057"/>
      <c r="L903" s="1057"/>
      <c r="M903" s="1057"/>
      <c r="N903" s="1057"/>
      <c r="O903" s="1057"/>
      <c r="P903" s="1057"/>
      <c r="Q903" s="1057"/>
      <c r="R903" s="1057"/>
      <c r="S903" s="1057"/>
      <c r="T903" s="1058"/>
      <c r="U903" s="1059" t="s">
        <v>124</v>
      </c>
      <c r="V903" s="1060"/>
      <c r="W903" s="1060"/>
      <c r="X903" s="1060"/>
      <c r="Y903" s="1060"/>
      <c r="Z903" s="1061"/>
      <c r="AA903" s="1062"/>
      <c r="AB903" s="1063"/>
      <c r="AC903" s="1063"/>
      <c r="AD903" s="1063"/>
      <c r="AE903" s="1063"/>
      <c r="AF903" s="106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6" t="s">
        <v>2289</v>
      </c>
      <c r="G904" s="1057"/>
      <c r="H904" s="1057"/>
      <c r="I904" s="1057"/>
      <c r="J904" s="1057"/>
      <c r="K904" s="1057"/>
      <c r="L904" s="1057"/>
      <c r="M904" s="1057"/>
      <c r="N904" s="1057"/>
      <c r="O904" s="1057"/>
      <c r="P904" s="1057"/>
      <c r="Q904" s="1057"/>
      <c r="R904" s="1057"/>
      <c r="S904" s="1057"/>
      <c r="T904" s="1058"/>
      <c r="U904" s="1059" t="s">
        <v>124</v>
      </c>
      <c r="V904" s="1060"/>
      <c r="W904" s="1060"/>
      <c r="X904" s="1060"/>
      <c r="Y904" s="1060"/>
      <c r="Z904" s="1061"/>
      <c r="AA904" s="1062"/>
      <c r="AB904" s="1063"/>
      <c r="AC904" s="1063"/>
      <c r="AD904" s="1063"/>
      <c r="AE904" s="1063"/>
      <c r="AF904" s="106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6" t="s">
        <v>2290</v>
      </c>
      <c r="G905" s="1057"/>
      <c r="H905" s="1057"/>
      <c r="I905" s="1057"/>
      <c r="J905" s="1057"/>
      <c r="K905" s="1057"/>
      <c r="L905" s="1057"/>
      <c r="M905" s="1057"/>
      <c r="N905" s="1057"/>
      <c r="O905" s="1057"/>
      <c r="P905" s="1057"/>
      <c r="Q905" s="1057"/>
      <c r="R905" s="1057"/>
      <c r="S905" s="1057"/>
      <c r="T905" s="1058"/>
      <c r="U905" s="1059" t="s">
        <v>124</v>
      </c>
      <c r="V905" s="1060"/>
      <c r="W905" s="1060"/>
      <c r="X905" s="1060"/>
      <c r="Y905" s="1060"/>
      <c r="Z905" s="1061"/>
      <c r="AA905" s="1062"/>
      <c r="AB905" s="1063"/>
      <c r="AC905" s="1063"/>
      <c r="AD905" s="1063"/>
      <c r="AE905" s="1063"/>
      <c r="AF905" s="106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6" t="s">
        <v>2284</v>
      </c>
      <c r="G906" s="1057"/>
      <c r="H906" s="1057"/>
      <c r="I906" s="1057"/>
      <c r="J906" s="1057"/>
      <c r="K906" s="1057"/>
      <c r="L906" s="1057"/>
      <c r="M906" s="1057"/>
      <c r="N906" s="1057"/>
      <c r="O906" s="1057"/>
      <c r="P906" s="1057"/>
      <c r="Q906" s="1057"/>
      <c r="R906" s="1057"/>
      <c r="S906" s="1057"/>
      <c r="T906" s="1058"/>
      <c r="U906" s="1059" t="s">
        <v>124</v>
      </c>
      <c r="V906" s="1060"/>
      <c r="W906" s="1060"/>
      <c r="X906" s="1060"/>
      <c r="Y906" s="1060"/>
      <c r="Z906" s="1061"/>
      <c r="AA906" s="1062"/>
      <c r="AB906" s="1063"/>
      <c r="AC906" s="1063"/>
      <c r="AD906" s="1063"/>
      <c r="AE906" s="1063"/>
      <c r="AF906" s="106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6" t="s">
        <v>2281</v>
      </c>
      <c r="G907" s="1057"/>
      <c r="H907" s="1057"/>
      <c r="I907" s="1057"/>
      <c r="J907" s="1057"/>
      <c r="K907" s="1057"/>
      <c r="L907" s="1057"/>
      <c r="M907" s="1057"/>
      <c r="N907" s="1057"/>
      <c r="O907" s="1057"/>
      <c r="P907" s="1057"/>
      <c r="Q907" s="1057"/>
      <c r="R907" s="1057"/>
      <c r="S907" s="1057"/>
      <c r="T907" s="1058"/>
      <c r="U907" s="1059" t="s">
        <v>124</v>
      </c>
      <c r="V907" s="1060"/>
      <c r="W907" s="1060"/>
      <c r="X907" s="1060"/>
      <c r="Y907" s="1060"/>
      <c r="Z907" s="1061"/>
      <c r="AA907" s="1062"/>
      <c r="AB907" s="1063"/>
      <c r="AC907" s="1063"/>
      <c r="AD907" s="1063"/>
      <c r="AE907" s="1063"/>
      <c r="AF907" s="106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2" t="s">
        <v>157</v>
      </c>
      <c r="G908" s="1073"/>
      <c r="H908" s="1073"/>
      <c r="I908" s="1073"/>
      <c r="J908" s="1073"/>
      <c r="K908" s="1073"/>
      <c r="L908" s="1073"/>
      <c r="M908" s="1073"/>
      <c r="N908" s="1073"/>
      <c r="O908" s="1073"/>
      <c r="P908" s="1073"/>
      <c r="Q908" s="1073"/>
      <c r="R908" s="1073"/>
      <c r="S908" s="1073"/>
      <c r="T908" s="1074"/>
      <c r="U908" s="1059" t="s">
        <v>124</v>
      </c>
      <c r="V908" s="1060"/>
      <c r="W908" s="1060"/>
      <c r="X908" s="1060"/>
      <c r="Y908" s="1060"/>
      <c r="Z908" s="1061"/>
      <c r="AA908" s="1062"/>
      <c r="AB908" s="1063"/>
      <c r="AC908" s="1063"/>
      <c r="AD908" s="1063"/>
      <c r="AE908" s="1063"/>
      <c r="AF908" s="106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6" t="s">
        <v>1907</v>
      </c>
      <c r="G909" s="1057"/>
      <c r="H909" s="1057"/>
      <c r="I909" s="1057"/>
      <c r="J909" s="1057"/>
      <c r="K909" s="1057"/>
      <c r="L909" s="1057"/>
      <c r="M909" s="1057"/>
      <c r="N909" s="1057"/>
      <c r="O909" s="1057"/>
      <c r="P909" s="1057"/>
      <c r="Q909" s="1057"/>
      <c r="R909" s="1057"/>
      <c r="S909" s="1057"/>
      <c r="T909" s="1058"/>
      <c r="U909" s="1059" t="s">
        <v>124</v>
      </c>
      <c r="V909" s="1060"/>
      <c r="W909" s="1060"/>
      <c r="X909" s="1060"/>
      <c r="Y909" s="1060"/>
      <c r="Z909" s="1061"/>
      <c r="AA909" s="1062"/>
      <c r="AB909" s="1063"/>
      <c r="AC909" s="1063"/>
      <c r="AD909" s="1063"/>
      <c r="AE909" s="1063"/>
      <c r="AF909" s="106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5" t="s">
        <v>1009</v>
      </c>
      <c r="G910" s="1076"/>
      <c r="H910" s="1076"/>
      <c r="I910" s="1076"/>
      <c r="J910" s="1076"/>
      <c r="K910" s="1076"/>
      <c r="L910" s="1076"/>
      <c r="M910" s="1076"/>
      <c r="N910" s="1076"/>
      <c r="O910" s="1076"/>
      <c r="P910" s="1076"/>
      <c r="Q910" s="1076"/>
      <c r="R910" s="1076"/>
      <c r="S910" s="1076"/>
      <c r="T910" s="1077"/>
      <c r="U910" s="1059" t="s">
        <v>124</v>
      </c>
      <c r="V910" s="1060"/>
      <c r="W910" s="1060"/>
      <c r="X910" s="1060"/>
      <c r="Y910" s="1060"/>
      <c r="Z910" s="1061"/>
      <c r="AA910" s="1062"/>
      <c r="AB910" s="1063"/>
      <c r="AC910" s="1063"/>
      <c r="AD910" s="1063"/>
      <c r="AE910" s="1063"/>
      <c r="AF910" s="106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9" t="s">
        <v>2292</v>
      </c>
      <c r="G911" s="1070"/>
      <c r="H911" s="1070"/>
      <c r="I911" s="1070"/>
      <c r="J911" s="1070"/>
      <c r="K911" s="1070"/>
      <c r="L911" s="1070"/>
      <c r="M911" s="1070"/>
      <c r="N911" s="1070"/>
      <c r="O911" s="1070"/>
      <c r="P911" s="1070"/>
      <c r="Q911" s="1070"/>
      <c r="R911" s="1070"/>
      <c r="S911" s="1070"/>
      <c r="T911" s="1071"/>
      <c r="U911" s="1059" t="s">
        <v>124</v>
      </c>
      <c r="V911" s="1060"/>
      <c r="W911" s="1060"/>
      <c r="X911" s="1060"/>
      <c r="Y911" s="1060"/>
      <c r="Z911" s="1061"/>
      <c r="AA911" s="1062"/>
      <c r="AB911" s="1063"/>
      <c r="AC911" s="1063"/>
      <c r="AD911" s="1063"/>
      <c r="AE911" s="1063"/>
      <c r="AF911" s="106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9" t="s">
        <v>2294</v>
      </c>
      <c r="G912" s="1070"/>
      <c r="H912" s="1070"/>
      <c r="I912" s="1070"/>
      <c r="J912" s="1070"/>
      <c r="K912" s="1070"/>
      <c r="L912" s="1070"/>
      <c r="M912" s="1070"/>
      <c r="N912" s="1070"/>
      <c r="O912" s="1070"/>
      <c r="P912" s="1070"/>
      <c r="Q912" s="1070"/>
      <c r="R912" s="1070"/>
      <c r="S912" s="1070"/>
      <c r="T912" s="1071"/>
      <c r="U912" s="1059" t="s">
        <v>124</v>
      </c>
      <c r="V912" s="1060"/>
      <c r="W912" s="1060"/>
      <c r="X912" s="1060"/>
      <c r="Y912" s="1060"/>
      <c r="Z912" s="1061"/>
      <c r="AA912" s="1062"/>
      <c r="AB912" s="1063"/>
      <c r="AC912" s="1063"/>
      <c r="AD912" s="1063"/>
      <c r="AE912" s="1063"/>
      <c r="AF912" s="106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6" t="s">
        <v>2282</v>
      </c>
      <c r="G913" s="1057"/>
      <c r="H913" s="1057"/>
      <c r="I913" s="1057"/>
      <c r="J913" s="1057"/>
      <c r="K913" s="1057"/>
      <c r="L913" s="1057"/>
      <c r="M913" s="1057"/>
      <c r="N913" s="1057"/>
      <c r="O913" s="1057"/>
      <c r="P913" s="1057"/>
      <c r="Q913" s="1057"/>
      <c r="R913" s="1057"/>
      <c r="S913" s="1057"/>
      <c r="T913" s="1058"/>
      <c r="U913" s="1084" t="s">
        <v>124</v>
      </c>
      <c r="V913" s="1085"/>
      <c r="W913" s="1085"/>
      <c r="X913" s="1085"/>
      <c r="Y913" s="1085"/>
      <c r="Z913" s="1086"/>
      <c r="AA913" s="1078"/>
      <c r="AB913" s="1079"/>
      <c r="AC913" s="1079"/>
      <c r="AD913" s="1079"/>
      <c r="AE913" s="1079"/>
      <c r="AF913" s="108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6" t="s">
        <v>2286</v>
      </c>
      <c r="G914" s="1057"/>
      <c r="H914" s="1057"/>
      <c r="I914" s="1057"/>
      <c r="J914" s="1057"/>
      <c r="K914" s="1057"/>
      <c r="L914" s="1057"/>
      <c r="M914" s="1057"/>
      <c r="N914" s="1057"/>
      <c r="O914" s="1057"/>
      <c r="P914" s="1057"/>
      <c r="Q914" s="1057"/>
      <c r="R914" s="1057"/>
      <c r="S914" s="1057"/>
      <c r="T914" s="1058"/>
      <c r="U914" s="1084" t="s">
        <v>124</v>
      </c>
      <c r="V914" s="1085"/>
      <c r="W914" s="1085"/>
      <c r="X914" s="1085"/>
      <c r="Y914" s="1085"/>
      <c r="Z914" s="1086"/>
      <c r="AA914" s="1078"/>
      <c r="AB914" s="1079"/>
      <c r="AC914" s="1079"/>
      <c r="AD914" s="1079"/>
      <c r="AE914" s="1079"/>
      <c r="AF914" s="108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6" t="s">
        <v>2283</v>
      </c>
      <c r="G915" s="1057"/>
      <c r="H915" s="1057"/>
      <c r="I915" s="1057"/>
      <c r="J915" s="1057"/>
      <c r="K915" s="1057"/>
      <c r="L915" s="1057"/>
      <c r="M915" s="1057"/>
      <c r="N915" s="1057"/>
      <c r="O915" s="1057"/>
      <c r="P915" s="1057"/>
      <c r="Q915" s="1057"/>
      <c r="R915" s="1057"/>
      <c r="S915" s="1057"/>
      <c r="T915" s="1058"/>
      <c r="U915" s="1084" t="s">
        <v>124</v>
      </c>
      <c r="V915" s="1085"/>
      <c r="W915" s="1085"/>
      <c r="X915" s="1085"/>
      <c r="Y915" s="1085"/>
      <c r="Z915" s="1086"/>
      <c r="AA915" s="1078"/>
      <c r="AB915" s="1079"/>
      <c r="AC915" s="1079"/>
      <c r="AD915" s="1079"/>
      <c r="AE915" s="1079"/>
      <c r="AF915" s="108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9" t="s">
        <v>1905</v>
      </c>
      <c r="G916" s="1070"/>
      <c r="H916" s="1070"/>
      <c r="I916" s="1070"/>
      <c r="J916" s="1070"/>
      <c r="K916" s="1070"/>
      <c r="L916" s="1070"/>
      <c r="M916" s="1070"/>
      <c r="N916" s="1070"/>
      <c r="O916" s="1070"/>
      <c r="P916" s="1070"/>
      <c r="Q916" s="1070"/>
      <c r="R916" s="1070"/>
      <c r="S916" s="1070"/>
      <c r="T916" s="1071"/>
      <c r="U916" s="1059" t="s">
        <v>124</v>
      </c>
      <c r="V916" s="1060"/>
      <c r="W916" s="1060"/>
      <c r="X916" s="1060"/>
      <c r="Y916" s="1060"/>
      <c r="Z916" s="1061"/>
      <c r="AA916" s="1062"/>
      <c r="AB916" s="1063"/>
      <c r="AC916" s="1063"/>
      <c r="AD916" s="1063"/>
      <c r="AE916" s="1063"/>
      <c r="AF916" s="106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9" t="s">
        <v>2295</v>
      </c>
      <c r="G917" s="1070"/>
      <c r="H917" s="1070"/>
      <c r="I917" s="1070"/>
      <c r="J917" s="1070"/>
      <c r="K917" s="1070"/>
      <c r="L917" s="1070"/>
      <c r="M917" s="1070"/>
      <c r="N917" s="1070"/>
      <c r="O917" s="1070"/>
      <c r="P917" s="1070"/>
      <c r="Q917" s="1070"/>
      <c r="R917" s="1070"/>
      <c r="S917" s="1070"/>
      <c r="T917" s="1071"/>
      <c r="U917" s="1059" t="s">
        <v>124</v>
      </c>
      <c r="V917" s="1060"/>
      <c r="W917" s="1060"/>
      <c r="X917" s="1060"/>
      <c r="Y917" s="1060"/>
      <c r="Z917" s="1061"/>
      <c r="AA917" s="1062"/>
      <c r="AB917" s="1063"/>
      <c r="AC917" s="1063"/>
      <c r="AD917" s="1063"/>
      <c r="AE917" s="1063"/>
      <c r="AF917" s="106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9" t="s">
        <v>1906</v>
      </c>
      <c r="G918" s="1070"/>
      <c r="H918" s="1070"/>
      <c r="I918" s="1070"/>
      <c r="J918" s="1070"/>
      <c r="K918" s="1070"/>
      <c r="L918" s="1070"/>
      <c r="M918" s="1070"/>
      <c r="N918" s="1070"/>
      <c r="O918" s="1070"/>
      <c r="P918" s="1070"/>
      <c r="Q918" s="1070"/>
      <c r="R918" s="1070"/>
      <c r="S918" s="1070"/>
      <c r="T918" s="1071"/>
      <c r="U918" s="1059" t="s">
        <v>124</v>
      </c>
      <c r="V918" s="1060"/>
      <c r="W918" s="1060"/>
      <c r="X918" s="1060"/>
      <c r="Y918" s="1060"/>
      <c r="Z918" s="1061"/>
      <c r="AA918" s="1062"/>
      <c r="AB918" s="1063"/>
      <c r="AC918" s="1063"/>
      <c r="AD918" s="1063"/>
      <c r="AE918" s="1063"/>
      <c r="AF918" s="106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9" t="s">
        <v>156</v>
      </c>
      <c r="G919" s="1070"/>
      <c r="H919" s="1070"/>
      <c r="I919" s="1070"/>
      <c r="J919" s="1070"/>
      <c r="K919" s="1070"/>
      <c r="L919" s="1070"/>
      <c r="M919" s="1070"/>
      <c r="N919" s="1070"/>
      <c r="O919" s="1070"/>
      <c r="P919" s="1070"/>
      <c r="Q919" s="1070"/>
      <c r="R919" s="1070"/>
      <c r="S919" s="1070"/>
      <c r="T919" s="1071"/>
      <c r="U919" s="1059" t="s">
        <v>124</v>
      </c>
      <c r="V919" s="1060"/>
      <c r="W919" s="1060"/>
      <c r="X919" s="1060"/>
      <c r="Y919" s="1060"/>
      <c r="Z919" s="1061"/>
      <c r="AA919" s="1062"/>
      <c r="AB919" s="1063"/>
      <c r="AC919" s="1063"/>
      <c r="AD919" s="1063"/>
      <c r="AE919" s="1063"/>
      <c r="AF919" s="106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9" t="s">
        <v>2293</v>
      </c>
      <c r="G920" s="1070"/>
      <c r="H920" s="1070"/>
      <c r="I920" s="1070"/>
      <c r="J920" s="1070"/>
      <c r="K920" s="1070"/>
      <c r="L920" s="1070"/>
      <c r="M920" s="1070"/>
      <c r="N920" s="1070"/>
      <c r="O920" s="1070"/>
      <c r="P920" s="1070"/>
      <c r="Q920" s="1070"/>
      <c r="R920" s="1070"/>
      <c r="S920" s="1070"/>
      <c r="T920" s="1071"/>
      <c r="U920" s="1059" t="s">
        <v>124</v>
      </c>
      <c r="V920" s="1060"/>
      <c r="W920" s="1060"/>
      <c r="X920" s="1060"/>
      <c r="Y920" s="1060"/>
      <c r="Z920" s="1061"/>
      <c r="AA920" s="1062"/>
      <c r="AB920" s="1063"/>
      <c r="AC920" s="1063"/>
      <c r="AD920" s="1063"/>
      <c r="AE920" s="1063"/>
      <c r="AF920" s="106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5" t="s">
        <v>483</v>
      </c>
      <c r="Q921" s="1060"/>
      <c r="R921" s="1060"/>
      <c r="S921" s="1060"/>
      <c r="T921" s="1061"/>
      <c r="U921" s="1059" t="s">
        <v>124</v>
      </c>
      <c r="V921" s="1060"/>
      <c r="W921" s="1060"/>
      <c r="X921" s="1060"/>
      <c r="Y921" s="1060"/>
      <c r="Z921" s="1061"/>
      <c r="AA921" s="1062"/>
      <c r="AB921" s="1063"/>
      <c r="AC921" s="1063"/>
      <c r="AD921" s="1063"/>
      <c r="AE921" s="1063"/>
      <c r="AF921" s="106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6" t="s">
        <v>2285</v>
      </c>
      <c r="G922" s="1057"/>
      <c r="H922" s="1058"/>
      <c r="I922" s="1081" t="s">
        <v>563</v>
      </c>
      <c r="J922" s="1082"/>
      <c r="K922" s="1082"/>
      <c r="L922" s="1082"/>
      <c r="M922" s="1082"/>
      <c r="N922" s="1082"/>
      <c r="O922" s="1082"/>
      <c r="P922" s="1082"/>
      <c r="Q922" s="1082"/>
      <c r="R922" s="1082"/>
      <c r="S922" s="1082"/>
      <c r="T922" s="1083"/>
      <c r="U922" s="1059" t="s">
        <v>124</v>
      </c>
      <c r="V922" s="1060"/>
      <c r="W922" s="1060"/>
      <c r="X922" s="1060"/>
      <c r="Y922" s="1060"/>
      <c r="Z922" s="1061"/>
      <c r="AA922" s="1062"/>
      <c r="AB922" s="1063"/>
      <c r="AC922" s="1063"/>
      <c r="AD922" s="1063"/>
      <c r="AE922" s="1063"/>
      <c r="AF922" s="106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6" t="s">
        <v>374</v>
      </c>
      <c r="G923" s="1057"/>
      <c r="H923" s="1058"/>
      <c r="I923" s="1081" t="s">
        <v>563</v>
      </c>
      <c r="J923" s="1082"/>
      <c r="K923" s="1082"/>
      <c r="L923" s="1082"/>
      <c r="M923" s="1082"/>
      <c r="N923" s="1082"/>
      <c r="O923" s="1082"/>
      <c r="P923" s="1082"/>
      <c r="Q923" s="1082"/>
      <c r="R923" s="1082"/>
      <c r="S923" s="1082"/>
      <c r="T923" s="1083"/>
      <c r="U923" s="1059" t="s">
        <v>124</v>
      </c>
      <c r="V923" s="1060"/>
      <c r="W923" s="1060"/>
      <c r="X923" s="1060"/>
      <c r="Y923" s="1060"/>
      <c r="Z923" s="1061"/>
      <c r="AA923" s="1062"/>
      <c r="AB923" s="1063"/>
      <c r="AC923" s="1063"/>
      <c r="AD923" s="1063"/>
      <c r="AE923" s="1063"/>
      <c r="AF923" s="106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6" t="s">
        <v>827</v>
      </c>
      <c r="G924" s="1057"/>
      <c r="H924" s="1058"/>
      <c r="I924" s="1081" t="s">
        <v>563</v>
      </c>
      <c r="J924" s="1082"/>
      <c r="K924" s="1082"/>
      <c r="L924" s="1082"/>
      <c r="M924" s="1082"/>
      <c r="N924" s="1082"/>
      <c r="O924" s="1082"/>
      <c r="P924" s="1082"/>
      <c r="Q924" s="1082"/>
      <c r="R924" s="1082"/>
      <c r="S924" s="1082"/>
      <c r="T924" s="1083"/>
      <c r="U924" s="1059" t="s">
        <v>124</v>
      </c>
      <c r="V924" s="1060"/>
      <c r="W924" s="1060"/>
      <c r="X924" s="1060"/>
      <c r="Y924" s="1060"/>
      <c r="Z924" s="1061"/>
      <c r="AA924" s="1062"/>
      <c r="AB924" s="1063"/>
      <c r="AC924" s="1063"/>
      <c r="AD924" s="1063"/>
      <c r="AE924" s="1063"/>
      <c r="AF924" s="106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6" t="s">
        <v>283</v>
      </c>
      <c r="G925" s="1057"/>
      <c r="H925" s="1058"/>
      <c r="I925" s="1081" t="s">
        <v>563</v>
      </c>
      <c r="J925" s="1082"/>
      <c r="K925" s="1082"/>
      <c r="L925" s="1082"/>
      <c r="M925" s="1082"/>
      <c r="N925" s="1082"/>
      <c r="O925" s="1082"/>
      <c r="P925" s="1082"/>
      <c r="Q925" s="1082"/>
      <c r="R925" s="1082"/>
      <c r="S925" s="1082"/>
      <c r="T925" s="1083"/>
      <c r="U925" s="1059" t="s">
        <v>124</v>
      </c>
      <c r="V925" s="1060"/>
      <c r="W925" s="1060"/>
      <c r="X925" s="1060"/>
      <c r="Y925" s="1060"/>
      <c r="Z925" s="1061"/>
      <c r="AA925" s="1062"/>
      <c r="AB925" s="1063"/>
      <c r="AC925" s="1063"/>
      <c r="AD925" s="1063"/>
      <c r="AE925" s="1063"/>
      <c r="AF925" s="106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6" t="s">
        <v>283</v>
      </c>
      <c r="G926" s="1057"/>
      <c r="H926" s="1058"/>
      <c r="I926" s="1081" t="s">
        <v>563</v>
      </c>
      <c r="J926" s="1082"/>
      <c r="K926" s="1082"/>
      <c r="L926" s="1082"/>
      <c r="M926" s="1082"/>
      <c r="N926" s="1082"/>
      <c r="O926" s="1082"/>
      <c r="P926" s="1082"/>
      <c r="Q926" s="1082"/>
      <c r="R926" s="1082"/>
      <c r="S926" s="1082"/>
      <c r="T926" s="1083"/>
      <c r="U926" s="1059" t="s">
        <v>124</v>
      </c>
      <c r="V926" s="1060"/>
      <c r="W926" s="1060"/>
      <c r="X926" s="1060"/>
      <c r="Y926" s="1060"/>
      <c r="Z926" s="1061"/>
      <c r="AA926" s="1062"/>
      <c r="AB926" s="1063"/>
      <c r="AC926" s="1063"/>
      <c r="AD926" s="1063"/>
      <c r="AE926" s="1063"/>
      <c r="AF926" s="106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9">
        <v>45412</v>
      </c>
      <c r="M931" s="1190"/>
      <c r="N931" s="1190"/>
      <c r="O931" s="1190"/>
      <c r="P931" s="1190"/>
      <c r="Q931" s="1190"/>
      <c r="R931" s="1190"/>
      <c r="S931" s="1191"/>
      <c r="U931" s="72" t="s">
        <v>828</v>
      </c>
      <c r="V931" s="9"/>
      <c r="W931" s="9"/>
      <c r="X931" s="9"/>
      <c r="Y931" s="9"/>
      <c r="Z931" s="9"/>
      <c r="AA931" s="9"/>
      <c r="AB931" s="9"/>
      <c r="AC931" s="9"/>
      <c r="AD931" s="52"/>
      <c r="AE931" s="1189"/>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394" t="s">
        <v>2411</v>
      </c>
      <c r="M932" s="1190"/>
      <c r="N932" s="1190"/>
      <c r="O932" s="1190"/>
      <c r="P932" s="1190"/>
      <c r="Q932" s="1190"/>
      <c r="R932" s="1190"/>
      <c r="S932" s="1191"/>
      <c r="U932" s="72" t="s">
        <v>829</v>
      </c>
      <c r="V932" s="9"/>
      <c r="W932" s="9"/>
      <c r="X932" s="9"/>
      <c r="Y932" s="9"/>
      <c r="Z932" s="9"/>
      <c r="AA932" s="9"/>
      <c r="AB932" s="9"/>
      <c r="AC932" s="9"/>
      <c r="AD932" s="52"/>
      <c r="AE932" s="1529"/>
      <c r="AF932" s="1530"/>
      <c r="AG932" s="1530"/>
      <c r="AH932" s="1530"/>
      <c r="AI932" s="1530"/>
      <c r="AJ932" s="1530"/>
      <c r="AK932" s="1531"/>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91" t="s">
        <v>2412</v>
      </c>
      <c r="M933" s="1392"/>
      <c r="N933" s="1392"/>
      <c r="O933" s="1392"/>
      <c r="P933" s="1392"/>
      <c r="Q933" s="1392"/>
      <c r="R933" s="1392"/>
      <c r="S933" s="1393"/>
      <c r="U933" s="72" t="s">
        <v>1109</v>
      </c>
      <c r="V933" s="9"/>
      <c r="W933" s="9"/>
      <c r="AE933" s="1391" t="s">
        <v>79</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6">
        <v>1</v>
      </c>
      <c r="M934" s="1527"/>
      <c r="N934" s="1527"/>
      <c r="O934" s="1527"/>
      <c r="P934" s="1527"/>
      <c r="Q934" s="1527"/>
      <c r="R934" s="1527"/>
      <c r="S934" s="1528"/>
      <c r="U934" s="72" t="s">
        <v>830</v>
      </c>
      <c r="V934" s="9"/>
      <c r="W934" s="9"/>
      <c r="X934" s="9"/>
      <c r="Y934" s="9"/>
      <c r="Z934" s="9"/>
      <c r="AA934" s="9"/>
      <c r="AB934" s="9"/>
      <c r="AC934" s="9"/>
      <c r="AD934" s="52"/>
      <c r="AE934" s="1526"/>
      <c r="AF934" s="1527"/>
      <c r="AG934" s="1527"/>
      <c r="AH934" s="1527"/>
      <c r="AI934" s="1527"/>
      <c r="AJ934" s="1527"/>
      <c r="AK934" s="152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34">
        <v>57</v>
      </c>
      <c r="M935" s="1535"/>
      <c r="N935" s="1535"/>
      <c r="O935" s="1535"/>
      <c r="P935" s="1535"/>
      <c r="Q935" s="1535"/>
      <c r="R935" s="1535"/>
      <c r="S935" s="1536"/>
      <c r="U935" s="72" t="s">
        <v>831</v>
      </c>
      <c r="V935" s="9"/>
      <c r="W935" s="9"/>
      <c r="X935" s="9"/>
      <c r="Y935" s="9"/>
      <c r="Z935" s="9"/>
      <c r="AA935" s="9"/>
      <c r="AB935" s="9"/>
      <c r="AC935" s="9"/>
      <c r="AD935" s="52"/>
      <c r="AE935" s="1500"/>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203">
        <f>'Subsidy Contract Calculation'!F40</f>
        <v>1247400</v>
      </c>
      <c r="M936" s="1204"/>
      <c r="N936" s="1204"/>
      <c r="O936" s="1204"/>
      <c r="P936" s="1204"/>
      <c r="Q936" s="1204"/>
      <c r="R936" s="1204"/>
      <c r="S936" s="1205"/>
      <c r="U936" s="72" t="s">
        <v>832</v>
      </c>
      <c r="V936" s="9"/>
      <c r="W936" s="9"/>
      <c r="X936" s="9"/>
      <c r="Y936" s="9"/>
      <c r="Z936" s="9"/>
      <c r="AA936" s="9"/>
      <c r="AB936" s="9"/>
      <c r="AC936" s="9"/>
      <c r="AD936" s="52"/>
      <c r="AE936" s="1062"/>
      <c r="AF936" s="1063"/>
      <c r="AG936" s="1063"/>
      <c r="AH936" s="1063"/>
      <c r="AI936" s="1063"/>
      <c r="AJ936" s="1063"/>
      <c r="AK936" s="106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203">
        <f>L936*20</f>
        <v>24948000</v>
      </c>
      <c r="M937" s="1204"/>
      <c r="N937" s="1204"/>
      <c r="O937" s="1204"/>
      <c r="P937" s="1204"/>
      <c r="Q937" s="1204"/>
      <c r="R937" s="1204"/>
      <c r="S937" s="1205"/>
      <c r="U937" s="72" t="s">
        <v>833</v>
      </c>
      <c r="V937" s="9"/>
      <c r="W937" s="9"/>
      <c r="X937" s="9"/>
      <c r="Y937" s="9"/>
      <c r="Z937" s="9"/>
      <c r="AA937" s="9"/>
      <c r="AB937" s="9"/>
      <c r="AC937" s="9"/>
      <c r="AD937" s="52"/>
      <c r="AE937" s="1062"/>
      <c r="AF937" s="1063"/>
      <c r="AG937" s="1063"/>
      <c r="AH937" s="1063"/>
      <c r="AI937" s="1063"/>
      <c r="AJ937" s="1063"/>
      <c r="AK937" s="106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534">
        <v>20</v>
      </c>
      <c r="M938" s="1535"/>
      <c r="N938" s="1535"/>
      <c r="O938" s="1535"/>
      <c r="P938" s="1535"/>
      <c r="Q938" s="1535"/>
      <c r="R938" s="1535"/>
      <c r="S938" s="1536"/>
      <c r="U938" s="214" t="s">
        <v>1975</v>
      </c>
      <c r="V938" s="9"/>
      <c r="W938" s="9"/>
      <c r="X938" s="9"/>
      <c r="Y938" s="9"/>
      <c r="Z938" s="9"/>
      <c r="AA938" s="9"/>
      <c r="AB938" s="9"/>
      <c r="AC938" s="9"/>
      <c r="AD938" s="52"/>
      <c r="AE938" s="1534"/>
      <c r="AF938" s="1535"/>
      <c r="AG938" s="1535"/>
      <c r="AH938" s="1535"/>
      <c r="AI938" s="1535"/>
      <c r="AJ938" s="1535"/>
      <c r="AK938" s="153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50"/>
      <c r="N943" s="1451"/>
      <c r="O943" s="1451"/>
      <c r="P943" s="1451"/>
      <c r="Q943" s="1451"/>
      <c r="R943" s="1451"/>
      <c r="S943" s="1452"/>
      <c r="T943" s="72" t="s">
        <v>951</v>
      </c>
      <c r="U943" s="9"/>
      <c r="V943" s="9"/>
      <c r="W943" s="9"/>
      <c r="X943" s="9"/>
      <c r="Y943" s="9"/>
      <c r="Z943" s="52"/>
      <c r="AA943" s="1450"/>
      <c r="AB943" s="1451"/>
      <c r="AC943" s="1451"/>
      <c r="AD943" s="1451"/>
      <c r="AE943" s="1451"/>
      <c r="AF943" s="1451"/>
      <c r="AG943" s="145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50"/>
      <c r="N944" s="1451"/>
      <c r="O944" s="1451"/>
      <c r="P944" s="1451"/>
      <c r="Q944" s="1451"/>
      <c r="R944" s="1451"/>
      <c r="S944" s="1452"/>
      <c r="T944" s="72" t="s">
        <v>950</v>
      </c>
      <c r="U944" s="9"/>
      <c r="V944" s="9"/>
      <c r="W944" s="9"/>
      <c r="X944" s="9"/>
      <c r="Y944" s="9"/>
      <c r="Z944" s="52"/>
      <c r="AA944" s="1450"/>
      <c r="AB944" s="1451"/>
      <c r="AC944" s="1451"/>
      <c r="AD944" s="1451"/>
      <c r="AE944" s="1451"/>
      <c r="AF944" s="1451"/>
      <c r="AG944" s="145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28" t="s">
        <v>124</v>
      </c>
      <c r="N945" s="1262"/>
      <c r="O945" s="1262"/>
      <c r="P945" s="1262"/>
      <c r="Q945" s="1262"/>
      <c r="R945" s="1262"/>
      <c r="S945" s="1329"/>
      <c r="T945" s="8" t="s">
        <v>567</v>
      </c>
      <c r="U945" s="9"/>
      <c r="V945" s="9"/>
      <c r="W945" s="9"/>
      <c r="X945" s="9"/>
      <c r="Y945" s="9"/>
      <c r="Z945" s="52"/>
      <c r="AA945" s="1450"/>
      <c r="AB945" s="1451"/>
      <c r="AC945" s="1451"/>
      <c r="AD945" s="1451"/>
      <c r="AE945" s="1451"/>
      <c r="AF945" s="1451"/>
      <c r="AG945" s="145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50"/>
      <c r="N946" s="1451"/>
      <c r="O946" s="1451"/>
      <c r="P946" s="1451"/>
      <c r="Q946" s="1451"/>
      <c r="R946" s="1451"/>
      <c r="S946" s="1452"/>
      <c r="T946" s="8" t="s">
        <v>568</v>
      </c>
      <c r="U946" s="9"/>
      <c r="V946" s="9"/>
      <c r="W946" s="9"/>
      <c r="X946" s="9"/>
      <c r="Y946" s="9"/>
      <c r="Z946" s="52"/>
      <c r="AA946" s="1450"/>
      <c r="AB946" s="1451"/>
      <c r="AC946" s="1451"/>
      <c r="AD946" s="1451"/>
      <c r="AE946" s="1451"/>
      <c r="AF946" s="1451"/>
      <c r="AG946" s="145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50">
        <v>1040256</v>
      </c>
      <c r="N947" s="1451"/>
      <c r="O947" s="1451"/>
      <c r="P947" s="1451"/>
      <c r="Q947" s="1451"/>
      <c r="R947" s="1451"/>
      <c r="S947" s="1452"/>
      <c r="T947" s="8" t="s">
        <v>494</v>
      </c>
      <c r="U947" s="9"/>
      <c r="V947" s="9"/>
      <c r="W947" s="9"/>
      <c r="X947" s="9"/>
      <c r="Y947" s="9"/>
      <c r="Z947" s="52"/>
      <c r="AA947" s="1450"/>
      <c r="AB947" s="1451"/>
      <c r="AC947" s="1451"/>
      <c r="AD947" s="1451"/>
      <c r="AE947" s="1451"/>
      <c r="AF947" s="1451"/>
      <c r="AG947" s="145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91" t="s">
        <v>2412</v>
      </c>
      <c r="N948" s="1392"/>
      <c r="O948" s="1392"/>
      <c r="P948" s="1392"/>
      <c r="Q948" s="1392"/>
      <c r="R948" s="1392"/>
      <c r="S948" s="1393"/>
      <c r="T948" s="1462"/>
      <c r="U948" s="1463"/>
      <c r="V948" s="1463"/>
      <c r="W948" s="1463"/>
      <c r="X948" s="1463"/>
      <c r="Y948" s="1463"/>
      <c r="Z948" s="1464"/>
      <c r="AA948" s="1450"/>
      <c r="AB948" s="1451"/>
      <c r="AC948" s="1451"/>
      <c r="AD948" s="1451"/>
      <c r="AE948" s="1451"/>
      <c r="AF948" s="1451"/>
      <c r="AG948" s="145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50"/>
      <c r="N949" s="1451"/>
      <c r="O949" s="1451"/>
      <c r="P949" s="1451"/>
      <c r="Q949" s="1451"/>
      <c r="R949" s="1451"/>
      <c r="S949" s="1452"/>
      <c r="T949" s="1462"/>
      <c r="U949" s="1463"/>
      <c r="V949" s="1463"/>
      <c r="W949" s="1463"/>
      <c r="X949" s="1463"/>
      <c r="Y949" s="1463"/>
      <c r="Z949" s="1464"/>
      <c r="AA949" s="1450"/>
      <c r="AB949" s="1451"/>
      <c r="AC949" s="1451"/>
      <c r="AD949" s="1451"/>
      <c r="AE949" s="1451"/>
      <c r="AF949" s="1451"/>
      <c r="AG949" s="145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28" t="s">
        <v>108</v>
      </c>
      <c r="P950" s="1329"/>
      <c r="Q950" s="146"/>
      <c r="R950" s="146"/>
      <c r="S950" s="147"/>
      <c r="T950" s="6" t="s">
        <v>283</v>
      </c>
      <c r="U950" s="7"/>
      <c r="V950" s="7"/>
      <c r="W950" s="1456" t="s">
        <v>563</v>
      </c>
      <c r="X950" s="1457"/>
      <c r="Y950" s="1457"/>
      <c r="Z950" s="1457"/>
      <c r="AA950" s="1457"/>
      <c r="AB950" s="1457"/>
      <c r="AC950" s="1457"/>
      <c r="AD950" s="1457"/>
      <c r="AE950" s="1457"/>
      <c r="AF950" s="1457"/>
      <c r="AG950" s="145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7" t="s">
        <v>226</v>
      </c>
      <c r="G951" s="1264"/>
      <c r="H951" s="1264"/>
      <c r="I951" s="1264"/>
      <c r="J951" s="1264"/>
      <c r="K951" s="1264"/>
      <c r="L951" s="1264"/>
      <c r="M951" s="1450">
        <f>L936</f>
        <v>1247400</v>
      </c>
      <c r="N951" s="1451"/>
      <c r="O951" s="1451"/>
      <c r="P951" s="1451"/>
      <c r="Q951" s="1451"/>
      <c r="R951" s="1451"/>
      <c r="S951" s="1452"/>
      <c r="T951" s="53"/>
      <c r="U951" s="54"/>
      <c r="V951" s="54"/>
      <c r="W951" s="54"/>
      <c r="X951" s="54"/>
      <c r="Y951" s="54"/>
      <c r="Z951" s="226" t="s">
        <v>227</v>
      </c>
      <c r="AA951" s="1459"/>
      <c r="AB951" s="1460"/>
      <c r="AC951" s="1460"/>
      <c r="AD951" s="1460"/>
      <c r="AE951" s="1460"/>
      <c r="AF951" s="1460"/>
      <c r="AG951" s="146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7" t="s">
        <v>129</v>
      </c>
      <c r="B955" s="1087"/>
      <c r="C955" s="1087"/>
      <c r="D955" s="1087"/>
      <c r="E955" s="1087"/>
      <c r="F955" s="1087"/>
      <c r="G955" s="1087"/>
      <c r="H955" s="1087"/>
      <c r="I955" s="1087"/>
      <c r="J955" s="1087"/>
      <c r="K955" s="1087"/>
      <c r="L955" s="1087"/>
      <c r="M955" s="1087"/>
      <c r="N955" s="1087"/>
      <c r="O955" s="1087"/>
      <c r="P955" s="1087"/>
      <c r="Q955" s="1087"/>
      <c r="R955" s="1087"/>
      <c r="S955" s="1087"/>
      <c r="T955" s="1087"/>
      <c r="U955" s="1087"/>
      <c r="V955" s="1087"/>
      <c r="W955" s="1087"/>
      <c r="X955" s="1087"/>
      <c r="Y955" s="1087"/>
      <c r="Z955" s="1087"/>
      <c r="AA955" s="1087"/>
      <c r="AB955" s="1087"/>
      <c r="AC955" s="1087"/>
      <c r="AD955" s="1087"/>
      <c r="AE955" s="1087"/>
      <c r="AF955" s="1087"/>
      <c r="AG955" s="1087"/>
      <c r="AH955" s="1087"/>
      <c r="AI955" s="1087"/>
      <c r="AJ955" s="1087"/>
      <c r="AK955" s="1087"/>
      <c r="AL955" s="1087"/>
      <c r="AM955" s="1087"/>
      <c r="AN955" s="1087"/>
      <c r="AO955" s="1087"/>
      <c r="AP955" s="1087"/>
      <c r="AQ955" s="1087"/>
      <c r="AR955" s="1087"/>
      <c r="AS955" s="1087"/>
      <c r="AT955" s="1087"/>
    </row>
    <row r="956" spans="1:97" s="960" customFormat="1" ht="12.95" customHeight="1">
      <c r="A956" s="1087"/>
      <c r="B956" s="1087"/>
      <c r="C956" s="1087"/>
      <c r="D956" s="1087"/>
      <c r="E956" s="1087"/>
      <c r="F956" s="1087"/>
      <c r="G956" s="1087"/>
      <c r="H956" s="1087"/>
      <c r="I956" s="1087"/>
      <c r="J956" s="1087"/>
      <c r="K956" s="1087"/>
      <c r="L956" s="1087"/>
      <c r="M956" s="1087"/>
      <c r="N956" s="1087"/>
      <c r="O956" s="1087"/>
      <c r="P956" s="1087"/>
      <c r="Q956" s="1087"/>
      <c r="R956" s="1087"/>
      <c r="S956" s="1087"/>
      <c r="T956" s="1087"/>
      <c r="U956" s="1087"/>
      <c r="V956" s="1087"/>
      <c r="W956" s="1087"/>
      <c r="X956" s="1087"/>
      <c r="Y956" s="1087"/>
      <c r="Z956" s="1087"/>
      <c r="AA956" s="1087"/>
      <c r="AB956" s="1087"/>
      <c r="AC956" s="1087"/>
      <c r="AD956" s="1087"/>
      <c r="AE956" s="1087"/>
      <c r="AF956" s="1087"/>
      <c r="AG956" s="1087"/>
      <c r="AH956" s="1087"/>
      <c r="AI956" s="1087"/>
      <c r="AJ956" s="1087"/>
      <c r="AK956" s="1087"/>
      <c r="AL956" s="1087"/>
      <c r="AM956" s="1087"/>
      <c r="AN956" s="1087"/>
      <c r="AO956" s="1087"/>
      <c r="AP956" s="1087"/>
      <c r="AQ956" s="1087"/>
      <c r="AR956" s="1087"/>
      <c r="AS956" s="1087"/>
      <c r="AT956" s="108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3" t="s">
        <v>425</v>
      </c>
      <c r="E960" s="1454"/>
      <c r="F960" s="1454"/>
      <c r="G960" s="1454"/>
      <c r="H960" s="1454"/>
      <c r="I960" s="1454"/>
      <c r="J960" s="1454"/>
      <c r="K960" s="1454"/>
      <c r="L960" s="1454"/>
      <c r="M960" s="1454"/>
      <c r="N960" s="1454"/>
      <c r="O960" s="1454"/>
      <c r="P960" s="1454"/>
      <c r="Q960" s="1455"/>
      <c r="R960" s="1453" t="s">
        <v>426</v>
      </c>
      <c r="S960" s="1454"/>
      <c r="T960" s="1454"/>
      <c r="U960" s="1454"/>
      <c r="V960" s="1454"/>
      <c r="W960" s="1454"/>
      <c r="X960" s="1454"/>
      <c r="Y960" s="1454"/>
      <c r="Z960" s="1454"/>
      <c r="AA960" s="1455"/>
      <c r="AB960" s="1453" t="s">
        <v>427</v>
      </c>
      <c r="AC960" s="1454"/>
      <c r="AD960" s="1454"/>
      <c r="AE960" s="1454"/>
      <c r="AF960" s="1454"/>
      <c r="AG960" s="1454"/>
      <c r="AH960" s="1454"/>
      <c r="AI960" s="1455"/>
      <c r="AJ960" s="1453" t="s">
        <v>428</v>
      </c>
      <c r="AK960" s="1454"/>
      <c r="AL960" s="1454"/>
      <c r="AM960" s="1454"/>
      <c r="AN960" s="1454"/>
      <c r="AO960" s="1454"/>
      <c r="AP960" s="1454"/>
      <c r="AQ960" s="14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40" t="s">
        <v>420</v>
      </c>
      <c r="E961" s="1141"/>
      <c r="F961" s="1141"/>
      <c r="G961" s="1141"/>
      <c r="H961" s="1141"/>
      <c r="I961" s="1141"/>
      <c r="J961" s="1141"/>
      <c r="K961" s="1141"/>
      <c r="L961" s="1141"/>
      <c r="M961" s="1141"/>
      <c r="N961" s="1141"/>
      <c r="O961" s="1141"/>
      <c r="P961" s="1141"/>
      <c r="Q961" s="1142"/>
      <c r="R961" s="1143">
        <f>IF(ISNA(IF($BA$819="4%",(INDEX($BC$825:$BG$881,MATCH($BO$825,$BB$834:$BB$891,0),MATCH(D961,$BC$822:$BG$822,0))),(INDEX($BJ$834:$BN$891,MATCH($BO$825,$BI$834:$BI$891,0),MATCH(D961,$BJ$832:$BN$832,0))))),0,IF($BA$819="4%",(INDEX($BC$825:$BG$881,MATCH($BO$825,$BB$834:$BB$891,0),MATCH(D961,$BC$822:$BG$822,0))),(INDEX($BJ$834:$BN$891,MATCH($BO$825,$BI$834:$BI$891,0),MATCH(D961,$BJ$832:$BN$832,0)))))</f>
        <v>384234</v>
      </c>
      <c r="S961" s="1143"/>
      <c r="T961" s="1143"/>
      <c r="U961" s="1143"/>
      <c r="V961" s="1143"/>
      <c r="W961" s="1143"/>
      <c r="X961" s="1143"/>
      <c r="Y961" s="1143"/>
      <c r="Z961" s="1143"/>
      <c r="AA961" s="1143"/>
      <c r="AB961" s="1144">
        <f>BN651</f>
        <v>0</v>
      </c>
      <c r="AC961" s="1145"/>
      <c r="AD961" s="1145"/>
      <c r="AE961" s="1145"/>
      <c r="AF961" s="1145"/>
      <c r="AG961" s="1145"/>
      <c r="AH961" s="1145"/>
      <c r="AI961" s="1146"/>
      <c r="AJ961" s="1147">
        <f>IF(ISERROR((R961*AB961)),0,(R961*AB961))</f>
        <v>0</v>
      </c>
      <c r="AK961" s="1148"/>
      <c r="AL961" s="1148"/>
      <c r="AM961" s="1148"/>
      <c r="AN961" s="1148"/>
      <c r="AO961" s="1148"/>
      <c r="AP961" s="1148"/>
      <c r="AQ961" s="114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40" t="s">
        <v>443</v>
      </c>
      <c r="E962" s="1141"/>
      <c r="F962" s="1141"/>
      <c r="G962" s="1141"/>
      <c r="H962" s="1141"/>
      <c r="I962" s="1141"/>
      <c r="J962" s="1141"/>
      <c r="K962" s="1141"/>
      <c r="L962" s="1141"/>
      <c r="M962" s="1141"/>
      <c r="N962" s="1141"/>
      <c r="O962" s="1141"/>
      <c r="P962" s="1141"/>
      <c r="Q962" s="1142"/>
      <c r="R962" s="1143">
        <f>IF(ISNA(IF($BA$819="4%",(INDEX($BC$825:$BG$881,MATCH($BO$825,$BB$834:$BB$891,0),MATCH(D962,$BC$822:$BG$822,0))),(INDEX($BJ$834:$BN$891,MATCH($BO$825,$BI$834:$BI$891,0),MATCH(D962,$BJ$832:$BN$832,0))))),0,IF($BA$819="4%",(INDEX($BC$825:$BG$881,MATCH($BO$825,$BB$834:$BB$891,0),MATCH(D962,$BC$822:$BG$822,0))),(INDEX($BJ$834:$BN$891,MATCH($BO$825,$BI$834:$BI$891,0),MATCH(D962,$BJ$832:$BN$832,0)))))</f>
        <v>443018</v>
      </c>
      <c r="S962" s="1143"/>
      <c r="T962" s="1143"/>
      <c r="U962" s="1143"/>
      <c r="V962" s="1143"/>
      <c r="W962" s="1143"/>
      <c r="X962" s="1143"/>
      <c r="Y962" s="1143"/>
      <c r="Z962" s="1143"/>
      <c r="AA962" s="1143"/>
      <c r="AB962" s="1144">
        <f>BS651</f>
        <v>57</v>
      </c>
      <c r="AC962" s="1145"/>
      <c r="AD962" s="1145"/>
      <c r="AE962" s="1145"/>
      <c r="AF962" s="1145"/>
      <c r="AG962" s="1145"/>
      <c r="AH962" s="1145"/>
      <c r="AI962" s="1146"/>
      <c r="AJ962" s="1147">
        <f>IF(ISERROR((R962*AB962)),0,(R962*AB962))</f>
        <v>25252026</v>
      </c>
      <c r="AK962" s="1148"/>
      <c r="AL962" s="1148"/>
      <c r="AM962" s="1148"/>
      <c r="AN962" s="1148"/>
      <c r="AO962" s="1148"/>
      <c r="AP962" s="1148"/>
      <c r="AQ962" s="11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40" t="s">
        <v>781</v>
      </c>
      <c r="E963" s="1141"/>
      <c r="F963" s="1141"/>
      <c r="G963" s="1141"/>
      <c r="H963" s="1141"/>
      <c r="I963" s="1141"/>
      <c r="J963" s="1141"/>
      <c r="K963" s="1141"/>
      <c r="L963" s="1141"/>
      <c r="M963" s="1141"/>
      <c r="N963" s="1141"/>
      <c r="O963" s="1141"/>
      <c r="P963" s="1141"/>
      <c r="Q963" s="1142"/>
      <c r="R963" s="1143">
        <f>IF(ISNA(IF($BA$819="4%",(INDEX($BC$825:$BG$881,MATCH($BO$825,$BB$834:$BB$891,0),MATCH(D963,$BC$822:$BG$822,0))),(INDEX($BJ$834:$BN$891,MATCH($BO$825,$BI$834:$BI$891,0),MATCH(D963,$BJ$832:$BN$832,0))))),0,IF($BA$819="4%",(INDEX($BC$825:$BG$881,MATCH($BO$825,$BB$834:$BB$891,0),MATCH(D963,$BC$822:$BG$822,0))),(INDEX($BJ$834:$BN$891,MATCH($BO$825,$BI$834:$BI$891,0),MATCH(D963,$BJ$832:$BN$832,0)))))</f>
        <v>534400</v>
      </c>
      <c r="S963" s="1143"/>
      <c r="T963" s="1143"/>
      <c r="U963" s="1143"/>
      <c r="V963" s="1143"/>
      <c r="W963" s="1143"/>
      <c r="X963" s="1143"/>
      <c r="Y963" s="1143"/>
      <c r="Z963" s="1143"/>
      <c r="AA963" s="1143"/>
      <c r="AB963" s="1144">
        <f>BX651</f>
        <v>0</v>
      </c>
      <c r="AC963" s="1145"/>
      <c r="AD963" s="1145"/>
      <c r="AE963" s="1145"/>
      <c r="AF963" s="1145"/>
      <c r="AG963" s="1145"/>
      <c r="AH963" s="1145"/>
      <c r="AI963" s="1146"/>
      <c r="AJ963" s="1147">
        <f>IF(ISERROR((R963*AB963)),0,(R963*AB963))</f>
        <v>0</v>
      </c>
      <c r="AK963" s="1148"/>
      <c r="AL963" s="1148"/>
      <c r="AM963" s="1148"/>
      <c r="AN963" s="1148"/>
      <c r="AO963" s="1148"/>
      <c r="AP963" s="1148"/>
      <c r="AQ963" s="11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40" t="s">
        <v>782</v>
      </c>
      <c r="E964" s="1141"/>
      <c r="F964" s="1141"/>
      <c r="G964" s="1141"/>
      <c r="H964" s="1141"/>
      <c r="I964" s="1141"/>
      <c r="J964" s="1141"/>
      <c r="K964" s="1141"/>
      <c r="L964" s="1141"/>
      <c r="M964" s="1141"/>
      <c r="N964" s="1141"/>
      <c r="O964" s="1141"/>
      <c r="P964" s="1141"/>
      <c r="Q964" s="1142"/>
      <c r="R964" s="1143">
        <f>IF(ISNA(IF($BA$819="4%",(INDEX($BC$825:$BG$881,MATCH($BO$825,$BB$834:$BB$891,0),MATCH(D964,$BC$822:$BG$822,0))),(INDEX($BJ$834:$BN$891,MATCH($BO$825,$BI$834:$BI$891,0),MATCH(D964,$BJ$832:$BN$832,0))))),0,IF($BA$819="4%",(INDEX($BC$825:$BG$881,MATCH($BO$825,$BB$834:$BB$891,0),MATCH(D964,$BC$822:$BG$822,0))),(INDEX($BJ$834:$BN$891,MATCH($BO$825,$BI$834:$BI$891,0),MATCH(D964,$BJ$832:$BN$832,0)))))</f>
        <v>684032</v>
      </c>
      <c r="S964" s="1143"/>
      <c r="T964" s="1143"/>
      <c r="U964" s="1143"/>
      <c r="V964" s="1143"/>
      <c r="W964" s="1143"/>
      <c r="X964" s="1143"/>
      <c r="Y964" s="1143"/>
      <c r="Z964" s="1143"/>
      <c r="AA964" s="1143"/>
      <c r="AB964" s="1144">
        <f>CC651</f>
        <v>0</v>
      </c>
      <c r="AC964" s="1145"/>
      <c r="AD964" s="1145"/>
      <c r="AE964" s="1145"/>
      <c r="AF964" s="1145"/>
      <c r="AG964" s="1145"/>
      <c r="AH964" s="1145"/>
      <c r="AI964" s="1146"/>
      <c r="AJ964" s="1147">
        <f>IF(ISERROR((R964*AB964)),0,(R964*AB964))</f>
        <v>0</v>
      </c>
      <c r="AK964" s="1148"/>
      <c r="AL964" s="1148"/>
      <c r="AM964" s="1148"/>
      <c r="AN964" s="1148"/>
      <c r="AO964" s="1148"/>
      <c r="AP964" s="1148"/>
      <c r="AQ964" s="114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40" t="s">
        <v>792</v>
      </c>
      <c r="E965" s="1141"/>
      <c r="F965" s="1141"/>
      <c r="G965" s="1141"/>
      <c r="H965" s="1141"/>
      <c r="I965" s="1141"/>
      <c r="J965" s="1141"/>
      <c r="K965" s="1141"/>
      <c r="L965" s="1141"/>
      <c r="M965" s="1141"/>
      <c r="N965" s="1141"/>
      <c r="O965" s="1141"/>
      <c r="P965" s="1141"/>
      <c r="Q965" s="1142"/>
      <c r="R965" s="1143">
        <f>IF(ISNA(IF($BA$819="4%",(INDEX($BC$825:$BG$881,MATCH($BO$825,$BB$834:$BB$891,0),MATCH(D965,$BC$822:$BG$822,0))),(INDEX($BJ$834:$BN$891,MATCH($BO$825,$BI$834:$BI$891,0),MATCH(D965,$BJ$832:$BN$832,0))))),0,IF($BA$819="4%",(INDEX($BC$825:$BG$881,MATCH($BO$825,$BB$834:$BB$891,0),MATCH(D965,$BC$822:$BG$822,0))),(INDEX($BJ$834:$BN$891,MATCH($BO$825,$BI$834:$BI$891,0),MATCH(D965,$BJ$832:$BN$832,0)))))</f>
        <v>762054</v>
      </c>
      <c r="S965" s="1143"/>
      <c r="T965" s="1143"/>
      <c r="U965" s="1143"/>
      <c r="V965" s="1143"/>
      <c r="W965" s="1143"/>
      <c r="X965" s="1143"/>
      <c r="Y965" s="1143"/>
      <c r="Z965" s="1143"/>
      <c r="AA965" s="1143"/>
      <c r="AB965" s="1144">
        <f>CM651+CH651</f>
        <v>0</v>
      </c>
      <c r="AC965" s="1145"/>
      <c r="AD965" s="1145"/>
      <c r="AE965" s="1145"/>
      <c r="AF965" s="1145"/>
      <c r="AG965" s="1145"/>
      <c r="AH965" s="1145"/>
      <c r="AI965" s="1146"/>
      <c r="AJ965" s="1147">
        <f>IF(ISERROR((R965*AB965)),0,(R965*AB965))</f>
        <v>0</v>
      </c>
      <c r="AK965" s="1148"/>
      <c r="AL965" s="1148"/>
      <c r="AM965" s="1148"/>
      <c r="AN965" s="1148"/>
      <c r="AO965" s="1148"/>
      <c r="AP965" s="1148"/>
      <c r="AQ965" s="114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7" t="s">
        <v>961</v>
      </c>
      <c r="C966" s="1158"/>
      <c r="D966" s="1158"/>
      <c r="E966" s="1158"/>
      <c r="F966" s="1158"/>
      <c r="G966" s="1158"/>
      <c r="H966" s="1158"/>
      <c r="I966" s="1158"/>
      <c r="J966" s="1158"/>
      <c r="K966" s="1158"/>
      <c r="L966" s="1158"/>
      <c r="M966" s="1158"/>
      <c r="N966" s="1158"/>
      <c r="O966" s="1158"/>
      <c r="P966" s="1158"/>
      <c r="Q966" s="1158"/>
      <c r="R966" s="1158"/>
      <c r="S966" s="1158"/>
      <c r="T966" s="1158"/>
      <c r="U966" s="1158"/>
      <c r="V966" s="1158"/>
      <c r="W966" s="1158"/>
      <c r="X966" s="1158"/>
      <c r="Y966" s="1158"/>
      <c r="Z966" s="1158"/>
      <c r="AA966" s="1159"/>
      <c r="AB966" s="1144">
        <f>SUM(AB961:AI965)</f>
        <v>57</v>
      </c>
      <c r="AC966" s="1145"/>
      <c r="AD966" s="1145"/>
      <c r="AE966" s="1145"/>
      <c r="AF966" s="1145"/>
      <c r="AG966" s="1145"/>
      <c r="AH966" s="1145"/>
      <c r="AI966" s="1146"/>
      <c r="AJ966" s="1147"/>
      <c r="AK966" s="1148"/>
      <c r="AL966" s="1148"/>
      <c r="AM966" s="1148"/>
      <c r="AN966" s="1148"/>
      <c r="AO966" s="1148"/>
      <c r="AP966" s="1148"/>
      <c r="AQ966" s="114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5" t="s">
        <v>748</v>
      </c>
      <c r="C967" s="1466"/>
      <c r="D967" s="1466"/>
      <c r="E967" s="1466"/>
      <c r="F967" s="1466"/>
      <c r="G967" s="1466"/>
      <c r="H967" s="1466"/>
      <c r="I967" s="1466"/>
      <c r="J967" s="1466"/>
      <c r="K967" s="1466"/>
      <c r="L967" s="1466"/>
      <c r="M967" s="1466"/>
      <c r="N967" s="1466"/>
      <c r="O967" s="1466"/>
      <c r="P967" s="1466"/>
      <c r="Q967" s="1466"/>
      <c r="R967" s="1466"/>
      <c r="S967" s="1466"/>
      <c r="T967" s="1466"/>
      <c r="U967" s="1466"/>
      <c r="V967" s="1466"/>
      <c r="W967" s="1466"/>
      <c r="X967" s="1466"/>
      <c r="Y967" s="1466"/>
      <c r="Z967" s="1466"/>
      <c r="AA967" s="1466"/>
      <c r="AB967" s="1466"/>
      <c r="AC967" s="1466"/>
      <c r="AD967" s="1466"/>
      <c r="AE967" s="1466"/>
      <c r="AF967" s="1466"/>
      <c r="AG967" s="1466"/>
      <c r="AH967" s="1466"/>
      <c r="AI967" s="1467"/>
      <c r="AJ967" s="1147">
        <f>SUM(AJ961:AQ965)</f>
        <v>25252026</v>
      </c>
      <c r="AK967" s="1148"/>
      <c r="AL967" s="1148"/>
      <c r="AM967" s="1148"/>
      <c r="AN967" s="1148"/>
      <c r="AO967" s="1148"/>
      <c r="AP967" s="1148"/>
      <c r="AQ967" s="11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1"/>
      <c r="C968" s="1442"/>
      <c r="D968" s="1442"/>
      <c r="E968" s="1442"/>
      <c r="F968" s="1442"/>
      <c r="G968" s="1442"/>
      <c r="H968" s="1442"/>
      <c r="I968" s="1442"/>
      <c r="J968" s="1442"/>
      <c r="K968" s="1442"/>
      <c r="L968" s="1442"/>
      <c r="M968" s="1442"/>
      <c r="N968" s="1442"/>
      <c r="O968" s="1442"/>
      <c r="P968" s="1442"/>
      <c r="Q968" s="1442"/>
      <c r="R968" s="1442"/>
      <c r="S968" s="1442"/>
      <c r="T968" s="1442"/>
      <c r="U968" s="1442"/>
      <c r="V968" s="1442"/>
      <c r="W968" s="1442"/>
      <c r="X968" s="1442"/>
      <c r="Y968" s="1442"/>
      <c r="Z968" s="1442"/>
      <c r="AA968" s="1442"/>
      <c r="AB968" s="1442"/>
      <c r="AC968" s="1442"/>
      <c r="AD968" s="1442"/>
      <c r="AE968" s="1443"/>
      <c r="AF968" s="1438" t="s">
        <v>480</v>
      </c>
      <c r="AG968" s="1439"/>
      <c r="AH968" s="1439"/>
      <c r="AI968" s="1440"/>
      <c r="AJ968" s="1441"/>
      <c r="AK968" s="1442"/>
      <c r="AL968" s="1442"/>
      <c r="AM968" s="1442"/>
      <c r="AN968" s="1442"/>
      <c r="AO968" s="1442"/>
      <c r="AP968" s="1442"/>
      <c r="AQ968" s="14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50" t="s">
        <v>1892</v>
      </c>
      <c r="E969" s="1151"/>
      <c r="F969" s="1151"/>
      <c r="G969" s="1151"/>
      <c r="H969" s="1151"/>
      <c r="I969" s="1151"/>
      <c r="J969" s="1151"/>
      <c r="K969" s="1151"/>
      <c r="L969" s="1151"/>
      <c r="M969" s="1151"/>
      <c r="N969" s="1151"/>
      <c r="O969" s="1151"/>
      <c r="P969" s="1151"/>
      <c r="Q969" s="1151"/>
      <c r="R969" s="1151"/>
      <c r="S969" s="1151"/>
      <c r="T969" s="1151"/>
      <c r="U969" s="1151"/>
      <c r="V969" s="1151"/>
      <c r="W969" s="1151"/>
      <c r="X969" s="1151"/>
      <c r="Y969" s="1151"/>
      <c r="Z969" s="1151"/>
      <c r="AA969" s="1151"/>
      <c r="AB969" s="1151"/>
      <c r="AC969" s="1151"/>
      <c r="AD969" s="1151"/>
      <c r="AE969" s="1152"/>
      <c r="AF969" s="82"/>
      <c r="AG969" s="1155" t="s">
        <v>483</v>
      </c>
      <c r="AH969" s="1156"/>
      <c r="AI969" s="85"/>
      <c r="AJ969" s="1131">
        <f>ROUND(IF(AND(AG969="yes",D975&lt;&gt;""),AJ967*0.2,0),0)</f>
        <v>0</v>
      </c>
      <c r="AK969" s="1132"/>
      <c r="AL969" s="1132"/>
      <c r="AM969" s="1132"/>
      <c r="AN969" s="1132"/>
      <c r="AO969" s="1132"/>
      <c r="AP969" s="1132"/>
      <c r="AQ969" s="113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12" t="s">
        <v>2278</v>
      </c>
      <c r="E970" s="1113"/>
      <c r="F970" s="1113"/>
      <c r="G970" s="1113"/>
      <c r="H970" s="1113"/>
      <c r="I970" s="1113"/>
      <c r="J970" s="1113"/>
      <c r="K970" s="1113"/>
      <c r="L970" s="1113"/>
      <c r="M970" s="1113"/>
      <c r="N970" s="1113"/>
      <c r="O970" s="1113"/>
      <c r="P970" s="1113"/>
      <c r="Q970" s="1113"/>
      <c r="R970" s="1113"/>
      <c r="S970" s="1113"/>
      <c r="T970" s="1113"/>
      <c r="U970" s="1113"/>
      <c r="V970" s="1113"/>
      <c r="W970" s="1113"/>
      <c r="X970" s="1113"/>
      <c r="Y970" s="1113"/>
      <c r="Z970" s="1113"/>
      <c r="AA970" s="1113"/>
      <c r="AB970" s="1113"/>
      <c r="AC970" s="1113"/>
      <c r="AD970" s="1113"/>
      <c r="AE970" s="1114"/>
      <c r="AF970" s="79"/>
      <c r="AG970" s="21"/>
      <c r="AH970" s="21"/>
      <c r="AI970" s="83"/>
      <c r="AJ970" s="1134"/>
      <c r="AK970" s="1135"/>
      <c r="AL970" s="1135"/>
      <c r="AM970" s="1135"/>
      <c r="AN970" s="1135"/>
      <c r="AO970" s="1135"/>
      <c r="AP970" s="1135"/>
      <c r="AQ970" s="113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12"/>
      <c r="E971" s="1113"/>
      <c r="F971" s="1113"/>
      <c r="G971" s="1113"/>
      <c r="H971" s="1113"/>
      <c r="I971" s="1113"/>
      <c r="J971" s="1113"/>
      <c r="K971" s="1113"/>
      <c r="L971" s="1113"/>
      <c r="M971" s="1113"/>
      <c r="N971" s="1113"/>
      <c r="O971" s="1113"/>
      <c r="P971" s="1113"/>
      <c r="Q971" s="1113"/>
      <c r="R971" s="1113"/>
      <c r="S971" s="1113"/>
      <c r="T971" s="1113"/>
      <c r="U971" s="1113"/>
      <c r="V971" s="1113"/>
      <c r="W971" s="1113"/>
      <c r="X971" s="1113"/>
      <c r="Y971" s="1113"/>
      <c r="Z971" s="1113"/>
      <c r="AA971" s="1113"/>
      <c r="AB971" s="1113"/>
      <c r="AC971" s="1113"/>
      <c r="AD971" s="1113"/>
      <c r="AE971" s="1114"/>
      <c r="AF971" s="79"/>
      <c r="AG971" s="21"/>
      <c r="AH971" s="21"/>
      <c r="AI971" s="83"/>
      <c r="AJ971" s="1134"/>
      <c r="AK971" s="1135"/>
      <c r="AL971" s="1135"/>
      <c r="AM971" s="1135"/>
      <c r="AN971" s="1135"/>
      <c r="AO971" s="1135"/>
      <c r="AP971" s="1135"/>
      <c r="AQ971" s="113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12"/>
      <c r="E972" s="1113"/>
      <c r="F972" s="1113"/>
      <c r="G972" s="1113"/>
      <c r="H972" s="1113"/>
      <c r="I972" s="1113"/>
      <c r="J972" s="1113"/>
      <c r="K972" s="1113"/>
      <c r="L972" s="1113"/>
      <c r="M972" s="1113"/>
      <c r="N972" s="1113"/>
      <c r="O972" s="1113"/>
      <c r="P972" s="1113"/>
      <c r="Q972" s="1113"/>
      <c r="R972" s="1113"/>
      <c r="S972" s="1113"/>
      <c r="T972" s="1113"/>
      <c r="U972" s="1113"/>
      <c r="V972" s="1113"/>
      <c r="W972" s="1113"/>
      <c r="X972" s="1113"/>
      <c r="Y972" s="1113"/>
      <c r="Z972" s="1113"/>
      <c r="AA972" s="1113"/>
      <c r="AB972" s="1113"/>
      <c r="AC972" s="1113"/>
      <c r="AD972" s="1113"/>
      <c r="AE972" s="1114"/>
      <c r="AF972" s="79"/>
      <c r="AG972" s="21"/>
      <c r="AH972" s="21"/>
      <c r="AI972" s="83"/>
      <c r="AJ972" s="1134"/>
      <c r="AK972" s="1135"/>
      <c r="AL972" s="1135"/>
      <c r="AM972" s="1135"/>
      <c r="AN972" s="1135"/>
      <c r="AO972" s="1135"/>
      <c r="AP972" s="1135"/>
      <c r="AQ972" s="113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12"/>
      <c r="E973" s="1113"/>
      <c r="F973" s="1113"/>
      <c r="G973" s="1113"/>
      <c r="H973" s="1113"/>
      <c r="I973" s="1113"/>
      <c r="J973" s="1113"/>
      <c r="K973" s="1113"/>
      <c r="L973" s="1113"/>
      <c r="M973" s="1113"/>
      <c r="N973" s="1113"/>
      <c r="O973" s="1113"/>
      <c r="P973" s="1113"/>
      <c r="Q973" s="1113"/>
      <c r="R973" s="1113"/>
      <c r="S973" s="1113"/>
      <c r="T973" s="1113"/>
      <c r="U973" s="1113"/>
      <c r="V973" s="1113"/>
      <c r="W973" s="1113"/>
      <c r="X973" s="1113"/>
      <c r="Y973" s="1113"/>
      <c r="Z973" s="1113"/>
      <c r="AA973" s="1113"/>
      <c r="AB973" s="1113"/>
      <c r="AC973" s="1113"/>
      <c r="AD973" s="1113"/>
      <c r="AE973" s="1114"/>
      <c r="AF973" s="79"/>
      <c r="AG973" s="21"/>
      <c r="AH973" s="21"/>
      <c r="AI973" s="83"/>
      <c r="AJ973" s="1134"/>
      <c r="AK973" s="1135"/>
      <c r="AL973" s="1135"/>
      <c r="AM973" s="1135"/>
      <c r="AN973" s="1135"/>
      <c r="AO973" s="1135"/>
      <c r="AP973" s="1135"/>
      <c r="AQ973" s="113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5" t="s">
        <v>2279</v>
      </c>
      <c r="E974" s="1116"/>
      <c r="F974" s="1116"/>
      <c r="G974" s="1116"/>
      <c r="H974" s="1116"/>
      <c r="I974" s="1116"/>
      <c r="J974" s="1116"/>
      <c r="K974" s="1116"/>
      <c r="L974" s="1116"/>
      <c r="M974" s="1116"/>
      <c r="N974" s="1116"/>
      <c r="O974" s="1116"/>
      <c r="P974" s="1116"/>
      <c r="Q974" s="1116"/>
      <c r="R974" s="1116"/>
      <c r="S974" s="1116"/>
      <c r="T974" s="1116"/>
      <c r="U974" s="1116"/>
      <c r="V974" s="1116"/>
      <c r="W974" s="1116"/>
      <c r="X974" s="1116"/>
      <c r="Y974" s="1116"/>
      <c r="Z974" s="1116"/>
      <c r="AA974" s="1116"/>
      <c r="AB974" s="1116"/>
      <c r="AC974" s="1116"/>
      <c r="AD974" s="1116"/>
      <c r="AE974" s="1117"/>
      <c r="AF974" s="79"/>
      <c r="AG974" s="21"/>
      <c r="AH974" s="21"/>
      <c r="AI974" s="83"/>
      <c r="AJ974" s="1134"/>
      <c r="AK974" s="1135"/>
      <c r="AL974" s="1135"/>
      <c r="AM974" s="1135"/>
      <c r="AN974" s="1135"/>
      <c r="AO974" s="1135"/>
      <c r="AP974" s="1135"/>
      <c r="AQ974" s="113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7"/>
      <c r="E975" s="1448"/>
      <c r="F975" s="1448"/>
      <c r="G975" s="1448"/>
      <c r="H975" s="1448"/>
      <c r="I975" s="1448"/>
      <c r="J975" s="1448"/>
      <c r="K975" s="1448"/>
      <c r="L975" s="1448"/>
      <c r="M975" s="1448"/>
      <c r="N975" s="1448"/>
      <c r="O975" s="1448"/>
      <c r="P975" s="1448"/>
      <c r="Q975" s="1448"/>
      <c r="R975" s="1448"/>
      <c r="S975" s="1448"/>
      <c r="T975" s="1448"/>
      <c r="U975" s="1448"/>
      <c r="V975" s="1448"/>
      <c r="W975" s="1448"/>
      <c r="X975" s="1448"/>
      <c r="Y975" s="1448"/>
      <c r="Z975" s="1448"/>
      <c r="AA975" s="1448"/>
      <c r="AB975" s="1448"/>
      <c r="AC975" s="1448"/>
      <c r="AD975" s="1448"/>
      <c r="AE975" s="1449"/>
      <c r="AF975" s="80"/>
      <c r="AG975" s="11"/>
      <c r="AH975" s="11"/>
      <c r="AI975" s="81"/>
      <c r="AJ975" s="1137"/>
      <c r="AK975" s="1138"/>
      <c r="AL975" s="1138"/>
      <c r="AM975" s="1138"/>
      <c r="AN975" s="1138"/>
      <c r="AO975" s="1138"/>
      <c r="AP975" s="1138"/>
      <c r="AQ975" s="113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4" t="s">
        <v>2001</v>
      </c>
      <c r="E976" s="1175"/>
      <c r="F976" s="1175"/>
      <c r="G976" s="1175"/>
      <c r="H976" s="1175"/>
      <c r="I976" s="1175"/>
      <c r="J976" s="1175"/>
      <c r="K976" s="1175"/>
      <c r="L976" s="1175"/>
      <c r="M976" s="1175"/>
      <c r="N976" s="1175"/>
      <c r="O976" s="1175"/>
      <c r="P976" s="1175"/>
      <c r="Q976" s="1175"/>
      <c r="R976" s="1175"/>
      <c r="S976" s="1175"/>
      <c r="T976" s="1175"/>
      <c r="U976" s="1175"/>
      <c r="V976" s="1175"/>
      <c r="W976" s="1175"/>
      <c r="X976" s="1175"/>
      <c r="Y976" s="1175"/>
      <c r="Z976" s="1175"/>
      <c r="AA976" s="1175"/>
      <c r="AB976" s="1175"/>
      <c r="AC976" s="1175"/>
      <c r="AD976" s="1175"/>
      <c r="AE976" s="1176"/>
      <c r="AF976" s="82"/>
      <c r="AG976" s="1153" t="s">
        <v>483</v>
      </c>
      <c r="AH976" s="1154"/>
      <c r="AI976" s="85"/>
      <c r="AJ976" s="1131">
        <f>ROUND(IF(AG976="yes",AJ967*0.05,0),0)</f>
        <v>0</v>
      </c>
      <c r="AK976" s="1132"/>
      <c r="AL976" s="1132"/>
      <c r="AM976" s="1132"/>
      <c r="AN976" s="1132"/>
      <c r="AO976" s="1132"/>
      <c r="AP976" s="1132"/>
      <c r="AQ976" s="11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12" t="s">
        <v>1893</v>
      </c>
      <c r="E977" s="1113"/>
      <c r="F977" s="1113"/>
      <c r="G977" s="1113"/>
      <c r="H977" s="1113"/>
      <c r="I977" s="1113"/>
      <c r="J977" s="1113"/>
      <c r="K977" s="1113"/>
      <c r="L977" s="1113"/>
      <c r="M977" s="1113"/>
      <c r="N977" s="1113"/>
      <c r="O977" s="1113"/>
      <c r="P977" s="1113"/>
      <c r="Q977" s="1113"/>
      <c r="R977" s="1113"/>
      <c r="S977" s="1113"/>
      <c r="T977" s="1113"/>
      <c r="U977" s="1113"/>
      <c r="V977" s="1113"/>
      <c r="W977" s="1113"/>
      <c r="X977" s="1113"/>
      <c r="Y977" s="1113"/>
      <c r="Z977" s="1113"/>
      <c r="AA977" s="1113"/>
      <c r="AB977" s="1113"/>
      <c r="AC977" s="1113"/>
      <c r="AD977" s="1113"/>
      <c r="AE977" s="1114"/>
      <c r="AF977" s="79"/>
      <c r="AG977" s="21"/>
      <c r="AH977" s="21"/>
      <c r="AI977" s="83"/>
      <c r="AJ977" s="1134"/>
      <c r="AK977" s="1135"/>
      <c r="AL977" s="1135"/>
      <c r="AM977" s="1135"/>
      <c r="AN977" s="1135"/>
      <c r="AO977" s="1135"/>
      <c r="AP977" s="1135"/>
      <c r="AQ977" s="113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12"/>
      <c r="E978" s="1113"/>
      <c r="F978" s="1113"/>
      <c r="G978" s="1113"/>
      <c r="H978" s="1113"/>
      <c r="I978" s="1113"/>
      <c r="J978" s="1113"/>
      <c r="K978" s="1113"/>
      <c r="L978" s="1113"/>
      <c r="M978" s="1113"/>
      <c r="N978" s="1113"/>
      <c r="O978" s="1113"/>
      <c r="P978" s="1113"/>
      <c r="Q978" s="1113"/>
      <c r="R978" s="1113"/>
      <c r="S978" s="1113"/>
      <c r="T978" s="1113"/>
      <c r="U978" s="1113"/>
      <c r="V978" s="1113"/>
      <c r="W978" s="1113"/>
      <c r="X978" s="1113"/>
      <c r="Y978" s="1113"/>
      <c r="Z978" s="1113"/>
      <c r="AA978" s="1113"/>
      <c r="AB978" s="1113"/>
      <c r="AC978" s="1113"/>
      <c r="AD978" s="1113"/>
      <c r="AE978" s="1114"/>
      <c r="AF978" s="79"/>
      <c r="AG978" s="21"/>
      <c r="AH978" s="21"/>
      <c r="AI978" s="83"/>
      <c r="AJ978" s="1134"/>
      <c r="AK978" s="1135"/>
      <c r="AL978" s="1135"/>
      <c r="AM978" s="1135"/>
      <c r="AN978" s="1135"/>
      <c r="AO978" s="1135"/>
      <c r="AP978" s="1135"/>
      <c r="AQ978" s="113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12"/>
      <c r="E979" s="1113"/>
      <c r="F979" s="1113"/>
      <c r="G979" s="1113"/>
      <c r="H979" s="1113"/>
      <c r="I979" s="1113"/>
      <c r="J979" s="1113"/>
      <c r="K979" s="1113"/>
      <c r="L979" s="1113"/>
      <c r="M979" s="1113"/>
      <c r="N979" s="1113"/>
      <c r="O979" s="1113"/>
      <c r="P979" s="1113"/>
      <c r="Q979" s="1113"/>
      <c r="R979" s="1113"/>
      <c r="S979" s="1113"/>
      <c r="T979" s="1113"/>
      <c r="U979" s="1113"/>
      <c r="V979" s="1113"/>
      <c r="W979" s="1113"/>
      <c r="X979" s="1113"/>
      <c r="Y979" s="1113"/>
      <c r="Z979" s="1113"/>
      <c r="AA979" s="1113"/>
      <c r="AB979" s="1113"/>
      <c r="AC979" s="1113"/>
      <c r="AD979" s="1113"/>
      <c r="AE979" s="1114"/>
      <c r="AF979" s="79"/>
      <c r="AG979" s="21"/>
      <c r="AH979" s="21"/>
      <c r="AI979" s="83"/>
      <c r="AJ979" s="1134"/>
      <c r="AK979" s="1135"/>
      <c r="AL979" s="1135"/>
      <c r="AM979" s="1135"/>
      <c r="AN979" s="1135"/>
      <c r="AO979" s="1135"/>
      <c r="AP979" s="1135"/>
      <c r="AQ979" s="113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12"/>
      <c r="E980" s="1113"/>
      <c r="F980" s="1113"/>
      <c r="G980" s="1113"/>
      <c r="H980" s="1113"/>
      <c r="I980" s="1113"/>
      <c r="J980" s="1113"/>
      <c r="K980" s="1113"/>
      <c r="L980" s="1113"/>
      <c r="M980" s="1113"/>
      <c r="N980" s="1113"/>
      <c r="O980" s="1113"/>
      <c r="P980" s="1113"/>
      <c r="Q980" s="1113"/>
      <c r="R980" s="1113"/>
      <c r="S980" s="1113"/>
      <c r="T980" s="1113"/>
      <c r="U980" s="1113"/>
      <c r="V980" s="1113"/>
      <c r="W980" s="1113"/>
      <c r="X980" s="1113"/>
      <c r="Y980" s="1113"/>
      <c r="Z980" s="1113"/>
      <c r="AA980" s="1113"/>
      <c r="AB980" s="1113"/>
      <c r="AC980" s="1113"/>
      <c r="AD980" s="1113"/>
      <c r="AE980" s="1114"/>
      <c r="AF980" s="79"/>
      <c r="AG980" s="21"/>
      <c r="AH980" s="21"/>
      <c r="AI980" s="83"/>
      <c r="AJ980" s="1134"/>
      <c r="AK980" s="1135"/>
      <c r="AL980" s="1135"/>
      <c r="AM980" s="1135"/>
      <c r="AN980" s="1135"/>
      <c r="AO980" s="1135"/>
      <c r="AP980" s="1135"/>
      <c r="AQ980" s="113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5"/>
      <c r="E981" s="1116"/>
      <c r="F981" s="1116"/>
      <c r="G981" s="1116"/>
      <c r="H981" s="1116"/>
      <c r="I981" s="1116"/>
      <c r="J981" s="1116"/>
      <c r="K981" s="1116"/>
      <c r="L981" s="1116"/>
      <c r="M981" s="1116"/>
      <c r="N981" s="1116"/>
      <c r="O981" s="1116"/>
      <c r="P981" s="1116"/>
      <c r="Q981" s="1116"/>
      <c r="R981" s="1116"/>
      <c r="S981" s="1116"/>
      <c r="T981" s="1116"/>
      <c r="U981" s="1116"/>
      <c r="V981" s="1116"/>
      <c r="W981" s="1116"/>
      <c r="X981" s="1116"/>
      <c r="Y981" s="1116"/>
      <c r="Z981" s="1116"/>
      <c r="AA981" s="1116"/>
      <c r="AB981" s="1116"/>
      <c r="AC981" s="1116"/>
      <c r="AD981" s="1116"/>
      <c r="AE981" s="1117"/>
      <c r="AF981" s="80"/>
      <c r="AG981" s="11"/>
      <c r="AH981" s="11"/>
      <c r="AI981" s="81"/>
      <c r="AJ981" s="1137"/>
      <c r="AK981" s="1138"/>
      <c r="AL981" s="1138"/>
      <c r="AM981" s="1138"/>
      <c r="AN981" s="1138"/>
      <c r="AO981" s="1138"/>
      <c r="AP981" s="1138"/>
      <c r="AQ981" s="113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4" t="s">
        <v>2002</v>
      </c>
      <c r="E982" s="1175"/>
      <c r="F982" s="1175"/>
      <c r="G982" s="1175"/>
      <c r="H982" s="1175"/>
      <c r="I982" s="1175"/>
      <c r="J982" s="1175"/>
      <c r="K982" s="1175"/>
      <c r="L982" s="1175"/>
      <c r="M982" s="1175"/>
      <c r="N982" s="1175"/>
      <c r="O982" s="1175"/>
      <c r="P982" s="1175"/>
      <c r="Q982" s="1175"/>
      <c r="R982" s="1175"/>
      <c r="S982" s="1175"/>
      <c r="T982" s="1175"/>
      <c r="U982" s="1175"/>
      <c r="V982" s="1175"/>
      <c r="W982" s="1175"/>
      <c r="X982" s="1175"/>
      <c r="Y982" s="1175"/>
      <c r="Z982" s="1175"/>
      <c r="AA982" s="1175"/>
      <c r="AB982" s="1175"/>
      <c r="AC982" s="1175"/>
      <c r="AD982" s="1175"/>
      <c r="AE982" s="1176"/>
      <c r="AF982" s="84"/>
      <c r="AG982" s="1153" t="s">
        <v>483</v>
      </c>
      <c r="AH982" s="1154"/>
      <c r="AI982" s="85"/>
      <c r="AJ982" s="1131">
        <f>ROUND(IF(AG982="yes",AJ967*0.1,0),0)</f>
        <v>0</v>
      </c>
      <c r="AK982" s="1132"/>
      <c r="AL982" s="1132"/>
      <c r="AM982" s="1132"/>
      <c r="AN982" s="1132"/>
      <c r="AO982" s="1132"/>
      <c r="AP982" s="1132"/>
      <c r="AQ982" s="113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7" t="s">
        <v>2003</v>
      </c>
      <c r="E983" s="1168"/>
      <c r="F983" s="1168"/>
      <c r="G983" s="1168"/>
      <c r="H983" s="1168"/>
      <c r="I983" s="1168"/>
      <c r="J983" s="1168"/>
      <c r="K983" s="1168"/>
      <c r="L983" s="1168"/>
      <c r="M983" s="1168"/>
      <c r="N983" s="1168"/>
      <c r="O983" s="1168"/>
      <c r="P983" s="1168"/>
      <c r="Q983" s="1168"/>
      <c r="R983" s="1168"/>
      <c r="S983" s="1168"/>
      <c r="T983" s="1168"/>
      <c r="U983" s="1168"/>
      <c r="V983" s="1168"/>
      <c r="W983" s="1168"/>
      <c r="X983" s="1168"/>
      <c r="Y983" s="1168"/>
      <c r="Z983" s="1168"/>
      <c r="AA983" s="1168"/>
      <c r="AB983" s="1168"/>
      <c r="AC983" s="1168"/>
      <c r="AD983" s="1168"/>
      <c r="AE983" s="1169"/>
      <c r="AF983" s="79"/>
      <c r="AI983" s="83"/>
      <c r="AJ983" s="1134"/>
      <c r="AK983" s="1135"/>
      <c r="AL983" s="1135"/>
      <c r="AM983" s="1135"/>
      <c r="AN983" s="1135"/>
      <c r="AO983" s="1135"/>
      <c r="AP983" s="1135"/>
      <c r="AQ983" s="113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7"/>
      <c r="E984" s="1168"/>
      <c r="F984" s="1168"/>
      <c r="G984" s="1168"/>
      <c r="H984" s="1168"/>
      <c r="I984" s="1168"/>
      <c r="J984" s="1168"/>
      <c r="K984" s="1168"/>
      <c r="L984" s="1168"/>
      <c r="M984" s="1168"/>
      <c r="N984" s="1168"/>
      <c r="O984" s="1168"/>
      <c r="P984" s="1168"/>
      <c r="Q984" s="1168"/>
      <c r="R984" s="1168"/>
      <c r="S984" s="1168"/>
      <c r="T984" s="1168"/>
      <c r="U984" s="1168"/>
      <c r="V984" s="1168"/>
      <c r="W984" s="1168"/>
      <c r="X984" s="1168"/>
      <c r="Y984" s="1168"/>
      <c r="Z984" s="1168"/>
      <c r="AA984" s="1168"/>
      <c r="AB984" s="1168"/>
      <c r="AC984" s="1168"/>
      <c r="AD984" s="1168"/>
      <c r="AE984" s="1169"/>
      <c r="AF984" s="79"/>
      <c r="AG984" s="21"/>
      <c r="AH984" s="21"/>
      <c r="AI984" s="83"/>
      <c r="AJ984" s="1134"/>
      <c r="AK984" s="1135"/>
      <c r="AL984" s="1135"/>
      <c r="AM984" s="1135"/>
      <c r="AN984" s="1135"/>
      <c r="AO984" s="1135"/>
      <c r="AP984" s="1135"/>
      <c r="AQ984" s="113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70"/>
      <c r="E985" s="1171"/>
      <c r="F985" s="1171"/>
      <c r="G985" s="1171"/>
      <c r="H985" s="1171"/>
      <c r="I985" s="1171"/>
      <c r="J985" s="1171"/>
      <c r="K985" s="1171"/>
      <c r="L985" s="1171"/>
      <c r="M985" s="1171"/>
      <c r="N985" s="1171"/>
      <c r="O985" s="1171"/>
      <c r="P985" s="1171"/>
      <c r="Q985" s="1171"/>
      <c r="R985" s="1171"/>
      <c r="S985" s="1171"/>
      <c r="T985" s="1171"/>
      <c r="U985" s="1171"/>
      <c r="V985" s="1171"/>
      <c r="W985" s="1171"/>
      <c r="X985" s="1171"/>
      <c r="Y985" s="1171"/>
      <c r="Z985" s="1171"/>
      <c r="AA985" s="1171"/>
      <c r="AB985" s="1171"/>
      <c r="AC985" s="1171"/>
      <c r="AD985" s="1171"/>
      <c r="AE985" s="1172"/>
      <c r="AF985" s="80"/>
      <c r="AG985" s="11"/>
      <c r="AH985" s="11"/>
      <c r="AI985" s="81"/>
      <c r="AJ985" s="1137"/>
      <c r="AK985" s="1138"/>
      <c r="AL985" s="1138"/>
      <c r="AM985" s="1138"/>
      <c r="AN985" s="1138"/>
      <c r="AO985" s="1138"/>
      <c r="AP985" s="1138"/>
      <c r="AQ985" s="113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4" t="s">
        <v>1894</v>
      </c>
      <c r="E986" s="1175"/>
      <c r="F986" s="1175"/>
      <c r="G986" s="1175"/>
      <c r="H986" s="1175"/>
      <c r="I986" s="1175"/>
      <c r="J986" s="1175"/>
      <c r="K986" s="1175"/>
      <c r="L986" s="1175"/>
      <c r="M986" s="1175"/>
      <c r="N986" s="1175"/>
      <c r="O986" s="1175"/>
      <c r="P986" s="1175"/>
      <c r="Q986" s="1175"/>
      <c r="R986" s="1175"/>
      <c r="S986" s="1175"/>
      <c r="T986" s="1175"/>
      <c r="U986" s="1175"/>
      <c r="V986" s="1175"/>
      <c r="W986" s="1175"/>
      <c r="X986" s="1175"/>
      <c r="Y986" s="1175"/>
      <c r="Z986" s="1175"/>
      <c r="AA986" s="1175"/>
      <c r="AB986" s="1175"/>
      <c r="AC986" s="1175"/>
      <c r="AD986" s="1175"/>
      <c r="AE986" s="1176"/>
      <c r="AF986" s="82"/>
      <c r="AG986" s="1153" t="s">
        <v>483</v>
      </c>
      <c r="AH986" s="1154"/>
      <c r="AI986" s="85"/>
      <c r="AJ986" s="1131">
        <f>ROUND(IF(AG986="yes",AJ967*0.02,0),0)</f>
        <v>0</v>
      </c>
      <c r="AK986" s="1132"/>
      <c r="AL986" s="1132"/>
      <c r="AM986" s="1132"/>
      <c r="AN986" s="1132"/>
      <c r="AO986" s="1132"/>
      <c r="AP986" s="1132"/>
      <c r="AQ986" s="113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70" t="s">
        <v>1895</v>
      </c>
      <c r="E987" s="1171"/>
      <c r="F987" s="1171"/>
      <c r="G987" s="1171"/>
      <c r="H987" s="1171"/>
      <c r="I987" s="1171"/>
      <c r="J987" s="1171"/>
      <c r="K987" s="1171"/>
      <c r="L987" s="1171"/>
      <c r="M987" s="1171"/>
      <c r="N987" s="1171"/>
      <c r="O987" s="1171"/>
      <c r="P987" s="1171"/>
      <c r="Q987" s="1171"/>
      <c r="R987" s="1171"/>
      <c r="S987" s="1171"/>
      <c r="T987" s="1171"/>
      <c r="U987" s="1171"/>
      <c r="V987" s="1171"/>
      <c r="W987" s="1171"/>
      <c r="X987" s="1171"/>
      <c r="Y987" s="1171"/>
      <c r="Z987" s="1171"/>
      <c r="AA987" s="1171"/>
      <c r="AB987" s="1171"/>
      <c r="AC987" s="1171"/>
      <c r="AD987" s="1171"/>
      <c r="AE987" s="1172"/>
      <c r="AF987" s="80"/>
      <c r="AG987" s="11"/>
      <c r="AH987" s="11"/>
      <c r="AI987" s="81"/>
      <c r="AJ987" s="1137"/>
      <c r="AK987" s="1138"/>
      <c r="AL987" s="1138"/>
      <c r="AM987" s="1138"/>
      <c r="AN987" s="1138"/>
      <c r="AO987" s="1138"/>
      <c r="AP987" s="1138"/>
      <c r="AQ987" s="113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4" t="s">
        <v>1896</v>
      </c>
      <c r="E988" s="1175"/>
      <c r="F988" s="1175"/>
      <c r="G988" s="1175"/>
      <c r="H988" s="1175"/>
      <c r="I988" s="1175"/>
      <c r="J988" s="1175"/>
      <c r="K988" s="1175"/>
      <c r="L988" s="1175"/>
      <c r="M988" s="1175"/>
      <c r="N988" s="1175"/>
      <c r="O988" s="1175"/>
      <c r="P988" s="1175"/>
      <c r="Q988" s="1175"/>
      <c r="R988" s="1175"/>
      <c r="S988" s="1175"/>
      <c r="T988" s="1175"/>
      <c r="U988" s="1175"/>
      <c r="V988" s="1175"/>
      <c r="W988" s="1175"/>
      <c r="X988" s="1175"/>
      <c r="Y988" s="1175"/>
      <c r="Z988" s="1175"/>
      <c r="AA988" s="1175"/>
      <c r="AB988" s="1175"/>
      <c r="AC988" s="1175"/>
      <c r="AD988" s="1175"/>
      <c r="AE988" s="1176"/>
      <c r="AF988" s="82"/>
      <c r="AG988" s="1153" t="s">
        <v>483</v>
      </c>
      <c r="AH988" s="1154"/>
      <c r="AI988" s="82"/>
      <c r="AJ988" s="1131">
        <f>ROUND(IF(AG988="yes",AJ967*0.02,0),0)</f>
        <v>0</v>
      </c>
      <c r="AK988" s="1132"/>
      <c r="AL988" s="1132"/>
      <c r="AM988" s="1132"/>
      <c r="AN988" s="1132"/>
      <c r="AO988" s="1132"/>
      <c r="AP988" s="1132"/>
      <c r="AQ988" s="113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7" t="s">
        <v>1897</v>
      </c>
      <c r="E989" s="1168"/>
      <c r="F989" s="1168"/>
      <c r="G989" s="1168"/>
      <c r="H989" s="1168"/>
      <c r="I989" s="1168"/>
      <c r="J989" s="1168"/>
      <c r="K989" s="1168"/>
      <c r="L989" s="1168"/>
      <c r="M989" s="1168"/>
      <c r="N989" s="1168"/>
      <c r="O989" s="1168"/>
      <c r="P989" s="1168"/>
      <c r="Q989" s="1168"/>
      <c r="R989" s="1168"/>
      <c r="S989" s="1168"/>
      <c r="T989" s="1168"/>
      <c r="U989" s="1168"/>
      <c r="V989" s="1168"/>
      <c r="W989" s="1168"/>
      <c r="X989" s="1168"/>
      <c r="Y989" s="1168"/>
      <c r="Z989" s="1168"/>
      <c r="AA989" s="1168"/>
      <c r="AB989" s="1168"/>
      <c r="AC989" s="1168"/>
      <c r="AD989" s="1168"/>
      <c r="AE989" s="1169"/>
      <c r="AF989" s="1088" t="str">
        <f>IF(AND(AG988="yes",AF215&lt;&gt;1),"The project may not be eligible for this boost","")</f>
        <v/>
      </c>
      <c r="AG989" s="1089"/>
      <c r="AH989" s="1089"/>
      <c r="AI989" s="1090"/>
      <c r="AJ989" s="1134"/>
      <c r="AK989" s="1135"/>
      <c r="AL989" s="1135"/>
      <c r="AM989" s="1135"/>
      <c r="AN989" s="1135"/>
      <c r="AO989" s="1135"/>
      <c r="AP989" s="1135"/>
      <c r="AQ989" s="113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70"/>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1091"/>
      <c r="AG990" s="1092"/>
      <c r="AH990" s="1092"/>
      <c r="AI990" s="1093"/>
      <c r="AJ990" s="1137"/>
      <c r="AK990" s="1138"/>
      <c r="AL990" s="1138"/>
      <c r="AM990" s="1138"/>
      <c r="AN990" s="1138"/>
      <c r="AO990" s="1138"/>
      <c r="AP990" s="1138"/>
      <c r="AQ990" s="113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50" t="s">
        <v>1898</v>
      </c>
      <c r="E991" s="1151"/>
      <c r="F991" s="1151"/>
      <c r="G991" s="1151"/>
      <c r="H991" s="1151"/>
      <c r="I991" s="1151"/>
      <c r="J991" s="1151"/>
      <c r="K991" s="1151"/>
      <c r="L991" s="1151"/>
      <c r="M991" s="1151"/>
      <c r="N991" s="1151"/>
      <c r="O991" s="1151"/>
      <c r="P991" s="1151"/>
      <c r="Q991" s="1151"/>
      <c r="R991" s="1151"/>
      <c r="S991" s="1151"/>
      <c r="T991" s="1151"/>
      <c r="U991" s="1151"/>
      <c r="V991" s="1151"/>
      <c r="W991" s="1151"/>
      <c r="X991" s="1151"/>
      <c r="Y991" s="1151"/>
      <c r="Z991" s="1151"/>
      <c r="AA991" s="1151"/>
      <c r="AB991" s="1151"/>
      <c r="AC991" s="1151"/>
      <c r="AD991" s="1151"/>
      <c r="AE991" s="1152"/>
      <c r="AF991" s="82"/>
      <c r="AG991" s="1153" t="s">
        <v>483</v>
      </c>
      <c r="AH991" s="1154"/>
      <c r="AI991" s="85"/>
      <c r="AJ991" s="1131">
        <f>IF(AG991="yes",AJ967*BA992,0)</f>
        <v>0</v>
      </c>
      <c r="AK991" s="1132"/>
      <c r="AL991" s="1132"/>
      <c r="AM991" s="1132"/>
      <c r="AN991" s="1132"/>
      <c r="AO991" s="1132"/>
      <c r="AP991" s="1132"/>
      <c r="AQ991" s="113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7" t="s">
        <v>2004</v>
      </c>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1118" t="str">
        <f>IF(AND(AG991="Yes",BA992=0),BA994,"")</f>
        <v/>
      </c>
      <c r="AG992" s="1119"/>
      <c r="AH992" s="1119"/>
      <c r="AI992" s="1120"/>
      <c r="AJ992" s="1134"/>
      <c r="AK992" s="1135"/>
      <c r="AL992" s="1135"/>
      <c r="AM992" s="1135"/>
      <c r="AN992" s="1135"/>
      <c r="AO992" s="1135"/>
      <c r="AP992" s="1135"/>
      <c r="AQ992" s="1136"/>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1118"/>
      <c r="AG993" s="1119"/>
      <c r="AH993" s="1119"/>
      <c r="AI993" s="1120"/>
      <c r="AJ993" s="1134"/>
      <c r="AK993" s="1135"/>
      <c r="AL993" s="1135"/>
      <c r="AM993" s="1135"/>
      <c r="AN993" s="1135"/>
      <c r="AO993" s="1135"/>
      <c r="AP993" s="1135"/>
      <c r="AQ993" s="113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70"/>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1121"/>
      <c r="AG994" s="1122"/>
      <c r="AH994" s="1122"/>
      <c r="AI994" s="1123"/>
      <c r="AJ994" s="1137"/>
      <c r="AK994" s="1138"/>
      <c r="AL994" s="1138"/>
      <c r="AM994" s="1138"/>
      <c r="AN994" s="1138"/>
      <c r="AO994" s="1138"/>
      <c r="AP994" s="1138"/>
      <c r="AQ994" s="113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7" t="s">
        <v>1899</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53" t="s">
        <v>483</v>
      </c>
      <c r="AH995" s="1154"/>
      <c r="AI995" s="85"/>
      <c r="AJ995" s="1131">
        <f>ROUND(IF(AND(AG995="Yes",AF998&lt;&gt;"",J999&lt;&gt;"N/A"),MIN(AF998,(0.15*AJ967)),0),0)</f>
        <v>0</v>
      </c>
      <c r="AK995" s="1132"/>
      <c r="AL995" s="1132"/>
      <c r="AM995" s="1132"/>
      <c r="AN995" s="1132"/>
      <c r="AO995" s="1132"/>
      <c r="AP995" s="1132"/>
      <c r="AQ995" s="113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80"/>
      <c r="E996" s="1181"/>
      <c r="F996" s="1181"/>
      <c r="G996" s="1181"/>
      <c r="H996" s="1181"/>
      <c r="I996" s="1181"/>
      <c r="J996" s="1181"/>
      <c r="K996" s="1181"/>
      <c r="L996" s="1181"/>
      <c r="M996" s="1181"/>
      <c r="N996" s="1181"/>
      <c r="O996" s="1181"/>
      <c r="P996" s="1181"/>
      <c r="Q996" s="1181"/>
      <c r="R996" s="1181"/>
      <c r="S996" s="1181"/>
      <c r="T996" s="1181"/>
      <c r="U996" s="1181"/>
      <c r="V996" s="1181"/>
      <c r="W996" s="1181"/>
      <c r="X996" s="1181"/>
      <c r="Y996" s="1181"/>
      <c r="Z996" s="1181"/>
      <c r="AA996" s="1181"/>
      <c r="AB996" s="1181"/>
      <c r="AC996" s="1181"/>
      <c r="AD996" s="1181"/>
      <c r="AE996" s="1182"/>
      <c r="AF996" s="1118" t="str">
        <f>IF(AG995="yes","Please Select Type and Enter Amount:","")</f>
        <v/>
      </c>
      <c r="AG996" s="1119"/>
      <c r="AH996" s="1119"/>
      <c r="AI996" s="1120"/>
      <c r="AJ996" s="1134"/>
      <c r="AK996" s="1135"/>
      <c r="AL996" s="1135"/>
      <c r="AM996" s="1135"/>
      <c r="AN996" s="1135"/>
      <c r="AO996" s="1135"/>
      <c r="AP996" s="1135"/>
      <c r="AQ996" s="113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7" t="s">
        <v>1900</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118"/>
      <c r="AG997" s="1119"/>
      <c r="AH997" s="1119"/>
      <c r="AI997" s="1120"/>
      <c r="AJ997" s="1134"/>
      <c r="AK997" s="1135"/>
      <c r="AL997" s="1135"/>
      <c r="AM997" s="1135"/>
      <c r="AN997" s="1135"/>
      <c r="AO997" s="1135"/>
      <c r="AP997" s="1135"/>
      <c r="AQ997" s="113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538"/>
      <c r="AG998" s="1538"/>
      <c r="AH998" s="1538"/>
      <c r="AI998" s="1538"/>
      <c r="AJ998" s="1134"/>
      <c r="AK998" s="1135"/>
      <c r="AL998" s="1135"/>
      <c r="AM998" s="1135"/>
      <c r="AN998" s="1135"/>
      <c r="AO998" s="1135"/>
      <c r="AP998" s="1135"/>
      <c r="AQ998" s="113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183" t="s">
        <v>124</v>
      </c>
      <c r="K999" s="1184"/>
      <c r="L999" s="1184"/>
      <c r="M999" s="1184"/>
      <c r="N999" s="1184"/>
      <c r="O999" s="1184"/>
      <c r="P999" s="1184"/>
      <c r="Q999" s="1184"/>
      <c r="R999" s="1184"/>
      <c r="S999" s="1184"/>
      <c r="T999" s="1184"/>
      <c r="U999" s="1184"/>
      <c r="V999" s="1184"/>
      <c r="W999" s="1184"/>
      <c r="X999" s="1184"/>
      <c r="Y999" s="1184"/>
      <c r="Z999" s="1184"/>
      <c r="AA999" s="1184"/>
      <c r="AB999" s="1184"/>
      <c r="AC999" s="1184"/>
      <c r="AD999" s="1184"/>
      <c r="AE999" s="1185"/>
      <c r="AF999" s="1538"/>
      <c r="AG999" s="1538"/>
      <c r="AH999" s="1538"/>
      <c r="AI999" s="1538"/>
      <c r="AJ999" s="1137"/>
      <c r="AK999" s="1138"/>
      <c r="AL999" s="1138"/>
      <c r="AM999" s="1138"/>
      <c r="AN999" s="1138"/>
      <c r="AO999" s="1138"/>
      <c r="AP999" s="1138"/>
      <c r="AQ999" s="113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4" t="s">
        <v>1901</v>
      </c>
      <c r="E1000" s="1175"/>
      <c r="F1000" s="1175"/>
      <c r="G1000" s="1175"/>
      <c r="H1000" s="1175"/>
      <c r="I1000" s="1175"/>
      <c r="J1000" s="1175"/>
      <c r="K1000" s="1175"/>
      <c r="L1000" s="1175"/>
      <c r="M1000" s="1175"/>
      <c r="N1000" s="1175"/>
      <c r="O1000" s="1175"/>
      <c r="P1000" s="1175"/>
      <c r="Q1000" s="1175"/>
      <c r="R1000" s="1175"/>
      <c r="S1000" s="1175"/>
      <c r="T1000" s="1175"/>
      <c r="U1000" s="1175"/>
      <c r="V1000" s="1175"/>
      <c r="W1000" s="1175"/>
      <c r="X1000" s="1175"/>
      <c r="Y1000" s="1175"/>
      <c r="Z1000" s="1175"/>
      <c r="AA1000" s="1175"/>
      <c r="AB1000" s="1175"/>
      <c r="AC1000" s="1175"/>
      <c r="AD1000" s="1175"/>
      <c r="AE1000" s="1176"/>
      <c r="AF1000" s="82"/>
      <c r="AG1000" s="1153" t="s">
        <v>483</v>
      </c>
      <c r="AH1000" s="1154"/>
      <c r="AI1000" s="85"/>
      <c r="AJ1000" s="1131">
        <f>ROUND(IF(AG1000="Yes",AF1002,0),0)</f>
        <v>0</v>
      </c>
      <c r="AK1000" s="1132"/>
      <c r="AL1000" s="1132"/>
      <c r="AM1000" s="1132"/>
      <c r="AN1000" s="1132"/>
      <c r="AO1000" s="1132"/>
      <c r="AP1000" s="1132"/>
      <c r="AQ1000" s="113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7" t="s">
        <v>2005</v>
      </c>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539" t="str">
        <f>IF(AG1000="yes","Please Enter Amount:","")</f>
        <v/>
      </c>
      <c r="AG1001" s="1540"/>
      <c r="AH1001" s="1540"/>
      <c r="AI1001" s="1541"/>
      <c r="AJ1001" s="1134"/>
      <c r="AK1001" s="1135"/>
      <c r="AL1001" s="1135"/>
      <c r="AM1001" s="1135"/>
      <c r="AN1001" s="1135"/>
      <c r="AO1001" s="1135"/>
      <c r="AP1001" s="1135"/>
      <c r="AQ1001" s="113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538"/>
      <c r="AG1002" s="1538"/>
      <c r="AH1002" s="1538"/>
      <c r="AI1002" s="1538"/>
      <c r="AJ1002" s="1134"/>
      <c r="AK1002" s="1135"/>
      <c r="AL1002" s="1135"/>
      <c r="AM1002" s="1135"/>
      <c r="AN1002" s="1135"/>
      <c r="AO1002" s="1135"/>
      <c r="AP1002" s="1135"/>
      <c r="AQ1002" s="113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70"/>
      <c r="E1003" s="1171"/>
      <c r="F1003" s="1171"/>
      <c r="G1003" s="1171"/>
      <c r="H1003" s="1171"/>
      <c r="I1003" s="1171"/>
      <c r="J1003" s="1171"/>
      <c r="K1003" s="1171"/>
      <c r="L1003" s="1171"/>
      <c r="M1003" s="1171"/>
      <c r="N1003" s="1171"/>
      <c r="O1003" s="1171"/>
      <c r="P1003" s="1171"/>
      <c r="Q1003" s="1171"/>
      <c r="R1003" s="1171"/>
      <c r="S1003" s="1171"/>
      <c r="T1003" s="1171"/>
      <c r="U1003" s="1171"/>
      <c r="V1003" s="1171"/>
      <c r="W1003" s="1171"/>
      <c r="X1003" s="1171"/>
      <c r="Y1003" s="1171"/>
      <c r="Z1003" s="1171"/>
      <c r="AA1003" s="1171"/>
      <c r="AB1003" s="1171"/>
      <c r="AC1003" s="1171"/>
      <c r="AD1003" s="1171"/>
      <c r="AE1003" s="1172"/>
      <c r="AF1003" s="1538"/>
      <c r="AG1003" s="1538"/>
      <c r="AH1003" s="1538"/>
      <c r="AI1003" s="1538"/>
      <c r="AJ1003" s="1137"/>
      <c r="AK1003" s="1138"/>
      <c r="AL1003" s="1138"/>
      <c r="AM1003" s="1138"/>
      <c r="AN1003" s="1138"/>
      <c r="AO1003" s="1138"/>
      <c r="AP1003" s="1138"/>
      <c r="AQ1003" s="1139"/>
      <c r="AT1003" s="43"/>
      <c r="AU1003" s="43"/>
      <c r="AV1003" s="43"/>
      <c r="AW1003" s="43"/>
      <c r="AX1003" s="38"/>
      <c r="AY1003" s="38"/>
      <c r="AZ1003" s="21"/>
      <c r="BA1003" s="21"/>
      <c r="BB1003" s="21"/>
      <c r="BC1003" s="43"/>
      <c r="BD1003" s="43"/>
    </row>
    <row r="1004" spans="1:97" ht="12.95" customHeight="1">
      <c r="A1004" s="21"/>
      <c r="B1004" s="82"/>
      <c r="C1004" s="555" t="s">
        <v>579</v>
      </c>
      <c r="D1004" s="1150" t="s">
        <v>1902</v>
      </c>
      <c r="E1004" s="1151"/>
      <c r="F1004" s="1151"/>
      <c r="G1004" s="1151"/>
      <c r="H1004" s="1151"/>
      <c r="I1004" s="1151"/>
      <c r="J1004" s="1151"/>
      <c r="K1004" s="1151"/>
      <c r="L1004" s="1151"/>
      <c r="M1004" s="1151"/>
      <c r="N1004" s="1151"/>
      <c r="O1004" s="1151"/>
      <c r="P1004" s="1151"/>
      <c r="Q1004" s="1151"/>
      <c r="R1004" s="1151"/>
      <c r="S1004" s="1151"/>
      <c r="T1004" s="1151"/>
      <c r="U1004" s="1151"/>
      <c r="V1004" s="1151"/>
      <c r="W1004" s="1151"/>
      <c r="X1004" s="1151"/>
      <c r="Y1004" s="1151"/>
      <c r="Z1004" s="1151"/>
      <c r="AA1004" s="1151"/>
      <c r="AB1004" s="1151"/>
      <c r="AC1004" s="1151"/>
      <c r="AD1004" s="1151"/>
      <c r="AE1004" s="1152"/>
      <c r="AF1004" s="82"/>
      <c r="AG1004" s="1153" t="s">
        <v>483</v>
      </c>
      <c r="AH1004" s="1154"/>
      <c r="AI1004" s="85"/>
      <c r="AJ1004" s="1131">
        <f>ROUND(IF(AG1004="yes",(AJ967*0.1),0),0)</f>
        <v>0</v>
      </c>
      <c r="AK1004" s="1132"/>
      <c r="AL1004" s="1132"/>
      <c r="AM1004" s="1132"/>
      <c r="AN1004" s="1132"/>
      <c r="AO1004" s="1132"/>
      <c r="AP1004" s="1132"/>
      <c r="AQ1004" s="1133"/>
      <c r="AT1004" s="43"/>
      <c r="AU1004" s="43"/>
      <c r="AV1004" s="43"/>
      <c r="AW1004" s="43"/>
      <c r="AX1004" s="38"/>
      <c r="AY1004" s="38"/>
      <c r="AZ1004" s="21"/>
      <c r="BA1004" s="21"/>
      <c r="BB1004" s="21"/>
      <c r="BC1004" s="43"/>
      <c r="BD1004" s="43"/>
    </row>
    <row r="1005" spans="1:97" ht="12.95" customHeight="1">
      <c r="A1005" s="21"/>
      <c r="B1005" s="79"/>
      <c r="C1005" s="556"/>
      <c r="D1005" s="1167" t="s">
        <v>1903</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79"/>
      <c r="AG1005" s="21"/>
      <c r="AH1005" s="21"/>
      <c r="AI1005" s="83"/>
      <c r="AJ1005" s="1134"/>
      <c r="AK1005" s="1135"/>
      <c r="AL1005" s="1135"/>
      <c r="AM1005" s="1135"/>
      <c r="AN1005" s="1135"/>
      <c r="AO1005" s="1135"/>
      <c r="AP1005" s="1135"/>
      <c r="AQ1005" s="1136"/>
      <c r="AT1005" s="43"/>
      <c r="AU1005" s="43"/>
      <c r="AV1005" s="43"/>
      <c r="AW1005" s="43"/>
      <c r="AX1005" s="38"/>
      <c r="AY1005" s="38"/>
      <c r="AZ1005" s="21"/>
      <c r="BA1005" s="21"/>
      <c r="BB1005" s="21"/>
      <c r="BC1005" s="43"/>
      <c r="BD1005" s="43"/>
    </row>
    <row r="1006" spans="1:97" ht="12.95" customHeight="1">
      <c r="A1006" s="554"/>
      <c r="B1006" s="80"/>
      <c r="C1006" s="556"/>
      <c r="D1006" s="1170"/>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79"/>
      <c r="AG1006" s="21"/>
      <c r="AH1006" s="21"/>
      <c r="AI1006" s="83"/>
      <c r="AJ1006" s="1137"/>
      <c r="AK1006" s="1138"/>
      <c r="AL1006" s="1138"/>
      <c r="AM1006" s="1138"/>
      <c r="AN1006" s="1138"/>
      <c r="AO1006" s="1138"/>
      <c r="AP1006" s="1138"/>
      <c r="AQ1006" s="1139"/>
      <c r="AT1006" s="43"/>
      <c r="AU1006" s="43"/>
      <c r="AV1006" s="43"/>
      <c r="AW1006" s="43"/>
      <c r="AX1006" s="38"/>
      <c r="AY1006" s="38"/>
      <c r="AZ1006" s="21"/>
      <c r="BA1006" s="21"/>
      <c r="BB1006" s="21"/>
      <c r="BC1006" s="43"/>
      <c r="BD1006" s="43"/>
    </row>
    <row r="1007" spans="1:97" ht="12.95" customHeight="1">
      <c r="A1007" s="554"/>
      <c r="B1007" s="79"/>
      <c r="C1007" s="555" t="s">
        <v>582</v>
      </c>
      <c r="D1007" s="1174" t="s">
        <v>2006</v>
      </c>
      <c r="E1007" s="1175"/>
      <c r="F1007" s="1175"/>
      <c r="G1007" s="1175"/>
      <c r="H1007" s="1175"/>
      <c r="I1007" s="1175"/>
      <c r="J1007" s="1175"/>
      <c r="K1007" s="1175"/>
      <c r="L1007" s="1175"/>
      <c r="M1007" s="1175"/>
      <c r="N1007" s="1175"/>
      <c r="O1007" s="1175"/>
      <c r="P1007" s="1175"/>
      <c r="Q1007" s="1175"/>
      <c r="R1007" s="1175"/>
      <c r="S1007" s="1175"/>
      <c r="T1007" s="1175"/>
      <c r="U1007" s="1175"/>
      <c r="V1007" s="1175"/>
      <c r="W1007" s="1175"/>
      <c r="X1007" s="1175"/>
      <c r="Y1007" s="1175"/>
      <c r="Z1007" s="1175"/>
      <c r="AA1007" s="1175"/>
      <c r="AB1007" s="1175"/>
      <c r="AC1007" s="1175"/>
      <c r="AD1007" s="1175"/>
      <c r="AE1007" s="1176"/>
      <c r="AF1007" s="82"/>
      <c r="AG1007" s="1153" t="s">
        <v>483</v>
      </c>
      <c r="AH1007" s="1154"/>
      <c r="AI1007" s="85"/>
      <c r="AJ1007" s="1131">
        <f>ROUND(IF(AG1007="yes",(AJ967*0.15),0),0)</f>
        <v>0</v>
      </c>
      <c r="AK1007" s="1132"/>
      <c r="AL1007" s="1132"/>
      <c r="AM1007" s="1132"/>
      <c r="AN1007" s="1132"/>
      <c r="AO1007" s="1132"/>
      <c r="AP1007" s="1132"/>
      <c r="AQ1007" s="1133"/>
      <c r="AT1007" s="43"/>
      <c r="AU1007" s="43"/>
      <c r="AV1007" s="43"/>
      <c r="AW1007" s="43"/>
      <c r="AX1007" s="43"/>
      <c r="AY1007" s="43"/>
      <c r="AZ1007" s="43"/>
      <c r="BA1007" s="43"/>
      <c r="BB1007" s="43"/>
      <c r="BC1007" s="43"/>
      <c r="BD1007" s="43"/>
    </row>
    <row r="1008" spans="1:97" ht="12.95" customHeight="1">
      <c r="A1008" s="554"/>
      <c r="B1008" s="79"/>
      <c r="C1008" s="556"/>
      <c r="D1008" s="1162" t="s">
        <v>2007</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163"/>
      <c r="AF1008" s="871"/>
      <c r="AG1008" s="872"/>
      <c r="AH1008" s="872"/>
      <c r="AI1008" s="873"/>
      <c r="AJ1008" s="1134"/>
      <c r="AK1008" s="1135"/>
      <c r="AL1008" s="1135"/>
      <c r="AM1008" s="1135"/>
      <c r="AN1008" s="1135"/>
      <c r="AO1008" s="1135"/>
      <c r="AP1008" s="1135"/>
      <c r="AQ1008" s="113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2"/>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163"/>
      <c r="AF1009" s="871"/>
      <c r="AG1009" s="872"/>
      <c r="AH1009" s="872"/>
      <c r="AI1009" s="873"/>
      <c r="AJ1009" s="1134"/>
      <c r="AK1009" s="1135"/>
      <c r="AL1009" s="1135"/>
      <c r="AM1009" s="1135"/>
      <c r="AN1009" s="1135"/>
      <c r="AO1009" s="1135"/>
      <c r="AP1009" s="1135"/>
      <c r="AQ1009" s="113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874"/>
      <c r="AG1010" s="875"/>
      <c r="AH1010" s="875"/>
      <c r="AI1010" s="876"/>
      <c r="AJ1010" s="1137"/>
      <c r="AK1010" s="1138"/>
      <c r="AL1010" s="1138"/>
      <c r="AM1010" s="1138"/>
      <c r="AN1010" s="1138"/>
      <c r="AO1010" s="1138"/>
      <c r="AP1010" s="1138"/>
      <c r="AQ1010" s="113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50" t="s">
        <v>2008</v>
      </c>
      <c r="E1011" s="1151"/>
      <c r="F1011" s="1151"/>
      <c r="G1011" s="1151"/>
      <c r="H1011" s="1151"/>
      <c r="I1011" s="1151"/>
      <c r="J1011" s="1151"/>
      <c r="K1011" s="1151"/>
      <c r="L1011" s="1151"/>
      <c r="M1011" s="1151"/>
      <c r="N1011" s="1151"/>
      <c r="O1011" s="1151"/>
      <c r="P1011" s="1151"/>
      <c r="Q1011" s="1151"/>
      <c r="R1011" s="1151"/>
      <c r="S1011" s="1151"/>
      <c r="T1011" s="1151"/>
      <c r="U1011" s="1151"/>
      <c r="V1011" s="1151"/>
      <c r="W1011" s="1151"/>
      <c r="X1011" s="1151"/>
      <c r="Y1011" s="1151"/>
      <c r="Z1011" s="1151"/>
      <c r="AA1011" s="1151"/>
      <c r="AB1011" s="1151"/>
      <c r="AC1011" s="1151"/>
      <c r="AD1011" s="1151"/>
      <c r="AE1011" s="1152"/>
      <c r="AF1011" s="79"/>
      <c r="AG1011" s="1160" t="s">
        <v>483</v>
      </c>
      <c r="AH1011" s="1161"/>
      <c r="AI1011" s="83"/>
      <c r="AJ1011" s="1131">
        <f>ROUND(IF(AG1011="yes",(AJ967*0.1),0),0)</f>
        <v>0</v>
      </c>
      <c r="AK1011" s="1132"/>
      <c r="AL1011" s="1132"/>
      <c r="AM1011" s="1132"/>
      <c r="AN1011" s="1132"/>
      <c r="AO1011" s="1132"/>
      <c r="AP1011" s="1132"/>
      <c r="AQ1011" s="113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2" t="s">
        <v>2009</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163"/>
      <c r="AF1012" s="79"/>
      <c r="AG1012" s="21"/>
      <c r="AH1012" s="21"/>
      <c r="AI1012" s="83"/>
      <c r="AJ1012" s="1134"/>
      <c r="AK1012" s="1135"/>
      <c r="AL1012" s="1135"/>
      <c r="AM1012" s="1135"/>
      <c r="AN1012" s="1135"/>
      <c r="AO1012" s="1135"/>
      <c r="AP1012" s="1135"/>
      <c r="AQ1012" s="113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2"/>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163"/>
      <c r="AF1013" s="79"/>
      <c r="AG1013" s="21"/>
      <c r="AH1013" s="21"/>
      <c r="AI1013" s="83"/>
      <c r="AJ1013" s="1134"/>
      <c r="AK1013" s="1135"/>
      <c r="AL1013" s="1135"/>
      <c r="AM1013" s="1135"/>
      <c r="AN1013" s="1135"/>
      <c r="AO1013" s="1135"/>
      <c r="AP1013" s="1135"/>
      <c r="AQ1013" s="113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2"/>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163"/>
      <c r="AF1014" s="79"/>
      <c r="AG1014" s="21"/>
      <c r="AH1014" s="21"/>
      <c r="AI1014" s="83"/>
      <c r="AJ1014" s="1134"/>
      <c r="AK1014" s="1135"/>
      <c r="AL1014" s="1135"/>
      <c r="AM1014" s="1135"/>
      <c r="AN1014" s="1135"/>
      <c r="AO1014" s="1135"/>
      <c r="AP1014" s="1135"/>
      <c r="AQ1014" s="113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4"/>
      <c r="E1015" s="1165"/>
      <c r="F1015" s="1165"/>
      <c r="G1015" s="1165"/>
      <c r="H1015" s="1165"/>
      <c r="I1015" s="1165"/>
      <c r="J1015" s="1165"/>
      <c r="K1015" s="1165"/>
      <c r="L1015" s="1165"/>
      <c r="M1015" s="1165"/>
      <c r="N1015" s="1165"/>
      <c r="O1015" s="1165"/>
      <c r="P1015" s="1165"/>
      <c r="Q1015" s="1165"/>
      <c r="R1015" s="1165"/>
      <c r="S1015" s="1165"/>
      <c r="T1015" s="1165"/>
      <c r="U1015" s="1165"/>
      <c r="V1015" s="1165"/>
      <c r="W1015" s="1165"/>
      <c r="X1015" s="1165"/>
      <c r="Y1015" s="1165"/>
      <c r="Z1015" s="1165"/>
      <c r="AA1015" s="1165"/>
      <c r="AB1015" s="1165"/>
      <c r="AC1015" s="1165"/>
      <c r="AD1015" s="1165"/>
      <c r="AE1015" s="1166"/>
      <c r="AF1015" s="79"/>
      <c r="AG1015" s="21"/>
      <c r="AH1015" s="21"/>
      <c r="AI1015" s="83"/>
      <c r="AJ1015" s="1134"/>
      <c r="AK1015" s="1135"/>
      <c r="AL1015" s="1135"/>
      <c r="AM1015" s="1135"/>
      <c r="AN1015" s="1135"/>
      <c r="AO1015" s="1135"/>
      <c r="AP1015" s="1135"/>
      <c r="AQ1015" s="113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174" t="s">
        <v>1904</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176"/>
      <c r="AF1016" s="82"/>
      <c r="AG1016" s="1153" t="s">
        <v>483</v>
      </c>
      <c r="AH1016" s="1154"/>
      <c r="AI1016" s="85"/>
      <c r="AJ1016" s="1131">
        <f>ROUND(IF(AG1016="yes",(AJ967*0.1),0),0)</f>
        <v>0</v>
      </c>
      <c r="AK1016" s="1132"/>
      <c r="AL1016" s="1132"/>
      <c r="AM1016" s="1132"/>
      <c r="AN1016" s="1132"/>
      <c r="AO1016" s="1132"/>
      <c r="AP1016" s="1132"/>
      <c r="AQ1016" s="113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7" t="s">
        <v>2218</v>
      </c>
      <c r="E1017" s="1168"/>
      <c r="F1017" s="1168"/>
      <c r="G1017" s="1168"/>
      <c r="H1017" s="1168"/>
      <c r="I1017" s="1168"/>
      <c r="J1017" s="1168"/>
      <c r="K1017" s="1168"/>
      <c r="L1017" s="1168"/>
      <c r="M1017" s="1168"/>
      <c r="N1017" s="1168"/>
      <c r="O1017" s="1168"/>
      <c r="P1017" s="1168"/>
      <c r="Q1017" s="1168"/>
      <c r="R1017" s="1168"/>
      <c r="S1017" s="1168"/>
      <c r="T1017" s="1168"/>
      <c r="U1017" s="1168"/>
      <c r="V1017" s="1168"/>
      <c r="W1017" s="1168"/>
      <c r="X1017" s="1168"/>
      <c r="Y1017" s="1168"/>
      <c r="Z1017" s="1168"/>
      <c r="AA1017" s="1168"/>
      <c r="AB1017" s="1168"/>
      <c r="AC1017" s="1168"/>
      <c r="AD1017" s="1168"/>
      <c r="AE1017" s="1169"/>
      <c r="AF1017" s="79"/>
      <c r="AG1017" s="21"/>
      <c r="AH1017" s="21"/>
      <c r="AI1017" s="83"/>
      <c r="AJ1017" s="1134"/>
      <c r="AK1017" s="1135"/>
      <c r="AL1017" s="1135"/>
      <c r="AM1017" s="1135"/>
      <c r="AN1017" s="1135"/>
      <c r="AO1017" s="1135"/>
      <c r="AP1017" s="1135"/>
      <c r="AQ1017" s="113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7"/>
      <c r="E1018" s="1168"/>
      <c r="F1018" s="1168"/>
      <c r="G1018" s="1168"/>
      <c r="H1018" s="1168"/>
      <c r="I1018" s="1168"/>
      <c r="J1018" s="1168"/>
      <c r="K1018" s="1168"/>
      <c r="L1018" s="1168"/>
      <c r="M1018" s="1168"/>
      <c r="N1018" s="1168"/>
      <c r="O1018" s="1168"/>
      <c r="P1018" s="1168"/>
      <c r="Q1018" s="1168"/>
      <c r="R1018" s="1168"/>
      <c r="S1018" s="1168"/>
      <c r="T1018" s="1168"/>
      <c r="U1018" s="1168"/>
      <c r="V1018" s="1168"/>
      <c r="W1018" s="1168"/>
      <c r="X1018" s="1168"/>
      <c r="Y1018" s="1168"/>
      <c r="Z1018" s="1168"/>
      <c r="AA1018" s="1168"/>
      <c r="AB1018" s="1168"/>
      <c r="AC1018" s="1168"/>
      <c r="AD1018" s="1168"/>
      <c r="AE1018" s="1169"/>
      <c r="AF1018" s="79"/>
      <c r="AG1018" s="21"/>
      <c r="AH1018" s="21"/>
      <c r="AI1018" s="83"/>
      <c r="AJ1018" s="1134"/>
      <c r="AK1018" s="1135"/>
      <c r="AL1018" s="1135"/>
      <c r="AM1018" s="1135"/>
      <c r="AN1018" s="1135"/>
      <c r="AO1018" s="1135"/>
      <c r="AP1018" s="1135"/>
      <c r="AQ1018" s="113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70"/>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21"/>
      <c r="AH1019" s="21"/>
      <c r="AI1019" s="83"/>
      <c r="AJ1019" s="1137"/>
      <c r="AK1019" s="1138"/>
      <c r="AL1019" s="1138"/>
      <c r="AM1019" s="1138"/>
      <c r="AN1019" s="1138"/>
      <c r="AO1019" s="1138"/>
      <c r="AP1019" s="1138"/>
      <c r="AQ1019" s="113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8" t="s">
        <v>749</v>
      </c>
      <c r="E1020" s="1558"/>
      <c r="F1020" s="1558"/>
      <c r="G1020" s="1558"/>
      <c r="H1020" s="1558"/>
      <c r="I1020" s="1558"/>
      <c r="J1020" s="1558"/>
      <c r="K1020" s="1558"/>
      <c r="L1020" s="1558"/>
      <c r="M1020" s="1558"/>
      <c r="N1020" s="1558"/>
      <c r="O1020" s="1558"/>
      <c r="P1020" s="1558"/>
      <c r="Q1020" s="1558"/>
      <c r="R1020" s="1558"/>
      <c r="S1020" s="1558"/>
      <c r="T1020" s="1558"/>
      <c r="U1020" s="1558"/>
      <c r="V1020" s="1558"/>
      <c r="W1020" s="1558"/>
      <c r="X1020" s="1558"/>
      <c r="Y1020" s="1558"/>
      <c r="Z1020" s="1558"/>
      <c r="AA1020" s="1558"/>
      <c r="AB1020" s="1558"/>
      <c r="AC1020" s="1558"/>
      <c r="AD1020" s="1558"/>
      <c r="AE1020" s="1558"/>
      <c r="AF1020" s="1558"/>
      <c r="AG1020" s="1558"/>
      <c r="AH1020" s="1558"/>
      <c r="AI1020" s="1559"/>
      <c r="AJ1020" s="1560">
        <f>SUM(AJ967:AQ1019)</f>
        <v>25252026</v>
      </c>
      <c r="AK1020" s="1561"/>
      <c r="AL1020" s="1561"/>
      <c r="AM1020" s="1561"/>
      <c r="AN1020" s="1561"/>
      <c r="AO1020" s="1561"/>
      <c r="AP1020" s="1561"/>
      <c r="AQ1020" s="156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15975874</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0.63265711828429128</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5"/>
      <c r="F1026" s="1175"/>
      <c r="G1026" s="1175"/>
      <c r="H1026" s="1175"/>
      <c r="I1026" s="1175"/>
      <c r="J1026" s="1175"/>
      <c r="K1026" s="1175"/>
      <c r="L1026" s="1175"/>
      <c r="M1026" s="1175"/>
      <c r="N1026" s="1175"/>
      <c r="O1026" s="1175"/>
      <c r="P1026" s="1175"/>
      <c r="Q1026" s="1175"/>
      <c r="R1026" s="1175"/>
      <c r="S1026" s="1175"/>
      <c r="T1026" s="1175"/>
      <c r="U1026" s="1175"/>
      <c r="V1026" s="1175"/>
      <c r="W1026" s="1175"/>
      <c r="X1026" s="1175"/>
      <c r="Y1026" s="1175"/>
      <c r="Z1026" s="1175"/>
      <c r="AA1026" s="1175"/>
      <c r="AB1026" s="1175"/>
      <c r="AC1026" s="1175"/>
      <c r="AD1026" s="1175"/>
      <c r="AE1026" s="1175"/>
      <c r="AF1026" s="1175"/>
      <c r="AG1026" s="1175"/>
      <c r="AH1026" s="1175"/>
      <c r="AI1026" s="1175"/>
      <c r="AJ1026" s="1175"/>
      <c r="AK1026" s="117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5"/>
      <c r="E1027" s="1175"/>
      <c r="F1027" s="1175"/>
      <c r="G1027" s="1175"/>
      <c r="H1027" s="1175"/>
      <c r="I1027" s="1175"/>
      <c r="J1027" s="1175"/>
      <c r="K1027" s="1175"/>
      <c r="L1027" s="1175"/>
      <c r="M1027" s="1175"/>
      <c r="N1027" s="1175"/>
      <c r="O1027" s="1175"/>
      <c r="P1027" s="1175"/>
      <c r="Q1027" s="1175"/>
      <c r="R1027" s="1175"/>
      <c r="S1027" s="1175"/>
      <c r="T1027" s="1175"/>
      <c r="U1027" s="1175"/>
      <c r="V1027" s="1175"/>
      <c r="W1027" s="1175"/>
      <c r="X1027" s="1175"/>
      <c r="Y1027" s="1175"/>
      <c r="Z1027" s="1175"/>
      <c r="AA1027" s="1175"/>
      <c r="AB1027" s="1175"/>
      <c r="AC1027" s="1175"/>
      <c r="AD1027" s="1175"/>
      <c r="AE1027" s="1175"/>
      <c r="AF1027" s="1175"/>
      <c r="AG1027" s="1175"/>
      <c r="AH1027" s="1175"/>
      <c r="AI1027" s="1175"/>
      <c r="AJ1027" s="1175"/>
      <c r="AK1027" s="117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5"/>
      <c r="E1028" s="1175"/>
      <c r="F1028" s="1175"/>
      <c r="G1028" s="1175"/>
      <c r="H1028" s="1175"/>
      <c r="I1028" s="1175"/>
      <c r="J1028" s="1175"/>
      <c r="K1028" s="1175"/>
      <c r="L1028" s="1175"/>
      <c r="M1028" s="1175"/>
      <c r="N1028" s="1175"/>
      <c r="O1028" s="1175"/>
      <c r="P1028" s="1175"/>
      <c r="Q1028" s="1175"/>
      <c r="R1028" s="1175"/>
      <c r="S1028" s="1175"/>
      <c r="T1028" s="1175"/>
      <c r="U1028" s="1175"/>
      <c r="V1028" s="1175"/>
      <c r="W1028" s="1175"/>
      <c r="X1028" s="1175"/>
      <c r="Y1028" s="1175"/>
      <c r="Z1028" s="1175"/>
      <c r="AA1028" s="1175"/>
      <c r="AB1028" s="1175"/>
      <c r="AC1028" s="1175"/>
      <c r="AD1028" s="1175"/>
      <c r="AE1028" s="1175"/>
      <c r="AF1028" s="1175"/>
      <c r="AG1028" s="1175"/>
      <c r="AH1028" s="1175"/>
      <c r="AI1028" s="1175"/>
      <c r="AJ1028" s="1175"/>
      <c r="AK1028" s="117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3" t="s">
        <v>990</v>
      </c>
      <c r="B1032" s="1173"/>
      <c r="C1032" s="1173"/>
      <c r="D1032" s="1173"/>
      <c r="E1032" s="1173"/>
      <c r="F1032" s="1173"/>
      <c r="G1032" s="1173"/>
      <c r="H1032" s="1173"/>
      <c r="I1032" s="1173"/>
      <c r="J1032" s="1173"/>
      <c r="K1032" s="1173"/>
      <c r="L1032" s="1173"/>
      <c r="M1032" s="1173"/>
      <c r="N1032" s="1173"/>
      <c r="O1032" s="1173"/>
      <c r="P1032" s="1173"/>
      <c r="Q1032" s="1173"/>
      <c r="R1032" s="1173"/>
      <c r="S1032" s="1173"/>
      <c r="T1032" s="1173"/>
      <c r="U1032" s="1173"/>
      <c r="V1032" s="1173"/>
      <c r="W1032" s="1173"/>
      <c r="X1032" s="1173"/>
      <c r="Y1032" s="1173"/>
      <c r="Z1032" s="1173"/>
      <c r="AA1032" s="1173"/>
      <c r="AB1032" s="1173"/>
      <c r="AC1032" s="1173"/>
      <c r="AD1032" s="1173"/>
      <c r="AE1032" s="1173"/>
      <c r="AF1032" s="1173"/>
      <c r="AG1032" s="1173"/>
      <c r="AH1032" s="1173"/>
      <c r="AI1032" s="1173"/>
      <c r="AJ1032" s="1173"/>
      <c r="AK1032" s="1173"/>
      <c r="AL1032" s="1173"/>
      <c r="AM1032" s="1173"/>
      <c r="AN1032" s="1173"/>
      <c r="AO1032" s="1173"/>
      <c r="AP1032" s="1173"/>
      <c r="AQ1032" s="1173"/>
      <c r="AR1032" s="1173"/>
      <c r="AS1032" s="1173"/>
      <c r="AT1032" s="117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02" t="s">
        <v>124</v>
      </c>
      <c r="B1036" s="1102"/>
      <c r="C1036" s="12">
        <v>1</v>
      </c>
      <c r="D1036" s="979" t="s">
        <v>1520</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02" t="s">
        <v>124</v>
      </c>
      <c r="B1042" s="1102"/>
      <c r="C1042" s="12">
        <v>2</v>
      </c>
      <c r="D1042" s="972" t="s">
        <v>1521</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02" t="s">
        <v>124</v>
      </c>
      <c r="B1048" s="1102"/>
      <c r="C1048" s="12">
        <v>3</v>
      </c>
      <c r="D1048" s="972" t="s">
        <v>2217</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02" t="s">
        <v>124</v>
      </c>
      <c r="B1055" s="1102"/>
      <c r="C1055" s="12">
        <v>4</v>
      </c>
      <c r="D1055" s="972" t="s">
        <v>2049</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02" t="s">
        <v>124</v>
      </c>
      <c r="B1059" s="1102"/>
      <c r="C1059" s="12">
        <v>5</v>
      </c>
      <c r="D1059" s="972" t="s">
        <v>1723</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02" t="s">
        <v>124</v>
      </c>
      <c r="B1063" s="1102"/>
      <c r="C1063" s="12">
        <v>6</v>
      </c>
      <c r="D1063" s="979" t="s">
        <v>1522</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02" t="s">
        <v>124</v>
      </c>
      <c r="B1066" s="1102"/>
      <c r="C1066" s="350">
        <v>7</v>
      </c>
      <c r="D1066" s="979" t="s">
        <v>1524</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02" t="s">
        <v>124</v>
      </c>
      <c r="B1071" s="1102"/>
      <c r="C1071" s="350">
        <v>8</v>
      </c>
      <c r="D1071" s="972" t="s">
        <v>2021</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5"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5"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5"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5" customHeight="1">
      <c r="A1075" s="1532" t="s">
        <v>124</v>
      </c>
      <c r="B1075" s="1532"/>
      <c r="C1075" s="350">
        <v>9</v>
      </c>
      <c r="D1075" s="972" t="s">
        <v>1523</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5"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5"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1" workbookViewId="0">
      <selection activeCell="G98" sqref="G98"/>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9" t="s">
        <v>184</v>
      </c>
      <c r="G1" s="1590"/>
      <c r="H1" s="1590"/>
      <c r="I1" s="1590"/>
      <c r="J1" s="1590"/>
      <c r="K1" s="1590"/>
      <c r="L1" s="1590"/>
      <c r="M1" s="1590"/>
      <c r="N1" s="1590"/>
      <c r="O1" s="1590"/>
      <c r="P1" s="1590"/>
      <c r="Q1" s="1590"/>
      <c r="R1" s="1591"/>
      <c r="S1" s="202"/>
      <c r="T1" s="201"/>
      <c r="U1" s="203"/>
    </row>
    <row r="2" spans="1:21" s="232" customFormat="1" ht="60" customHeight="1">
      <c r="A2" s="231"/>
      <c r="B2" s="232" t="s">
        <v>798</v>
      </c>
      <c r="C2" s="232" t="s">
        <v>508</v>
      </c>
      <c r="D2" s="232" t="s">
        <v>507</v>
      </c>
      <c r="E2" s="232" t="s">
        <v>799</v>
      </c>
      <c r="F2" s="233" t="str">
        <f>Application!B621&amp;Application!C621</f>
        <v>1)JP Morgan/Fannie</v>
      </c>
      <c r="G2" s="233" t="str">
        <f>Application!B622&amp;Application!C622</f>
        <v>2)Deferred Developer Fee</v>
      </c>
      <c r="H2" s="233" t="str">
        <f>Application!B623&amp;Application!C623</f>
        <v>3)Marina Annex Housing Management, LLC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550000</v>
      </c>
      <c r="C4" s="241">
        <v>550000</v>
      </c>
      <c r="D4" s="241"/>
      <c r="E4" s="241">
        <v>0</v>
      </c>
      <c r="F4" s="241">
        <f>C4-H4</f>
        <v>549900</v>
      </c>
      <c r="G4" s="241"/>
      <c r="H4" s="241">
        <v>100</v>
      </c>
      <c r="I4" s="241"/>
      <c r="J4" s="241"/>
      <c r="K4" s="241"/>
      <c r="L4" s="241"/>
      <c r="M4" s="241"/>
      <c r="N4" s="241"/>
      <c r="O4" s="241"/>
      <c r="P4" s="241"/>
      <c r="Q4" s="241"/>
      <c r="R4" s="241">
        <v>550000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550000</v>
      </c>
      <c r="C8" s="240">
        <f t="shared" ref="C8:R8" si="0">SUM(C4:C7)</f>
        <v>550000</v>
      </c>
      <c r="D8" s="240">
        <f t="shared" si="0"/>
        <v>0</v>
      </c>
      <c r="E8" s="240">
        <f t="shared" si="0"/>
        <v>0</v>
      </c>
      <c r="F8" s="240">
        <f t="shared" si="0"/>
        <v>549900</v>
      </c>
      <c r="G8" s="240">
        <f t="shared" si="0"/>
        <v>0</v>
      </c>
      <c r="H8" s="240">
        <f t="shared" si="0"/>
        <v>100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550000</v>
      </c>
      <c r="S8" s="242"/>
      <c r="T8" s="242"/>
      <c r="U8" s="237"/>
    </row>
    <row r="9" spans="1:21" s="238" customFormat="1">
      <c r="A9" s="239" t="s">
        <v>1722</v>
      </c>
      <c r="B9" s="240">
        <f>SUM(C9+D9)</f>
        <v>6037315</v>
      </c>
      <c r="C9" s="241">
        <v>6037315</v>
      </c>
      <c r="D9" s="241"/>
      <c r="E9" s="241">
        <v>0</v>
      </c>
      <c r="F9" s="241">
        <f>C9</f>
        <v>6037315</v>
      </c>
      <c r="G9" s="241"/>
      <c r="H9" s="241"/>
      <c r="I9" s="241"/>
      <c r="J9" s="241"/>
      <c r="K9" s="241"/>
      <c r="L9" s="241"/>
      <c r="M9" s="241"/>
      <c r="N9" s="241"/>
      <c r="O9" s="241"/>
      <c r="P9" s="241"/>
      <c r="Q9" s="241"/>
      <c r="R9" s="241">
        <f>C9</f>
        <v>6037315</v>
      </c>
      <c r="S9" s="242"/>
      <c r="T9" s="241">
        <f>R9</f>
        <v>6037315</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6037315</v>
      </c>
      <c r="C11" s="240">
        <f t="shared" ref="C11:T11" si="1">SUM(C9:C10)</f>
        <v>6037315</v>
      </c>
      <c r="D11" s="240">
        <f t="shared" si="1"/>
        <v>0</v>
      </c>
      <c r="E11" s="240">
        <f t="shared" si="1"/>
        <v>0</v>
      </c>
      <c r="F11" s="240">
        <f t="shared" si="1"/>
        <v>6037315</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6037315</v>
      </c>
      <c r="S11" s="242"/>
      <c r="T11" s="240">
        <f t="shared" si="1"/>
        <v>6037315</v>
      </c>
      <c r="U11" s="237"/>
    </row>
    <row r="12" spans="1:21" s="238" customFormat="1">
      <c r="A12" s="243" t="s">
        <v>712</v>
      </c>
      <c r="B12" s="240">
        <f t="shared" ref="B12:R12" si="2">SUM(B8+B11)</f>
        <v>6587315</v>
      </c>
      <c r="C12" s="240">
        <f t="shared" si="2"/>
        <v>6587315</v>
      </c>
      <c r="D12" s="240">
        <f t="shared" si="2"/>
        <v>0</v>
      </c>
      <c r="E12" s="240">
        <f t="shared" si="2"/>
        <v>0</v>
      </c>
      <c r="F12" s="240">
        <f t="shared" si="2"/>
        <v>6587215</v>
      </c>
      <c r="G12" s="240">
        <f t="shared" si="2"/>
        <v>0</v>
      </c>
      <c r="H12" s="240">
        <f t="shared" si="2"/>
        <v>100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6587315</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182380</v>
      </c>
      <c r="C17" s="241">
        <v>182380</v>
      </c>
      <c r="D17" s="241"/>
      <c r="E17" s="241">
        <f>C17</f>
        <v>182380</v>
      </c>
      <c r="F17" s="241"/>
      <c r="G17" s="241"/>
      <c r="H17" s="241"/>
      <c r="I17" s="241"/>
      <c r="J17" s="241"/>
      <c r="K17" s="241"/>
      <c r="L17" s="241"/>
      <c r="M17" s="241"/>
      <c r="N17" s="241"/>
      <c r="O17" s="241"/>
      <c r="P17" s="241"/>
      <c r="Q17" s="241"/>
      <c r="R17" s="241">
        <f>SUM(E17:Q17)</f>
        <v>182380</v>
      </c>
      <c r="S17" s="241">
        <f>R17</f>
        <v>182380</v>
      </c>
      <c r="T17" s="241"/>
      <c r="U17" s="237"/>
    </row>
    <row r="18" spans="1:21" s="238" customFormat="1">
      <c r="A18" s="239" t="s">
        <v>912</v>
      </c>
      <c r="B18" s="240">
        <f t="shared" si="3"/>
        <v>4981971</v>
      </c>
      <c r="C18" s="241">
        <f>5164351-C17</f>
        <v>4981971</v>
      </c>
      <c r="D18" s="241"/>
      <c r="E18" s="241">
        <f>C18-F18</f>
        <v>4289186</v>
      </c>
      <c r="F18" s="241">
        <f>F107-SUM(F4,F9)</f>
        <v>692785</v>
      </c>
      <c r="G18" s="241"/>
      <c r="H18" s="241"/>
      <c r="I18" s="241"/>
      <c r="J18" s="241"/>
      <c r="K18" s="241"/>
      <c r="L18" s="241"/>
      <c r="M18" s="241"/>
      <c r="N18" s="241"/>
      <c r="O18" s="241"/>
      <c r="P18" s="241"/>
      <c r="Q18" s="241"/>
      <c r="R18" s="241">
        <f>SUM(E18:Q18)</f>
        <v>4981971</v>
      </c>
      <c r="S18" s="241">
        <f>R18</f>
        <v>4981971</v>
      </c>
      <c r="T18" s="241"/>
      <c r="U18" s="237"/>
    </row>
    <row r="19" spans="1:21" s="238" customFormat="1">
      <c r="A19" s="239" t="s">
        <v>913</v>
      </c>
      <c r="B19" s="240">
        <f t="shared" si="3"/>
        <v>309861</v>
      </c>
      <c r="C19" s="241">
        <v>309861</v>
      </c>
      <c r="D19" s="241"/>
      <c r="E19" s="241">
        <f>C19</f>
        <v>309861</v>
      </c>
      <c r="F19" s="241"/>
      <c r="G19" s="241"/>
      <c r="H19" s="241"/>
      <c r="I19" s="241"/>
      <c r="J19" s="241"/>
      <c r="K19" s="241"/>
      <c r="L19" s="241"/>
      <c r="M19" s="241"/>
      <c r="N19" s="241"/>
      <c r="O19" s="241"/>
      <c r="P19" s="241"/>
      <c r="Q19" s="241"/>
      <c r="R19" s="241">
        <f>SUM(E19:Q19)</f>
        <v>309861</v>
      </c>
      <c r="S19" s="241">
        <f t="shared" ref="S19:S25" si="4">R19</f>
        <v>309861</v>
      </c>
      <c r="T19" s="241"/>
      <c r="U19" s="237"/>
    </row>
    <row r="20" spans="1:21" s="238" customFormat="1">
      <c r="A20" s="239" t="s">
        <v>914</v>
      </c>
      <c r="B20" s="240">
        <f t="shared" si="3"/>
        <v>103287</v>
      </c>
      <c r="C20" s="241">
        <v>103287</v>
      </c>
      <c r="D20" s="241"/>
      <c r="E20" s="241">
        <f>C20</f>
        <v>103287</v>
      </c>
      <c r="F20" s="241"/>
      <c r="G20" s="241"/>
      <c r="H20" s="241"/>
      <c r="I20" s="241"/>
      <c r="J20" s="241"/>
      <c r="K20" s="241"/>
      <c r="L20" s="241"/>
      <c r="M20" s="241"/>
      <c r="N20" s="241"/>
      <c r="O20" s="241"/>
      <c r="P20" s="241"/>
      <c r="Q20" s="241"/>
      <c r="R20" s="241">
        <f t="shared" ref="R20:R27" si="5">SUM(E20:Q20)</f>
        <v>103287</v>
      </c>
      <c r="S20" s="241">
        <f t="shared" si="4"/>
        <v>103287</v>
      </c>
      <c r="T20" s="241"/>
      <c r="U20" s="237"/>
    </row>
    <row r="21" spans="1:21" s="238" customFormat="1">
      <c r="A21" s="239" t="s">
        <v>915</v>
      </c>
      <c r="B21" s="240">
        <f t="shared" si="3"/>
        <v>309861</v>
      </c>
      <c r="C21" s="241">
        <v>309861</v>
      </c>
      <c r="D21" s="241"/>
      <c r="E21" s="241">
        <f>C21</f>
        <v>309861</v>
      </c>
      <c r="F21" s="241"/>
      <c r="G21" s="241"/>
      <c r="H21" s="241"/>
      <c r="I21" s="241"/>
      <c r="J21" s="241"/>
      <c r="K21" s="241"/>
      <c r="L21" s="241"/>
      <c r="M21" s="241"/>
      <c r="N21" s="241"/>
      <c r="O21" s="241"/>
      <c r="P21" s="241"/>
      <c r="Q21" s="241"/>
      <c r="R21" s="241">
        <f t="shared" si="5"/>
        <v>309861</v>
      </c>
      <c r="S21" s="241">
        <f t="shared" si="4"/>
        <v>309861</v>
      </c>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5"/>
        <v>0</v>
      </c>
      <c r="S22" s="241">
        <f t="shared" si="4"/>
        <v>0</v>
      </c>
      <c r="T22" s="241"/>
      <c r="U22" s="237"/>
    </row>
    <row r="23" spans="1:21" s="238" customFormat="1">
      <c r="A23" s="239" t="s">
        <v>917</v>
      </c>
      <c r="B23" s="240">
        <f t="shared" si="3"/>
        <v>70648</v>
      </c>
      <c r="C23" s="241">
        <v>70648</v>
      </c>
      <c r="D23" s="241"/>
      <c r="E23" s="241">
        <f>C23</f>
        <v>70648</v>
      </c>
      <c r="F23" s="241"/>
      <c r="G23" s="241"/>
      <c r="H23" s="241"/>
      <c r="I23" s="241"/>
      <c r="J23" s="241"/>
      <c r="K23" s="241"/>
      <c r="L23" s="241"/>
      <c r="M23" s="241"/>
      <c r="N23" s="241"/>
      <c r="O23" s="241"/>
      <c r="P23" s="241"/>
      <c r="Q23" s="241"/>
      <c r="R23" s="241">
        <f t="shared" si="5"/>
        <v>70648</v>
      </c>
      <c r="S23" s="241">
        <f t="shared" si="4"/>
        <v>70648</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5"/>
        <v>0</v>
      </c>
      <c r="S24" s="241">
        <f t="shared" si="4"/>
        <v>0</v>
      </c>
      <c r="T24" s="241"/>
      <c r="U24" s="237"/>
    </row>
    <row r="25" spans="1:21" s="238" customFormat="1">
      <c r="A25" s="246" t="s">
        <v>2413</v>
      </c>
      <c r="B25" s="240">
        <f t="shared" si="3"/>
        <v>15000</v>
      </c>
      <c r="C25" s="241">
        <v>15000</v>
      </c>
      <c r="D25" s="241"/>
      <c r="E25" s="241">
        <f>C25</f>
        <v>15000</v>
      </c>
      <c r="F25" s="241"/>
      <c r="G25" s="241"/>
      <c r="H25" s="241"/>
      <c r="I25" s="241"/>
      <c r="J25" s="241"/>
      <c r="K25" s="241"/>
      <c r="L25" s="241"/>
      <c r="M25" s="241"/>
      <c r="N25" s="241"/>
      <c r="O25" s="241"/>
      <c r="P25" s="241"/>
      <c r="Q25" s="241"/>
      <c r="R25" s="241">
        <f t="shared" si="5"/>
        <v>15000</v>
      </c>
      <c r="S25" s="241">
        <f t="shared" si="4"/>
        <v>15000</v>
      </c>
      <c r="T25" s="241"/>
      <c r="U25" s="237"/>
    </row>
    <row r="26" spans="1:21" s="238" customFormat="1">
      <c r="A26" s="243" t="s">
        <v>222</v>
      </c>
      <c r="B26" s="240">
        <f t="shared" si="3"/>
        <v>5973008</v>
      </c>
      <c r="C26" s="240">
        <f>SUM(C17:C25)</f>
        <v>5973008</v>
      </c>
      <c r="D26" s="240">
        <f>SUM(D17:D25)</f>
        <v>0</v>
      </c>
      <c r="E26" s="240">
        <f>SUM(E17:E25)</f>
        <v>5280223</v>
      </c>
      <c r="F26" s="240">
        <f t="shared" ref="F26:T26" si="6">SUM(F17:F25)</f>
        <v>692785</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5973008</v>
      </c>
      <c r="S26" s="244">
        <f t="shared" si="6"/>
        <v>5973008</v>
      </c>
      <c r="T26" s="244">
        <f t="shared" si="6"/>
        <v>0</v>
      </c>
      <c r="U26" s="237"/>
    </row>
    <row r="27" spans="1:21" s="238" customFormat="1">
      <c r="A27" s="243" t="s">
        <v>918</v>
      </c>
      <c r="B27" s="240">
        <f t="shared" si="3"/>
        <v>450000</v>
      </c>
      <c r="C27" s="241">
        <v>450000</v>
      </c>
      <c r="D27" s="241"/>
      <c r="E27" s="241">
        <f>C27</f>
        <v>450000</v>
      </c>
      <c r="F27" s="241"/>
      <c r="G27" s="241"/>
      <c r="H27" s="241"/>
      <c r="I27" s="241"/>
      <c r="J27" s="241"/>
      <c r="K27" s="241"/>
      <c r="L27" s="241"/>
      <c r="M27" s="241"/>
      <c r="N27" s="241"/>
      <c r="O27" s="241"/>
      <c r="P27" s="241"/>
      <c r="Q27" s="241"/>
      <c r="R27" s="241">
        <f t="shared" si="5"/>
        <v>450000</v>
      </c>
      <c r="S27" s="241">
        <f>R27</f>
        <v>450000</v>
      </c>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7">SUM(C29+D29)</f>
        <v>0</v>
      </c>
      <c r="C29" s="241"/>
      <c r="D29" s="241"/>
      <c r="E29" s="241"/>
      <c r="F29" s="241"/>
      <c r="G29" s="241"/>
      <c r="H29" s="241"/>
      <c r="I29" s="241"/>
      <c r="J29" s="241"/>
      <c r="K29" s="241"/>
      <c r="L29" s="241"/>
      <c r="M29" s="241"/>
      <c r="N29" s="241"/>
      <c r="O29" s="241"/>
      <c r="P29" s="241"/>
      <c r="Q29" s="241"/>
      <c r="R29" s="241">
        <f t="shared" ref="R29:R37" si="8">SUM(E29:Q29)</f>
        <v>0</v>
      </c>
      <c r="S29" s="241"/>
      <c r="T29" s="241"/>
      <c r="U29" s="237"/>
    </row>
    <row r="30" spans="1:21" s="238" customFormat="1">
      <c r="A30" s="239" t="s">
        <v>912</v>
      </c>
      <c r="B30" s="240">
        <f t="shared" si="7"/>
        <v>0</v>
      </c>
      <c r="C30" s="241"/>
      <c r="D30" s="241"/>
      <c r="E30" s="241"/>
      <c r="F30" s="241"/>
      <c r="G30" s="241"/>
      <c r="H30" s="241"/>
      <c r="I30" s="241"/>
      <c r="J30" s="241"/>
      <c r="K30" s="241"/>
      <c r="L30" s="241"/>
      <c r="M30" s="241"/>
      <c r="N30" s="241"/>
      <c r="O30" s="241"/>
      <c r="P30" s="241"/>
      <c r="Q30" s="241"/>
      <c r="R30" s="241">
        <f t="shared" si="8"/>
        <v>0</v>
      </c>
      <c r="S30" s="241"/>
      <c r="T30" s="241"/>
      <c r="U30" s="237"/>
    </row>
    <row r="31" spans="1:21" s="238" customFormat="1">
      <c r="A31" s="239" t="s">
        <v>913</v>
      </c>
      <c r="B31" s="240">
        <f t="shared" si="7"/>
        <v>0</v>
      </c>
      <c r="C31" s="241"/>
      <c r="D31" s="241"/>
      <c r="E31" s="241"/>
      <c r="F31" s="241"/>
      <c r="G31" s="241"/>
      <c r="H31" s="241"/>
      <c r="I31" s="241"/>
      <c r="J31" s="241"/>
      <c r="K31" s="241"/>
      <c r="L31" s="241"/>
      <c r="M31" s="241"/>
      <c r="N31" s="241"/>
      <c r="O31" s="241"/>
      <c r="P31" s="241"/>
      <c r="Q31" s="241"/>
      <c r="R31" s="241">
        <f t="shared" si="8"/>
        <v>0</v>
      </c>
      <c r="S31" s="241"/>
      <c r="T31" s="241"/>
      <c r="U31" s="237"/>
    </row>
    <row r="32" spans="1:21" s="238" customFormat="1">
      <c r="A32" s="239" t="s">
        <v>914</v>
      </c>
      <c r="B32" s="240">
        <f t="shared" si="7"/>
        <v>0</v>
      </c>
      <c r="C32" s="241"/>
      <c r="D32" s="241"/>
      <c r="E32" s="241"/>
      <c r="F32" s="241"/>
      <c r="G32" s="241"/>
      <c r="H32" s="241"/>
      <c r="I32" s="241"/>
      <c r="J32" s="241"/>
      <c r="K32" s="241"/>
      <c r="L32" s="241"/>
      <c r="M32" s="241"/>
      <c r="N32" s="241"/>
      <c r="O32" s="241"/>
      <c r="P32" s="241"/>
      <c r="Q32" s="241"/>
      <c r="R32" s="241">
        <f t="shared" si="8"/>
        <v>0</v>
      </c>
      <c r="S32" s="241"/>
      <c r="T32" s="241"/>
      <c r="U32" s="237"/>
    </row>
    <row r="33" spans="1:21" s="238" customFormat="1">
      <c r="A33" s="239" t="s">
        <v>915</v>
      </c>
      <c r="B33" s="240">
        <f t="shared" si="7"/>
        <v>0</v>
      </c>
      <c r="C33" s="241"/>
      <c r="D33" s="241"/>
      <c r="E33" s="241"/>
      <c r="F33" s="241"/>
      <c r="G33" s="241"/>
      <c r="H33" s="241"/>
      <c r="I33" s="241"/>
      <c r="J33" s="241"/>
      <c r="K33" s="241"/>
      <c r="L33" s="241"/>
      <c r="M33" s="241"/>
      <c r="N33" s="241"/>
      <c r="O33" s="241"/>
      <c r="P33" s="241"/>
      <c r="Q33" s="241"/>
      <c r="R33" s="241">
        <f t="shared" si="8"/>
        <v>0</v>
      </c>
      <c r="S33" s="241"/>
      <c r="T33" s="241"/>
      <c r="U33" s="237"/>
    </row>
    <row r="34" spans="1:21" s="238" customFormat="1">
      <c r="A34" s="239" t="s">
        <v>916</v>
      </c>
      <c r="B34" s="240">
        <f t="shared" si="7"/>
        <v>0</v>
      </c>
      <c r="C34" s="241"/>
      <c r="D34" s="241"/>
      <c r="E34" s="241"/>
      <c r="F34" s="241"/>
      <c r="G34" s="241"/>
      <c r="H34" s="241"/>
      <c r="I34" s="241"/>
      <c r="J34" s="241"/>
      <c r="K34" s="241"/>
      <c r="L34" s="241"/>
      <c r="M34" s="241"/>
      <c r="N34" s="241"/>
      <c r="O34" s="241"/>
      <c r="P34" s="241"/>
      <c r="Q34" s="241"/>
      <c r="R34" s="241">
        <f t="shared" si="8"/>
        <v>0</v>
      </c>
      <c r="S34" s="241"/>
      <c r="T34" s="241"/>
      <c r="U34" s="237"/>
    </row>
    <row r="35" spans="1:21" s="238" customFormat="1">
      <c r="A35" s="239" t="s">
        <v>917</v>
      </c>
      <c r="B35" s="240">
        <f t="shared" si="7"/>
        <v>0</v>
      </c>
      <c r="C35" s="241"/>
      <c r="D35" s="241"/>
      <c r="E35" s="241"/>
      <c r="F35" s="241"/>
      <c r="G35" s="241"/>
      <c r="H35" s="241"/>
      <c r="I35" s="241"/>
      <c r="J35" s="241"/>
      <c r="K35" s="241"/>
      <c r="L35" s="241"/>
      <c r="M35" s="241"/>
      <c r="N35" s="241"/>
      <c r="O35" s="241"/>
      <c r="P35" s="241"/>
      <c r="Q35" s="241"/>
      <c r="R35" s="241">
        <f t="shared" si="8"/>
        <v>0</v>
      </c>
      <c r="S35" s="241"/>
      <c r="T35" s="241"/>
      <c r="U35" s="237"/>
    </row>
    <row r="36" spans="1:21" s="238" customFormat="1">
      <c r="A36" s="250" t="s">
        <v>1956</v>
      </c>
      <c r="B36" s="240">
        <f t="shared" si="7"/>
        <v>0</v>
      </c>
      <c r="C36" s="241"/>
      <c r="D36" s="241"/>
      <c r="E36" s="241"/>
      <c r="F36" s="241"/>
      <c r="G36" s="241"/>
      <c r="H36" s="241"/>
      <c r="I36" s="241"/>
      <c r="J36" s="241"/>
      <c r="K36" s="241"/>
      <c r="L36" s="241"/>
      <c r="M36" s="241"/>
      <c r="N36" s="241"/>
      <c r="O36" s="241"/>
      <c r="P36" s="241"/>
      <c r="Q36" s="241"/>
      <c r="R36" s="241">
        <f t="shared" si="8"/>
        <v>0</v>
      </c>
      <c r="S36" s="241"/>
      <c r="T36" s="241"/>
      <c r="U36" s="237"/>
    </row>
    <row r="37" spans="1:21" s="238" customFormat="1">
      <c r="A37" s="246" t="s">
        <v>534</v>
      </c>
      <c r="B37" s="240">
        <f t="shared" si="7"/>
        <v>0</v>
      </c>
      <c r="C37" s="241"/>
      <c r="D37" s="241"/>
      <c r="E37" s="241"/>
      <c r="F37" s="241"/>
      <c r="G37" s="241"/>
      <c r="H37" s="241"/>
      <c r="I37" s="241"/>
      <c r="J37" s="241"/>
      <c r="K37" s="241"/>
      <c r="L37" s="241"/>
      <c r="M37" s="241"/>
      <c r="N37" s="241"/>
      <c r="O37" s="241"/>
      <c r="P37" s="241"/>
      <c r="Q37" s="241"/>
      <c r="R37" s="241">
        <f t="shared" si="8"/>
        <v>0</v>
      </c>
      <c r="S37" s="241"/>
      <c r="T37" s="241"/>
      <c r="U37" s="237"/>
    </row>
    <row r="38" spans="1:21" s="238" customFormat="1">
      <c r="A38" s="243" t="s">
        <v>920</v>
      </c>
      <c r="B38" s="240">
        <f t="shared" si="7"/>
        <v>0</v>
      </c>
      <c r="C38" s="240">
        <f>SUM(C29:C37)</f>
        <v>0</v>
      </c>
      <c r="D38" s="240">
        <f>SUM(D29:D37)</f>
        <v>0</v>
      </c>
      <c r="E38" s="240">
        <f>SUM(E29:E37)</f>
        <v>0</v>
      </c>
      <c r="F38" s="240">
        <f t="shared" ref="F38:T38" si="9">SUM(F29:F37)</f>
        <v>0</v>
      </c>
      <c r="G38" s="240">
        <f t="shared" si="9"/>
        <v>0</v>
      </c>
      <c r="H38" s="240">
        <f t="shared" si="9"/>
        <v>0</v>
      </c>
      <c r="I38" s="240">
        <f t="shared" si="9"/>
        <v>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0</v>
      </c>
      <c r="S38" s="244">
        <f t="shared" si="9"/>
        <v>0</v>
      </c>
      <c r="T38" s="244">
        <f t="shared" si="9"/>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70300</v>
      </c>
      <c r="C40" s="241">
        <v>70300</v>
      </c>
      <c r="D40" s="241"/>
      <c r="E40" s="241">
        <f>C40</f>
        <v>70300</v>
      </c>
      <c r="F40" s="241"/>
      <c r="G40" s="241"/>
      <c r="H40" s="241"/>
      <c r="I40" s="241"/>
      <c r="J40" s="241"/>
      <c r="K40" s="241"/>
      <c r="L40" s="241"/>
      <c r="M40" s="241"/>
      <c r="N40" s="241"/>
      <c r="O40" s="241"/>
      <c r="P40" s="241"/>
      <c r="Q40" s="241"/>
      <c r="R40" s="241">
        <f>SUM(E40:Q40)</f>
        <v>70300</v>
      </c>
      <c r="S40" s="241">
        <f>R40</f>
        <v>70300</v>
      </c>
      <c r="T40" s="241"/>
      <c r="U40" s="237"/>
    </row>
    <row r="41" spans="1:21" s="238" customFormat="1">
      <c r="A41" s="239" t="s">
        <v>923</v>
      </c>
      <c r="B41" s="240">
        <f>SUM(C41+D41)</f>
        <v>35150</v>
      </c>
      <c r="C41" s="241">
        <v>35150</v>
      </c>
      <c r="D41" s="241"/>
      <c r="E41" s="241">
        <f>C41</f>
        <v>35150</v>
      </c>
      <c r="F41" s="241"/>
      <c r="G41" s="241"/>
      <c r="H41" s="241"/>
      <c r="I41" s="241"/>
      <c r="J41" s="241"/>
      <c r="K41" s="241"/>
      <c r="L41" s="241"/>
      <c r="M41" s="241"/>
      <c r="N41" s="241"/>
      <c r="O41" s="241"/>
      <c r="P41" s="241"/>
      <c r="Q41" s="241"/>
      <c r="R41" s="241">
        <f>SUM(E41:Q41)</f>
        <v>35150</v>
      </c>
      <c r="S41" s="241">
        <f>R41</f>
        <v>35150</v>
      </c>
      <c r="T41" s="241"/>
      <c r="U41" s="237"/>
    </row>
    <row r="42" spans="1:21" s="238" customFormat="1">
      <c r="A42" s="243" t="s">
        <v>924</v>
      </c>
      <c r="B42" s="240">
        <f>SUM(C42:D42)</f>
        <v>105450</v>
      </c>
      <c r="C42" s="240">
        <f>SUM(C39:C41)</f>
        <v>105450</v>
      </c>
      <c r="D42" s="240">
        <f>SUM(D39:D41)</f>
        <v>0</v>
      </c>
      <c r="E42" s="240">
        <f t="shared" ref="E42:T42" si="10">SUM(E40:E41)</f>
        <v>105450</v>
      </c>
      <c r="F42" s="240">
        <f t="shared" si="10"/>
        <v>0</v>
      </c>
      <c r="G42" s="240">
        <f t="shared" si="10"/>
        <v>0</v>
      </c>
      <c r="H42" s="240">
        <f t="shared" si="10"/>
        <v>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105450</v>
      </c>
      <c r="S42" s="244">
        <f t="shared" si="10"/>
        <v>105450</v>
      </c>
      <c r="T42" s="244">
        <f t="shared" si="10"/>
        <v>0</v>
      </c>
      <c r="U42" s="237"/>
    </row>
    <row r="43" spans="1:21" s="238" customFormat="1">
      <c r="A43" s="243" t="s">
        <v>925</v>
      </c>
      <c r="B43" s="240">
        <f>SUM(C43:D43)</f>
        <v>85000</v>
      </c>
      <c r="C43" s="241">
        <f>20000+15000+50000</f>
        <v>85000</v>
      </c>
      <c r="D43" s="241"/>
      <c r="E43" s="241">
        <f>C43</f>
        <v>85000</v>
      </c>
      <c r="F43" s="241"/>
      <c r="G43" s="241"/>
      <c r="H43" s="241"/>
      <c r="I43" s="241"/>
      <c r="J43" s="241"/>
      <c r="K43" s="241"/>
      <c r="L43" s="241"/>
      <c r="M43" s="241"/>
      <c r="N43" s="241"/>
      <c r="O43" s="241"/>
      <c r="P43" s="241"/>
      <c r="Q43" s="241"/>
      <c r="R43" s="241">
        <f>SUM(E43:Q43)</f>
        <v>85000</v>
      </c>
      <c r="S43" s="241">
        <f>15000+50000</f>
        <v>65000</v>
      </c>
      <c r="T43" s="241">
        <v>20000</v>
      </c>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1">SUM(C45+D45)</f>
        <v>698062</v>
      </c>
      <c r="C45" s="241">
        <v>698062</v>
      </c>
      <c r="D45" s="241"/>
      <c r="E45" s="241">
        <f t="shared" ref="E45:E51" si="12">C45</f>
        <v>698062</v>
      </c>
      <c r="F45" s="241"/>
      <c r="G45" s="241"/>
      <c r="H45" s="241"/>
      <c r="I45" s="241"/>
      <c r="J45" s="241"/>
      <c r="K45" s="241"/>
      <c r="L45" s="241"/>
      <c r="M45" s="241"/>
      <c r="N45" s="241"/>
      <c r="O45" s="241"/>
      <c r="P45" s="241"/>
      <c r="Q45" s="241"/>
      <c r="R45" s="241">
        <f t="shared" ref="R45:R52" si="13">SUM(E45:Q45)</f>
        <v>698062</v>
      </c>
      <c r="S45" s="241">
        <v>550000</v>
      </c>
      <c r="T45" s="241"/>
      <c r="U45" s="237"/>
    </row>
    <row r="46" spans="1:21" s="238" customFormat="1">
      <c r="A46" s="239" t="s">
        <v>928</v>
      </c>
      <c r="B46" s="240">
        <f t="shared" si="11"/>
        <v>82125</v>
      </c>
      <c r="C46" s="241">
        <v>82125</v>
      </c>
      <c r="D46" s="241"/>
      <c r="E46" s="241">
        <f t="shared" si="12"/>
        <v>82125</v>
      </c>
      <c r="F46" s="241"/>
      <c r="G46" s="241"/>
      <c r="H46" s="241"/>
      <c r="I46" s="241"/>
      <c r="J46" s="241"/>
      <c r="K46" s="241"/>
      <c r="L46" s="241"/>
      <c r="M46" s="241"/>
      <c r="N46" s="241"/>
      <c r="O46" s="241"/>
      <c r="P46" s="241"/>
      <c r="Q46" s="241"/>
      <c r="R46" s="241">
        <f t="shared" si="13"/>
        <v>82125</v>
      </c>
      <c r="S46" s="241"/>
      <c r="T46" s="241"/>
      <c r="U46" s="237"/>
    </row>
    <row r="47" spans="1:21" s="238" customFormat="1" ht="12" customHeight="1">
      <c r="A47" s="239" t="s">
        <v>929</v>
      </c>
      <c r="B47" s="240">
        <f t="shared" si="11"/>
        <v>0</v>
      </c>
      <c r="C47" s="241"/>
      <c r="D47" s="241"/>
      <c r="E47" s="241">
        <f t="shared" si="12"/>
        <v>0</v>
      </c>
      <c r="F47" s="241"/>
      <c r="G47" s="241"/>
      <c r="H47" s="241"/>
      <c r="I47" s="241"/>
      <c r="J47" s="241"/>
      <c r="K47" s="241"/>
      <c r="L47" s="241"/>
      <c r="M47" s="241"/>
      <c r="N47" s="241"/>
      <c r="O47" s="241"/>
      <c r="P47" s="241"/>
      <c r="Q47" s="241"/>
      <c r="R47" s="241">
        <f t="shared" si="13"/>
        <v>0</v>
      </c>
      <c r="S47" s="241"/>
      <c r="T47" s="241"/>
      <c r="U47" s="237"/>
    </row>
    <row r="48" spans="1:21" s="238" customFormat="1">
      <c r="A48" s="239" t="s">
        <v>930</v>
      </c>
      <c r="B48" s="240">
        <f t="shared" si="11"/>
        <v>70648</v>
      </c>
      <c r="C48" s="241">
        <f>C23</f>
        <v>70648</v>
      </c>
      <c r="D48" s="241"/>
      <c r="E48" s="241">
        <f t="shared" si="12"/>
        <v>70648</v>
      </c>
      <c r="F48" s="241"/>
      <c r="G48" s="241"/>
      <c r="H48" s="241"/>
      <c r="I48" s="241"/>
      <c r="J48" s="241"/>
      <c r="K48" s="241"/>
      <c r="L48" s="241"/>
      <c r="M48" s="241"/>
      <c r="N48" s="241"/>
      <c r="O48" s="241"/>
      <c r="P48" s="241"/>
      <c r="Q48" s="241"/>
      <c r="R48" s="241">
        <f t="shared" si="13"/>
        <v>70648</v>
      </c>
      <c r="S48" s="241">
        <f>R48</f>
        <v>70648</v>
      </c>
      <c r="T48" s="241"/>
      <c r="U48" s="237"/>
    </row>
    <row r="49" spans="1:21" s="238" customFormat="1">
      <c r="A49" s="239" t="s">
        <v>933</v>
      </c>
      <c r="B49" s="240">
        <f t="shared" si="11"/>
        <v>125000</v>
      </c>
      <c r="C49" s="241">
        <v>125000</v>
      </c>
      <c r="D49" s="241"/>
      <c r="E49" s="241">
        <f t="shared" si="12"/>
        <v>125000</v>
      </c>
      <c r="F49" s="241"/>
      <c r="G49" s="241"/>
      <c r="H49" s="241"/>
      <c r="I49" s="241"/>
      <c r="J49" s="241"/>
      <c r="K49" s="241"/>
      <c r="L49" s="241"/>
      <c r="M49" s="241"/>
      <c r="N49" s="241"/>
      <c r="O49" s="241"/>
      <c r="P49" s="241"/>
      <c r="Q49" s="241"/>
      <c r="R49" s="241">
        <f t="shared" si="13"/>
        <v>125000</v>
      </c>
      <c r="S49" s="241"/>
      <c r="T49" s="241">
        <f>R49</f>
        <v>125000</v>
      </c>
      <c r="U49" s="237"/>
    </row>
    <row r="50" spans="1:21" s="238" customFormat="1">
      <c r="A50" s="239" t="s">
        <v>931</v>
      </c>
      <c r="B50" s="240">
        <f t="shared" si="11"/>
        <v>0</v>
      </c>
      <c r="C50" s="241">
        <v>0</v>
      </c>
      <c r="D50" s="241"/>
      <c r="E50" s="241">
        <f t="shared" si="12"/>
        <v>0</v>
      </c>
      <c r="F50" s="241"/>
      <c r="G50" s="241"/>
      <c r="H50" s="241"/>
      <c r="I50" s="241"/>
      <c r="J50" s="241"/>
      <c r="K50" s="241"/>
      <c r="L50" s="241"/>
      <c r="M50" s="241"/>
      <c r="N50" s="241"/>
      <c r="O50" s="241"/>
      <c r="P50" s="241"/>
      <c r="Q50" s="241"/>
      <c r="R50" s="241">
        <f t="shared" si="13"/>
        <v>0</v>
      </c>
      <c r="S50" s="241"/>
      <c r="T50" s="241"/>
      <c r="U50" s="237"/>
    </row>
    <row r="51" spans="1:21" s="238" customFormat="1">
      <c r="A51" s="239" t="s">
        <v>932</v>
      </c>
      <c r="B51" s="240">
        <f t="shared" si="11"/>
        <v>0</v>
      </c>
      <c r="C51" s="241">
        <v>0</v>
      </c>
      <c r="D51" s="241"/>
      <c r="E51" s="241">
        <f t="shared" si="12"/>
        <v>0</v>
      </c>
      <c r="F51" s="241"/>
      <c r="G51" s="241"/>
      <c r="H51" s="241"/>
      <c r="I51" s="241"/>
      <c r="J51" s="241"/>
      <c r="K51" s="241"/>
      <c r="L51" s="241"/>
      <c r="M51" s="241"/>
      <c r="N51" s="241"/>
      <c r="O51" s="241"/>
      <c r="P51" s="241"/>
      <c r="Q51" s="241"/>
      <c r="R51" s="241">
        <f t="shared" si="13"/>
        <v>0</v>
      </c>
      <c r="S51" s="241"/>
      <c r="T51" s="241"/>
      <c r="U51" s="237"/>
    </row>
    <row r="52" spans="1:21" s="238" customFormat="1">
      <c r="A52" s="246" t="s">
        <v>534</v>
      </c>
      <c r="B52" s="240">
        <f t="shared" si="11"/>
        <v>0</v>
      </c>
      <c r="C52" s="241"/>
      <c r="D52" s="241"/>
      <c r="E52" s="241"/>
      <c r="F52" s="241"/>
      <c r="G52" s="241"/>
      <c r="H52" s="241"/>
      <c r="I52" s="241"/>
      <c r="J52" s="241"/>
      <c r="K52" s="241"/>
      <c r="L52" s="241"/>
      <c r="M52" s="241"/>
      <c r="N52" s="241"/>
      <c r="O52" s="241"/>
      <c r="P52" s="241"/>
      <c r="Q52" s="241"/>
      <c r="R52" s="241">
        <f t="shared" si="13"/>
        <v>0</v>
      </c>
      <c r="S52" s="241"/>
      <c r="T52" s="241"/>
      <c r="U52" s="237"/>
    </row>
    <row r="53" spans="1:21" s="248" customFormat="1">
      <c r="A53" s="243" t="s">
        <v>934</v>
      </c>
      <c r="B53" s="244">
        <f>SUM(C53:D53)</f>
        <v>975835</v>
      </c>
      <c r="C53" s="244">
        <f t="shared" ref="C53:T53" si="14">SUM(C45:C52)</f>
        <v>975835</v>
      </c>
      <c r="D53" s="244">
        <f t="shared" si="14"/>
        <v>0</v>
      </c>
      <c r="E53" s="244">
        <f t="shared" si="14"/>
        <v>975835</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975835</v>
      </c>
      <c r="S53" s="244">
        <f t="shared" si="14"/>
        <v>620648</v>
      </c>
      <c r="T53" s="244">
        <f t="shared" si="14"/>
        <v>125000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5">SUM(C55+D55)</f>
        <v>72800</v>
      </c>
      <c r="C55" s="241">
        <v>72800</v>
      </c>
      <c r="D55" s="241"/>
      <c r="E55" s="241">
        <f t="shared" ref="E55:E60" si="16">C55</f>
        <v>72800</v>
      </c>
      <c r="F55" s="241"/>
      <c r="G55" s="241"/>
      <c r="H55" s="241"/>
      <c r="I55" s="241"/>
      <c r="J55" s="241"/>
      <c r="K55" s="241"/>
      <c r="L55" s="241"/>
      <c r="M55" s="241"/>
      <c r="N55" s="241"/>
      <c r="O55" s="241"/>
      <c r="P55" s="241"/>
      <c r="Q55" s="241"/>
      <c r="R55" s="241">
        <f t="shared" ref="R55:R60" si="17">SUM(E55:Q55)</f>
        <v>72800</v>
      </c>
      <c r="S55" s="242"/>
      <c r="T55" s="242"/>
      <c r="U55" s="237"/>
    </row>
    <row r="56" spans="1:21" s="238" customFormat="1" ht="12" customHeight="1">
      <c r="A56" s="239" t="s">
        <v>929</v>
      </c>
      <c r="B56" s="240">
        <f t="shared" si="15"/>
        <v>0</v>
      </c>
      <c r="C56" s="241">
        <v>0</v>
      </c>
      <c r="D56" s="241"/>
      <c r="E56" s="241">
        <f t="shared" si="16"/>
        <v>0</v>
      </c>
      <c r="F56" s="241"/>
      <c r="G56" s="241"/>
      <c r="H56" s="241"/>
      <c r="I56" s="241"/>
      <c r="J56" s="241"/>
      <c r="K56" s="241"/>
      <c r="L56" s="241"/>
      <c r="M56" s="241"/>
      <c r="N56" s="241"/>
      <c r="O56" s="241"/>
      <c r="P56" s="241"/>
      <c r="Q56" s="241"/>
      <c r="R56" s="241">
        <f t="shared" si="17"/>
        <v>0</v>
      </c>
      <c r="S56" s="242"/>
      <c r="T56" s="242"/>
      <c r="U56" s="237"/>
    </row>
    <row r="57" spans="1:21" s="238" customFormat="1">
      <c r="A57" s="239" t="s">
        <v>933</v>
      </c>
      <c r="B57" s="240">
        <f t="shared" si="15"/>
        <v>0</v>
      </c>
      <c r="C57" s="241">
        <v>0</v>
      </c>
      <c r="D57" s="241"/>
      <c r="E57" s="241">
        <f t="shared" si="16"/>
        <v>0</v>
      </c>
      <c r="F57" s="241"/>
      <c r="G57" s="241"/>
      <c r="H57" s="241"/>
      <c r="I57" s="241"/>
      <c r="J57" s="241"/>
      <c r="K57" s="241"/>
      <c r="L57" s="241"/>
      <c r="M57" s="241"/>
      <c r="N57" s="241"/>
      <c r="O57" s="241"/>
      <c r="P57" s="241"/>
      <c r="Q57" s="241"/>
      <c r="R57" s="241">
        <f t="shared" si="17"/>
        <v>0</v>
      </c>
      <c r="S57" s="242"/>
      <c r="T57" s="242"/>
      <c r="U57" s="237"/>
    </row>
    <row r="58" spans="1:21" s="238" customFormat="1">
      <c r="A58" s="239" t="s">
        <v>931</v>
      </c>
      <c r="B58" s="240">
        <f t="shared" si="15"/>
        <v>10000</v>
      </c>
      <c r="C58" s="241">
        <v>10000</v>
      </c>
      <c r="D58" s="241"/>
      <c r="E58" s="241">
        <f t="shared" si="16"/>
        <v>10000</v>
      </c>
      <c r="F58" s="241"/>
      <c r="G58" s="241"/>
      <c r="H58" s="241"/>
      <c r="I58" s="241"/>
      <c r="J58" s="241"/>
      <c r="K58" s="241"/>
      <c r="L58" s="241"/>
      <c r="M58" s="241"/>
      <c r="N58" s="241"/>
      <c r="O58" s="241"/>
      <c r="P58" s="241"/>
      <c r="Q58" s="241"/>
      <c r="R58" s="241">
        <f t="shared" si="17"/>
        <v>10000</v>
      </c>
      <c r="S58" s="242"/>
      <c r="T58" s="242"/>
      <c r="U58" s="237"/>
    </row>
    <row r="59" spans="1:21" s="238" customFormat="1">
      <c r="A59" s="239" t="s">
        <v>932</v>
      </c>
      <c r="B59" s="240">
        <f t="shared" si="15"/>
        <v>120784</v>
      </c>
      <c r="C59" s="241">
        <f>60392+60392</f>
        <v>120784</v>
      </c>
      <c r="D59" s="241"/>
      <c r="E59" s="241">
        <f t="shared" si="16"/>
        <v>120784</v>
      </c>
      <c r="F59" s="241"/>
      <c r="G59" s="241"/>
      <c r="H59" s="241"/>
      <c r="I59" s="241"/>
      <c r="J59" s="241"/>
      <c r="K59" s="241"/>
      <c r="L59" s="241"/>
      <c r="M59" s="241"/>
      <c r="N59" s="241"/>
      <c r="O59" s="241"/>
      <c r="P59" s="241"/>
      <c r="Q59" s="241"/>
      <c r="R59" s="241">
        <f t="shared" si="17"/>
        <v>120784</v>
      </c>
      <c r="S59" s="242"/>
      <c r="T59" s="242"/>
      <c r="U59" s="237"/>
    </row>
    <row r="60" spans="1:21" s="238" customFormat="1" ht="24">
      <c r="A60" s="246" t="s">
        <v>2414</v>
      </c>
      <c r="B60" s="240">
        <f t="shared" si="15"/>
        <v>47280</v>
      </c>
      <c r="C60" s="241">
        <f>40000+7280</f>
        <v>47280</v>
      </c>
      <c r="D60" s="241"/>
      <c r="E60" s="241">
        <f t="shared" si="16"/>
        <v>47280</v>
      </c>
      <c r="F60" s="241"/>
      <c r="G60" s="241"/>
      <c r="H60" s="241"/>
      <c r="I60" s="241"/>
      <c r="J60" s="241"/>
      <c r="K60" s="241"/>
      <c r="L60" s="241"/>
      <c r="M60" s="241"/>
      <c r="N60" s="241"/>
      <c r="O60" s="241"/>
      <c r="P60" s="241"/>
      <c r="Q60" s="241"/>
      <c r="R60" s="241">
        <f t="shared" si="17"/>
        <v>47280</v>
      </c>
      <c r="S60" s="242"/>
      <c r="T60" s="242"/>
      <c r="U60" s="237"/>
    </row>
    <row r="61" spans="1:21" s="238" customFormat="1" ht="13.9" customHeight="1">
      <c r="A61" s="243" t="s">
        <v>501</v>
      </c>
      <c r="B61" s="240">
        <f>SUM(C61:D61)</f>
        <v>250864</v>
      </c>
      <c r="C61" s="240">
        <f t="shared" ref="C61:R61" si="18">SUM(C55:C60)</f>
        <v>250864</v>
      </c>
      <c r="D61" s="240">
        <f t="shared" si="18"/>
        <v>0</v>
      </c>
      <c r="E61" s="240">
        <f t="shared" si="18"/>
        <v>250864</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250864</v>
      </c>
      <c r="S61" s="242"/>
      <c r="T61" s="242"/>
      <c r="U61" s="237"/>
    </row>
    <row r="62" spans="1:21" s="238" customFormat="1">
      <c r="A62" s="249" t="s">
        <v>502</v>
      </c>
      <c r="B62" s="240">
        <f>SUM(C62:D62)</f>
        <v>14427472</v>
      </c>
      <c r="C62" s="240">
        <f t="shared" ref="C62:R62" si="19">SUM(C8+C11+C13+C14+C15+C26+C27+C38+C42+C43+C53+C61)</f>
        <v>14427472</v>
      </c>
      <c r="D62" s="240">
        <f t="shared" si="19"/>
        <v>0</v>
      </c>
      <c r="E62" s="240">
        <f t="shared" si="19"/>
        <v>7147372</v>
      </c>
      <c r="F62" s="240">
        <f t="shared" si="19"/>
        <v>7280000</v>
      </c>
      <c r="G62" s="240">
        <f t="shared" si="19"/>
        <v>0</v>
      </c>
      <c r="H62" s="240">
        <f t="shared" si="19"/>
        <v>100</v>
      </c>
      <c r="I62" s="240">
        <f t="shared" si="19"/>
        <v>0</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14427472</v>
      </c>
      <c r="S62" s="240">
        <f>SUM(S10+S13+S14+S15+S26+S27+S38+S42+S43+S53)</f>
        <v>7214106</v>
      </c>
      <c r="T62" s="240">
        <f>SUM(T11+T13+T14+T15+T26+T27+T38+T42+T43+T53)</f>
        <v>6182315</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110000</v>
      </c>
      <c r="C64" s="241">
        <f>50000+25000+35000</f>
        <v>110000</v>
      </c>
      <c r="D64" s="241"/>
      <c r="E64" s="241">
        <f>C64</f>
        <v>110000</v>
      </c>
      <c r="F64" s="241"/>
      <c r="G64" s="241"/>
      <c r="H64" s="241"/>
      <c r="I64" s="241"/>
      <c r="J64" s="241"/>
      <c r="K64" s="241"/>
      <c r="L64" s="241"/>
      <c r="M64" s="241"/>
      <c r="N64" s="241"/>
      <c r="O64" s="241"/>
      <c r="P64" s="241"/>
      <c r="Q64" s="241"/>
      <c r="R64" s="241">
        <f>SUM(E64:Q64)</f>
        <v>110000</v>
      </c>
      <c r="S64" s="241"/>
      <c r="T64" s="241"/>
      <c r="U64" s="237"/>
    </row>
    <row r="65" spans="1:21" s="238" customFormat="1" ht="24">
      <c r="A65" s="239" t="s">
        <v>1958</v>
      </c>
      <c r="B65" s="240">
        <f>SUM(C65+D65)</f>
        <v>15000</v>
      </c>
      <c r="C65" s="241">
        <v>15000</v>
      </c>
      <c r="D65" s="241"/>
      <c r="E65" s="241">
        <f>C65</f>
        <v>15000</v>
      </c>
      <c r="F65" s="241"/>
      <c r="G65" s="241"/>
      <c r="H65" s="241"/>
      <c r="I65" s="241"/>
      <c r="J65" s="241"/>
      <c r="K65" s="241"/>
      <c r="L65" s="241"/>
      <c r="M65" s="241"/>
      <c r="N65" s="241"/>
      <c r="O65" s="241"/>
      <c r="P65" s="241"/>
      <c r="Q65" s="241"/>
      <c r="R65" s="241">
        <f>SUM(E65:Q65)</f>
        <v>15000</v>
      </c>
      <c r="S65" s="241"/>
      <c r="T65" s="241"/>
      <c r="U65" s="237"/>
    </row>
    <row r="66" spans="1:21" s="238" customFormat="1" ht="24">
      <c r="A66" s="239" t="s">
        <v>1959</v>
      </c>
      <c r="B66" s="240">
        <f>SUM(C66+D66)</f>
        <v>0</v>
      </c>
      <c r="C66" s="241"/>
      <c r="D66" s="241"/>
      <c r="E66" s="241">
        <f>C66</f>
        <v>0</v>
      </c>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f>C67</f>
        <v>0</v>
      </c>
      <c r="F67" s="241"/>
      <c r="G67" s="241"/>
      <c r="H67" s="241"/>
      <c r="I67" s="241"/>
      <c r="J67" s="241"/>
      <c r="K67" s="241"/>
      <c r="L67" s="241"/>
      <c r="M67" s="241"/>
      <c r="N67" s="241"/>
      <c r="O67" s="241"/>
      <c r="P67" s="241"/>
      <c r="Q67" s="241"/>
      <c r="R67" s="241">
        <f>SUM(E67:Q67)</f>
        <v>0</v>
      </c>
      <c r="S67" s="241"/>
      <c r="T67" s="241"/>
      <c r="U67" s="237"/>
    </row>
    <row r="68" spans="1:21" s="238" customFormat="1">
      <c r="A68" s="246" t="s">
        <v>2415</v>
      </c>
      <c r="B68" s="240">
        <f>SUM(C68+D68)</f>
        <v>225000</v>
      </c>
      <c r="C68" s="241">
        <v>225000</v>
      </c>
      <c r="D68" s="241"/>
      <c r="E68" s="241">
        <f>C68</f>
        <v>225000</v>
      </c>
      <c r="F68" s="241"/>
      <c r="G68" s="241"/>
      <c r="H68" s="241"/>
      <c r="I68" s="241"/>
      <c r="J68" s="241"/>
      <c r="K68" s="241"/>
      <c r="L68" s="241"/>
      <c r="M68" s="241"/>
      <c r="N68" s="241"/>
      <c r="O68" s="241"/>
      <c r="P68" s="241"/>
      <c r="Q68" s="241"/>
      <c r="R68" s="241">
        <f>SUM(E68:Q68)</f>
        <v>225000</v>
      </c>
      <c r="S68" s="241">
        <v>135000</v>
      </c>
      <c r="T68" s="241">
        <v>22500</v>
      </c>
      <c r="U68" s="237"/>
    </row>
    <row r="69" spans="1:21" s="238" customFormat="1">
      <c r="A69" s="243" t="s">
        <v>1961</v>
      </c>
      <c r="B69" s="240">
        <f>SUM(C69:D69)</f>
        <v>350000</v>
      </c>
      <c r="C69" s="240">
        <f>SUM(C63:C68)</f>
        <v>350000</v>
      </c>
      <c r="D69" s="240">
        <f>SUM(D63:D68)</f>
        <v>0</v>
      </c>
      <c r="E69" s="240">
        <f t="shared" ref="E69:T69" si="20">SUM(E64:E68)</f>
        <v>350000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350000</v>
      </c>
      <c r="S69" s="244">
        <f t="shared" si="20"/>
        <v>135000</v>
      </c>
      <c r="T69" s="244">
        <f t="shared" si="20"/>
        <v>22500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C71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C72</f>
        <v>0</v>
      </c>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242880</v>
      </c>
      <c r="C73" s="241">
        <v>242880</v>
      </c>
      <c r="D73" s="241"/>
      <c r="E73" s="241">
        <f>C73</f>
        <v>242880</v>
      </c>
      <c r="F73" s="241"/>
      <c r="G73" s="241"/>
      <c r="H73" s="241"/>
      <c r="I73" s="241"/>
      <c r="J73" s="241"/>
      <c r="K73" s="241"/>
      <c r="L73" s="241"/>
      <c r="M73" s="241"/>
      <c r="N73" s="241"/>
      <c r="O73" s="241"/>
      <c r="P73" s="241"/>
      <c r="Q73" s="241"/>
      <c r="R73" s="241">
        <f>SUM(E73:Q73)</f>
        <v>242880</v>
      </c>
      <c r="S73" s="242"/>
      <c r="T73" s="242"/>
      <c r="U73" s="237"/>
    </row>
    <row r="74" spans="1:21" s="238" customFormat="1">
      <c r="A74" s="239" t="s">
        <v>288</v>
      </c>
      <c r="B74" s="240">
        <f>SUM(C74+D74)</f>
        <v>370000</v>
      </c>
      <c r="C74" s="241">
        <v>370000</v>
      </c>
      <c r="D74" s="241"/>
      <c r="E74" s="241">
        <f>C74</f>
        <v>370000</v>
      </c>
      <c r="F74" s="241"/>
      <c r="G74" s="241"/>
      <c r="H74" s="241"/>
      <c r="I74" s="241"/>
      <c r="J74" s="241"/>
      <c r="K74" s="241"/>
      <c r="L74" s="241"/>
      <c r="M74" s="241"/>
      <c r="N74" s="241"/>
      <c r="O74" s="241"/>
      <c r="P74" s="241"/>
      <c r="Q74" s="241"/>
      <c r="R74" s="241">
        <f>SUM(E74:Q74)</f>
        <v>370000</v>
      </c>
      <c r="S74" s="242"/>
      <c r="T74" s="242"/>
      <c r="U74" s="237"/>
    </row>
    <row r="75" spans="1:21" s="238" customFormat="1">
      <c r="A75" s="246" t="s">
        <v>534</v>
      </c>
      <c r="B75" s="240">
        <f>SUM(C75+D75)</f>
        <v>0</v>
      </c>
      <c r="C75" s="241">
        <v>0</v>
      </c>
      <c r="D75" s="241"/>
      <c r="E75" s="241">
        <f>C75</f>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612880</v>
      </c>
      <c r="C76" s="240">
        <f t="shared" ref="C76:Q76" si="21">SUM(C71:C75)</f>
        <v>612880</v>
      </c>
      <c r="D76" s="240">
        <f t="shared" si="21"/>
        <v>0</v>
      </c>
      <c r="E76" s="240">
        <f>SUM(E71:E75)</f>
        <v>612880</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612880</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588736</v>
      </c>
      <c r="C78" s="241">
        <v>588736</v>
      </c>
      <c r="D78" s="241"/>
      <c r="E78" s="241">
        <f>C78</f>
        <v>588736</v>
      </c>
      <c r="F78" s="241"/>
      <c r="G78" s="241"/>
      <c r="H78" s="241"/>
      <c r="I78" s="241"/>
      <c r="J78" s="241"/>
      <c r="K78" s="241"/>
      <c r="L78" s="241"/>
      <c r="M78" s="241"/>
      <c r="N78" s="241"/>
      <c r="O78" s="241"/>
      <c r="P78" s="241"/>
      <c r="Q78" s="241"/>
      <c r="R78" s="241">
        <f>SUM(E78:Q78)</f>
        <v>588736</v>
      </c>
      <c r="S78" s="241">
        <f>R78</f>
        <v>588736</v>
      </c>
      <c r="T78" s="241"/>
      <c r="U78" s="237"/>
    </row>
    <row r="79" spans="1:21" s="238" customFormat="1">
      <c r="A79" s="239" t="s">
        <v>539</v>
      </c>
      <c r="B79" s="240">
        <f>SUM(C79+D79)</f>
        <v>75000</v>
      </c>
      <c r="C79" s="241">
        <v>75000</v>
      </c>
      <c r="D79" s="241"/>
      <c r="E79" s="241">
        <f>C79</f>
        <v>75000</v>
      </c>
      <c r="F79" s="241"/>
      <c r="G79" s="241"/>
      <c r="H79" s="241"/>
      <c r="I79" s="241"/>
      <c r="J79" s="241"/>
      <c r="K79" s="241"/>
      <c r="L79" s="241"/>
      <c r="M79" s="241"/>
      <c r="N79" s="241"/>
      <c r="O79" s="241"/>
      <c r="P79" s="241"/>
      <c r="Q79" s="241"/>
      <c r="R79" s="241">
        <f>SUM(E79:Q79)</f>
        <v>75000</v>
      </c>
      <c r="S79" s="241">
        <f>R79</f>
        <v>75000</v>
      </c>
      <c r="T79" s="241"/>
      <c r="U79" s="237"/>
    </row>
    <row r="80" spans="1:21" s="238" customFormat="1">
      <c r="A80" s="243" t="s">
        <v>1744</v>
      </c>
      <c r="B80" s="240">
        <f>SUM(C80:D80)</f>
        <v>663736</v>
      </c>
      <c r="C80" s="666">
        <f>SUM(C78:C79)</f>
        <v>663736</v>
      </c>
      <c r="D80" s="666">
        <f t="shared" ref="D80:R80" si="22">SUM(D78:D79)</f>
        <v>0</v>
      </c>
      <c r="E80" s="666">
        <f t="shared" si="22"/>
        <v>663736</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663736</v>
      </c>
      <c r="S80" s="666">
        <f>SUM(S78:S79)</f>
        <v>663736</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36620</v>
      </c>
      <c r="C82" s="241">
        <v>36620</v>
      </c>
      <c r="D82" s="241"/>
      <c r="E82" s="241">
        <f t="shared" ref="E82:E94" si="23">C82</f>
        <v>36620</v>
      </c>
      <c r="F82" s="241"/>
      <c r="G82" s="241"/>
      <c r="H82" s="241"/>
      <c r="I82" s="241"/>
      <c r="J82" s="241"/>
      <c r="K82" s="241"/>
      <c r="L82" s="241"/>
      <c r="M82" s="241"/>
      <c r="N82" s="241"/>
      <c r="O82" s="241"/>
      <c r="P82" s="241"/>
      <c r="Q82" s="241"/>
      <c r="R82" s="241">
        <f>SUM(E82:Q82)</f>
        <v>36620</v>
      </c>
      <c r="S82" s="242"/>
      <c r="T82" s="242"/>
      <c r="U82" s="237"/>
    </row>
    <row r="83" spans="1:21" s="238" customFormat="1">
      <c r="A83" s="239" t="s">
        <v>517</v>
      </c>
      <c r="B83" s="240">
        <f t="shared" ref="B83:B93" si="24">SUM(C83+D83)</f>
        <v>50000</v>
      </c>
      <c r="C83" s="241">
        <v>50000</v>
      </c>
      <c r="D83" s="241"/>
      <c r="E83" s="241">
        <f t="shared" si="23"/>
        <v>50000</v>
      </c>
      <c r="F83" s="241"/>
      <c r="G83" s="241"/>
      <c r="H83" s="241"/>
      <c r="I83" s="241"/>
      <c r="J83" s="241"/>
      <c r="K83" s="241"/>
      <c r="L83" s="241"/>
      <c r="M83" s="241"/>
      <c r="N83" s="241"/>
      <c r="O83" s="241"/>
      <c r="P83" s="241"/>
      <c r="Q83" s="241"/>
      <c r="R83" s="241">
        <f t="shared" ref="R83:R93" si="25">SUM(E83:Q83)</f>
        <v>50000</v>
      </c>
      <c r="S83" s="241">
        <f>R83</f>
        <v>50000</v>
      </c>
      <c r="T83" s="241"/>
      <c r="U83" s="237"/>
    </row>
    <row r="84" spans="1:21" s="238" customFormat="1">
      <c r="A84" s="239" t="s">
        <v>518</v>
      </c>
      <c r="B84" s="240">
        <f t="shared" si="24"/>
        <v>0</v>
      </c>
      <c r="C84" s="241"/>
      <c r="D84" s="241"/>
      <c r="E84" s="241">
        <f t="shared" si="23"/>
        <v>0</v>
      </c>
      <c r="F84" s="241"/>
      <c r="G84" s="241"/>
      <c r="H84" s="241"/>
      <c r="I84" s="241"/>
      <c r="J84" s="241"/>
      <c r="K84" s="241"/>
      <c r="L84" s="241"/>
      <c r="M84" s="241"/>
      <c r="N84" s="241"/>
      <c r="O84" s="241"/>
      <c r="P84" s="241"/>
      <c r="Q84" s="241"/>
      <c r="R84" s="241">
        <f t="shared" si="25"/>
        <v>0</v>
      </c>
      <c r="S84" s="241"/>
      <c r="T84" s="241"/>
      <c r="U84" s="237"/>
    </row>
    <row r="85" spans="1:21" s="238" customFormat="1">
      <c r="A85" s="239" t="s">
        <v>519</v>
      </c>
      <c r="B85" s="240">
        <f t="shared" si="24"/>
        <v>57000</v>
      </c>
      <c r="C85" s="241">
        <v>57000</v>
      </c>
      <c r="D85" s="241"/>
      <c r="E85" s="241">
        <f t="shared" si="23"/>
        <v>57000</v>
      </c>
      <c r="F85" s="241"/>
      <c r="G85" s="241"/>
      <c r="H85" s="241"/>
      <c r="I85" s="241"/>
      <c r="J85" s="241"/>
      <c r="K85" s="241"/>
      <c r="L85" s="241"/>
      <c r="M85" s="241"/>
      <c r="N85" s="241"/>
      <c r="O85" s="241"/>
      <c r="P85" s="241"/>
      <c r="Q85" s="241"/>
      <c r="R85" s="241">
        <f t="shared" si="25"/>
        <v>57000</v>
      </c>
      <c r="S85" s="241">
        <f>R85</f>
        <v>57000</v>
      </c>
      <c r="T85" s="241"/>
      <c r="U85" s="237"/>
    </row>
    <row r="86" spans="1:21" s="238" customFormat="1">
      <c r="A86" s="239" t="s">
        <v>520</v>
      </c>
      <c r="B86" s="240">
        <f t="shared" si="24"/>
        <v>97500</v>
      </c>
      <c r="C86" s="241">
        <f>50000+47500</f>
        <v>97500</v>
      </c>
      <c r="D86" s="241"/>
      <c r="E86" s="241">
        <f t="shared" si="23"/>
        <v>97500</v>
      </c>
      <c r="F86" s="241"/>
      <c r="G86" s="241"/>
      <c r="H86" s="241"/>
      <c r="I86" s="241"/>
      <c r="J86" s="241"/>
      <c r="K86" s="241"/>
      <c r="L86" s="241"/>
      <c r="M86" s="241"/>
      <c r="N86" s="241"/>
      <c r="O86" s="241"/>
      <c r="P86" s="241"/>
      <c r="Q86" s="241"/>
      <c r="R86" s="241">
        <f t="shared" si="25"/>
        <v>97500</v>
      </c>
      <c r="S86" s="241"/>
      <c r="T86" s="241"/>
      <c r="U86" s="237"/>
    </row>
    <row r="87" spans="1:21" s="238" customFormat="1">
      <c r="A87" s="239" t="s">
        <v>521</v>
      </c>
      <c r="B87" s="240">
        <f t="shared" si="24"/>
        <v>0</v>
      </c>
      <c r="C87" s="241"/>
      <c r="D87" s="241"/>
      <c r="E87" s="241">
        <f t="shared" si="23"/>
        <v>0</v>
      </c>
      <c r="F87" s="241"/>
      <c r="G87" s="241"/>
      <c r="H87" s="241"/>
      <c r="I87" s="241"/>
      <c r="J87" s="241"/>
      <c r="K87" s="241"/>
      <c r="L87" s="241"/>
      <c r="M87" s="241"/>
      <c r="N87" s="241"/>
      <c r="O87" s="241"/>
      <c r="P87" s="241"/>
      <c r="Q87" s="241"/>
      <c r="R87" s="241">
        <f t="shared" si="25"/>
        <v>0</v>
      </c>
      <c r="S87" s="242"/>
      <c r="T87" s="242"/>
      <c r="U87" s="237"/>
    </row>
    <row r="88" spans="1:21" s="238" customFormat="1">
      <c r="A88" s="239" t="s">
        <v>522</v>
      </c>
      <c r="B88" s="240">
        <f t="shared" si="24"/>
        <v>0</v>
      </c>
      <c r="C88" s="241"/>
      <c r="D88" s="241"/>
      <c r="E88" s="241">
        <f t="shared" si="23"/>
        <v>0</v>
      </c>
      <c r="F88" s="241"/>
      <c r="G88" s="241"/>
      <c r="H88" s="241"/>
      <c r="I88" s="241"/>
      <c r="J88" s="241"/>
      <c r="K88" s="241"/>
      <c r="L88" s="241"/>
      <c r="M88" s="241"/>
      <c r="N88" s="241"/>
      <c r="O88" s="241"/>
      <c r="P88" s="241"/>
      <c r="Q88" s="241"/>
      <c r="R88" s="241">
        <f t="shared" si="25"/>
        <v>0</v>
      </c>
      <c r="S88" s="241"/>
      <c r="T88" s="241"/>
      <c r="U88" s="237"/>
    </row>
    <row r="89" spans="1:21" s="238" customFormat="1">
      <c r="A89" s="239" t="s">
        <v>523</v>
      </c>
      <c r="B89" s="240">
        <f t="shared" si="24"/>
        <v>15000</v>
      </c>
      <c r="C89" s="241">
        <v>15000</v>
      </c>
      <c r="D89" s="241"/>
      <c r="E89" s="241">
        <f t="shared" si="23"/>
        <v>15000</v>
      </c>
      <c r="F89" s="241"/>
      <c r="G89" s="241"/>
      <c r="H89" s="241"/>
      <c r="I89" s="241"/>
      <c r="J89" s="241"/>
      <c r="K89" s="241"/>
      <c r="L89" s="241"/>
      <c r="M89" s="241"/>
      <c r="N89" s="241"/>
      <c r="O89" s="241"/>
      <c r="P89" s="241"/>
      <c r="Q89" s="241"/>
      <c r="R89" s="241">
        <f t="shared" si="25"/>
        <v>15000</v>
      </c>
      <c r="S89" s="241">
        <f>R89</f>
        <v>15000</v>
      </c>
      <c r="T89" s="241"/>
      <c r="U89" s="237"/>
    </row>
    <row r="90" spans="1:21" s="238" customFormat="1">
      <c r="A90" s="250" t="s">
        <v>1316</v>
      </c>
      <c r="B90" s="240">
        <f t="shared" si="24"/>
        <v>35000</v>
      </c>
      <c r="C90" s="241">
        <v>35000</v>
      </c>
      <c r="D90" s="241"/>
      <c r="E90" s="241">
        <f t="shared" si="23"/>
        <v>35000</v>
      </c>
      <c r="F90" s="241"/>
      <c r="G90" s="241"/>
      <c r="H90" s="241"/>
      <c r="I90" s="241"/>
      <c r="J90" s="241"/>
      <c r="K90" s="241"/>
      <c r="L90" s="241"/>
      <c r="M90" s="241"/>
      <c r="N90" s="241"/>
      <c r="O90" s="241"/>
      <c r="P90" s="241"/>
      <c r="Q90" s="241"/>
      <c r="R90" s="241">
        <f t="shared" si="25"/>
        <v>35000</v>
      </c>
      <c r="S90" s="241">
        <f>R90</f>
        <v>35000</v>
      </c>
      <c r="T90" s="241"/>
      <c r="U90" s="237"/>
    </row>
    <row r="91" spans="1:21" s="238" customFormat="1">
      <c r="A91" s="250" t="s">
        <v>1742</v>
      </c>
      <c r="B91" s="240">
        <f t="shared" si="24"/>
        <v>20000</v>
      </c>
      <c r="C91" s="241">
        <v>20000</v>
      </c>
      <c r="D91" s="241"/>
      <c r="E91" s="241">
        <f t="shared" si="23"/>
        <v>20000</v>
      </c>
      <c r="F91" s="241"/>
      <c r="G91" s="241"/>
      <c r="H91" s="241"/>
      <c r="I91" s="241"/>
      <c r="J91" s="241"/>
      <c r="K91" s="241"/>
      <c r="L91" s="241"/>
      <c r="M91" s="241"/>
      <c r="N91" s="241"/>
      <c r="O91" s="241"/>
      <c r="P91" s="241"/>
      <c r="Q91" s="241"/>
      <c r="R91" s="241">
        <f t="shared" si="25"/>
        <v>20000</v>
      </c>
      <c r="S91" s="241">
        <v>10000</v>
      </c>
      <c r="T91" s="241"/>
      <c r="U91" s="237"/>
    </row>
    <row r="92" spans="1:21" s="238" customFormat="1">
      <c r="A92" s="246" t="s">
        <v>2416</v>
      </c>
      <c r="B92" s="240">
        <f t="shared" si="24"/>
        <v>15000</v>
      </c>
      <c r="C92" s="241">
        <v>15000</v>
      </c>
      <c r="D92" s="241"/>
      <c r="E92" s="241">
        <f t="shared" si="23"/>
        <v>15000</v>
      </c>
      <c r="F92" s="241"/>
      <c r="G92" s="241"/>
      <c r="H92" s="241"/>
      <c r="I92" s="241"/>
      <c r="J92" s="241"/>
      <c r="K92" s="241"/>
      <c r="L92" s="241"/>
      <c r="M92" s="241"/>
      <c r="N92" s="241"/>
      <c r="O92" s="241"/>
      <c r="P92" s="241"/>
      <c r="Q92" s="241"/>
      <c r="R92" s="241">
        <f t="shared" si="25"/>
        <v>15000</v>
      </c>
      <c r="S92" s="241">
        <f>R92</f>
        <v>15000</v>
      </c>
      <c r="T92" s="241"/>
      <c r="U92" s="237"/>
    </row>
    <row r="93" spans="1:21" s="238" customFormat="1">
      <c r="A93" s="246" t="s">
        <v>2417</v>
      </c>
      <c r="B93" s="240">
        <f t="shared" si="24"/>
        <v>30000</v>
      </c>
      <c r="C93" s="241">
        <v>30000</v>
      </c>
      <c r="D93" s="241"/>
      <c r="E93" s="241">
        <f t="shared" si="23"/>
        <v>30000</v>
      </c>
      <c r="F93" s="241"/>
      <c r="G93" s="241"/>
      <c r="H93" s="241"/>
      <c r="I93" s="241"/>
      <c r="J93" s="241"/>
      <c r="K93" s="241"/>
      <c r="L93" s="241"/>
      <c r="M93" s="241"/>
      <c r="N93" s="241"/>
      <c r="O93" s="241"/>
      <c r="P93" s="241"/>
      <c r="Q93" s="241"/>
      <c r="R93" s="241">
        <f t="shared" si="25"/>
        <v>30000</v>
      </c>
      <c r="S93" s="241">
        <f>R93</f>
        <v>30000</v>
      </c>
      <c r="T93" s="241"/>
      <c r="U93" s="237"/>
    </row>
    <row r="94" spans="1:21" s="238" customFormat="1">
      <c r="A94" s="246" t="s">
        <v>2418</v>
      </c>
      <c r="B94" s="240">
        <f>SUM(C94+D94)</f>
        <v>15000</v>
      </c>
      <c r="C94" s="241">
        <v>15000</v>
      </c>
      <c r="D94" s="241"/>
      <c r="E94" s="241">
        <f t="shared" si="23"/>
        <v>15000</v>
      </c>
      <c r="F94" s="241"/>
      <c r="G94" s="241"/>
      <c r="H94" s="241"/>
      <c r="I94" s="241"/>
      <c r="J94" s="241"/>
      <c r="K94" s="241"/>
      <c r="L94" s="241"/>
      <c r="M94" s="241"/>
      <c r="N94" s="241"/>
      <c r="O94" s="241"/>
      <c r="P94" s="241"/>
      <c r="Q94" s="241"/>
      <c r="R94" s="241">
        <f>SUM(E94:Q94)</f>
        <v>15000</v>
      </c>
      <c r="S94" s="241">
        <f>R94</f>
        <v>15000</v>
      </c>
      <c r="T94" s="241"/>
      <c r="U94" s="237"/>
    </row>
    <row r="95" spans="1:21" s="238" customFormat="1">
      <c r="A95" s="243" t="s">
        <v>524</v>
      </c>
      <c r="B95" s="240">
        <f>SUM(C95:D95)</f>
        <v>371120</v>
      </c>
      <c r="C95" s="240">
        <f t="shared" ref="C95:R95" si="26">SUM(C82:C94)</f>
        <v>371120</v>
      </c>
      <c r="D95" s="240">
        <f t="shared" si="26"/>
        <v>0</v>
      </c>
      <c r="E95" s="240">
        <f t="shared" si="26"/>
        <v>371120</v>
      </c>
      <c r="F95" s="240">
        <f t="shared" si="26"/>
        <v>0</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371120</v>
      </c>
      <c r="S95" s="244">
        <f>SUM(S83:S86,S88:S94)</f>
        <v>227000</v>
      </c>
      <c r="T95" s="240">
        <f>SUM(T83:T86,T88:T94)</f>
        <v>0</v>
      </c>
      <c r="U95" s="237"/>
    </row>
    <row r="96" spans="1:21" s="238" customFormat="1">
      <c r="A96" s="243" t="s">
        <v>525</v>
      </c>
      <c r="B96" s="240">
        <f>SUM(C96:D96)</f>
        <v>16425208</v>
      </c>
      <c r="C96" s="240">
        <f t="shared" ref="C96:R96" si="27">SUM(C62+C69+C76+C80+C95)</f>
        <v>16425208</v>
      </c>
      <c r="D96" s="240">
        <f t="shared" si="27"/>
        <v>0</v>
      </c>
      <c r="E96" s="240">
        <f t="shared" si="27"/>
        <v>9145108</v>
      </c>
      <c r="F96" s="240">
        <f t="shared" si="27"/>
        <v>7280000</v>
      </c>
      <c r="G96" s="240">
        <f t="shared" si="27"/>
        <v>0</v>
      </c>
      <c r="H96" s="240">
        <f t="shared" si="27"/>
        <v>100</v>
      </c>
      <c r="I96" s="240">
        <f t="shared" si="27"/>
        <v>0</v>
      </c>
      <c r="J96" s="240">
        <f t="shared" si="27"/>
        <v>0</v>
      </c>
      <c r="K96" s="240">
        <f t="shared" si="27"/>
        <v>0</v>
      </c>
      <c r="L96" s="240">
        <f t="shared" si="27"/>
        <v>0</v>
      </c>
      <c r="M96" s="240">
        <f t="shared" si="27"/>
        <v>0</v>
      </c>
      <c r="N96" s="240">
        <f t="shared" si="27"/>
        <v>0</v>
      </c>
      <c r="O96" s="240">
        <f t="shared" si="27"/>
        <v>0</v>
      </c>
      <c r="P96" s="240">
        <f t="shared" si="27"/>
        <v>0</v>
      </c>
      <c r="Q96" s="240">
        <f t="shared" si="27"/>
        <v>0</v>
      </c>
      <c r="R96" s="240">
        <f t="shared" si="27"/>
        <v>16425208</v>
      </c>
      <c r="S96" s="244">
        <f>SUM(+S62+S69+S80+S95)</f>
        <v>8239842</v>
      </c>
      <c r="T96" s="244">
        <f>SUM(T62+T69+T80+T95)</f>
        <v>6204815</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1531217</v>
      </c>
      <c r="C98" s="241">
        <v>1531217</v>
      </c>
      <c r="D98" s="241"/>
      <c r="E98" s="241">
        <f>+C98-G98</f>
        <v>1203857</v>
      </c>
      <c r="F98" s="241"/>
      <c r="G98" s="241">
        <f>G107</f>
        <v>327360</v>
      </c>
      <c r="H98" s="241"/>
      <c r="I98" s="241"/>
      <c r="J98" s="241"/>
      <c r="K98" s="241"/>
      <c r="L98" s="241"/>
      <c r="M98" s="241"/>
      <c r="N98" s="241"/>
      <c r="O98" s="241"/>
      <c r="P98" s="241"/>
      <c r="Q98" s="241"/>
      <c r="R98" s="241">
        <f>SUM(E98:Q98)</f>
        <v>1531217</v>
      </c>
      <c r="S98" s="241">
        <v>1220976</v>
      </c>
      <c r="T98" s="241">
        <v>310241</v>
      </c>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1531217</v>
      </c>
      <c r="C103" s="240">
        <f t="shared" ref="C103:T103" si="28">SUM(C98:C102)</f>
        <v>1531217</v>
      </c>
      <c r="D103" s="240">
        <f t="shared" si="28"/>
        <v>0</v>
      </c>
      <c r="E103" s="240">
        <f t="shared" si="28"/>
        <v>1203857</v>
      </c>
      <c r="F103" s="240">
        <f t="shared" si="28"/>
        <v>0</v>
      </c>
      <c r="G103" s="240">
        <f t="shared" si="28"/>
        <v>327360</v>
      </c>
      <c r="H103" s="240">
        <f t="shared" si="28"/>
        <v>0</v>
      </c>
      <c r="I103" s="240">
        <f t="shared" si="28"/>
        <v>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1531217</v>
      </c>
      <c r="S103" s="244">
        <f t="shared" si="28"/>
        <v>1220976</v>
      </c>
      <c r="T103" s="244">
        <f t="shared" si="28"/>
        <v>310241</v>
      </c>
      <c r="U103" s="237"/>
    </row>
    <row r="104" spans="1:21" s="238" customFormat="1">
      <c r="A104" s="243" t="s">
        <v>1157</v>
      </c>
      <c r="B104" s="244">
        <f>SUM(C104:D104)</f>
        <v>17956425</v>
      </c>
      <c r="C104" s="244">
        <f t="shared" ref="C104:R104" si="29">SUM(C96+C103)</f>
        <v>17956425</v>
      </c>
      <c r="D104" s="244">
        <f t="shared" si="29"/>
        <v>0</v>
      </c>
      <c r="E104" s="244">
        <f t="shared" si="29"/>
        <v>10348965</v>
      </c>
      <c r="F104" s="244">
        <f t="shared" si="29"/>
        <v>7280000</v>
      </c>
      <c r="G104" s="244">
        <f t="shared" si="29"/>
        <v>327360</v>
      </c>
      <c r="H104" s="244">
        <f t="shared" si="29"/>
        <v>100</v>
      </c>
      <c r="I104" s="244">
        <f t="shared" si="29"/>
        <v>0</v>
      </c>
      <c r="J104" s="244">
        <f t="shared" si="29"/>
        <v>0</v>
      </c>
      <c r="K104" s="244">
        <f t="shared" si="29"/>
        <v>0</v>
      </c>
      <c r="L104" s="244">
        <f t="shared" si="29"/>
        <v>0</v>
      </c>
      <c r="M104" s="244">
        <f t="shared" si="29"/>
        <v>0</v>
      </c>
      <c r="N104" s="244">
        <f t="shared" si="29"/>
        <v>0</v>
      </c>
      <c r="O104" s="244">
        <f t="shared" si="29"/>
        <v>0</v>
      </c>
      <c r="P104" s="244">
        <f t="shared" si="29"/>
        <v>0</v>
      </c>
      <c r="Q104" s="244">
        <f t="shared" si="29"/>
        <v>0</v>
      </c>
      <c r="R104" s="240">
        <f t="shared" si="29"/>
        <v>17956425</v>
      </c>
      <c r="S104" s="244">
        <f>S96+S103</f>
        <v>9460818</v>
      </c>
      <c r="T104" s="244">
        <f>T96+T103</f>
        <v>6515056</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9460818</v>
      </c>
      <c r="T106" s="244">
        <f>T104+T105</f>
        <v>6515056</v>
      </c>
      <c r="U106" s="256"/>
    </row>
    <row r="107" spans="1:21" s="258" customFormat="1">
      <c r="A107" s="257" t="s">
        <v>1108</v>
      </c>
      <c r="B107" s="252"/>
      <c r="C107" s="252"/>
      <c r="D107" s="252"/>
      <c r="E107" s="240">
        <f>Application!AO634</f>
        <v>10348965</v>
      </c>
      <c r="F107" s="240">
        <f>Application!AO621</f>
        <v>7280000</v>
      </c>
      <c r="G107" s="240">
        <f>Application!AO622</f>
        <v>327360</v>
      </c>
      <c r="H107" s="240">
        <f>Application!AO623</f>
        <v>100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93" t="s">
        <v>1292</v>
      </c>
      <c r="E122" s="1593"/>
      <c r="F122" s="1593"/>
      <c r="U122" s="256"/>
    </row>
    <row r="123" spans="1:21" s="253" customFormat="1">
      <c r="A123" s="253" t="s">
        <v>1293</v>
      </c>
      <c r="B123" s="546"/>
      <c r="D123" s="1585" t="s">
        <v>1317</v>
      </c>
      <c r="E123" s="1581"/>
      <c r="F123" s="1581"/>
      <c r="G123" s="1581"/>
      <c r="H123" s="1581"/>
      <c r="I123" s="1581"/>
      <c r="J123" s="1581"/>
      <c r="K123" s="1581"/>
      <c r="L123" s="1581"/>
      <c r="M123" s="1581"/>
      <c r="N123" s="1581"/>
      <c r="O123" s="1581"/>
      <c r="P123" s="1581"/>
      <c r="Q123" s="1581"/>
      <c r="R123" s="1581"/>
      <c r="S123" s="1581"/>
      <c r="U123" s="256"/>
    </row>
    <row r="124" spans="1:21" s="253" customFormat="1" ht="12.75">
      <c r="A124" s="209" t="s">
        <v>1294</v>
      </c>
      <c r="B124" s="546"/>
      <c r="C124" s="209"/>
      <c r="D124" s="1581"/>
      <c r="E124" s="1581"/>
      <c r="F124" s="1581"/>
      <c r="G124" s="1581"/>
      <c r="H124" s="1581"/>
      <c r="I124" s="1581"/>
      <c r="J124" s="1581"/>
      <c r="K124" s="1581"/>
      <c r="L124" s="1581"/>
      <c r="M124" s="1581"/>
      <c r="N124" s="1581"/>
      <c r="O124" s="1581"/>
      <c r="P124" s="1581"/>
      <c r="Q124" s="1581"/>
      <c r="R124" s="1581"/>
      <c r="S124" s="1581"/>
      <c r="U124" s="256"/>
    </row>
    <row r="125" spans="1:21" s="253" customFormat="1" ht="12.75">
      <c r="A125" s="209" t="s">
        <v>1295</v>
      </c>
      <c r="B125" s="546"/>
      <c r="C125" s="209"/>
      <c r="D125" s="1581"/>
      <c r="E125" s="1581"/>
      <c r="F125" s="1581"/>
      <c r="G125" s="1581"/>
      <c r="H125" s="1581"/>
      <c r="I125" s="1581"/>
      <c r="J125" s="1581"/>
      <c r="K125" s="1581"/>
      <c r="L125" s="1581"/>
      <c r="M125" s="1581"/>
      <c r="N125" s="1581"/>
      <c r="O125" s="1581"/>
      <c r="P125" s="1581"/>
      <c r="Q125" s="1581"/>
      <c r="R125" s="1581"/>
      <c r="S125" s="1581"/>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8"/>
      <c r="E128" s="1588"/>
      <c r="F128" s="1588"/>
      <c r="G128" s="1588"/>
      <c r="H128" s="1588"/>
      <c r="I128" s="209"/>
      <c r="J128" s="1584"/>
      <c r="K128" s="1584"/>
      <c r="L128" s="209"/>
      <c r="M128" s="209"/>
      <c r="N128" s="209"/>
      <c r="O128" s="209"/>
      <c r="P128" s="209"/>
      <c r="Q128" s="209"/>
      <c r="R128" s="209"/>
      <c r="S128" s="209"/>
      <c r="U128" s="256"/>
    </row>
    <row r="129" spans="1:21" s="253" customFormat="1" ht="12.75">
      <c r="A129" s="209" t="s">
        <v>500</v>
      </c>
      <c r="B129" s="546"/>
      <c r="C129" s="209"/>
      <c r="D129" s="1592" t="s">
        <v>1299</v>
      </c>
      <c r="E129" s="1592"/>
      <c r="F129" s="1592"/>
      <c r="G129" s="1592"/>
      <c r="H129" s="1592"/>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474"/>
      <c r="E131" s="1474"/>
      <c r="F131" s="1474"/>
      <c r="G131" s="1474"/>
      <c r="H131" s="1474"/>
      <c r="I131" s="209"/>
      <c r="J131" s="1474"/>
      <c r="K131" s="1474"/>
      <c r="L131" s="1474"/>
      <c r="M131" s="1474"/>
      <c r="N131" s="209"/>
      <c r="O131" s="209"/>
      <c r="P131" s="209"/>
      <c r="Q131" s="209"/>
      <c r="R131" s="209"/>
      <c r="S131" s="209"/>
      <c r="U131" s="256"/>
    </row>
    <row r="132" spans="1:21" s="253" customFormat="1" ht="12.75">
      <c r="A132" s="548"/>
      <c r="B132" s="209"/>
      <c r="C132" s="209"/>
      <c r="D132" s="1586" t="s">
        <v>1302</v>
      </c>
      <c r="E132" s="1586"/>
      <c r="F132" s="1586"/>
      <c r="G132" s="1586"/>
      <c r="H132" s="1586"/>
      <c r="I132" s="209"/>
      <c r="J132" s="1586" t="s">
        <v>1303</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8"/>
      <c r="C138" s="1588"/>
      <c r="D138" s="352"/>
      <c r="E138" s="1584"/>
      <c r="F138" s="1584"/>
      <c r="G138" s="209"/>
      <c r="H138" s="209"/>
      <c r="I138" s="209"/>
      <c r="J138" s="209"/>
      <c r="K138" s="209"/>
      <c r="L138" s="209"/>
      <c r="M138" s="209"/>
      <c r="N138" s="209"/>
      <c r="O138" s="209"/>
      <c r="P138" s="209"/>
      <c r="Q138" s="209"/>
      <c r="R138" s="209"/>
      <c r="S138" s="209"/>
    </row>
    <row r="139" spans="1:21" ht="12" customHeight="1">
      <c r="A139" s="1583" t="s">
        <v>1305</v>
      </c>
      <c r="B139" s="1583"/>
      <c r="C139" s="1583"/>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19" sqref="T19:X1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7" t="s">
        <v>1748</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DDA/QCT
Building(s)</v>
      </c>
      <c r="U7" s="1613"/>
      <c r="V7" s="1613"/>
      <c r="W7" s="1613"/>
      <c r="X7" s="1613"/>
      <c r="Y7" s="1613" t="str">
        <f>IF(T25=100%,"",'Sources and Basis Breakdown'!G2)</f>
        <v>70% PVC for New Const/
Rehabilitation
NON-DDA/
NON-QCT Building(s)</v>
      </c>
      <c r="Z7" s="1613"/>
      <c r="AA7" s="1613"/>
      <c r="AB7" s="1613"/>
      <c r="AC7" s="1613"/>
      <c r="AD7" s="1613" t="str">
        <f>IF(T25=100%,'Sources and Basis Breakdown'!J2,'Sources and Basis Breakdown'!I2)</f>
        <v>30% PVC for Acquisition
DDA/QCT Building(s)</v>
      </c>
      <c r="AE7" s="1613"/>
      <c r="AF7" s="1613"/>
      <c r="AG7" s="1613"/>
      <c r="AH7" s="1613"/>
      <c r="AI7" s="1613" t="str">
        <f>IF(T25=100%,"",'Sources and Basis Breakdown'!J2)</f>
        <v>30% PVC for Acquisition
NON-DDA/
NON-QCT Building(s)</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6" t="s">
        <v>509</v>
      </c>
      <c r="C11" s="1187"/>
      <c r="D11" s="1187"/>
      <c r="E11" s="1187"/>
      <c r="F11" s="1187"/>
      <c r="G11" s="1187"/>
      <c r="H11" s="1187"/>
      <c r="I11" s="1187"/>
      <c r="J11" s="1187"/>
      <c r="K11" s="1187"/>
      <c r="L11" s="1187"/>
      <c r="M11" s="1187"/>
      <c r="N11" s="1187"/>
      <c r="O11" s="1187"/>
      <c r="P11" s="1187"/>
      <c r="Q11" s="1187"/>
      <c r="R11" s="1187"/>
      <c r="S11" s="1188"/>
      <c r="T11" s="1621">
        <f>IF('Sources and Basis Breakdown'!F105=0,'Sources and Basis Breakdown'!E105,'Sources and Basis Breakdown'!F105)</f>
        <v>9460818</v>
      </c>
      <c r="U11" s="1614"/>
      <c r="V11" s="1614"/>
      <c r="W11" s="1614"/>
      <c r="X11" s="1614"/>
      <c r="Y11" s="1630">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6515056</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5" customHeight="1">
      <c r="B12" s="1615" t="s">
        <v>448</v>
      </c>
      <c r="C12" s="1033"/>
      <c r="D12" s="1033"/>
      <c r="E12" s="1033"/>
      <c r="F12" s="1033"/>
      <c r="G12" s="1033"/>
      <c r="H12" s="1033"/>
      <c r="I12" s="1033"/>
      <c r="J12" s="1033"/>
      <c r="K12" s="1033"/>
      <c r="L12" s="1033"/>
      <c r="M12" s="1033"/>
      <c r="N12" s="1033"/>
      <c r="O12" s="1033"/>
      <c r="P12" s="1033"/>
      <c r="Q12" s="1033"/>
      <c r="R12" s="1033"/>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1714</v>
      </c>
      <c r="D13" s="1618"/>
      <c r="E13" s="1618"/>
      <c r="F13" s="1618"/>
      <c r="G13" s="1618"/>
      <c r="H13" s="1618"/>
      <c r="I13" s="1618"/>
      <c r="J13" s="1618"/>
      <c r="K13" s="1618"/>
      <c r="L13" s="1618"/>
      <c r="M13" s="1618"/>
      <c r="N13" s="1618"/>
      <c r="O13" s="1618"/>
      <c r="P13" s="1618"/>
      <c r="Q13" s="1618"/>
      <c r="R13" s="1618"/>
      <c r="S13" s="1619"/>
      <c r="T13" s="1622"/>
      <c r="U13" s="1623"/>
      <c r="V13" s="1623"/>
      <c r="W13" s="1623"/>
      <c r="X13" s="1623"/>
      <c r="Y13" s="1622"/>
      <c r="Z13" s="1623"/>
      <c r="AA13" s="1623"/>
      <c r="AB13" s="1623"/>
      <c r="AC13" s="1623"/>
      <c r="AD13" s="1623"/>
      <c r="AE13" s="1623"/>
      <c r="AF13" s="1623"/>
      <c r="AG13" s="1623"/>
      <c r="AH13" s="1623"/>
      <c r="AI13" s="1623"/>
      <c r="AJ13" s="1623"/>
      <c r="AK13" s="1623"/>
      <c r="AL13" s="1623"/>
      <c r="AM13" s="1623"/>
    </row>
    <row r="14" spans="1:40" ht="12.95" customHeight="1">
      <c r="B14" s="8"/>
      <c r="C14" s="1618" t="s">
        <v>769</v>
      </c>
      <c r="D14" s="1618"/>
      <c r="E14" s="1618"/>
      <c r="F14" s="1618"/>
      <c r="G14" s="1618"/>
      <c r="H14" s="1618"/>
      <c r="I14" s="1618"/>
      <c r="J14" s="1618"/>
      <c r="K14" s="1618"/>
      <c r="L14" s="1618"/>
      <c r="M14" s="1618"/>
      <c r="N14" s="1618"/>
      <c r="O14" s="1618"/>
      <c r="P14" s="1618"/>
      <c r="Q14" s="1618"/>
      <c r="R14" s="1618"/>
      <c r="S14" s="1619"/>
      <c r="T14" s="1214"/>
      <c r="U14" s="1068"/>
      <c r="V14" s="1068"/>
      <c r="W14" s="1068"/>
      <c r="X14" s="1068"/>
      <c r="Y14" s="1214"/>
      <c r="Z14" s="1068"/>
      <c r="AA14" s="1068"/>
      <c r="AB14" s="1068"/>
      <c r="AC14" s="1068"/>
      <c r="AD14" s="1068"/>
      <c r="AE14" s="1068"/>
      <c r="AF14" s="1068"/>
      <c r="AG14" s="1068"/>
      <c r="AH14" s="1068"/>
      <c r="AI14" s="1068"/>
      <c r="AJ14" s="1068"/>
      <c r="AK14" s="1068"/>
      <c r="AL14" s="1068"/>
      <c r="AM14" s="1068"/>
    </row>
    <row r="15" spans="1:40" ht="12.95" customHeight="1">
      <c r="B15" s="8"/>
      <c r="C15" s="1618" t="s">
        <v>770</v>
      </c>
      <c r="D15" s="1618"/>
      <c r="E15" s="1618"/>
      <c r="F15" s="1618"/>
      <c r="G15" s="1618"/>
      <c r="H15" s="1618"/>
      <c r="I15" s="1618"/>
      <c r="J15" s="1618"/>
      <c r="K15" s="1618"/>
      <c r="L15" s="1618"/>
      <c r="M15" s="1618"/>
      <c r="N15" s="1618"/>
      <c r="O15" s="1618"/>
      <c r="P15" s="1618"/>
      <c r="Q15" s="1618"/>
      <c r="R15" s="1618"/>
      <c r="S15" s="1619"/>
      <c r="T15" s="1214"/>
      <c r="U15" s="1068"/>
      <c r="V15" s="1068"/>
      <c r="W15" s="1068"/>
      <c r="X15" s="1068"/>
      <c r="Y15" s="1214"/>
      <c r="Z15" s="1068"/>
      <c r="AA15" s="1068"/>
      <c r="AB15" s="1068"/>
      <c r="AC15" s="1068"/>
      <c r="AD15" s="1068"/>
      <c r="AE15" s="1068"/>
      <c r="AF15" s="1068"/>
      <c r="AG15" s="1068"/>
      <c r="AH15" s="1068"/>
      <c r="AI15" s="1068"/>
      <c r="AJ15" s="1068"/>
      <c r="AK15" s="1068"/>
      <c r="AL15" s="1068"/>
      <c r="AM15" s="1068"/>
    </row>
    <row r="16" spans="1:40" ht="12.95" customHeight="1">
      <c r="B16" s="8"/>
      <c r="C16" s="1617" t="s">
        <v>1013</v>
      </c>
      <c r="D16" s="1617"/>
      <c r="E16" s="1617"/>
      <c r="F16" s="1617"/>
      <c r="G16" s="1617"/>
      <c r="H16" s="1617"/>
      <c r="I16" s="1617"/>
      <c r="J16" s="1617"/>
      <c r="K16" s="1617"/>
      <c r="L16" s="1617"/>
      <c r="M16" s="1617"/>
      <c r="N16" s="1617"/>
      <c r="O16" s="1617"/>
      <c r="P16" s="1617"/>
      <c r="Q16" s="1617"/>
      <c r="R16" s="1617"/>
      <c r="S16" s="1620"/>
      <c r="T16" s="1214"/>
      <c r="U16" s="1068"/>
      <c r="V16" s="1068"/>
      <c r="W16" s="1068"/>
      <c r="X16" s="1068"/>
      <c r="Y16" s="1214"/>
      <c r="Z16" s="1068"/>
      <c r="AA16" s="1068"/>
      <c r="AB16" s="1068"/>
      <c r="AC16" s="1068"/>
      <c r="AD16" s="1068"/>
      <c r="AE16" s="1068"/>
      <c r="AF16" s="1068"/>
      <c r="AG16" s="1068"/>
      <c r="AH16" s="1068"/>
      <c r="AI16" s="1068"/>
      <c r="AJ16" s="1068"/>
      <c r="AK16" s="1068"/>
      <c r="AL16" s="1068"/>
      <c r="AM16" s="1068"/>
    </row>
    <row r="17" spans="1:39" ht="12.95" customHeight="1">
      <c r="B17" s="8"/>
      <c r="C17" s="1618" t="s">
        <v>771</v>
      </c>
      <c r="D17" s="1618"/>
      <c r="E17" s="1618"/>
      <c r="F17" s="1618"/>
      <c r="G17" s="1618"/>
      <c r="H17" s="1618"/>
      <c r="I17" s="1618"/>
      <c r="J17" s="1618"/>
      <c r="K17" s="1618"/>
      <c r="L17" s="1618"/>
      <c r="M17" s="1618"/>
      <c r="N17" s="1618"/>
      <c r="O17" s="1618"/>
      <c r="P17" s="1618"/>
      <c r="Q17" s="1618"/>
      <c r="R17" s="1618"/>
      <c r="S17" s="1619"/>
      <c r="T17" s="1214"/>
      <c r="U17" s="1068"/>
      <c r="V17" s="1068"/>
      <c r="W17" s="1068"/>
      <c r="X17" s="1068"/>
      <c r="Y17" s="1214"/>
      <c r="Z17" s="1068"/>
      <c r="AA17" s="1068"/>
      <c r="AB17" s="1068"/>
      <c r="AC17" s="1068"/>
      <c r="AD17" s="1068"/>
      <c r="AE17" s="1068"/>
      <c r="AF17" s="1068"/>
      <c r="AG17" s="1068"/>
      <c r="AH17" s="1068"/>
      <c r="AI17" s="1068"/>
      <c r="AJ17" s="1068"/>
      <c r="AK17" s="1068"/>
      <c r="AL17" s="1068"/>
      <c r="AM17" s="1068"/>
    </row>
    <row r="18" spans="1:39" ht="12.95" customHeight="1">
      <c r="B18" s="941"/>
      <c r="C18" s="1594" t="s">
        <v>2482</v>
      </c>
      <c r="D18" s="1594"/>
      <c r="E18" s="1594"/>
      <c r="F18" s="1594"/>
      <c r="G18" s="1594"/>
      <c r="H18" s="1594"/>
      <c r="I18" s="1594"/>
      <c r="J18" s="1594"/>
      <c r="K18" s="1594"/>
      <c r="L18" s="1594"/>
      <c r="M18" s="1594"/>
      <c r="N18" s="1594"/>
      <c r="O18" s="1594"/>
      <c r="P18" s="1594"/>
      <c r="Q18" s="1594"/>
      <c r="R18" s="1594"/>
      <c r="S18" s="1595"/>
      <c r="T18" s="1212">
        <v>292878</v>
      </c>
      <c r="U18" s="1213"/>
      <c r="V18" s="1213"/>
      <c r="W18" s="1213"/>
      <c r="X18" s="1214"/>
      <c r="Y18" s="1214"/>
      <c r="Z18" s="1068"/>
      <c r="AA18" s="1068"/>
      <c r="AB18" s="1068"/>
      <c r="AC18" s="1068"/>
      <c r="AD18" s="1068"/>
      <c r="AE18" s="1068"/>
      <c r="AF18" s="1068"/>
      <c r="AG18" s="1068"/>
      <c r="AH18" s="1068"/>
      <c r="AI18" s="1068"/>
      <c r="AJ18" s="1068"/>
      <c r="AK18" s="1068"/>
      <c r="AL18" s="1068"/>
      <c r="AM18" s="1068"/>
    </row>
    <row r="19" spans="1:39" ht="12.95" customHeight="1">
      <c r="B19" s="484"/>
      <c r="C19" s="1594" t="s">
        <v>1218</v>
      </c>
      <c r="D19" s="1594"/>
      <c r="E19" s="1594"/>
      <c r="F19" s="1594"/>
      <c r="G19" s="1594"/>
      <c r="H19" s="1594"/>
      <c r="I19" s="1594"/>
      <c r="J19" s="1594"/>
      <c r="K19" s="1594"/>
      <c r="L19" s="1594"/>
      <c r="M19" s="1594"/>
      <c r="N19" s="1594"/>
      <c r="O19" s="1594"/>
      <c r="P19" s="1594"/>
      <c r="Q19" s="1594"/>
      <c r="R19" s="1594"/>
      <c r="S19" s="1595"/>
      <c r="T19" s="1214"/>
      <c r="U19" s="1068"/>
      <c r="V19" s="1068"/>
      <c r="W19" s="1068"/>
      <c r="X19" s="1068"/>
      <c r="Y19" s="1214"/>
      <c r="Z19" s="1068"/>
      <c r="AA19" s="1068"/>
      <c r="AB19" s="1068"/>
      <c r="AC19" s="1068"/>
      <c r="AD19" s="1068"/>
      <c r="AE19" s="1068"/>
      <c r="AF19" s="1068"/>
      <c r="AG19" s="1068"/>
      <c r="AH19" s="1068"/>
      <c r="AI19" s="1068"/>
      <c r="AJ19" s="1068"/>
      <c r="AK19" s="1068"/>
      <c r="AL19" s="1068"/>
      <c r="AM19" s="1068"/>
    </row>
    <row r="20" spans="1:39" ht="12.95" customHeight="1">
      <c r="B20" s="1186" t="s">
        <v>772</v>
      </c>
      <c r="C20" s="1187"/>
      <c r="D20" s="1187"/>
      <c r="E20" s="1187"/>
      <c r="F20" s="1187"/>
      <c r="G20" s="1187"/>
      <c r="H20" s="1187"/>
      <c r="I20" s="1187"/>
      <c r="J20" s="1187"/>
      <c r="K20" s="1187"/>
      <c r="L20" s="1187"/>
      <c r="M20" s="1187"/>
      <c r="N20" s="1187"/>
      <c r="O20" s="1187"/>
      <c r="P20" s="1187"/>
      <c r="Q20" s="1187"/>
      <c r="R20" s="1187"/>
      <c r="S20" s="1188"/>
      <c r="T20" s="1606">
        <f>SUM(T13:X19)</f>
        <v>292878</v>
      </c>
      <c r="U20" s="1206"/>
      <c r="V20" s="1206"/>
      <c r="W20" s="1206"/>
      <c r="X20" s="1206"/>
      <c r="Y20" s="1606">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1713</v>
      </c>
      <c r="C21" s="1187"/>
      <c r="D21" s="1187"/>
      <c r="E21" s="1187"/>
      <c r="F21" s="1187"/>
      <c r="G21" s="1187"/>
      <c r="H21" s="1187"/>
      <c r="I21" s="1187"/>
      <c r="J21" s="1187"/>
      <c r="K21" s="1187"/>
      <c r="L21" s="1187"/>
      <c r="M21" s="1187"/>
      <c r="N21" s="1187"/>
      <c r="O21" s="1187"/>
      <c r="P21" s="1187"/>
      <c r="Q21" s="1187"/>
      <c r="R21" s="1187"/>
      <c r="S21" s="1188"/>
      <c r="T21" s="1214"/>
      <c r="U21" s="1068"/>
      <c r="V21" s="1068"/>
      <c r="W21" s="1068"/>
      <c r="X21" s="1068"/>
      <c r="Y21" s="1214"/>
      <c r="Z21" s="1068"/>
      <c r="AA21" s="1068"/>
      <c r="AB21" s="1068"/>
      <c r="AC21" s="1068"/>
      <c r="AD21" s="1214"/>
      <c r="AE21" s="1068"/>
      <c r="AF21" s="1068"/>
      <c r="AG21" s="1068"/>
      <c r="AH21" s="1068"/>
      <c r="AI21" s="1214"/>
      <c r="AJ21" s="1068"/>
      <c r="AK21" s="1068"/>
      <c r="AL21" s="1068"/>
      <c r="AM21" s="1068"/>
    </row>
    <row r="22" spans="1:39" ht="12.95" customHeight="1">
      <c r="B22" s="1186" t="s">
        <v>773</v>
      </c>
      <c r="C22" s="1187"/>
      <c r="D22" s="1187"/>
      <c r="E22" s="1187"/>
      <c r="F22" s="1187"/>
      <c r="G22" s="1187"/>
      <c r="H22" s="1187"/>
      <c r="I22" s="1187"/>
      <c r="J22" s="1187"/>
      <c r="K22" s="1187"/>
      <c r="L22" s="1187"/>
      <c r="M22" s="1187"/>
      <c r="N22" s="1187"/>
      <c r="O22" s="1187"/>
      <c r="P22" s="1187"/>
      <c r="Q22" s="1187"/>
      <c r="R22" s="1187"/>
      <c r="S22" s="1188"/>
      <c r="T22" s="1607">
        <f>(ABS(T20)+ABS(T21))*-1</f>
        <v>-292878</v>
      </c>
      <c r="U22" s="1608"/>
      <c r="V22" s="1608"/>
      <c r="W22" s="1608"/>
      <c r="X22" s="1608"/>
      <c r="Y22" s="1607">
        <f t="shared" ref="Y22" si="0">(ABS(Y20)+ABS(Y21))*-1</f>
        <v>0</v>
      </c>
      <c r="Z22" s="1608"/>
      <c r="AA22" s="1608"/>
      <c r="AB22" s="1608"/>
      <c r="AC22" s="1608"/>
      <c r="AD22" s="1607">
        <f t="shared" ref="AD22" si="1">(ABS(AD20)+ABS(AD21))*-1</f>
        <v>0</v>
      </c>
      <c r="AE22" s="1608"/>
      <c r="AF22" s="1608"/>
      <c r="AG22" s="1608"/>
      <c r="AH22" s="1608"/>
      <c r="AI22" s="1607">
        <f t="shared" ref="AI22" si="2">(ABS(AI20)+ABS(AI21))*-1</f>
        <v>0</v>
      </c>
      <c r="AJ22" s="1608"/>
      <c r="AK22" s="1608"/>
      <c r="AL22" s="1608"/>
      <c r="AM22" s="1608"/>
    </row>
    <row r="23" spans="1:39" ht="12.95" customHeight="1">
      <c r="B23" s="1186" t="s">
        <v>1908</v>
      </c>
      <c r="C23" s="1187"/>
      <c r="D23" s="1187"/>
      <c r="E23" s="1187"/>
      <c r="F23" s="1187"/>
      <c r="G23" s="1187"/>
      <c r="H23" s="1187"/>
      <c r="I23" s="1187"/>
      <c r="J23" s="1187"/>
      <c r="K23" s="1187"/>
      <c r="L23" s="1187"/>
      <c r="M23" s="1187"/>
      <c r="N23" s="1187"/>
      <c r="O23" s="1187"/>
      <c r="P23" s="1187"/>
      <c r="Q23" s="1187"/>
      <c r="R23" s="1187"/>
      <c r="S23" s="1188"/>
      <c r="T23" s="1606">
        <f>T11+T22</f>
        <v>9167940</v>
      </c>
      <c r="U23" s="1206"/>
      <c r="V23" s="1206"/>
      <c r="W23" s="1206"/>
      <c r="X23" s="1206"/>
      <c r="Y23" s="1606">
        <f>Y11+Y22</f>
        <v>0</v>
      </c>
      <c r="Z23" s="1206"/>
      <c r="AA23" s="1206"/>
      <c r="AB23" s="1206"/>
      <c r="AC23" s="1206"/>
      <c r="AD23" s="1606">
        <f>IF(AD11=AD21,0,AD11)</f>
        <v>6515056</v>
      </c>
      <c r="AE23" s="1206"/>
      <c r="AF23" s="1206"/>
      <c r="AG23" s="1206"/>
      <c r="AH23" s="1206"/>
      <c r="AI23" s="1606">
        <f>IF(AI11=AI21,0,AI11)</f>
        <v>0</v>
      </c>
      <c r="AJ23" s="1206"/>
      <c r="AK23" s="1206"/>
      <c r="AL23" s="1206"/>
      <c r="AM23" s="1206"/>
    </row>
    <row r="24" spans="1:39" ht="12.95" customHeight="1">
      <c r="B24" s="1186" t="s">
        <v>1219</v>
      </c>
      <c r="C24" s="1187"/>
      <c r="D24" s="1187"/>
      <c r="E24" s="1187"/>
      <c r="F24" s="1187"/>
      <c r="G24" s="1187"/>
      <c r="H24" s="1187"/>
      <c r="I24" s="1187"/>
      <c r="J24" s="1187"/>
      <c r="K24" s="1187"/>
      <c r="L24" s="1187"/>
      <c r="M24" s="1187"/>
      <c r="N24" s="1187"/>
      <c r="O24" s="1187"/>
      <c r="P24" s="1187"/>
      <c r="Q24" s="1187"/>
      <c r="R24" s="1187"/>
      <c r="S24" s="1188"/>
      <c r="T24" s="1604">
        <f>Application!AJ1020</f>
        <v>25252026</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1910</v>
      </c>
      <c r="C25" s="1597"/>
      <c r="D25" s="1597"/>
      <c r="E25" s="1597"/>
      <c r="F25" s="1597"/>
      <c r="G25" s="1597"/>
      <c r="H25" s="1597"/>
      <c r="I25" s="1597"/>
      <c r="J25" s="1597"/>
      <c r="K25" s="1597"/>
      <c r="L25" s="1597"/>
      <c r="M25" s="1597"/>
      <c r="N25" s="1597"/>
      <c r="O25" s="1597"/>
      <c r="P25" s="1597"/>
      <c r="Q25" s="1597"/>
      <c r="R25" s="1597"/>
      <c r="S25" s="1598"/>
      <c r="T25" s="1610">
        <f>IF(OR(AND(Application!T193="no",Application!T194="no",Application!T196="no",Application!Y211="no"),Application!T195="yes"),1,1.3)</f>
        <v>1.3</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6" t="s">
        <v>775</v>
      </c>
      <c r="C26" s="1187"/>
      <c r="D26" s="1187"/>
      <c r="E26" s="1187"/>
      <c r="F26" s="1187"/>
      <c r="G26" s="1187"/>
      <c r="H26" s="1187"/>
      <c r="I26" s="1187"/>
      <c r="J26" s="1187"/>
      <c r="K26" s="1187"/>
      <c r="L26" s="1187"/>
      <c r="M26" s="1187"/>
      <c r="N26" s="1187"/>
      <c r="O26" s="1187"/>
      <c r="P26" s="1187"/>
      <c r="Q26" s="1187"/>
      <c r="R26" s="1187"/>
      <c r="S26" s="1188"/>
      <c r="T26" s="1230">
        <f>T23*T25</f>
        <v>11918322</v>
      </c>
      <c r="U26" s="1609"/>
      <c r="V26" s="1609"/>
      <c r="W26" s="1609"/>
      <c r="X26" s="1609"/>
      <c r="Y26" s="1230">
        <f>Y23*Y25</f>
        <v>0</v>
      </c>
      <c r="Z26" s="1609"/>
      <c r="AA26" s="1609"/>
      <c r="AB26" s="1609"/>
      <c r="AC26" s="1609"/>
      <c r="AD26" s="1230">
        <f>AD23*AD25</f>
        <v>6515056</v>
      </c>
      <c r="AE26" s="1609"/>
      <c r="AF26" s="1609"/>
      <c r="AG26" s="1609"/>
      <c r="AH26" s="1609"/>
      <c r="AI26" s="1230">
        <f>AI23*AI25</f>
        <v>0</v>
      </c>
      <c r="AJ26" s="1609"/>
      <c r="AK26" s="1609"/>
      <c r="AL26" s="1609"/>
      <c r="AM26" s="1609"/>
    </row>
    <row r="27" spans="1:39" ht="12.95" customHeight="1">
      <c r="A27" s="4"/>
      <c r="B27" s="1599" t="s">
        <v>880</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6" t="s">
        <v>844</v>
      </c>
      <c r="C28" s="1187"/>
      <c r="D28" s="1187"/>
      <c r="E28" s="1187"/>
      <c r="F28" s="1187"/>
      <c r="G28" s="1187"/>
      <c r="H28" s="1187"/>
      <c r="I28" s="1187"/>
      <c r="J28" s="1187"/>
      <c r="K28" s="1187"/>
      <c r="L28" s="1187"/>
      <c r="M28" s="1187"/>
      <c r="N28" s="1187"/>
      <c r="O28" s="1187"/>
      <c r="P28" s="1187"/>
      <c r="Q28" s="1187"/>
      <c r="R28" s="1187"/>
      <c r="S28" s="1188"/>
      <c r="T28" s="1230">
        <f>IF(ISERROR((T26*T27)),0,(T26*T27))</f>
        <v>11918322</v>
      </c>
      <c r="U28" s="1609"/>
      <c r="V28" s="1609"/>
      <c r="W28" s="1609"/>
      <c r="X28" s="1609"/>
      <c r="Y28" s="1230">
        <f>IF(ISERROR((Y26*Y27)),0,(Y26*Y27))</f>
        <v>0</v>
      </c>
      <c r="Z28" s="1609"/>
      <c r="AA28" s="1609"/>
      <c r="AB28" s="1609"/>
      <c r="AC28" s="1609"/>
      <c r="AD28" s="1230">
        <f>IF(ISERROR((AD26*AD27)),0,(AD26*AD27))</f>
        <v>6515056</v>
      </c>
      <c r="AE28" s="1609"/>
      <c r="AF28" s="1609"/>
      <c r="AG28" s="1609"/>
      <c r="AH28" s="1609"/>
      <c r="AI28" s="1230">
        <f>IF(ISERROR((AI26*AI27)),0,(AI26*AI27))</f>
        <v>0</v>
      </c>
      <c r="AJ28" s="1609"/>
      <c r="AK28" s="1609"/>
      <c r="AL28" s="1609"/>
      <c r="AM28" s="1609"/>
    </row>
    <row r="29" spans="1:39" ht="12.95" customHeight="1">
      <c r="B29" s="1186" t="s">
        <v>624</v>
      </c>
      <c r="C29" s="1187"/>
      <c r="D29" s="1187"/>
      <c r="E29" s="1187"/>
      <c r="F29" s="1187"/>
      <c r="G29" s="1187"/>
      <c r="H29" s="1187"/>
      <c r="I29" s="1187"/>
      <c r="J29" s="1187"/>
      <c r="K29" s="1187"/>
      <c r="L29" s="1187"/>
      <c r="M29" s="1187"/>
      <c r="N29" s="1187"/>
      <c r="O29" s="1187"/>
      <c r="P29" s="1187"/>
      <c r="Q29" s="1187"/>
      <c r="R29" s="1187"/>
      <c r="S29" s="1188"/>
      <c r="T29" s="1604">
        <f>T28+Y28+AD28+AI28</f>
        <v>18433378</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640" t="s">
        <v>1909</v>
      </c>
      <c r="C30" s="1640"/>
      <c r="D30" s="1640"/>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40"/>
      <c r="AA30" s="1640"/>
      <c r="AB30" s="1640"/>
      <c r="AC30" s="1640"/>
      <c r="AD30" s="1640"/>
      <c r="AE30" s="1640"/>
      <c r="AF30" s="1640"/>
      <c r="AG30" s="1640"/>
      <c r="AH30" s="1640"/>
      <c r="AI30" s="1640"/>
      <c r="AJ30" s="1640"/>
      <c r="AK30" s="1640"/>
      <c r="AL30" s="1640"/>
      <c r="AM30" s="1640"/>
    </row>
    <row r="31" spans="1:39" ht="12.95" customHeight="1">
      <c r="B31" s="1641" t="s">
        <v>1911</v>
      </c>
      <c r="C31" s="1641"/>
      <c r="D31" s="1641"/>
      <c r="E31" s="1641"/>
      <c r="F31" s="1641"/>
      <c r="G31" s="1641"/>
      <c r="H31" s="1641"/>
      <c r="I31" s="1641"/>
      <c r="J31" s="1641"/>
      <c r="K31" s="1641"/>
      <c r="L31" s="1641"/>
      <c r="M31" s="1641"/>
      <c r="N31" s="1641"/>
      <c r="O31" s="1641"/>
      <c r="P31" s="1641"/>
      <c r="Q31" s="1641"/>
      <c r="R31" s="1641"/>
      <c r="S31" s="1641"/>
      <c r="T31" s="1641"/>
      <c r="U31" s="1641"/>
      <c r="V31" s="1641"/>
      <c r="W31" s="1641"/>
      <c r="X31" s="1641"/>
      <c r="Y31" s="1641"/>
      <c r="Z31" s="1641"/>
      <c r="AA31" s="1641"/>
      <c r="AB31" s="1641"/>
      <c r="AC31" s="1641"/>
      <c r="AD31" s="1641"/>
      <c r="AE31" s="1641"/>
      <c r="AF31" s="1641"/>
      <c r="AG31" s="1641"/>
      <c r="AH31" s="1641"/>
      <c r="AI31" s="1641"/>
      <c r="AJ31" s="1641"/>
      <c r="AK31" s="1641"/>
      <c r="AL31" s="1641"/>
      <c r="AM31" s="1641"/>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3" t="s">
        <v>1606</v>
      </c>
      <c r="Z35" s="1613"/>
      <c r="AA35" s="1613"/>
      <c r="AB35" s="1613"/>
      <c r="AC35" s="1613"/>
      <c r="AD35" s="1501" t="s">
        <v>41</v>
      </c>
      <c r="AE35" s="1501"/>
      <c r="AF35" s="1501"/>
      <c r="AG35" s="1501"/>
      <c r="AH35" s="1501"/>
    </row>
    <row r="36" spans="1:44" ht="12.95" customHeight="1">
      <c r="B36" s="204"/>
      <c r="X36" s="71"/>
      <c r="Y36" s="1613"/>
      <c r="Z36" s="1613"/>
      <c r="AA36" s="1613"/>
      <c r="AB36" s="1613"/>
      <c r="AC36" s="1613"/>
      <c r="AD36" s="1501"/>
      <c r="AE36" s="1501"/>
      <c r="AF36" s="1501"/>
      <c r="AG36" s="1501"/>
      <c r="AH36" s="1501"/>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01"/>
      <c r="AE37" s="1501"/>
      <c r="AF37" s="1501"/>
      <c r="AG37" s="1501"/>
      <c r="AH37" s="1501"/>
    </row>
    <row r="38" spans="1:44" ht="12.95" customHeight="1">
      <c r="A38" s="3"/>
      <c r="B38" s="1186" t="s">
        <v>844</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11918322</v>
      </c>
      <c r="Z38" s="1206"/>
      <c r="AA38" s="1206"/>
      <c r="AB38" s="1206"/>
      <c r="AC38" s="1206"/>
      <c r="AD38" s="1206">
        <f>IF(T24&gt;=(T23+Y23+AD23+AI23),AD28+AI28,0)</f>
        <v>6515056</v>
      </c>
      <c r="AE38" s="1206"/>
      <c r="AF38" s="1206"/>
      <c r="AG38" s="1206"/>
      <c r="AH38" s="1206"/>
    </row>
    <row r="39" spans="1:44" ht="12.95" customHeight="1">
      <c r="B39" s="1186" t="s">
        <v>1818</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44">
        <v>0.09</v>
      </c>
      <c r="Z39" s="1644"/>
      <c r="AA39" s="1644"/>
      <c r="AB39" s="1644"/>
      <c r="AC39" s="1644"/>
      <c r="AD39" s="1644">
        <v>0.04</v>
      </c>
      <c r="AE39" s="1644"/>
      <c r="AF39" s="1644"/>
      <c r="AG39" s="1644"/>
      <c r="AH39" s="1644"/>
    </row>
    <row r="40" spans="1:44"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1072649</v>
      </c>
      <c r="Z40" s="1206"/>
      <c r="AA40" s="1206"/>
      <c r="AB40" s="1206"/>
      <c r="AC40" s="1206"/>
      <c r="AD40" s="1606">
        <f>ROUND(AD38*AD39,0)</f>
        <v>260602</v>
      </c>
      <c r="AE40" s="1206"/>
      <c r="AF40" s="1206"/>
      <c r="AG40" s="1206"/>
      <c r="AH40" s="1206"/>
    </row>
    <row r="41" spans="1:44" ht="12.95" customHeight="1">
      <c r="B41" s="1186" t="s">
        <v>618</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4">
        <f>IF(Application!Y211="No",'Basis &amp; Credits'!AR42,AR43)</f>
        <v>1333251</v>
      </c>
      <c r="Z41" s="1605"/>
      <c r="AA41" s="1605"/>
      <c r="AB41" s="1605"/>
      <c r="AC41" s="1605"/>
      <c r="AD41" s="1605"/>
      <c r="AE41" s="1605"/>
      <c r="AF41" s="1605"/>
      <c r="AG41" s="1605"/>
      <c r="AH41" s="1606"/>
    </row>
    <row r="42" spans="1:44" ht="12.95" customHeight="1">
      <c r="A42" s="3"/>
      <c r="B42" s="1638" t="s">
        <v>1819</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c r="AR42">
        <f>IF((Y40+AD40)&gt;2500000,2500000,Y40+AD40)</f>
        <v>1333251</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1333251</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7">
        <f>'Sources and Uses Budget'!B104-(MAX(IF('Sources and Uses Budget'!B15="",0,'Sources and Uses Budget'!B15),IF(Application!AG387="",0,Application!AG387)))</f>
        <v>17956425</v>
      </c>
      <c r="AC46" s="1198"/>
      <c r="AD46" s="1198"/>
      <c r="AE46" s="1198"/>
      <c r="AF46" s="1199"/>
    </row>
    <row r="47" spans="1:44" ht="12.95" customHeight="1">
      <c r="D47" s="3" t="s">
        <v>838</v>
      </c>
      <c r="AB47" s="1197">
        <f>Application!AO633-MAX(IF('Sources and Uses Budget'!B15="",0,'Sources and Uses Budget'!B15),IF(Application!AG387="",0,Application!AG387))</f>
        <v>7607460</v>
      </c>
      <c r="AC47" s="1198"/>
      <c r="AD47" s="1198"/>
      <c r="AE47" s="1198"/>
      <c r="AF47" s="1199"/>
    </row>
    <row r="48" spans="1:44" ht="12.95" customHeight="1">
      <c r="D48" s="3" t="s">
        <v>379</v>
      </c>
      <c r="AB48" s="1197">
        <f>AB46-AB47</f>
        <v>10348965</v>
      </c>
      <c r="AC48" s="1198"/>
      <c r="AD48" s="1198"/>
      <c r="AE48" s="1198"/>
      <c r="AF48" s="1199"/>
    </row>
    <row r="49" spans="1:40" ht="12.95" customHeight="1">
      <c r="D49" s="3" t="s">
        <v>873</v>
      </c>
      <c r="AA49" s="34"/>
      <c r="AB49" s="1633">
        <f>0.92*0.9999</f>
        <v>0.91990800000000006</v>
      </c>
      <c r="AC49" s="1634"/>
      <c r="AD49" s="1634"/>
      <c r="AE49" s="1634"/>
      <c r="AF49" s="1635"/>
    </row>
    <row r="50" spans="1:40" s="323" customFormat="1" ht="12.95" customHeight="1">
      <c r="A50"/>
      <c r="B50"/>
      <c r="C50"/>
      <c r="D50"/>
      <c r="E50" s="1639" t="s">
        <v>1955</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11250000</v>
      </c>
      <c r="AC53" s="1198"/>
      <c r="AD53" s="1198"/>
      <c r="AE53" s="1198"/>
      <c r="AF53" s="1199"/>
    </row>
    <row r="54" spans="1:40" ht="12.95" customHeight="1">
      <c r="D54" s="3" t="s">
        <v>562</v>
      </c>
      <c r="AB54" s="1197">
        <f>(AB53/10)</f>
        <v>1125000</v>
      </c>
      <c r="AC54" s="1198"/>
      <c r="AD54" s="1198"/>
      <c r="AE54" s="1198"/>
      <c r="AF54" s="1199"/>
    </row>
    <row r="55" spans="1:40" ht="12.95" customHeight="1">
      <c r="D55" s="3" t="s">
        <v>342</v>
      </c>
      <c r="AB55" s="1197">
        <f>(IF((Y41&lt;AB54),Y41,AB54))</f>
        <v>1125000</v>
      </c>
      <c r="AC55" s="1198"/>
      <c r="AD55" s="1198"/>
      <c r="AE55" s="1198"/>
      <c r="AF55" s="1199"/>
    </row>
    <row r="56" spans="1:40" ht="12.95" customHeight="1">
      <c r="D56" s="3" t="s">
        <v>107</v>
      </c>
      <c r="AB56" s="1197">
        <f>ROUND((10*AB55*AB49),0)</f>
        <v>10348965</v>
      </c>
      <c r="AC56" s="1198"/>
      <c r="AD56" s="1198"/>
      <c r="AE56" s="1198"/>
      <c r="AF56" s="1199"/>
    </row>
    <row r="57" spans="1:40" ht="12.95" customHeight="1">
      <c r="D57" s="3"/>
      <c r="AB57" s="276"/>
      <c r="AC57" s="276"/>
      <c r="AD57" s="276"/>
      <c r="AE57" s="276"/>
      <c r="AF57" s="276"/>
    </row>
    <row r="58" spans="1:40" ht="12.95" customHeight="1">
      <c r="D58" s="3" t="s">
        <v>106</v>
      </c>
      <c r="AB58" s="1218">
        <f>AB48-AB56</f>
        <v>0</v>
      </c>
      <c r="AC58" s="1218"/>
      <c r="AD58" s="1218"/>
      <c r="AE58" s="1218"/>
      <c r="AF58" s="121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42" t="s">
        <v>1752</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5" customHeight="1">
      <c r="A62" s="3" t="s">
        <v>122</v>
      </c>
      <c r="C62" s="3" t="s">
        <v>510</v>
      </c>
      <c r="Y62" s="1173" t="s">
        <v>298</v>
      </c>
      <c r="Z62" s="1173"/>
      <c r="AA62" s="1173"/>
      <c r="AB62" s="1173"/>
      <c r="AC62" s="1173"/>
      <c r="AD62" s="1173" t="s">
        <v>41</v>
      </c>
      <c r="AE62" s="1173"/>
      <c r="AF62" s="1173"/>
      <c r="AG62" s="1173"/>
      <c r="AH62" s="1173"/>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0</v>
      </c>
      <c r="Z63" s="1636"/>
      <c r="AA63" s="1636"/>
      <c r="AB63" s="1636"/>
      <c r="AC63" s="1636"/>
      <c r="AD63" s="1206">
        <f>IF(AND(T25=1.3,Application!D214="At-Risk"),AI28,IF(Application!D214&lt;&gt;"At-Risk",0,AD28))</f>
        <v>0</v>
      </c>
      <c r="AE63" s="1636"/>
      <c r="AF63" s="1636"/>
      <c r="AG63" s="1636"/>
      <c r="AH63" s="1636"/>
    </row>
    <row r="64" spans="1:40" ht="12.95" customHeight="1">
      <c r="C64" s="3"/>
      <c r="E64" s="1643" t="s">
        <v>1290</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21.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2">
        <f>IF(Application!W198="Yes",95%, 30%)</f>
        <v>0.3</v>
      </c>
      <c r="Z66" s="1632"/>
      <c r="AA66" s="1632"/>
      <c r="AB66" s="1632"/>
      <c r="AC66" s="1632"/>
      <c r="AD66" s="1632">
        <f>IF(Application!W198="Yes",95%, 13%)</f>
        <v>0.13</v>
      </c>
      <c r="AE66" s="1632"/>
      <c r="AF66" s="1632"/>
      <c r="AG66" s="1632"/>
      <c r="AH66" s="1632"/>
    </row>
    <row r="67" spans="1:34" ht="12.95" customHeight="1">
      <c r="C67" s="3"/>
      <c r="D67" s="3" t="s">
        <v>942</v>
      </c>
      <c r="Y67" s="1206">
        <f>ROUND(Y63*Y66,0)</f>
        <v>0</v>
      </c>
      <c r="Z67" s="1636"/>
      <c r="AA67" s="1636"/>
      <c r="AB67" s="1636"/>
      <c r="AC67" s="1636"/>
      <c r="AD67" s="1206" t="str">
        <f>IF(OR(Application!D211="At-Risk",Application!D211="At-Risk/Located in Rural Census Tract",Application!D214="At-Risk"),ROUND(AD63*AD66,0),"$0")</f>
        <v>$0</v>
      </c>
      <c r="AE67" s="1206"/>
      <c r="AF67" s="1206"/>
      <c r="AG67" s="1206"/>
      <c r="AH67" s="1206"/>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33"/>
      <c r="AC70" s="1634"/>
      <c r="AD70" s="1634"/>
      <c r="AE70" s="1634"/>
      <c r="AF70" s="1635"/>
    </row>
    <row r="71" spans="1:34" ht="12.95" customHeight="1">
      <c r="A71" s="3"/>
      <c r="C71" s="3"/>
      <c r="D71" s="3"/>
      <c r="E71" s="1637" t="s">
        <v>2253</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5">
        <f>IF((Y67+AD67&lt;AB75),Y67+AD67,AB75)</f>
        <v>0</v>
      </c>
      <c r="AC76" s="1556"/>
      <c r="AD76" s="1556"/>
      <c r="AE76" s="1556"/>
      <c r="AF76" s="1557"/>
    </row>
    <row r="77" spans="1:34" ht="12.95" customHeight="1">
      <c r="C77" s="3"/>
      <c r="D77" s="3" t="s">
        <v>943</v>
      </c>
      <c r="AB77" s="1631">
        <f>AB76*AB70</f>
        <v>0</v>
      </c>
      <c r="AC77" s="1631"/>
      <c r="AD77" s="1631"/>
      <c r="AE77" s="1631"/>
      <c r="AF77" s="1631"/>
    </row>
    <row r="78" spans="1:34" ht="12.95" customHeight="1">
      <c r="C78" s="3"/>
      <c r="D78" s="3"/>
      <c r="AB78" s="598"/>
      <c r="AC78" s="598"/>
      <c r="AD78" s="598"/>
      <c r="AE78" s="598"/>
      <c r="AF78" s="598"/>
    </row>
    <row r="79" spans="1:34" ht="12.95" customHeight="1">
      <c r="D79" s="3" t="s">
        <v>106</v>
      </c>
      <c r="AB79" s="1218">
        <f>AB48-(AB56+AB77)</f>
        <v>0</v>
      </c>
      <c r="AC79" s="1218"/>
      <c r="AD79" s="1218"/>
      <c r="AE79" s="1218"/>
      <c r="AF79" s="121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3" workbookViewId="0">
      <selection activeCell="D18" sqref="D18"/>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5" t="s">
        <v>1826</v>
      </c>
      <c r="B1" s="1646"/>
      <c r="C1" s="1646"/>
      <c r="D1" s="1646"/>
      <c r="E1" s="1646"/>
      <c r="F1" s="1646"/>
      <c r="G1" s="1646"/>
      <c r="H1" s="1646"/>
      <c r="I1" s="1646"/>
      <c r="J1" s="1647"/>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550000</v>
      </c>
      <c r="C4" s="585"/>
      <c r="D4" s="585">
        <f>B4</f>
        <v>550000</v>
      </c>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550000</v>
      </c>
      <c r="C8" s="584">
        <f>SUM(C4:C7)</f>
        <v>0</v>
      </c>
      <c r="D8" s="584">
        <f>SUM(D4:D7)</f>
        <v>550000</v>
      </c>
      <c r="E8" s="586"/>
      <c r="F8" s="586"/>
      <c r="G8" s="586"/>
      <c r="H8" s="586"/>
      <c r="I8" s="586"/>
      <c r="J8" s="586"/>
      <c r="K8" s="579"/>
    </row>
    <row r="9" spans="1:11" s="253" customFormat="1">
      <c r="A9" s="239" t="s">
        <v>1722</v>
      </c>
      <c r="B9" s="584">
        <f>'Sources and Uses Budget'!C9</f>
        <v>6037315</v>
      </c>
      <c r="C9" s="585"/>
      <c r="D9" s="585">
        <f>B9</f>
        <v>6037315</v>
      </c>
      <c r="E9" s="586"/>
      <c r="F9" s="586"/>
      <c r="G9" s="586"/>
      <c r="H9" s="584">
        <f>'Sources and Uses Budget'!T9</f>
        <v>6037315</v>
      </c>
      <c r="I9" s="585">
        <f>H9</f>
        <v>6037315</v>
      </c>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6037315</v>
      </c>
      <c r="C11" s="584">
        <f>SUM(C9:C10)</f>
        <v>0</v>
      </c>
      <c r="D11" s="584">
        <f>SUM(D9:D10)</f>
        <v>6037315</v>
      </c>
      <c r="E11" s="586"/>
      <c r="F11" s="586"/>
      <c r="G11" s="586"/>
      <c r="H11" s="584">
        <f>'Sources and Uses Budget'!T11</f>
        <v>6037315</v>
      </c>
      <c r="I11" s="584">
        <f>SUM(I9:I10)</f>
        <v>6037315</v>
      </c>
      <c r="J11" s="584">
        <f>SUM(J9:J10)</f>
        <v>0</v>
      </c>
      <c r="K11" s="579"/>
    </row>
    <row r="12" spans="1:11" s="253" customFormat="1">
      <c r="A12" s="243" t="s">
        <v>712</v>
      </c>
      <c r="B12" s="584">
        <f>'Sources and Uses Budget'!C12</f>
        <v>6587315</v>
      </c>
      <c r="C12" s="584">
        <f>SUM(C8+C11)</f>
        <v>0</v>
      </c>
      <c r="D12" s="584">
        <f>SUM(D8+D11)</f>
        <v>6587315</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182380</v>
      </c>
      <c r="C17" s="585"/>
      <c r="D17" s="585">
        <f>B17</f>
        <v>182380</v>
      </c>
      <c r="E17" s="584">
        <f>'Sources and Uses Budget'!S17</f>
        <v>182380</v>
      </c>
      <c r="F17" s="585">
        <f>E17</f>
        <v>182380</v>
      </c>
      <c r="G17" s="585"/>
      <c r="H17" s="584">
        <f>'Sources and Uses Budget'!T17</f>
        <v>0</v>
      </c>
      <c r="I17" s="585"/>
      <c r="J17" s="585"/>
      <c r="K17" s="579"/>
    </row>
    <row r="18" spans="1:11" s="253" customFormat="1">
      <c r="A18" s="239" t="s">
        <v>912</v>
      </c>
      <c r="B18" s="584">
        <f>'Sources and Uses Budget'!C18</f>
        <v>4981971</v>
      </c>
      <c r="C18" s="585"/>
      <c r="D18" s="585">
        <f>B18</f>
        <v>4981971</v>
      </c>
      <c r="E18" s="584">
        <f>'Sources and Uses Budget'!S18</f>
        <v>4981971</v>
      </c>
      <c r="F18" s="585">
        <f>E18</f>
        <v>4981971</v>
      </c>
      <c r="G18" s="585"/>
      <c r="H18" s="584">
        <f>'Sources and Uses Budget'!T18</f>
        <v>0</v>
      </c>
      <c r="I18" s="585"/>
      <c r="J18" s="585"/>
      <c r="K18" s="579"/>
    </row>
    <row r="19" spans="1:11" s="253" customFormat="1">
      <c r="A19" s="239" t="s">
        <v>913</v>
      </c>
      <c r="B19" s="584">
        <f>'Sources and Uses Budget'!C19</f>
        <v>309861</v>
      </c>
      <c r="C19" s="585"/>
      <c r="D19" s="585">
        <f t="shared" ref="D19:D24" si="0">B19</f>
        <v>309861</v>
      </c>
      <c r="E19" s="584">
        <f>'Sources and Uses Budget'!S19</f>
        <v>309861</v>
      </c>
      <c r="F19" s="585">
        <f t="shared" ref="F19:F24" si="1">E19</f>
        <v>309861</v>
      </c>
      <c r="G19" s="585"/>
      <c r="H19" s="584">
        <f>'Sources and Uses Budget'!T19</f>
        <v>0</v>
      </c>
      <c r="I19" s="585"/>
      <c r="J19" s="585"/>
      <c r="K19" s="579"/>
    </row>
    <row r="20" spans="1:11" s="253" customFormat="1">
      <c r="A20" s="239" t="s">
        <v>914</v>
      </c>
      <c r="B20" s="584">
        <f>'Sources and Uses Budget'!C20</f>
        <v>103287</v>
      </c>
      <c r="C20" s="585"/>
      <c r="D20" s="585">
        <f t="shared" si="0"/>
        <v>103287</v>
      </c>
      <c r="E20" s="584">
        <f>'Sources and Uses Budget'!S20</f>
        <v>103287</v>
      </c>
      <c r="F20" s="585">
        <f t="shared" si="1"/>
        <v>103287</v>
      </c>
      <c r="G20" s="585"/>
      <c r="H20" s="584">
        <f>'Sources and Uses Budget'!T20</f>
        <v>0</v>
      </c>
      <c r="I20" s="585"/>
      <c r="J20" s="585"/>
      <c r="K20" s="579"/>
    </row>
    <row r="21" spans="1:11" s="253" customFormat="1">
      <c r="A21" s="239" t="s">
        <v>915</v>
      </c>
      <c r="B21" s="584">
        <f>'Sources and Uses Budget'!C21</f>
        <v>309861</v>
      </c>
      <c r="C21" s="585"/>
      <c r="D21" s="585">
        <f t="shared" si="0"/>
        <v>309861</v>
      </c>
      <c r="E21" s="584">
        <f>'Sources and Uses Budget'!S21</f>
        <v>309861</v>
      </c>
      <c r="F21" s="585">
        <f t="shared" si="1"/>
        <v>309861</v>
      </c>
      <c r="G21" s="585"/>
      <c r="H21" s="584">
        <f>'Sources and Uses Budget'!T21</f>
        <v>0</v>
      </c>
      <c r="I21" s="585"/>
      <c r="J21" s="585"/>
      <c r="K21" s="579"/>
    </row>
    <row r="22" spans="1:11" s="253" customFormat="1">
      <c r="A22" s="239" t="s">
        <v>916</v>
      </c>
      <c r="B22" s="584">
        <f>'Sources and Uses Budget'!C22</f>
        <v>0</v>
      </c>
      <c r="C22" s="585"/>
      <c r="D22" s="585">
        <f t="shared" si="0"/>
        <v>0</v>
      </c>
      <c r="E22" s="584">
        <f>'Sources and Uses Budget'!S22</f>
        <v>0</v>
      </c>
      <c r="F22" s="585">
        <f t="shared" si="1"/>
        <v>0</v>
      </c>
      <c r="G22" s="585"/>
      <c r="H22" s="584">
        <f>'Sources and Uses Budget'!T22</f>
        <v>0</v>
      </c>
      <c r="I22" s="585"/>
      <c r="J22" s="585"/>
      <c r="K22" s="579"/>
    </row>
    <row r="23" spans="1:11" s="253" customFormat="1">
      <c r="A23" s="239" t="s">
        <v>917</v>
      </c>
      <c r="B23" s="584">
        <f>'Sources and Uses Budget'!C23</f>
        <v>70648</v>
      </c>
      <c r="C23" s="585"/>
      <c r="D23" s="585">
        <f t="shared" si="0"/>
        <v>70648</v>
      </c>
      <c r="E23" s="584">
        <f>'Sources and Uses Budget'!S23</f>
        <v>70648</v>
      </c>
      <c r="F23" s="585">
        <f t="shared" si="1"/>
        <v>70648</v>
      </c>
      <c r="G23" s="585"/>
      <c r="H23" s="584">
        <f>'Sources and Uses Budget'!T23</f>
        <v>0</v>
      </c>
      <c r="I23" s="585"/>
      <c r="J23" s="585"/>
      <c r="K23" s="579"/>
    </row>
    <row r="24" spans="1:11" s="253" customFormat="1">
      <c r="A24" s="239" t="str">
        <f>'Sources and Uses Budget'!$A25</f>
        <v>Other: Inspections</v>
      </c>
      <c r="B24" s="584">
        <f>'Sources and Uses Budget'!C25</f>
        <v>15000</v>
      </c>
      <c r="C24" s="585"/>
      <c r="D24" s="585">
        <f t="shared" si="0"/>
        <v>15000</v>
      </c>
      <c r="E24" s="584">
        <f>'Sources and Uses Budget'!S25</f>
        <v>15000</v>
      </c>
      <c r="F24" s="585">
        <f t="shared" si="1"/>
        <v>15000</v>
      </c>
      <c r="G24" s="585"/>
      <c r="H24" s="584">
        <f>'Sources and Uses Budget'!T25</f>
        <v>0</v>
      </c>
      <c r="I24" s="585"/>
      <c r="J24" s="585"/>
      <c r="K24" s="579"/>
    </row>
    <row r="25" spans="1:11" s="253" customFormat="1">
      <c r="A25" s="243" t="s">
        <v>222</v>
      </c>
      <c r="B25" s="584">
        <f>'Sources and Uses Budget'!C26</f>
        <v>5973008</v>
      </c>
      <c r="C25" s="584">
        <f>SUM(C17:C24)</f>
        <v>0</v>
      </c>
      <c r="D25" s="584">
        <f>SUM(D17:D24)</f>
        <v>5973008</v>
      </c>
      <c r="E25" s="584">
        <f>'Sources and Uses Budget'!S26</f>
        <v>5973008</v>
      </c>
      <c r="F25" s="587">
        <f>SUM(F17:F24)</f>
        <v>5973008</v>
      </c>
      <c r="G25" s="587">
        <f>SUM(G17:G24)</f>
        <v>0</v>
      </c>
      <c r="H25" s="584">
        <f>'Sources and Uses Budget'!T26</f>
        <v>0</v>
      </c>
      <c r="I25" s="587">
        <f>SUM(I17:I24)</f>
        <v>0</v>
      </c>
      <c r="J25" s="587">
        <f>SUM(J17:J24)</f>
        <v>0</v>
      </c>
      <c r="K25" s="579"/>
    </row>
    <row r="26" spans="1:11" s="253" customFormat="1">
      <c r="A26" s="243" t="s">
        <v>918</v>
      </c>
      <c r="B26" s="584">
        <f>'Sources and Uses Budget'!C27</f>
        <v>450000</v>
      </c>
      <c r="C26" s="585"/>
      <c r="D26" s="585">
        <f>B26</f>
        <v>450000</v>
      </c>
      <c r="E26" s="584">
        <f>'Sources and Uses Budget'!S27</f>
        <v>450000</v>
      </c>
      <c r="F26" s="585">
        <f>E26</f>
        <v>450000</v>
      </c>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912</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913</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914</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915</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70300</v>
      </c>
      <c r="C39" s="585"/>
      <c r="D39" s="585">
        <f>B39</f>
        <v>70300</v>
      </c>
      <c r="E39" s="584">
        <f>'Sources and Uses Budget'!S40</f>
        <v>70300</v>
      </c>
      <c r="F39" s="585">
        <f>E39</f>
        <v>70300</v>
      </c>
      <c r="G39" s="585"/>
      <c r="H39" s="584">
        <f>'Sources and Uses Budget'!T40</f>
        <v>0</v>
      </c>
      <c r="I39" s="585"/>
      <c r="J39" s="585"/>
      <c r="K39" s="579"/>
    </row>
    <row r="40" spans="1:11" s="253" customFormat="1">
      <c r="A40" s="239" t="s">
        <v>923</v>
      </c>
      <c r="B40" s="584">
        <f>'Sources and Uses Budget'!C41</f>
        <v>35150</v>
      </c>
      <c r="C40" s="585"/>
      <c r="D40" s="585">
        <f>B40</f>
        <v>35150</v>
      </c>
      <c r="E40" s="584">
        <f>'Sources and Uses Budget'!S41</f>
        <v>35150</v>
      </c>
      <c r="F40" s="585">
        <f>E40</f>
        <v>35150</v>
      </c>
      <c r="G40" s="585"/>
      <c r="H40" s="584">
        <f>'Sources and Uses Budget'!T41</f>
        <v>0</v>
      </c>
      <c r="I40" s="585"/>
      <c r="J40" s="585"/>
      <c r="K40" s="579"/>
    </row>
    <row r="41" spans="1:11" s="253" customFormat="1">
      <c r="A41" s="243" t="s">
        <v>924</v>
      </c>
      <c r="B41" s="584">
        <f>'Sources and Uses Budget'!C42</f>
        <v>105450</v>
      </c>
      <c r="C41" s="584">
        <f>SUM(C38:C40)</f>
        <v>0</v>
      </c>
      <c r="D41" s="584">
        <f>SUM(D38:D40)</f>
        <v>105450</v>
      </c>
      <c r="E41" s="584">
        <f>'Sources and Uses Budget'!S42</f>
        <v>105450</v>
      </c>
      <c r="F41" s="587">
        <f>SUM(F39:F40)</f>
        <v>105450</v>
      </c>
      <c r="G41" s="587">
        <f>SUM(G39:G40)</f>
        <v>0</v>
      </c>
      <c r="H41" s="584">
        <f>'Sources and Uses Budget'!T42</f>
        <v>0</v>
      </c>
      <c r="I41" s="587">
        <f>SUM(I39:I40)</f>
        <v>0</v>
      </c>
      <c r="J41" s="587">
        <f>SUM(J39:J40)</f>
        <v>0</v>
      </c>
      <c r="K41" s="579"/>
    </row>
    <row r="42" spans="1:11" s="253" customFormat="1">
      <c r="A42" s="243" t="s">
        <v>925</v>
      </c>
      <c r="B42" s="584">
        <f>'Sources and Uses Budget'!C43</f>
        <v>85000</v>
      </c>
      <c r="C42" s="585"/>
      <c r="D42" s="585">
        <f>B42</f>
        <v>85000</v>
      </c>
      <c r="E42" s="584">
        <f>'Sources and Uses Budget'!S43</f>
        <v>65000</v>
      </c>
      <c r="F42" s="585">
        <f>E42</f>
        <v>65000</v>
      </c>
      <c r="G42" s="585"/>
      <c r="H42" s="584">
        <f>'Sources and Uses Budget'!T43</f>
        <v>20000</v>
      </c>
      <c r="I42" s="585">
        <f>H42</f>
        <v>20000</v>
      </c>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698062</v>
      </c>
      <c r="C44" s="585"/>
      <c r="D44" s="585">
        <f>B44</f>
        <v>698062</v>
      </c>
      <c r="E44" s="584">
        <f>'Sources and Uses Budget'!S45</f>
        <v>550000</v>
      </c>
      <c r="F44" s="585">
        <f>E44</f>
        <v>550000</v>
      </c>
      <c r="G44" s="585"/>
      <c r="H44" s="584">
        <f>'Sources and Uses Budget'!T45</f>
        <v>0</v>
      </c>
      <c r="I44" s="585"/>
      <c r="J44" s="585"/>
      <c r="K44" s="579"/>
    </row>
    <row r="45" spans="1:11" s="253" customFormat="1">
      <c r="A45" s="239" t="s">
        <v>928</v>
      </c>
      <c r="B45" s="584">
        <f>'Sources and Uses Budget'!C46</f>
        <v>82125</v>
      </c>
      <c r="C45" s="585"/>
      <c r="D45" s="585">
        <f t="shared" ref="D45:D51" si="2">B45</f>
        <v>82125</v>
      </c>
      <c r="E45" s="584">
        <f>'Sources and Uses Budget'!S46</f>
        <v>0</v>
      </c>
      <c r="F45" s="585"/>
      <c r="G45" s="585"/>
      <c r="H45" s="584">
        <f>'Sources and Uses Budget'!T46</f>
        <v>0</v>
      </c>
      <c r="I45" s="585"/>
      <c r="J45" s="585"/>
      <c r="K45" s="579"/>
    </row>
    <row r="46" spans="1:11" s="253" customFormat="1" ht="12" customHeight="1">
      <c r="A46" s="239" t="s">
        <v>929</v>
      </c>
      <c r="B46" s="584">
        <f>'Sources and Uses Budget'!C47</f>
        <v>0</v>
      </c>
      <c r="C46" s="585"/>
      <c r="D46" s="585">
        <f t="shared" si="2"/>
        <v>0</v>
      </c>
      <c r="E46" s="584">
        <f>'Sources and Uses Budget'!S47</f>
        <v>0</v>
      </c>
      <c r="F46" s="585"/>
      <c r="G46" s="585"/>
      <c r="H46" s="584">
        <f>'Sources and Uses Budget'!T47</f>
        <v>0</v>
      </c>
      <c r="I46" s="585"/>
      <c r="J46" s="585"/>
      <c r="K46" s="579"/>
    </row>
    <row r="47" spans="1:11" s="253" customFormat="1">
      <c r="A47" s="239" t="s">
        <v>930</v>
      </c>
      <c r="B47" s="584">
        <f>'Sources and Uses Budget'!C48</f>
        <v>70648</v>
      </c>
      <c r="C47" s="585"/>
      <c r="D47" s="585">
        <f t="shared" si="2"/>
        <v>70648</v>
      </c>
      <c r="E47" s="584">
        <f>'Sources and Uses Budget'!S48</f>
        <v>70648</v>
      </c>
      <c r="F47" s="585">
        <f>E47</f>
        <v>70648</v>
      </c>
      <c r="G47" s="585"/>
      <c r="H47" s="584">
        <f>'Sources and Uses Budget'!T48</f>
        <v>0</v>
      </c>
      <c r="I47" s="585"/>
      <c r="J47" s="585"/>
      <c r="K47" s="579"/>
    </row>
    <row r="48" spans="1:11" s="253" customFormat="1">
      <c r="A48" s="239" t="s">
        <v>933</v>
      </c>
      <c r="B48" s="584">
        <f>'Sources and Uses Budget'!C49</f>
        <v>125000</v>
      </c>
      <c r="C48" s="585"/>
      <c r="D48" s="585">
        <f t="shared" si="2"/>
        <v>125000</v>
      </c>
      <c r="E48" s="584">
        <f>'Sources and Uses Budget'!S49</f>
        <v>0</v>
      </c>
      <c r="F48" s="585"/>
      <c r="G48" s="585"/>
      <c r="H48" s="584">
        <f>'Sources and Uses Budget'!T49</f>
        <v>125000</v>
      </c>
      <c r="I48" s="585">
        <f>H48</f>
        <v>125000</v>
      </c>
      <c r="J48" s="585"/>
      <c r="K48" s="579"/>
    </row>
    <row r="49" spans="1:11" s="253" customFormat="1">
      <c r="A49" s="239" t="s">
        <v>931</v>
      </c>
      <c r="B49" s="584">
        <f>'Sources and Uses Budget'!C50</f>
        <v>0</v>
      </c>
      <c r="C49" s="585"/>
      <c r="D49" s="585">
        <f t="shared" si="2"/>
        <v>0</v>
      </c>
      <c r="E49" s="584">
        <f>'Sources and Uses Budget'!S50</f>
        <v>0</v>
      </c>
      <c r="F49" s="585"/>
      <c r="G49" s="585"/>
      <c r="H49" s="584">
        <f>'Sources and Uses Budget'!T50</f>
        <v>0</v>
      </c>
      <c r="I49" s="585"/>
      <c r="J49" s="585"/>
      <c r="K49" s="579"/>
    </row>
    <row r="50" spans="1:11" s="253" customFormat="1">
      <c r="A50" s="239" t="s">
        <v>932</v>
      </c>
      <c r="B50" s="584">
        <f>'Sources and Uses Budget'!C51</f>
        <v>0</v>
      </c>
      <c r="C50" s="585"/>
      <c r="D50" s="585">
        <f t="shared" si="2"/>
        <v>0</v>
      </c>
      <c r="E50" s="584">
        <f>'Sources and Uses Budget'!S51</f>
        <v>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f t="shared" si="2"/>
        <v>0</v>
      </c>
      <c r="E51" s="584">
        <f>'Sources and Uses Budget'!S52</f>
        <v>0</v>
      </c>
      <c r="F51" s="585"/>
      <c r="G51" s="585"/>
      <c r="H51" s="584">
        <f>'Sources and Uses Budget'!T52</f>
        <v>0</v>
      </c>
      <c r="I51" s="585"/>
      <c r="J51" s="585"/>
      <c r="K51" s="579"/>
    </row>
    <row r="52" spans="1:11" s="577" customFormat="1">
      <c r="A52" s="243" t="s">
        <v>934</v>
      </c>
      <c r="B52" s="584">
        <f>'Sources and Uses Budget'!C53</f>
        <v>975835</v>
      </c>
      <c r="C52" s="587">
        <f>SUM(C44:C51)</f>
        <v>0</v>
      </c>
      <c r="D52" s="587">
        <f>SUM(D44:D51)</f>
        <v>975835</v>
      </c>
      <c r="E52" s="584">
        <f>'Sources and Uses Budget'!S53</f>
        <v>620648</v>
      </c>
      <c r="F52" s="587">
        <f>SUM(F44:F51)</f>
        <v>620648</v>
      </c>
      <c r="G52" s="587">
        <f>SUM(G44:G51)</f>
        <v>0</v>
      </c>
      <c r="H52" s="584">
        <f>'Sources and Uses Budget'!T53</f>
        <v>125000</v>
      </c>
      <c r="I52" s="587">
        <f>SUM(I44:I51)</f>
        <v>125000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72800</v>
      </c>
      <c r="C54" s="585"/>
      <c r="D54" s="585">
        <f>B54</f>
        <v>72800</v>
      </c>
      <c r="E54" s="586"/>
      <c r="F54" s="586"/>
      <c r="G54" s="586"/>
      <c r="H54" s="586"/>
      <c r="I54" s="586"/>
      <c r="J54" s="586"/>
      <c r="K54" s="579"/>
    </row>
    <row r="55" spans="1:11" s="253" customFormat="1" ht="12" customHeight="1">
      <c r="A55" s="239" t="s">
        <v>929</v>
      </c>
      <c r="B55" s="584">
        <f>'Sources and Uses Budget'!C56</f>
        <v>0</v>
      </c>
      <c r="C55" s="585"/>
      <c r="D55" s="585">
        <f t="shared" ref="D55:D59" si="3">B55</f>
        <v>0</v>
      </c>
      <c r="E55" s="586"/>
      <c r="F55" s="586"/>
      <c r="G55" s="586"/>
      <c r="H55" s="586"/>
      <c r="I55" s="586"/>
      <c r="J55" s="586"/>
      <c r="K55" s="579"/>
    </row>
    <row r="56" spans="1:11" s="253" customFormat="1">
      <c r="A56" s="239" t="s">
        <v>933</v>
      </c>
      <c r="B56" s="584">
        <f>'Sources and Uses Budget'!C57</f>
        <v>0</v>
      </c>
      <c r="C56" s="585"/>
      <c r="D56" s="585">
        <f t="shared" si="3"/>
        <v>0</v>
      </c>
      <c r="E56" s="586"/>
      <c r="F56" s="586"/>
      <c r="G56" s="586"/>
      <c r="H56" s="586"/>
      <c r="I56" s="586"/>
      <c r="J56" s="586"/>
      <c r="K56" s="579"/>
    </row>
    <row r="57" spans="1:11" s="253" customFormat="1">
      <c r="A57" s="239" t="s">
        <v>931</v>
      </c>
      <c r="B57" s="584">
        <f>'Sources and Uses Budget'!C58</f>
        <v>10000</v>
      </c>
      <c r="C57" s="585"/>
      <c r="D57" s="585">
        <f t="shared" si="3"/>
        <v>10000</v>
      </c>
      <c r="E57" s="586"/>
      <c r="F57" s="586"/>
      <c r="G57" s="586"/>
      <c r="H57" s="586"/>
      <c r="I57" s="586"/>
      <c r="J57" s="586"/>
      <c r="K57" s="579"/>
    </row>
    <row r="58" spans="1:11" s="253" customFormat="1">
      <c r="A58" s="239" t="s">
        <v>932</v>
      </c>
      <c r="B58" s="584">
        <f>'Sources and Uses Budget'!C59</f>
        <v>120784</v>
      </c>
      <c r="C58" s="585"/>
      <c r="D58" s="585">
        <f t="shared" si="3"/>
        <v>120784</v>
      </c>
      <c r="E58" s="586"/>
      <c r="F58" s="586"/>
      <c r="G58" s="586"/>
      <c r="H58" s="586"/>
      <c r="I58" s="586"/>
      <c r="J58" s="586"/>
      <c r="K58" s="579"/>
    </row>
    <row r="59" spans="1:11" s="253" customFormat="1" ht="24">
      <c r="A59" s="239" t="str">
        <f>'Sources and Uses Budget'!$A60</f>
        <v>Other: Underwriting/Closing, Freddie Mac application fee</v>
      </c>
      <c r="B59" s="584">
        <f>'Sources and Uses Budget'!C60</f>
        <v>47280</v>
      </c>
      <c r="C59" s="585"/>
      <c r="D59" s="585">
        <f t="shared" si="3"/>
        <v>47280</v>
      </c>
      <c r="E59" s="586"/>
      <c r="F59" s="586"/>
      <c r="G59" s="586"/>
      <c r="H59" s="586"/>
      <c r="I59" s="586"/>
      <c r="J59" s="586"/>
      <c r="K59" s="579"/>
    </row>
    <row r="60" spans="1:11" s="253" customFormat="1" ht="13.9" customHeight="1">
      <c r="A60" s="243" t="s">
        <v>501</v>
      </c>
      <c r="B60" s="584">
        <f>'Sources and Uses Budget'!C61</f>
        <v>250864</v>
      </c>
      <c r="C60" s="584">
        <f>SUM(C54:C59)</f>
        <v>0</v>
      </c>
      <c r="D60" s="584">
        <f>SUM(D54:D59)</f>
        <v>250864</v>
      </c>
      <c r="E60" s="586"/>
      <c r="F60" s="586"/>
      <c r="G60" s="586"/>
      <c r="H60" s="586"/>
      <c r="I60" s="586"/>
      <c r="J60" s="586"/>
      <c r="K60" s="579"/>
    </row>
    <row r="61" spans="1:11" s="253" customFormat="1">
      <c r="A61" s="249" t="s">
        <v>502</v>
      </c>
      <c r="B61" s="584">
        <f>'Sources and Uses Budget'!C62</f>
        <v>14427472</v>
      </c>
      <c r="C61" s="584">
        <f>SUM(C8+C11+C13+C14+C15+C25+C26+C37+C41+C42+C52+C60)</f>
        <v>0</v>
      </c>
      <c r="D61" s="584">
        <f>SUM(D8+D11+D13+D14+D15+D25+D26+D37+D41+D42+D52+D60)</f>
        <v>14427472</v>
      </c>
      <c r="E61" s="584">
        <f>'Sources and Uses Budget'!S62</f>
        <v>7214106</v>
      </c>
      <c r="F61" s="584">
        <f>SUM(F10+F13+F14+F15+F25+F26+F37+F41+F42+F52)</f>
        <v>7214106</v>
      </c>
      <c r="G61" s="584">
        <f>SUM(G10+G13+G14+G15+G25+G26+G37+G41+G42+G52)</f>
        <v>0</v>
      </c>
      <c r="H61" s="584">
        <f>'Sources and Uses Budget'!T62</f>
        <v>6182315</v>
      </c>
      <c r="I61" s="584">
        <f>SUM(I11+I13+I14+I15+I25+I26+I37+I41+I42+I52)</f>
        <v>6182315</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110000</v>
      </c>
      <c r="C63" s="585"/>
      <c r="D63" s="585">
        <f>B63</f>
        <v>110000</v>
      </c>
      <c r="E63" s="584">
        <f>'Sources and Uses Budget'!S64</f>
        <v>0</v>
      </c>
      <c r="F63" s="585"/>
      <c r="G63" s="585"/>
      <c r="H63" s="584">
        <f>'Sources and Uses Budget'!T64</f>
        <v>0</v>
      </c>
      <c r="I63" s="585"/>
      <c r="J63" s="585"/>
      <c r="K63" s="579"/>
    </row>
    <row r="64" spans="1:11" s="253" customFormat="1" ht="24">
      <c r="A64" s="239" t="s">
        <v>1958</v>
      </c>
      <c r="B64" s="584">
        <f>'Sources and Uses Budget'!C65</f>
        <v>15000</v>
      </c>
      <c r="C64" s="585"/>
      <c r="D64" s="585">
        <f t="shared" ref="D64:D67" si="4">B64</f>
        <v>15000</v>
      </c>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f t="shared" si="4"/>
        <v>0</v>
      </c>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f t="shared" si="4"/>
        <v>0</v>
      </c>
      <c r="E66" s="584">
        <f>'Sources and Uses Budget'!S67</f>
        <v>0</v>
      </c>
      <c r="F66" s="585"/>
      <c r="G66" s="585"/>
      <c r="H66" s="584">
        <f>'Sources and Uses Budget'!T67</f>
        <v>0</v>
      </c>
      <c r="I66" s="585"/>
      <c r="J66" s="585"/>
      <c r="K66" s="579"/>
    </row>
    <row r="67" spans="1:11" s="253" customFormat="1">
      <c r="A67" s="239" t="str">
        <f>'Sources and Uses Budget'!$A68</f>
        <v>Other: Borrower Legal</v>
      </c>
      <c r="B67" s="584">
        <f>'Sources and Uses Budget'!C68</f>
        <v>225000</v>
      </c>
      <c r="C67" s="585"/>
      <c r="D67" s="585">
        <f t="shared" si="4"/>
        <v>225000</v>
      </c>
      <c r="E67" s="584">
        <f>'Sources and Uses Budget'!S68</f>
        <v>135000</v>
      </c>
      <c r="F67" s="585">
        <f>E67</f>
        <v>135000</v>
      </c>
      <c r="G67" s="585"/>
      <c r="H67" s="584">
        <f>'Sources and Uses Budget'!T68</f>
        <v>22500</v>
      </c>
      <c r="I67" s="585">
        <f>H67</f>
        <v>22500</v>
      </c>
      <c r="J67" s="585"/>
      <c r="K67" s="579"/>
    </row>
    <row r="68" spans="1:11" s="253" customFormat="1">
      <c r="A68" s="243" t="s">
        <v>1961</v>
      </c>
      <c r="B68" s="584">
        <f>'Sources and Uses Budget'!C69</f>
        <v>350000</v>
      </c>
      <c r="C68" s="584">
        <f>SUM(C62:C67)</f>
        <v>0</v>
      </c>
      <c r="D68" s="584">
        <f>SUM(D62:D67)</f>
        <v>350000</v>
      </c>
      <c r="E68" s="584">
        <f>'Sources and Uses Budget'!S69</f>
        <v>135000</v>
      </c>
      <c r="F68" s="587">
        <f>SUM(F63:F67)</f>
        <v>135000</v>
      </c>
      <c r="G68" s="587">
        <f>SUM(G63:G67)</f>
        <v>0</v>
      </c>
      <c r="H68" s="584">
        <f>'Sources and Uses Budget'!T69</f>
        <v>22500</v>
      </c>
      <c r="I68" s="587">
        <f>SUM(I63:I67)</f>
        <v>22500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f>B70</f>
        <v>0</v>
      </c>
      <c r="E70" s="586"/>
      <c r="F70" s="586"/>
      <c r="G70" s="586"/>
      <c r="H70" s="586"/>
      <c r="I70" s="586"/>
      <c r="J70" s="586"/>
      <c r="K70" s="579"/>
    </row>
    <row r="71" spans="1:11" s="253" customFormat="1">
      <c r="A71" s="239" t="s">
        <v>287</v>
      </c>
      <c r="B71" s="584">
        <f>'Sources and Uses Budget'!C72</f>
        <v>0</v>
      </c>
      <c r="C71" s="585"/>
      <c r="D71" s="585">
        <f t="shared" ref="D71:D74" si="5">B71</f>
        <v>0</v>
      </c>
      <c r="E71" s="586"/>
      <c r="F71" s="586"/>
      <c r="G71" s="586"/>
      <c r="H71" s="586"/>
      <c r="I71" s="586"/>
      <c r="J71" s="586"/>
      <c r="K71" s="579"/>
    </row>
    <row r="72" spans="1:11" s="253" customFormat="1">
      <c r="A72" s="456" t="s">
        <v>1240</v>
      </c>
      <c r="B72" s="584">
        <f>'Sources and Uses Budget'!C73</f>
        <v>242880</v>
      </c>
      <c r="C72" s="585"/>
      <c r="D72" s="585">
        <f t="shared" si="5"/>
        <v>242880</v>
      </c>
      <c r="E72" s="586"/>
      <c r="F72" s="586"/>
      <c r="G72" s="586"/>
      <c r="H72" s="586"/>
      <c r="I72" s="586"/>
      <c r="J72" s="586"/>
      <c r="K72" s="579"/>
    </row>
    <row r="73" spans="1:11" s="253" customFormat="1">
      <c r="A73" s="239" t="s">
        <v>288</v>
      </c>
      <c r="B73" s="584">
        <f>'Sources and Uses Budget'!C74</f>
        <v>370000</v>
      </c>
      <c r="C73" s="585"/>
      <c r="D73" s="585">
        <f t="shared" si="5"/>
        <v>370000</v>
      </c>
      <c r="E73" s="586"/>
      <c r="F73" s="586"/>
      <c r="G73" s="586"/>
      <c r="H73" s="586"/>
      <c r="I73" s="586"/>
      <c r="J73" s="586"/>
      <c r="K73" s="579"/>
    </row>
    <row r="74" spans="1:11" s="253" customFormat="1">
      <c r="A74" s="239" t="str">
        <f>'Sources and Uses Budget'!$A75</f>
        <v>Other: (Specify)</v>
      </c>
      <c r="B74" s="584">
        <f>'Sources and Uses Budget'!C75</f>
        <v>0</v>
      </c>
      <c r="C74" s="585"/>
      <c r="D74" s="585">
        <f t="shared" si="5"/>
        <v>0</v>
      </c>
      <c r="E74" s="586"/>
      <c r="F74" s="586"/>
      <c r="G74" s="586"/>
      <c r="H74" s="586"/>
      <c r="I74" s="586"/>
      <c r="J74" s="586"/>
      <c r="K74" s="579"/>
    </row>
    <row r="75" spans="1:11" s="253" customFormat="1">
      <c r="A75" s="243" t="s">
        <v>289</v>
      </c>
      <c r="B75" s="584">
        <f>'Sources and Uses Budget'!C76</f>
        <v>612880</v>
      </c>
      <c r="C75" s="584">
        <f>SUM(C70:C74)</f>
        <v>0</v>
      </c>
      <c r="D75" s="584">
        <f>SUM(D70:D74)</f>
        <v>612880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588736</v>
      </c>
      <c r="C77" s="585"/>
      <c r="D77" s="585">
        <f>B77</f>
        <v>588736</v>
      </c>
      <c r="E77" s="584">
        <f>'Sources and Uses Budget'!S78</f>
        <v>588736</v>
      </c>
      <c r="F77" s="585">
        <f>E77</f>
        <v>588736</v>
      </c>
      <c r="G77" s="585"/>
      <c r="H77" s="584">
        <f>'Sources and Uses Budget'!T78</f>
        <v>0</v>
      </c>
      <c r="I77" s="585"/>
      <c r="J77" s="585"/>
      <c r="K77" s="579"/>
    </row>
    <row r="78" spans="1:11" s="253" customFormat="1">
      <c r="A78" s="239" t="s">
        <v>539</v>
      </c>
      <c r="B78" s="584">
        <f>'Sources and Uses Budget'!C79</f>
        <v>75000</v>
      </c>
      <c r="C78" s="585"/>
      <c r="D78" s="585">
        <f>B78</f>
        <v>75000</v>
      </c>
      <c r="E78" s="584">
        <f>'Sources and Uses Budget'!S79</f>
        <v>75000</v>
      </c>
      <c r="F78" s="585">
        <f>E78</f>
        <v>75000</v>
      </c>
      <c r="G78" s="585"/>
      <c r="H78" s="584">
        <f>'Sources and Uses Budget'!T79</f>
        <v>0</v>
      </c>
      <c r="I78" s="585"/>
      <c r="J78" s="585"/>
      <c r="K78" s="579"/>
    </row>
    <row r="79" spans="1:11" s="253" customFormat="1">
      <c r="A79" s="243" t="s">
        <v>1744</v>
      </c>
      <c r="B79" s="584">
        <f>'Sources and Uses Budget'!C80</f>
        <v>663736</v>
      </c>
      <c r="C79" s="667">
        <f>SUM(C77:C78)</f>
        <v>0</v>
      </c>
      <c r="D79" s="667">
        <f>SUM(D77:D78)</f>
        <v>663736</v>
      </c>
      <c r="E79" s="584">
        <f>'Sources and Uses Budget'!S80</f>
        <v>663736</v>
      </c>
      <c r="F79" s="667">
        <f>SUM(F77:F78)</f>
        <v>663736</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36620</v>
      </c>
      <c r="C81" s="585"/>
      <c r="D81" s="585">
        <f>B81</f>
        <v>36620</v>
      </c>
      <c r="E81" s="586"/>
      <c r="F81" s="586"/>
      <c r="G81" s="586"/>
      <c r="H81" s="586"/>
      <c r="I81" s="586"/>
      <c r="J81" s="586"/>
      <c r="K81" s="579"/>
    </row>
    <row r="82" spans="1:11" s="253" customFormat="1">
      <c r="A82" s="239" t="s">
        <v>517</v>
      </c>
      <c r="B82" s="584">
        <f>'Sources and Uses Budget'!C83</f>
        <v>50000</v>
      </c>
      <c r="C82" s="585"/>
      <c r="D82" s="585">
        <f t="shared" ref="D82:D93" si="6">B82</f>
        <v>50000</v>
      </c>
      <c r="E82" s="584">
        <f>'Sources and Uses Budget'!S83</f>
        <v>50000</v>
      </c>
      <c r="F82" s="585">
        <f>E82</f>
        <v>50000</v>
      </c>
      <c r="G82" s="585"/>
      <c r="H82" s="584">
        <f>'Sources and Uses Budget'!T83</f>
        <v>0</v>
      </c>
      <c r="I82" s="585"/>
      <c r="J82" s="585"/>
      <c r="K82" s="579"/>
    </row>
    <row r="83" spans="1:11" s="253" customFormat="1">
      <c r="A83" s="239" t="s">
        <v>518</v>
      </c>
      <c r="B83" s="584">
        <f>'Sources and Uses Budget'!C84</f>
        <v>0</v>
      </c>
      <c r="C83" s="585"/>
      <c r="D83" s="585">
        <f t="shared" si="6"/>
        <v>0</v>
      </c>
      <c r="E83" s="584">
        <f>'Sources and Uses Budget'!S84</f>
        <v>0</v>
      </c>
      <c r="F83" s="585">
        <f t="shared" ref="F83:F84" si="7">E83</f>
        <v>0</v>
      </c>
      <c r="G83" s="585"/>
      <c r="H83" s="584">
        <f>'Sources and Uses Budget'!T84</f>
        <v>0</v>
      </c>
      <c r="I83" s="585"/>
      <c r="J83" s="585"/>
      <c r="K83" s="579"/>
    </row>
    <row r="84" spans="1:11" s="253" customFormat="1">
      <c r="A84" s="239" t="s">
        <v>519</v>
      </c>
      <c r="B84" s="584">
        <f>'Sources and Uses Budget'!C85</f>
        <v>57000</v>
      </c>
      <c r="C84" s="585"/>
      <c r="D84" s="585">
        <f t="shared" si="6"/>
        <v>57000</v>
      </c>
      <c r="E84" s="584">
        <f>'Sources and Uses Budget'!S85</f>
        <v>57000</v>
      </c>
      <c r="F84" s="585">
        <f t="shared" si="7"/>
        <v>57000</v>
      </c>
      <c r="G84" s="585"/>
      <c r="H84" s="584">
        <f>'Sources and Uses Budget'!T85</f>
        <v>0</v>
      </c>
      <c r="I84" s="585"/>
      <c r="J84" s="585"/>
      <c r="K84" s="579"/>
    </row>
    <row r="85" spans="1:11" s="253" customFormat="1">
      <c r="A85" s="239" t="s">
        <v>520</v>
      </c>
      <c r="B85" s="584">
        <f>'Sources and Uses Budget'!C86</f>
        <v>97500</v>
      </c>
      <c r="C85" s="585"/>
      <c r="D85" s="585">
        <f t="shared" si="6"/>
        <v>97500</v>
      </c>
      <c r="E85" s="584">
        <f>'Sources and Uses Budget'!S86</f>
        <v>0</v>
      </c>
      <c r="F85" s="585">
        <f>E85</f>
        <v>0</v>
      </c>
      <c r="G85" s="585"/>
      <c r="H85" s="584">
        <f>'Sources and Uses Budget'!T86</f>
        <v>0</v>
      </c>
      <c r="I85" s="585"/>
      <c r="J85" s="585"/>
      <c r="K85" s="579"/>
    </row>
    <row r="86" spans="1:11" s="253" customFormat="1">
      <c r="A86" s="239" t="s">
        <v>521</v>
      </c>
      <c r="B86" s="584">
        <f>'Sources and Uses Budget'!C87</f>
        <v>0</v>
      </c>
      <c r="C86" s="585"/>
      <c r="D86" s="585">
        <f t="shared" si="6"/>
        <v>0</v>
      </c>
      <c r="E86" s="586"/>
      <c r="F86" s="586"/>
      <c r="G86" s="586"/>
      <c r="H86" s="586"/>
      <c r="I86" s="586"/>
      <c r="J86" s="586"/>
      <c r="K86" s="579"/>
    </row>
    <row r="87" spans="1:11" s="253" customFormat="1">
      <c r="A87" s="239" t="s">
        <v>522</v>
      </c>
      <c r="B87" s="584">
        <f>'Sources and Uses Budget'!C88</f>
        <v>0</v>
      </c>
      <c r="C87" s="585"/>
      <c r="D87" s="585">
        <f t="shared" si="6"/>
        <v>0</v>
      </c>
      <c r="E87" s="584">
        <f>'Sources and Uses Budget'!S88</f>
        <v>0</v>
      </c>
      <c r="F87" s="585">
        <f>E87</f>
        <v>0</v>
      </c>
      <c r="G87" s="585"/>
      <c r="H87" s="584">
        <f>'Sources and Uses Budget'!T88</f>
        <v>0</v>
      </c>
      <c r="I87" s="585"/>
      <c r="J87" s="585"/>
      <c r="K87" s="579"/>
    </row>
    <row r="88" spans="1:11" s="253" customFormat="1">
      <c r="A88" s="239" t="s">
        <v>523</v>
      </c>
      <c r="B88" s="584">
        <f>'Sources and Uses Budget'!C89</f>
        <v>15000</v>
      </c>
      <c r="C88" s="585"/>
      <c r="D88" s="585">
        <f t="shared" si="6"/>
        <v>15000</v>
      </c>
      <c r="E88" s="584">
        <f>'Sources and Uses Budget'!S89</f>
        <v>15000</v>
      </c>
      <c r="F88" s="585">
        <f t="shared" ref="F88:F93" si="8">E88</f>
        <v>15000</v>
      </c>
      <c r="G88" s="585"/>
      <c r="H88" s="584">
        <f>'Sources and Uses Budget'!T89</f>
        <v>0</v>
      </c>
      <c r="I88" s="585"/>
      <c r="J88" s="585"/>
      <c r="K88" s="579"/>
    </row>
    <row r="89" spans="1:11" s="253" customFormat="1">
      <c r="A89" s="239" t="s">
        <v>1316</v>
      </c>
      <c r="B89" s="584">
        <f>'Sources and Uses Budget'!C90</f>
        <v>35000</v>
      </c>
      <c r="C89" s="585"/>
      <c r="D89" s="585">
        <f t="shared" si="6"/>
        <v>35000</v>
      </c>
      <c r="E89" s="584">
        <f>'Sources and Uses Budget'!S90</f>
        <v>35000</v>
      </c>
      <c r="F89" s="585">
        <f t="shared" si="8"/>
        <v>35000</v>
      </c>
      <c r="G89" s="585"/>
      <c r="H89" s="584">
        <f>'Sources and Uses Budget'!T90</f>
        <v>0</v>
      </c>
      <c r="I89" s="585"/>
      <c r="J89" s="585"/>
      <c r="K89" s="579"/>
    </row>
    <row r="90" spans="1:11" s="253" customFormat="1">
      <c r="A90" s="239" t="s">
        <v>1742</v>
      </c>
      <c r="B90" s="584">
        <f>'Sources and Uses Budget'!C91</f>
        <v>20000</v>
      </c>
      <c r="C90" s="585"/>
      <c r="D90" s="585">
        <f t="shared" si="6"/>
        <v>20000</v>
      </c>
      <c r="E90" s="584">
        <f>'Sources and Uses Budget'!S91</f>
        <v>10000</v>
      </c>
      <c r="F90" s="585">
        <f t="shared" si="8"/>
        <v>10000</v>
      </c>
      <c r="G90" s="585"/>
      <c r="H90" s="584">
        <f>'Sources and Uses Budget'!T91</f>
        <v>0</v>
      </c>
      <c r="I90" s="585"/>
      <c r="J90" s="585"/>
      <c r="K90" s="579"/>
    </row>
    <row r="91" spans="1:11" s="253" customFormat="1">
      <c r="A91" s="239" t="str">
        <f>'Sources and Uses Budget'!$A92</f>
        <v>Other: CNA</v>
      </c>
      <c r="B91" s="584">
        <f>'Sources and Uses Budget'!C92</f>
        <v>15000</v>
      </c>
      <c r="C91" s="585"/>
      <c r="D91" s="585">
        <f t="shared" si="6"/>
        <v>15000</v>
      </c>
      <c r="E91" s="584">
        <f>'Sources and Uses Budget'!S92</f>
        <v>15000</v>
      </c>
      <c r="F91" s="585">
        <f t="shared" si="8"/>
        <v>15000</v>
      </c>
      <c r="G91" s="585"/>
      <c r="H91" s="584">
        <f>'Sources and Uses Budget'!T92</f>
        <v>0</v>
      </c>
      <c r="I91" s="585"/>
      <c r="J91" s="585"/>
      <c r="K91" s="579"/>
    </row>
    <row r="92" spans="1:11" s="253" customFormat="1">
      <c r="A92" s="239" t="str">
        <f>'Sources and Uses Budget'!$A93</f>
        <v>Other: ADA Consultant</v>
      </c>
      <c r="B92" s="584">
        <f>'Sources and Uses Budget'!C93</f>
        <v>30000</v>
      </c>
      <c r="C92" s="585"/>
      <c r="D92" s="585">
        <f t="shared" si="6"/>
        <v>30000</v>
      </c>
      <c r="E92" s="584">
        <f>'Sources and Uses Budget'!S93</f>
        <v>30000</v>
      </c>
      <c r="F92" s="585">
        <f t="shared" si="8"/>
        <v>30000</v>
      </c>
      <c r="G92" s="585"/>
      <c r="H92" s="584">
        <f>'Sources and Uses Budget'!T93</f>
        <v>0</v>
      </c>
      <c r="I92" s="585"/>
      <c r="J92" s="585"/>
      <c r="K92" s="579"/>
    </row>
    <row r="93" spans="1:11" s="253" customFormat="1">
      <c r="A93" s="239" t="str">
        <f>'Sources and Uses Budget'!$A94</f>
        <v>Other: FF&amp;E</v>
      </c>
      <c r="B93" s="584">
        <f>'Sources and Uses Budget'!C94</f>
        <v>15000</v>
      </c>
      <c r="C93" s="585"/>
      <c r="D93" s="585">
        <f t="shared" si="6"/>
        <v>15000</v>
      </c>
      <c r="E93" s="584">
        <f>'Sources and Uses Budget'!S94</f>
        <v>15000</v>
      </c>
      <c r="F93" s="585">
        <f t="shared" si="8"/>
        <v>15000</v>
      </c>
      <c r="G93" s="585"/>
      <c r="H93" s="584">
        <f>'Sources and Uses Budget'!T94</f>
        <v>0</v>
      </c>
      <c r="I93" s="585"/>
      <c r="J93" s="585"/>
      <c r="K93" s="579"/>
    </row>
    <row r="94" spans="1:11" s="253" customFormat="1">
      <c r="A94" s="243" t="s">
        <v>524</v>
      </c>
      <c r="B94" s="584">
        <f>'Sources and Uses Budget'!C95</f>
        <v>371120</v>
      </c>
      <c r="C94" s="584">
        <f>SUM(C81:C93)</f>
        <v>0</v>
      </c>
      <c r="D94" s="584">
        <f>SUM(D81:D93)</f>
        <v>371120</v>
      </c>
      <c r="E94" s="584">
        <f>'Sources and Uses Budget'!S95</f>
        <v>227000</v>
      </c>
      <c r="F94" s="587">
        <f>SUM(F82:F85,F87:F93)</f>
        <v>227000</v>
      </c>
      <c r="G94" s="587">
        <f>SUM(G82:G85,G87:G93)</f>
        <v>0</v>
      </c>
      <c r="H94" s="584">
        <f>'Sources and Uses Budget'!T95</f>
        <v>0</v>
      </c>
      <c r="I94" s="584">
        <f>SUM(I82:I85,I87:I93)</f>
        <v>0</v>
      </c>
      <c r="J94" s="584">
        <f>SUM(J82:J85,J87:J93)</f>
        <v>0</v>
      </c>
      <c r="K94" s="579"/>
    </row>
    <row r="95" spans="1:11" s="253" customFormat="1">
      <c r="A95" s="243" t="s">
        <v>1357</v>
      </c>
      <c r="B95" s="584">
        <f>'Sources and Uses Budget'!C96</f>
        <v>16425208</v>
      </c>
      <c r="C95" s="584">
        <f>SUM(C61+C68+C75+C79+C94)</f>
        <v>0</v>
      </c>
      <c r="D95" s="584">
        <f>SUM(D61+D68+D75+D79+D94)</f>
        <v>16425208</v>
      </c>
      <c r="E95" s="584">
        <f>'Sources and Uses Budget'!S96</f>
        <v>8239842</v>
      </c>
      <c r="F95" s="587">
        <f>SUM(+F61+F68+F79+F94)</f>
        <v>8239842</v>
      </c>
      <c r="G95" s="587">
        <f>SUM(+G61+G68+G79+G94)</f>
        <v>0</v>
      </c>
      <c r="H95" s="584">
        <f>'Sources and Uses Budget'!T96</f>
        <v>6204815</v>
      </c>
      <c r="I95" s="587">
        <f>SUM(I61+I68+I79+I94)</f>
        <v>6204815</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1531217</v>
      </c>
      <c r="C97" s="585"/>
      <c r="D97" s="585">
        <f>B97</f>
        <v>1531217</v>
      </c>
      <c r="E97" s="584">
        <f>'Sources and Uses Budget'!S98</f>
        <v>1220976</v>
      </c>
      <c r="F97" s="585">
        <f>E97</f>
        <v>1220976</v>
      </c>
      <c r="G97" s="585"/>
      <c r="H97" s="584">
        <f>'Sources and Uses Budget'!T98</f>
        <v>310241</v>
      </c>
      <c r="I97" s="585">
        <f>H97</f>
        <v>310241</v>
      </c>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1531217</v>
      </c>
      <c r="C102" s="584">
        <f>SUM(C97:C101)</f>
        <v>0</v>
      </c>
      <c r="D102" s="584">
        <f>SUM(D97:D101)</f>
        <v>1531217</v>
      </c>
      <c r="E102" s="584">
        <f>'Sources and Uses Budget'!S103</f>
        <v>1220976</v>
      </c>
      <c r="F102" s="587">
        <f>SUM(F97:F101)</f>
        <v>1220976</v>
      </c>
      <c r="G102" s="587">
        <f>SUM(G97:G101)</f>
        <v>0</v>
      </c>
      <c r="H102" s="584">
        <f>'Sources and Uses Budget'!T103</f>
        <v>310241</v>
      </c>
      <c r="I102" s="587">
        <f>SUM(I97:I101)</f>
        <v>310241</v>
      </c>
      <c r="J102" s="587">
        <f>SUM(J97:J101)</f>
        <v>0</v>
      </c>
      <c r="K102" s="579"/>
    </row>
    <row r="103" spans="1:11" s="253" customFormat="1">
      <c r="A103" s="243" t="s">
        <v>1358</v>
      </c>
      <c r="B103" s="584">
        <f>'Sources and Uses Budget'!C104</f>
        <v>17956425</v>
      </c>
      <c r="C103" s="587">
        <f>SUM(C95+C102)</f>
        <v>0</v>
      </c>
      <c r="D103" s="587">
        <f>SUM(D95+D102)</f>
        <v>17956425</v>
      </c>
      <c r="E103" s="584">
        <f>'Sources and Uses Budget'!S104</f>
        <v>9460818</v>
      </c>
      <c r="F103" s="587">
        <f>F95+F102</f>
        <v>9460818</v>
      </c>
      <c r="G103" s="587">
        <f>G95+G102</f>
        <v>0</v>
      </c>
      <c r="H103" s="584">
        <f>'Sources and Uses Budget'!T104</f>
        <v>6515056</v>
      </c>
      <c r="I103" s="587">
        <f>I95+I102</f>
        <v>6515056</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9460818</v>
      </c>
      <c r="F105" s="587">
        <f>F103+F104</f>
        <v>9460818</v>
      </c>
      <c r="G105" s="587">
        <f>G103+G104</f>
        <v>0</v>
      </c>
      <c r="H105" s="584">
        <f>'Sources and Uses Budget'!T106</f>
        <v>6515056</v>
      </c>
      <c r="I105" s="587">
        <f>I103+I104</f>
        <v>6515056</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691" workbookViewId="0">
      <selection activeCell="AA308" sqref="AA308:AK30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8" t="s">
        <v>847</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23" t="s">
        <v>365</v>
      </c>
      <c r="AF4" s="1723"/>
      <c r="AG4" s="1723"/>
      <c r="AH4" s="1723"/>
      <c r="AI4" s="1723"/>
      <c r="AJ4" s="1723"/>
      <c r="AK4" s="1723"/>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11" t="s">
        <v>855</v>
      </c>
      <c r="AG6" s="1711"/>
      <c r="AH6" s="1711"/>
      <c r="AI6" s="1711"/>
      <c r="AJ6" s="1711"/>
      <c r="AK6" s="1711"/>
      <c r="AL6" s="171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8" t="s">
        <v>2419</v>
      </c>
      <c r="C8" s="1648"/>
      <c r="D8" s="1648"/>
      <c r="E8" s="1648"/>
      <c r="F8" s="1648"/>
      <c r="G8" s="1648"/>
      <c r="H8" s="1648"/>
      <c r="I8" s="1648"/>
      <c r="J8" s="1648"/>
      <c r="K8" s="1648"/>
      <c r="L8" s="1648"/>
      <c r="M8" s="1648"/>
      <c r="N8" s="1648"/>
      <c r="O8" s="1648"/>
      <c r="P8" s="1648"/>
      <c r="Q8" s="1648"/>
      <c r="R8" s="1648"/>
      <c r="S8" s="1648"/>
      <c r="T8" s="1648"/>
      <c r="U8" s="1648"/>
      <c r="V8" s="1648"/>
      <c r="W8" s="1648"/>
      <c r="X8" s="1648"/>
      <c r="Y8" s="1648"/>
      <c r="Z8" s="1648"/>
      <c r="AA8" s="1648"/>
      <c r="AB8" s="1648"/>
      <c r="AC8" s="164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648" t="s">
        <v>1244</v>
      </c>
      <c r="C11" s="1648"/>
      <c r="D11" s="1648"/>
      <c r="E11" s="1648"/>
      <c r="F11" s="1648"/>
      <c r="G11" s="1648"/>
      <c r="H11" s="1648"/>
      <c r="I11" s="1648"/>
      <c r="J11" s="1648"/>
      <c r="K11" s="1648"/>
      <c r="L11" s="1648"/>
      <c r="M11" s="1648"/>
      <c r="N11" s="1648"/>
      <c r="O11" s="1648"/>
      <c r="P11" s="1648"/>
      <c r="Q11" s="1648"/>
      <c r="R11" s="1648"/>
      <c r="S11" s="1648"/>
      <c r="T11" s="1648"/>
      <c r="U11" s="1648"/>
      <c r="V11" s="1648"/>
      <c r="W11" s="1648"/>
      <c r="X11" s="1648"/>
      <c r="Y11" s="1648"/>
      <c r="Z11" s="1648"/>
      <c r="AA11" s="1648"/>
      <c r="AB11" s="1648"/>
      <c r="AC11" s="1648"/>
      <c r="AD11" s="1648"/>
      <c r="AE11" s="1648"/>
      <c r="AF11" s="1648"/>
      <c r="AG11" s="1648"/>
      <c r="AH11" s="1648"/>
      <c r="AI11" s="1648"/>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9" t="s">
        <v>124</v>
      </c>
      <c r="AC13" s="180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648" t="s">
        <v>1120</v>
      </c>
      <c r="C16" s="1648"/>
      <c r="D16" s="1648"/>
      <c r="E16" s="1648"/>
      <c r="F16" s="1648"/>
      <c r="G16" s="1648"/>
      <c r="H16" s="1648"/>
      <c r="I16" s="1648"/>
      <c r="J16" s="1648"/>
      <c r="K16" s="1648"/>
      <c r="L16" s="1648"/>
      <c r="M16" s="1648"/>
      <c r="N16" s="1648"/>
      <c r="O16" s="1648"/>
      <c r="P16" s="1648"/>
      <c r="Q16" s="1648"/>
      <c r="R16" s="1648"/>
      <c r="S16" s="1648"/>
      <c r="T16" s="1648"/>
      <c r="U16" s="1648"/>
      <c r="V16" s="1648"/>
      <c r="W16" s="1648"/>
      <c r="X16" s="1648"/>
      <c r="Y16" s="1648"/>
      <c r="Z16" s="1648"/>
      <c r="AA16" s="1648"/>
      <c r="AB16" s="1648"/>
      <c r="AC16" s="1648"/>
      <c r="AD16" s="1648"/>
      <c r="AE16" s="1648"/>
      <c r="AF16" s="1648"/>
      <c r="AG16" s="1648"/>
      <c r="AH16" s="1648"/>
      <c r="AI16" s="1648"/>
      <c r="AJ16" s="1648"/>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2211</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7"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4"/>
      <c r="C30" s="1814"/>
      <c r="D30" s="1814"/>
      <c r="E30" s="1814"/>
      <c r="F30" s="1814"/>
      <c r="G30" s="1814"/>
      <c r="H30" s="1814"/>
      <c r="I30" s="1814"/>
      <c r="J30" s="1814"/>
      <c r="K30" s="1814"/>
      <c r="L30" s="1814"/>
      <c r="M30" s="1814"/>
      <c r="N30" s="1814"/>
      <c r="O30" s="1814"/>
      <c r="P30" s="1814"/>
      <c r="Q30" s="1814"/>
      <c r="R30" s="1814"/>
      <c r="S30" s="1814"/>
      <c r="T30" s="1814"/>
      <c r="U30" s="1814"/>
      <c r="V30" s="1814"/>
      <c r="W30" s="1814"/>
      <c r="X30" s="1814"/>
      <c r="Y30" s="1814"/>
      <c r="Z30" s="1814"/>
      <c r="AA30" s="1814"/>
      <c r="AB30" s="1814"/>
      <c r="AC30" s="1814"/>
      <c r="AD30" s="1814"/>
      <c r="AE30" s="1814"/>
      <c r="AF30" s="1814"/>
      <c r="AG30" s="1814"/>
      <c r="AH30" s="1814"/>
      <c r="AI30" s="1814"/>
      <c r="AJ30" s="1814"/>
      <c r="AK30" s="18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67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61</v>
      </c>
      <c r="AG33" s="1711"/>
      <c r="AH33" s="1711"/>
      <c r="AI33" s="1711"/>
      <c r="AJ33" s="1711"/>
      <c r="AK33" s="1711"/>
      <c r="AL33" s="171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648" t="s">
        <v>2462</v>
      </c>
      <c r="C35" s="1648"/>
      <c r="D35" s="1648"/>
      <c r="E35" s="1648"/>
      <c r="F35" s="1648"/>
      <c r="G35" s="1648"/>
      <c r="H35" s="1648"/>
      <c r="I35" s="1648"/>
      <c r="J35" s="1648"/>
      <c r="K35" s="1648"/>
      <c r="L35" s="1648"/>
      <c r="M35" s="1648"/>
      <c r="N35" s="1648"/>
      <c r="O35" s="1648"/>
      <c r="P35" s="1648"/>
      <c r="Q35" s="1648"/>
      <c r="R35" s="1648"/>
      <c r="S35" s="1648"/>
      <c r="T35" s="1648"/>
      <c r="U35" s="1648"/>
      <c r="V35" s="1648"/>
      <c r="W35" s="1648"/>
      <c r="X35" s="1648"/>
      <c r="Y35" s="1648"/>
      <c r="Z35" s="1648"/>
      <c r="AA35" s="1648"/>
      <c r="AB35" s="1648"/>
      <c r="AC35" s="1648"/>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648" t="s">
        <v>1248</v>
      </c>
      <c r="C38" s="1648"/>
      <c r="D38" s="1648"/>
      <c r="E38" s="1648"/>
      <c r="F38" s="1648"/>
      <c r="G38" s="1648"/>
      <c r="H38" s="1648"/>
      <c r="I38" s="1648"/>
      <c r="J38" s="1648"/>
      <c r="K38" s="1648"/>
      <c r="L38" s="1648"/>
      <c r="M38" s="1648"/>
      <c r="N38" s="1648"/>
      <c r="O38" s="1648"/>
      <c r="P38" s="1648"/>
      <c r="Q38" s="1648"/>
      <c r="R38" s="1648"/>
      <c r="S38" s="1648"/>
      <c r="T38" s="1648"/>
      <c r="U38" s="1648"/>
      <c r="V38" s="1648"/>
      <c r="W38" s="1648"/>
      <c r="X38" s="1648"/>
      <c r="Y38" s="1648"/>
      <c r="Z38" s="1648"/>
      <c r="AA38" s="1648"/>
      <c r="AB38" s="1648"/>
      <c r="AC38" s="1648"/>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648" t="s">
        <v>124</v>
      </c>
      <c r="AA40" s="1648"/>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8" t="s">
        <v>1120</v>
      </c>
      <c r="C43" s="1648"/>
      <c r="D43" s="1648"/>
      <c r="E43" s="1648"/>
      <c r="F43" s="1648"/>
      <c r="G43" s="1648"/>
      <c r="H43" s="1648"/>
      <c r="I43" s="1648"/>
      <c r="J43" s="1648"/>
      <c r="K43" s="1648"/>
      <c r="L43" s="1648"/>
      <c r="M43" s="1648"/>
      <c r="N43" s="1648"/>
      <c r="O43" s="1648"/>
      <c r="P43" s="1648"/>
      <c r="Q43" s="1648"/>
      <c r="R43" s="1648"/>
      <c r="S43" s="1648"/>
      <c r="T43" s="1648"/>
      <c r="U43" s="1648"/>
      <c r="V43" s="1648"/>
      <c r="W43" s="1648"/>
      <c r="X43" s="1648"/>
      <c r="Y43" s="1648"/>
      <c r="Z43" s="1648"/>
      <c r="AA43" s="1648"/>
      <c r="AB43" s="1648"/>
      <c r="AC43" s="1648"/>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0"/>
      <c r="AL47" s="319"/>
      <c r="AM47" s="90"/>
      <c r="AN47" s="281"/>
    </row>
    <row r="48" spans="1:42" s="4" customFormat="1" ht="12.75" customHeight="1">
      <c r="A48" s="5"/>
      <c r="B48" s="42"/>
      <c r="R48" s="5"/>
      <c r="S48" s="42"/>
      <c r="AN48" s="281"/>
    </row>
    <row r="49" spans="1:46" s="4" customFormat="1" ht="12.75" customHeight="1">
      <c r="B49" s="1675" t="s">
        <v>1471</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4"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2204</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2.9"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50">
        <f>$AJ$31+$AJ$47</f>
        <v>10</v>
      </c>
      <c r="AL61" s="1751"/>
      <c r="AM61" s="175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23" t="s">
        <v>365</v>
      </c>
      <c r="AF64" s="1723"/>
      <c r="AG64" s="1723"/>
      <c r="AH64" s="1723"/>
      <c r="AI64" s="1723"/>
      <c r="AJ64" s="1723"/>
      <c r="AK64" s="1723"/>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648" t="s">
        <v>666</v>
      </c>
      <c r="C66" s="1648"/>
      <c r="D66" s="1648"/>
      <c r="E66" s="1648"/>
      <c r="F66" s="1648"/>
      <c r="G66" s="1648"/>
      <c r="H66" s="1648"/>
      <c r="I66" s="1648"/>
      <c r="J66" s="1648"/>
      <c r="K66" s="1648"/>
      <c r="AF66" s="1711" t="s">
        <v>939</v>
      </c>
      <c r="AG66" s="1711"/>
      <c r="AH66" s="1711"/>
      <c r="AI66" s="1711"/>
      <c r="AJ66" s="1711"/>
      <c r="AK66" s="1711"/>
      <c r="AL66" s="1711"/>
      <c r="AN66" s="281"/>
      <c r="AP66" s="4" t="s">
        <v>124</v>
      </c>
      <c r="AS66" s="4" t="s">
        <v>666</v>
      </c>
      <c r="AT66" s="4">
        <v>10</v>
      </c>
    </row>
    <row r="67" spans="1:46" s="4" customFormat="1" ht="12.75" customHeight="1">
      <c r="B67" s="1817" t="s">
        <v>1320</v>
      </c>
      <c r="C67" s="1817"/>
      <c r="D67" s="1817"/>
      <c r="E67" s="1817"/>
      <c r="F67" s="1817"/>
      <c r="G67" s="1817"/>
      <c r="H67" s="1817"/>
      <c r="I67" s="1817"/>
      <c r="J67" s="1817"/>
      <c r="K67" s="1817"/>
      <c r="L67" s="1817"/>
      <c r="M67" s="1817"/>
      <c r="N67" s="1817"/>
      <c r="O67" s="1817"/>
      <c r="P67" s="1817"/>
      <c r="Q67" s="1817"/>
      <c r="R67" s="1817"/>
      <c r="S67" s="1817"/>
      <c r="T67" s="1648" t="s">
        <v>124</v>
      </c>
      <c r="U67" s="1648"/>
      <c r="V67" s="1648"/>
      <c r="W67" s="1648"/>
      <c r="X67" s="1648"/>
      <c r="Y67" s="1648"/>
      <c r="Z67" s="1648"/>
      <c r="AA67" s="1648"/>
      <c r="AB67" s="1648"/>
      <c r="AC67" s="1648"/>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9">
        <f>VLOOKUP($B$66,$AS$64:$AU$69,2,FALSE)</f>
        <v>10</v>
      </c>
      <c r="AL68" s="1270"/>
      <c r="AM68" s="1270"/>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3" t="s">
        <v>978</v>
      </c>
      <c r="AF73" s="1723"/>
      <c r="AG73" s="1723"/>
      <c r="AH73" s="1723"/>
      <c r="AI73" s="1723"/>
      <c r="AJ73" s="1723"/>
      <c r="AK73" s="172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2119</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11" t="s">
        <v>855</v>
      </c>
      <c r="AG90" s="1711"/>
      <c r="AH90" s="1711"/>
      <c r="AI90" s="1711"/>
      <c r="AJ90" s="1711"/>
      <c r="AK90" s="1711"/>
      <c r="AL90" s="1711"/>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1" t="s">
        <v>58</v>
      </c>
      <c r="AG95" s="1711"/>
      <c r="AH95" s="1711"/>
      <c r="AI95" s="1711"/>
      <c r="AJ95" s="1711"/>
      <c r="AK95" s="1711"/>
      <c r="AL95" s="1711"/>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1" t="s">
        <v>59</v>
      </c>
      <c r="AG100" s="1711"/>
      <c r="AH100" s="1711"/>
      <c r="AI100" s="1711"/>
      <c r="AJ100" s="1711"/>
      <c r="AK100" s="1711"/>
      <c r="AL100" s="1711"/>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1" t="s">
        <v>60</v>
      </c>
      <c r="AG105" s="1711"/>
      <c r="AH105" s="1711"/>
      <c r="AI105" s="1711"/>
      <c r="AJ105" s="1711"/>
      <c r="AK105" s="1711"/>
      <c r="AL105" s="1711"/>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1" t="s">
        <v>61</v>
      </c>
      <c r="AG109" s="1711"/>
      <c r="AH109" s="1711"/>
      <c r="AI109" s="1711"/>
      <c r="AJ109" s="1711"/>
      <c r="AK109" s="1711"/>
      <c r="AL109" s="1711"/>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2" t="s">
        <v>582</v>
      </c>
      <c r="I112" s="1812"/>
      <c r="J112" s="116"/>
      <c r="K112" s="116"/>
      <c r="L112" s="116"/>
      <c r="M112" s="937" t="s">
        <v>2103</v>
      </c>
      <c r="R112" s="1816"/>
      <c r="S112" s="1816"/>
      <c r="T112" s="1816"/>
      <c r="U112" s="1816"/>
      <c r="V112" s="1816"/>
      <c r="W112" s="1816"/>
      <c r="Y112" s="1094" t="str">
        <f>IF(AND(H112="(i)",NOT(Application!AF411&gt;25)),AO103,IF(AND(H112="(iv)",OR(R112=AO108,R112=AO109),NOT(AP94)),AO104,""))</f>
        <v/>
      </c>
      <c r="Z112" s="1094"/>
      <c r="AA112" s="1094"/>
      <c r="AB112" s="1094"/>
      <c r="AC112" s="1094"/>
      <c r="AD112" s="1094"/>
      <c r="AE112" s="1094"/>
      <c r="AF112" s="1094"/>
      <c r="AG112" s="1094"/>
      <c r="AH112" s="1094"/>
      <c r="AI112" s="1094"/>
      <c r="AJ112" s="1094"/>
      <c r="AK112" s="1094"/>
      <c r="AL112" s="1094"/>
      <c r="AM112" s="1650"/>
      <c r="AN112" s="957"/>
    </row>
    <row r="113" spans="1:47" s="4" customFormat="1" ht="12.75" customHeight="1">
      <c r="B113" s="5"/>
      <c r="C113" s="115"/>
      <c r="E113" s="116"/>
      <c r="F113" s="116"/>
      <c r="G113" s="116"/>
      <c r="H113" s="116"/>
      <c r="I113" s="116"/>
      <c r="J113" s="116"/>
      <c r="K113" s="116"/>
      <c r="L113" s="116"/>
      <c r="M113" s="116"/>
      <c r="Y113" s="1094"/>
      <c r="Z113" s="1094"/>
      <c r="AA113" s="1094"/>
      <c r="AB113" s="1094"/>
      <c r="AC113" s="1094"/>
      <c r="AD113" s="1094"/>
      <c r="AE113" s="1094"/>
      <c r="AF113" s="1094"/>
      <c r="AG113" s="1094"/>
      <c r="AH113" s="1094"/>
      <c r="AI113" s="1094"/>
      <c r="AJ113" s="1094"/>
      <c r="AK113" s="1094"/>
      <c r="AL113" s="1094"/>
      <c r="AM113" s="1650"/>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651" t="s">
        <v>2252</v>
      </c>
      <c r="E116" s="1651"/>
      <c r="F116" s="1651"/>
      <c r="G116" s="1651"/>
      <c r="H116" s="1651"/>
      <c r="I116" s="1651"/>
      <c r="J116" s="1651"/>
      <c r="K116" s="1651"/>
      <c r="L116" s="1651"/>
      <c r="M116" s="1651"/>
      <c r="N116" s="1651"/>
      <c r="O116" s="1651"/>
      <c r="P116" s="1651"/>
      <c r="Q116" s="1651"/>
      <c r="R116" s="1651"/>
      <c r="S116" s="1651"/>
      <c r="T116" s="1651"/>
      <c r="U116" s="1651"/>
      <c r="V116" s="1651"/>
      <c r="W116" s="1651"/>
      <c r="X116" s="1651"/>
      <c r="Y116" s="1651"/>
      <c r="Z116" s="1651"/>
      <c r="AA116" s="1651"/>
      <c r="AB116" s="1651"/>
      <c r="AC116" s="1651"/>
      <c r="AD116" s="1651"/>
      <c r="AE116" s="1651"/>
      <c r="AF116" s="1651"/>
      <c r="AG116" s="1651"/>
      <c r="AH116" s="1651"/>
      <c r="AN116" s="281"/>
      <c r="AO116" s="4" t="s">
        <v>124</v>
      </c>
      <c r="AP116" s="472">
        <v>0</v>
      </c>
    </row>
    <row r="117" spans="1:47" s="4" customFormat="1" ht="12.75" customHeight="1">
      <c r="B117" s="5"/>
      <c r="C117" s="115"/>
      <c r="D117" s="1651"/>
      <c r="E117" s="1651"/>
      <c r="F117" s="1651"/>
      <c r="G117" s="1651"/>
      <c r="H117" s="1651"/>
      <c r="I117" s="1651"/>
      <c r="J117" s="1651"/>
      <c r="K117" s="1651"/>
      <c r="L117" s="1651"/>
      <c r="M117" s="1651"/>
      <c r="N117" s="1651"/>
      <c r="O117" s="1651"/>
      <c r="P117" s="1651"/>
      <c r="Q117" s="1651"/>
      <c r="R117" s="1651"/>
      <c r="S117" s="1651"/>
      <c r="T117" s="1651"/>
      <c r="U117" s="1651"/>
      <c r="V117" s="1651"/>
      <c r="W117" s="1651"/>
      <c r="X117" s="1651"/>
      <c r="Y117" s="1651"/>
      <c r="Z117" s="1651"/>
      <c r="AA117" s="1651"/>
      <c r="AB117" s="1651"/>
      <c r="AC117" s="1651"/>
      <c r="AD117" s="1651"/>
      <c r="AE117" s="1651"/>
      <c r="AF117" s="1651"/>
      <c r="AG117" s="1651"/>
      <c r="AH117" s="1651"/>
      <c r="AN117" s="281"/>
      <c r="AO117" s="4" t="s">
        <v>1472</v>
      </c>
      <c r="AP117" s="4">
        <v>3</v>
      </c>
    </row>
    <row r="118" spans="1:47" s="4" customFormat="1" ht="12.75" customHeight="1">
      <c r="B118" s="5"/>
      <c r="C118" s="115"/>
      <c r="E118" s="4" t="s">
        <v>147</v>
      </c>
      <c r="F118" s="116"/>
      <c r="G118" s="116"/>
      <c r="H118" s="1815" t="s">
        <v>124</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5" t="s">
        <v>124</v>
      </c>
      <c r="C120" s="1105"/>
      <c r="D120" s="49"/>
      <c r="E120" s="1675" t="s">
        <v>1771</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4"/>
      <c r="F123" s="1814"/>
      <c r="G123" s="1814"/>
      <c r="H123" s="1814"/>
      <c r="I123" s="1814"/>
      <c r="J123" s="1814"/>
      <c r="K123" s="1814"/>
      <c r="L123" s="1814"/>
      <c r="M123" s="1814"/>
      <c r="N123" s="1814"/>
      <c r="O123" s="1814"/>
      <c r="P123" s="1814"/>
      <c r="Q123" s="1814"/>
      <c r="R123" s="1814"/>
      <c r="S123" s="1814"/>
      <c r="T123" s="1814"/>
      <c r="U123" s="1814"/>
      <c r="V123" s="1814"/>
      <c r="W123" s="1814"/>
      <c r="X123" s="1814"/>
      <c r="Y123" s="1814"/>
      <c r="Z123" s="1814"/>
      <c r="AA123" s="1814"/>
      <c r="AB123" s="1814"/>
      <c r="AC123" s="1814"/>
      <c r="AD123" s="1814"/>
      <c r="AE123" s="1814"/>
      <c r="AF123" s="1814"/>
      <c r="AG123" s="18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9">
        <f>VLOOKUP($H$112,$AO$96:$AP$101,2,FALSE)+IF(R112=AO108,0,VLOOKUP($H$118,$AO$116:$AP$118,2,FALSE))</f>
        <v>7</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13" t="s">
        <v>1840</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711" t="s">
        <v>61</v>
      </c>
      <c r="AG128" s="1711"/>
      <c r="AH128" s="1711"/>
      <c r="AI128" s="1711"/>
      <c r="AJ128" s="1711"/>
      <c r="AK128" s="1711"/>
      <c r="AL128" s="1711"/>
      <c r="AM128" s="4"/>
      <c r="AN128" s="298"/>
      <c r="AO128" s="4" t="str">
        <f>S133</f>
        <v>N/A</v>
      </c>
    </row>
    <row r="129" spans="1:42" s="4" customFormat="1" ht="12.75" customHeight="1">
      <c r="A129" s="120"/>
      <c r="B129" s="5"/>
      <c r="C129" s="115"/>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81"/>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81"/>
    </row>
    <row r="131" spans="1:42" s="4" customFormat="1" ht="12.75" customHeight="1">
      <c r="A131" s="35"/>
      <c r="B131" s="102"/>
      <c r="C131" s="121"/>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2"/>
      <c r="AG131" s="19"/>
      <c r="AH131" s="19"/>
      <c r="AI131" s="19"/>
      <c r="AJ131" s="19"/>
      <c r="AN131" s="281"/>
    </row>
    <row r="132" spans="1:42" s="4" customFormat="1" ht="22.9" customHeight="1">
      <c r="B132" s="102"/>
      <c r="C132" s="121"/>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0" t="s">
        <v>124</v>
      </c>
      <c r="T133" s="1810"/>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1" t="s">
        <v>103</v>
      </c>
      <c r="AG135" s="1711"/>
      <c r="AH135" s="1711"/>
      <c r="AI135" s="1711"/>
      <c r="AJ135" s="1711"/>
      <c r="AK135" s="1711"/>
      <c r="AL135" s="171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2" t="s">
        <v>582</v>
      </c>
      <c r="I137" s="181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1" t="s">
        <v>61</v>
      </c>
      <c r="AG143" s="1711"/>
      <c r="AH143" s="1711"/>
      <c r="AI143" s="1711"/>
      <c r="AJ143" s="1711"/>
      <c r="AK143" s="1711"/>
      <c r="AL143" s="1711"/>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103</v>
      </c>
      <c r="AG146" s="1711"/>
      <c r="AH146" s="1711"/>
      <c r="AI146" s="1711"/>
      <c r="AJ146" s="1711"/>
      <c r="AK146" s="1711"/>
      <c r="AL146" s="1711"/>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2" t="s">
        <v>582</v>
      </c>
      <c r="I149" s="181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9">
        <f>VLOOKUP(H149,AO140:AP142,2,FALSE)</f>
        <v>3</v>
      </c>
      <c r="AK151" s="12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75" t="s">
        <v>747</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68" t="s">
        <v>59</v>
      </c>
      <c r="AG156" s="1468"/>
      <c r="AH156" s="1468"/>
      <c r="AI156" s="1468"/>
      <c r="AJ156" s="1468"/>
      <c r="AK156" s="1468"/>
      <c r="AL156" s="1468"/>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5" t="s">
        <v>1715</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68" t="s">
        <v>60</v>
      </c>
      <c r="AG160" s="1468"/>
      <c r="AH160" s="1468"/>
      <c r="AI160" s="1468"/>
      <c r="AJ160" s="1468"/>
      <c r="AK160" s="1468"/>
      <c r="AL160" s="1468"/>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75" t="s">
        <v>1716</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68" t="s">
        <v>61</v>
      </c>
      <c r="AG164" s="1468"/>
      <c r="AH164" s="1468"/>
      <c r="AI164" s="1468"/>
      <c r="AJ164" s="1468"/>
      <c r="AK164" s="1468"/>
      <c r="AL164" s="1468"/>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68"/>
      <c r="AF165" s="1468"/>
      <c r="AG165" s="1468"/>
      <c r="AH165" s="1468"/>
      <c r="AI165" s="1468"/>
      <c r="AJ165" s="1468"/>
      <c r="AK165" s="1468"/>
      <c r="AL165" s="967"/>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75" t="s">
        <v>1717</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68" t="s">
        <v>60</v>
      </c>
      <c r="AG168" s="1468"/>
      <c r="AH168" s="1468"/>
      <c r="AI168" s="1468"/>
      <c r="AJ168" s="1468"/>
      <c r="AK168" s="1468"/>
      <c r="AL168" s="1468"/>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75" t="s">
        <v>1718</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68" t="s">
        <v>61</v>
      </c>
      <c r="AG172" s="1468"/>
      <c r="AH172" s="1468"/>
      <c r="AI172" s="1468"/>
      <c r="AJ172" s="1468"/>
      <c r="AK172" s="1468"/>
      <c r="AL172" s="1468"/>
      <c r="AM172" s="20"/>
      <c r="AN172" s="281"/>
      <c r="AO172" s="26" t="s">
        <v>891</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5" t="s">
        <v>1474</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68" t="s">
        <v>103</v>
      </c>
      <c r="AG176" s="1468"/>
      <c r="AH176" s="1468"/>
      <c r="AI176" s="1468"/>
      <c r="AJ176" s="1468"/>
      <c r="AK176" s="1468"/>
      <c r="AL176" s="1468"/>
      <c r="AM176" s="20"/>
      <c r="AN176" s="281"/>
      <c r="AO176" s="26" t="s">
        <v>281</v>
      </c>
      <c r="AP176" s="4">
        <v>1</v>
      </c>
    </row>
    <row r="177" spans="1:61" s="4" customFormat="1" ht="22.9"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5" t="s">
        <v>1475</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68" t="s">
        <v>319</v>
      </c>
      <c r="AG179" s="1468"/>
      <c r="AH179" s="1468"/>
      <c r="AI179" s="1468"/>
      <c r="AJ179" s="1468"/>
      <c r="AK179" s="1468"/>
      <c r="AL179" s="1468"/>
      <c r="AM179" s="20"/>
      <c r="AN179" s="281"/>
    </row>
    <row r="180" spans="1:61" s="4" customFormat="1" ht="22.9"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2" t="s">
        <v>582</v>
      </c>
      <c r="I182" s="181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9">
        <f>VLOOKUP($H$182,$AO$169:$AP$176,2,FALSE)</f>
        <v>5</v>
      </c>
      <c r="AK184" s="12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649" t="s">
        <v>2318</v>
      </c>
      <c r="F188" s="1649"/>
      <c r="G188" s="1649"/>
      <c r="H188" s="1649"/>
      <c r="I188" s="1649"/>
      <c r="J188" s="1649"/>
      <c r="K188" s="1649"/>
      <c r="L188" s="1649"/>
      <c r="M188" s="1649"/>
      <c r="N188" s="1649"/>
      <c r="O188" s="1649"/>
      <c r="P188" s="1649"/>
      <c r="Q188" s="1649"/>
      <c r="R188" s="1649"/>
      <c r="S188" s="1649"/>
      <c r="T188" s="1649"/>
      <c r="U188" s="1649"/>
      <c r="V188" s="1649"/>
      <c r="W188" s="1649"/>
      <c r="X188" s="1649"/>
      <c r="Y188" s="1649"/>
      <c r="Z188" s="1649"/>
      <c r="AA188" s="1649"/>
      <c r="AB188" s="1649"/>
      <c r="AD188" s="5"/>
      <c r="AF188" s="1305" t="s">
        <v>61</v>
      </c>
      <c r="AG188" s="1305"/>
      <c r="AH188" s="1305"/>
      <c r="AI188" s="1305"/>
      <c r="AJ188" s="1305"/>
      <c r="AK188" s="1305"/>
      <c r="AL188" s="1305"/>
      <c r="AN188" s="281"/>
    </row>
    <row r="189" spans="1:61" s="4" customFormat="1" ht="12.75" customHeight="1">
      <c r="A189" s="120"/>
      <c r="B189" s="5"/>
      <c r="C189" s="130"/>
      <c r="D189" s="26"/>
      <c r="E189" s="1649"/>
      <c r="F189" s="1649"/>
      <c r="G189" s="1649"/>
      <c r="H189" s="1649"/>
      <c r="I189" s="1649"/>
      <c r="J189" s="1649"/>
      <c r="K189" s="1649"/>
      <c r="L189" s="1649"/>
      <c r="M189" s="1649"/>
      <c r="N189" s="1649"/>
      <c r="O189" s="1649"/>
      <c r="P189" s="1649"/>
      <c r="Q189" s="1649"/>
      <c r="R189" s="1649"/>
      <c r="S189" s="1649"/>
      <c r="T189" s="1649"/>
      <c r="U189" s="1649"/>
      <c r="V189" s="1649"/>
      <c r="W189" s="1649"/>
      <c r="X189" s="1649"/>
      <c r="Y189" s="1649"/>
      <c r="Z189" s="1649"/>
      <c r="AA189" s="1649"/>
      <c r="AB189" s="1649"/>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5" t="s">
        <v>2238</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68" t="s">
        <v>61</v>
      </c>
      <c r="AG191" s="1468"/>
      <c r="AH191" s="1468"/>
      <c r="AI191" s="1468"/>
      <c r="AJ191" s="1468"/>
      <c r="AK191" s="1468"/>
      <c r="AL191" s="1468"/>
      <c r="AN191" s="281"/>
      <c r="AO191" s="26" t="s">
        <v>582</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68"/>
      <c r="AG192" s="1468"/>
      <c r="AH192" s="1468"/>
      <c r="AI192" s="1468"/>
      <c r="AJ192" s="1468"/>
      <c r="AK192" s="1468"/>
      <c r="AL192" s="1468"/>
      <c r="AN192" s="281"/>
      <c r="AO192" s="26" t="s">
        <v>197</v>
      </c>
      <c r="AP192" s="26">
        <f>3*$AO$197</f>
        <v>0</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891</v>
      </c>
      <c r="AP193" s="26">
        <f>2*$AO$197</f>
        <v>0</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75" t="s">
        <v>2239</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68" t="s">
        <v>103</v>
      </c>
      <c r="AG196" s="1468"/>
      <c r="AH196" s="1468"/>
      <c r="AI196" s="1468"/>
      <c r="AJ196" s="1468"/>
      <c r="AK196" s="1468"/>
      <c r="AL196" s="1468"/>
      <c r="AN196" s="281"/>
      <c r="AY196" s="4" t="s">
        <v>2240</v>
      </c>
      <c r="AZ196" s="959">
        <f>Application!AC215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68"/>
      <c r="AG197" s="1468"/>
      <c r="AH197" s="1468"/>
      <c r="AI197" s="1468"/>
      <c r="AJ197" s="1468"/>
      <c r="AK197" s="1468"/>
      <c r="AL197" s="1468"/>
      <c r="AN197" s="281"/>
      <c r="AO197" s="127" t="b">
        <f>IF(OR(Application!D214="Special Needs",Application!D211="At-Risk and Special Needs"),IF(Application!E217="Large Family",IF(BA203&gt;=0.25,TRUE,FALSE),IF(AZ203&gt;=0.25,TRUE,FALSE)))</f>
        <v>0</v>
      </c>
      <c r="AY197" s="4" t="s">
        <v>2241</v>
      </c>
      <c r="AZ197" s="959">
        <f>Application!G730</f>
        <v>56</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2243</v>
      </c>
      <c r="AZ198" s="4">
        <f>Application!CC626</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3" t="s">
        <v>2298</v>
      </c>
      <c r="F201" s="1713"/>
      <c r="G201" s="1713"/>
      <c r="H201" s="1713"/>
      <c r="I201" s="1713"/>
      <c r="J201" s="1713"/>
      <c r="K201" s="1713"/>
      <c r="L201" s="1713"/>
      <c r="M201" s="1713"/>
      <c r="N201" s="1713"/>
      <c r="O201" s="1713"/>
      <c r="P201" s="1713"/>
      <c r="Q201" s="1713"/>
      <c r="R201" s="1713"/>
      <c r="S201" s="1713"/>
      <c r="T201" s="1713"/>
      <c r="U201" s="1713"/>
      <c r="V201" s="1713"/>
      <c r="W201" s="1713"/>
      <c r="X201" s="1713"/>
      <c r="Y201" s="1713"/>
      <c r="Z201" s="1713"/>
      <c r="AA201" s="1713"/>
      <c r="AB201" s="1713"/>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713"/>
      <c r="F202" s="1713"/>
      <c r="G202" s="1713"/>
      <c r="H202" s="1713"/>
      <c r="I202" s="1713"/>
      <c r="J202" s="1713"/>
      <c r="K202" s="1713"/>
      <c r="L202" s="1713"/>
      <c r="M202" s="1713"/>
      <c r="N202" s="1713"/>
      <c r="O202" s="1713"/>
      <c r="P202" s="1713"/>
      <c r="Q202" s="1713"/>
      <c r="R202" s="1713"/>
      <c r="S202" s="1713"/>
      <c r="T202" s="1713"/>
      <c r="U202" s="1713"/>
      <c r="V202" s="1713"/>
      <c r="W202" s="1713"/>
      <c r="X202" s="1713"/>
      <c r="Y202" s="1713"/>
      <c r="Z202" s="1713"/>
      <c r="AA202" s="1713"/>
      <c r="AB202" s="1713"/>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713"/>
      <c r="F203" s="1713"/>
      <c r="G203" s="1713"/>
      <c r="H203" s="1713"/>
      <c r="I203" s="1713"/>
      <c r="J203" s="1713"/>
      <c r="K203" s="1713"/>
      <c r="L203" s="1713"/>
      <c r="M203" s="1713"/>
      <c r="N203" s="1713"/>
      <c r="O203" s="1713"/>
      <c r="P203" s="1713"/>
      <c r="Q203" s="1713"/>
      <c r="R203" s="1713"/>
      <c r="S203" s="1713"/>
      <c r="T203" s="1713"/>
      <c r="U203" s="1713"/>
      <c r="V203" s="1713"/>
      <c r="W203" s="1713"/>
      <c r="X203" s="1713"/>
      <c r="Y203" s="1713"/>
      <c r="Z203" s="1713"/>
      <c r="AA203" s="1713"/>
      <c r="AB203" s="1713"/>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812" t="s">
        <v>124</v>
      </c>
      <c r="I204" s="181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11" t="s">
        <v>1255</v>
      </c>
      <c r="F210" s="1811"/>
      <c r="G210" s="1811"/>
      <c r="H210" s="1811"/>
      <c r="I210" s="1811"/>
      <c r="J210" s="1811"/>
      <c r="K210" s="1811"/>
      <c r="L210" s="1811"/>
      <c r="M210" s="1811"/>
      <c r="N210" s="1811"/>
      <c r="O210" s="1811"/>
      <c r="P210" s="1811"/>
      <c r="Q210" s="1811"/>
      <c r="R210" s="1811"/>
      <c r="S210" s="1811"/>
      <c r="T210" s="1811"/>
      <c r="U210" s="1811"/>
      <c r="V210" s="1811"/>
      <c r="W210" s="1811"/>
      <c r="X210" s="1811"/>
      <c r="Y210" s="1811"/>
      <c r="Z210" s="1811"/>
      <c r="AA210" s="1811"/>
      <c r="AB210" s="1811"/>
      <c r="AC210" s="4"/>
      <c r="AD210" s="4"/>
      <c r="AF210" s="1711" t="s">
        <v>61</v>
      </c>
      <c r="AG210" s="1711"/>
      <c r="AH210" s="1711"/>
      <c r="AI210" s="1711"/>
      <c r="AJ210" s="1711"/>
      <c r="AK210" s="1711"/>
      <c r="AL210" s="1711"/>
      <c r="AM210" s="4"/>
      <c r="AN210" s="204"/>
      <c r="AO210" s="4" t="s">
        <v>124</v>
      </c>
      <c r="AP210" s="472">
        <v>0</v>
      </c>
    </row>
    <row r="211" spans="1:52" customFormat="1" ht="11.85" customHeight="1">
      <c r="A211" s="4"/>
      <c r="B211" s="5"/>
      <c r="C211" s="115"/>
      <c r="D211" s="26"/>
      <c r="E211" s="1811"/>
      <c r="F211" s="1811"/>
      <c r="G211" s="1811"/>
      <c r="H211" s="1811"/>
      <c r="I211" s="1811"/>
      <c r="J211" s="1811"/>
      <c r="K211" s="1811"/>
      <c r="L211" s="1811"/>
      <c r="M211" s="1811"/>
      <c r="N211" s="1811"/>
      <c r="O211" s="1811"/>
      <c r="P211" s="1811"/>
      <c r="Q211" s="1811"/>
      <c r="R211" s="1811"/>
      <c r="S211" s="1811"/>
      <c r="T211" s="1811"/>
      <c r="U211" s="1811"/>
      <c r="V211" s="1811"/>
      <c r="W211" s="1811"/>
      <c r="X211" s="1811"/>
      <c r="Y211" s="1811"/>
      <c r="Z211" s="1811"/>
      <c r="AA211" s="1811"/>
      <c r="AB211" s="1811"/>
      <c r="AC211" s="4"/>
      <c r="AD211" s="4"/>
      <c r="AE211" s="4"/>
      <c r="AM211" s="4"/>
      <c r="AN211" s="204"/>
      <c r="AO211" s="26" t="s">
        <v>582</v>
      </c>
      <c r="AP211" s="4">
        <v>3</v>
      </c>
    </row>
    <row r="212" spans="1:52" customFormat="1" ht="13.9" customHeight="1">
      <c r="A212" s="4"/>
      <c r="B212" s="42"/>
      <c r="C212" s="45"/>
      <c r="D212" s="26"/>
      <c r="E212" s="1811"/>
      <c r="F212" s="1811"/>
      <c r="G212" s="1811"/>
      <c r="H212" s="1811"/>
      <c r="I212" s="1811"/>
      <c r="J212" s="1811"/>
      <c r="K212" s="1811"/>
      <c r="L212" s="1811"/>
      <c r="M212" s="1811"/>
      <c r="N212" s="1811"/>
      <c r="O212" s="1811"/>
      <c r="P212" s="1811"/>
      <c r="Q212" s="1811"/>
      <c r="R212" s="1811"/>
      <c r="S212" s="1811"/>
      <c r="T212" s="1811"/>
      <c r="U212" s="1811"/>
      <c r="V212" s="1811"/>
      <c r="W212" s="1811"/>
      <c r="X212" s="1811"/>
      <c r="Y212" s="1811"/>
      <c r="Z212" s="1811"/>
      <c r="AA212" s="1811"/>
      <c r="AB212" s="1811"/>
      <c r="AC212" s="4"/>
      <c r="AD212" s="4"/>
      <c r="AE212" s="19"/>
      <c r="AM212" s="4"/>
      <c r="AN212" s="204"/>
      <c r="AO212" s="26" t="s">
        <v>197</v>
      </c>
      <c r="AP212" s="4">
        <v>2</v>
      </c>
    </row>
    <row r="213" spans="1:52" customFormat="1" ht="13.9" customHeight="1">
      <c r="A213" s="4"/>
      <c r="B213" s="5"/>
      <c r="C213" s="45"/>
      <c r="D213" s="26" t="s">
        <v>197</v>
      </c>
      <c r="E213" s="1875" t="s">
        <v>1256</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1" t="s">
        <v>103</v>
      </c>
      <c r="AG213" s="1711"/>
      <c r="AH213" s="1711"/>
      <c r="AI213" s="1711"/>
      <c r="AJ213" s="1711"/>
      <c r="AK213" s="1711"/>
      <c r="AL213" s="1711"/>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2" t="s">
        <v>124</v>
      </c>
      <c r="I216" s="181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75" t="s">
        <v>1491</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1" t="s">
        <v>61</v>
      </c>
      <c r="AG222" s="1711"/>
      <c r="AH222" s="1711"/>
      <c r="AI222" s="1711"/>
      <c r="AJ222" s="1711"/>
      <c r="AK222" s="1711"/>
      <c r="AL222" s="1711"/>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5" t="s">
        <v>883</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1" t="s">
        <v>103</v>
      </c>
      <c r="AG225" s="1711"/>
      <c r="AH225" s="1711"/>
      <c r="AI225" s="1711"/>
      <c r="AJ225" s="1711"/>
      <c r="AK225" s="1711"/>
      <c r="AL225" s="1711"/>
      <c r="AM225" s="4"/>
      <c r="AN225" s="204"/>
      <c r="AO225" s="4" t="s">
        <v>124</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2" t="s">
        <v>124</v>
      </c>
      <c r="I228" s="181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75" t="s">
        <v>1124</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1" t="s">
        <v>61</v>
      </c>
      <c r="AG234" s="1711"/>
      <c r="AH234" s="1711"/>
      <c r="AI234" s="1711"/>
      <c r="AJ234" s="1711"/>
      <c r="AK234" s="1711"/>
      <c r="AL234" s="1711"/>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5" t="s">
        <v>1125</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1" t="s">
        <v>103</v>
      </c>
      <c r="AG238" s="1711"/>
      <c r="AH238" s="1711"/>
      <c r="AI238" s="1711"/>
      <c r="AJ238" s="1711"/>
      <c r="AK238" s="1711"/>
      <c r="AL238" s="1711"/>
      <c r="AM238" s="4"/>
      <c r="AN238" s="204"/>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2" t="s">
        <v>582</v>
      </c>
      <c r="I242" s="181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9">
        <f>VLOOKUP($H$242,$AO$225:$AP$227,2,FALSE)</f>
        <v>3</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75" t="s">
        <v>318</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1" t="s">
        <v>103</v>
      </c>
      <c r="AG248" s="1711"/>
      <c r="AH248" s="1711"/>
      <c r="AI248" s="1711"/>
      <c r="AJ248" s="1711"/>
      <c r="AK248" s="1711"/>
      <c r="AL248" s="171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5" t="s">
        <v>1257</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1" t="s">
        <v>319</v>
      </c>
      <c r="AG251" s="1711"/>
      <c r="AH251" s="1711"/>
      <c r="AI251" s="1711"/>
      <c r="AJ251" s="1711"/>
      <c r="AK251" s="1711"/>
      <c r="AL251" s="171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2" t="s">
        <v>582</v>
      </c>
      <c r="I254" s="181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9">
        <f>VLOOKUP($H$254,$AO$246:$AP$248,2,FALSE)</f>
        <v>2</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75" t="s">
        <v>1953</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1" t="s">
        <v>103</v>
      </c>
      <c r="AG260" s="1711"/>
      <c r="AH260" s="1711"/>
      <c r="AI260" s="1711"/>
      <c r="AJ260" s="1711"/>
      <c r="AK260" s="1711"/>
      <c r="AL260" s="1711"/>
      <c r="AM260" s="104"/>
      <c r="AN260" s="204"/>
      <c r="AO260" s="4" t="s">
        <v>124</v>
      </c>
      <c r="AP260" s="472">
        <v>0</v>
      </c>
    </row>
    <row r="261" spans="1:82" customFormat="1">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0" t="s">
        <v>1954</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1" t="s">
        <v>61</v>
      </c>
      <c r="AG264" s="1711"/>
      <c r="AH264" s="1711"/>
      <c r="AI264" s="1711"/>
      <c r="AJ264" s="1711"/>
      <c r="AK264" s="1711"/>
      <c r="AL264" s="1711"/>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2" t="s">
        <v>124</v>
      </c>
      <c r="I269" s="181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9">
        <f>VLOOKUP($H$269,$AO$260:$AP$262,2,FALSE)</f>
        <v>0</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75" t="s">
        <v>2213</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1" t="s">
        <v>1634</v>
      </c>
      <c r="AG275" s="1711"/>
      <c r="AH275" s="1711"/>
      <c r="AI275" s="1711"/>
      <c r="AJ275" s="1711"/>
      <c r="AK275" s="1711"/>
      <c r="AL275" s="1711"/>
      <c r="AM275" s="104"/>
      <c r="AN275" s="204"/>
      <c r="AO275" s="26" t="s">
        <v>108</v>
      </c>
      <c r="AP275" s="4">
        <v>8</v>
      </c>
      <c r="AT275" s="428"/>
      <c r="AU275" s="428"/>
      <c r="AV275" s="428"/>
      <c r="AW275" s="428"/>
      <c r="AX275" s="428"/>
      <c r="AY275" s="428"/>
      <c r="AZ275" s="428"/>
    </row>
    <row r="276" spans="1:82" customFormat="1">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2" t="s">
        <v>124</v>
      </c>
      <c r="I279" s="181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23</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1" t="s">
        <v>2420</v>
      </c>
      <c r="I287" s="1111"/>
      <c r="J287" s="1111"/>
      <c r="K287" s="1111"/>
      <c r="L287" s="1111"/>
      <c r="M287" s="1111"/>
      <c r="N287" s="1111"/>
      <c r="O287" s="1111"/>
      <c r="P287" s="1111"/>
      <c r="Q287" s="1111"/>
      <c r="R287" s="1111"/>
      <c r="S287"/>
      <c r="T287" s="41" t="s">
        <v>89</v>
      </c>
      <c r="U287"/>
      <c r="V287" s="41"/>
      <c r="W287" s="41"/>
      <c r="X287" s="41"/>
      <c r="Y287" s="41"/>
      <c r="Z287"/>
      <c r="AA287" s="1111" t="s">
        <v>2425</v>
      </c>
      <c r="AB287" s="1111"/>
      <c r="AC287" s="1111"/>
      <c r="AD287" s="1111"/>
      <c r="AE287" s="1111"/>
      <c r="AF287" s="1111"/>
      <c r="AG287" s="1111"/>
      <c r="AH287" s="1111"/>
      <c r="AI287" s="1111"/>
      <c r="AJ287" s="1111"/>
      <c r="AK287" s="1111"/>
      <c r="AL287" s="10"/>
      <c r="AN287" s="281"/>
      <c r="AP287" t="s">
        <v>91</v>
      </c>
    </row>
    <row r="288" spans="1:82" s="4" customFormat="1" ht="12.75" customHeight="1">
      <c r="B288" s="41" t="s">
        <v>700</v>
      </c>
      <c r="C288" s="41"/>
      <c r="D288" s="41"/>
      <c r="E288" s="41"/>
      <c r="F288" s="41"/>
      <c r="G288"/>
      <c r="H288" s="1262" t="s">
        <v>2421</v>
      </c>
      <c r="I288" s="1262"/>
      <c r="J288" s="1262"/>
      <c r="K288" s="1262"/>
      <c r="L288" s="1262"/>
      <c r="M288" s="1262"/>
      <c r="N288" s="1262"/>
      <c r="O288" s="1262"/>
      <c r="P288" s="1262"/>
      <c r="Q288" s="1262"/>
      <c r="R288" s="1262"/>
      <c r="S288"/>
      <c r="T288" s="41" t="s">
        <v>700</v>
      </c>
      <c r="U288"/>
      <c r="V288" s="41"/>
      <c r="W288" s="41"/>
      <c r="X288" s="41"/>
      <c r="Y288" s="41"/>
      <c r="Z288"/>
      <c r="AA288" s="1262" t="s">
        <v>2426</v>
      </c>
      <c r="AB288" s="1262"/>
      <c r="AC288" s="1262"/>
      <c r="AD288" s="1262"/>
      <c r="AE288" s="1262"/>
      <c r="AF288" s="1262"/>
      <c r="AG288" s="1262"/>
      <c r="AH288" s="1262"/>
      <c r="AI288" s="1262"/>
      <c r="AJ288" s="1262"/>
      <c r="AK288" s="1262"/>
      <c r="AL288" s="10"/>
      <c r="AN288" s="281"/>
      <c r="AP288" t="s">
        <v>92</v>
      </c>
    </row>
    <row r="289" spans="1:42" s="4" customFormat="1" ht="12.75" customHeight="1">
      <c r="B289" s="41" t="s">
        <v>99</v>
      </c>
      <c r="C289" s="41"/>
      <c r="D289" s="41"/>
      <c r="E289" s="41"/>
      <c r="F289" s="41"/>
      <c r="G289"/>
      <c r="H289" s="1262" t="s">
        <v>2422</v>
      </c>
      <c r="I289" s="1262"/>
      <c r="J289" s="1262"/>
      <c r="K289" s="1262"/>
      <c r="L289" s="1262"/>
      <c r="M289" s="1262"/>
      <c r="N289" s="1262"/>
      <c r="O289" s="1262"/>
      <c r="P289" s="1262"/>
      <c r="Q289" s="1262"/>
      <c r="R289" s="1262"/>
      <c r="S289"/>
      <c r="T289" s="41" t="s">
        <v>99</v>
      </c>
      <c r="U289"/>
      <c r="V289" s="41"/>
      <c r="W289" s="41"/>
      <c r="X289" s="41"/>
      <c r="Y289" s="41"/>
      <c r="Z289"/>
      <c r="AA289" s="1262" t="s">
        <v>2422</v>
      </c>
      <c r="AB289" s="1262"/>
      <c r="AC289" s="1262"/>
      <c r="AD289" s="1262"/>
      <c r="AE289" s="1262"/>
      <c r="AF289" s="1262"/>
      <c r="AG289" s="1262"/>
      <c r="AH289" s="1262"/>
      <c r="AI289" s="1262"/>
      <c r="AJ289" s="1262"/>
      <c r="AK289" s="1262"/>
      <c r="AL289" s="10"/>
      <c r="AN289" s="281"/>
      <c r="AO289" s="211"/>
      <c r="AP289" t="s">
        <v>93</v>
      </c>
    </row>
    <row r="290" spans="1:42" s="4" customFormat="1" ht="12.75" customHeight="1">
      <c r="B290" s="41" t="s">
        <v>375</v>
      </c>
      <c r="C290" s="41"/>
      <c r="D290" s="41"/>
      <c r="E290" s="41"/>
      <c r="F290" s="41"/>
      <c r="G290"/>
      <c r="H290" s="1262" t="s">
        <v>2501</v>
      </c>
      <c r="I290" s="1262"/>
      <c r="J290" s="1262"/>
      <c r="K290" s="1262"/>
      <c r="L290" s="1262"/>
      <c r="M290" s="1262"/>
      <c r="N290" s="1262"/>
      <c r="O290" s="1262"/>
      <c r="P290" s="1262"/>
      <c r="Q290" s="1262"/>
      <c r="R290" s="1262"/>
      <c r="S290"/>
      <c r="T290" s="41" t="s">
        <v>375</v>
      </c>
      <c r="U290"/>
      <c r="V290" s="41"/>
      <c r="W290" s="41"/>
      <c r="X290" s="41"/>
      <c r="Y290" s="41"/>
      <c r="Z290"/>
      <c r="AA290" s="1262" t="s">
        <v>2502</v>
      </c>
      <c r="AB290" s="1262"/>
      <c r="AC290" s="1262"/>
      <c r="AD290" s="1262"/>
      <c r="AE290" s="1262"/>
      <c r="AF290" s="1262"/>
      <c r="AG290" s="1262"/>
      <c r="AH290" s="1262"/>
      <c r="AI290" s="1262"/>
      <c r="AJ290" s="1262"/>
      <c r="AK290" s="1262"/>
      <c r="AL290" s="10"/>
      <c r="AN290" s="281"/>
      <c r="AO290" s="211"/>
      <c r="AP290" t="s">
        <v>348</v>
      </c>
    </row>
    <row r="291" spans="1:42" s="4" customFormat="1" ht="12.75" customHeight="1">
      <c r="B291" s="41" t="s">
        <v>376</v>
      </c>
      <c r="C291" s="41"/>
      <c r="D291" s="41"/>
      <c r="E291" s="41"/>
      <c r="F291" s="41"/>
      <c r="G291" s="41"/>
      <c r="H291" s="1406" t="s">
        <v>2423</v>
      </c>
      <c r="I291" s="1406"/>
      <c r="J291" s="1406"/>
      <c r="K291" s="1406"/>
      <c r="L291" s="1406"/>
      <c r="M291" s="1406"/>
      <c r="N291" s="5" t="s">
        <v>819</v>
      </c>
      <c r="O291" s="5"/>
      <c r="P291" s="1395"/>
      <c r="Q291" s="1395"/>
      <c r="R291" s="1395"/>
      <c r="S291" s="41"/>
      <c r="T291" s="41" t="s">
        <v>376</v>
      </c>
      <c r="U291"/>
      <c r="V291" s="41"/>
      <c r="W291" s="41"/>
      <c r="X291" s="41"/>
      <c r="Y291" s="41"/>
      <c r="Z291"/>
      <c r="AA291" s="1406" t="s">
        <v>2428</v>
      </c>
      <c r="AB291" s="1406"/>
      <c r="AC291" s="1406"/>
      <c r="AD291" s="1406"/>
      <c r="AE291" s="1406"/>
      <c r="AF291" s="1406"/>
      <c r="AG291" s="5" t="s">
        <v>819</v>
      </c>
      <c r="AH291" s="5"/>
      <c r="AI291" s="1395"/>
      <c r="AJ291" s="1395"/>
      <c r="AK291" s="1395"/>
      <c r="AL291" s="10"/>
      <c r="AN291" s="281"/>
      <c r="AO291" s="211"/>
      <c r="AP291" t="s">
        <v>100</v>
      </c>
    </row>
    <row r="292" spans="1:42" s="4" customFormat="1" ht="12.75" customHeight="1">
      <c r="B292" s="41" t="s">
        <v>88</v>
      </c>
      <c r="C292" s="41"/>
      <c r="D292" s="41"/>
      <c r="E292" s="41"/>
      <c r="F292" s="41"/>
      <c r="G292" s="41"/>
      <c r="H292" s="1262" t="s">
        <v>348</v>
      </c>
      <c r="I292" s="1262"/>
      <c r="J292" s="1262"/>
      <c r="K292" s="1262"/>
      <c r="L292" s="1262"/>
      <c r="M292" s="1262"/>
      <c r="N292" s="1262"/>
      <c r="O292" s="1262"/>
      <c r="P292" s="1262"/>
      <c r="Q292" s="1262"/>
      <c r="R292" s="1262"/>
      <c r="S292" s="41"/>
      <c r="T292" s="41" t="s">
        <v>88</v>
      </c>
      <c r="U292"/>
      <c r="V292" s="41"/>
      <c r="W292" s="41"/>
      <c r="X292" s="41"/>
      <c r="Y292" s="41"/>
      <c r="Z292"/>
      <c r="AA292" s="1262" t="s">
        <v>92</v>
      </c>
      <c r="AB292" s="1262"/>
      <c r="AC292" s="1262"/>
      <c r="AD292" s="1262"/>
      <c r="AE292" s="1262"/>
      <c r="AF292" s="1262"/>
      <c r="AG292" s="1262"/>
      <c r="AH292" s="1262"/>
      <c r="AI292" s="1262"/>
      <c r="AJ292" s="1262"/>
      <c r="AK292" s="1262"/>
      <c r="AL292" s="10"/>
      <c r="AN292" s="281"/>
      <c r="AO292" s="211"/>
      <c r="AP292" t="s">
        <v>97</v>
      </c>
    </row>
    <row r="293" spans="1:42" s="4" customFormat="1" ht="12.75" customHeight="1">
      <c r="B293" s="41" t="s">
        <v>90</v>
      </c>
      <c r="C293" s="41"/>
      <c r="D293" s="41"/>
      <c r="E293" s="41"/>
      <c r="F293" s="41"/>
      <c r="G293" s="41"/>
      <c r="H293" s="1262" t="s">
        <v>2424</v>
      </c>
      <c r="I293" s="1262"/>
      <c r="J293" s="1262"/>
      <c r="K293" s="1262"/>
      <c r="L293" s="1262"/>
      <c r="M293" s="1262"/>
      <c r="N293" s="1262"/>
      <c r="O293" s="1262"/>
      <c r="P293" s="1262"/>
      <c r="Q293" s="1262"/>
      <c r="R293" s="1262"/>
      <c r="S293" s="41"/>
      <c r="T293" s="41" t="s">
        <v>90</v>
      </c>
      <c r="U293"/>
      <c r="V293" s="41"/>
      <c r="W293" s="41"/>
      <c r="X293" s="41"/>
      <c r="Y293" s="41"/>
      <c r="Z293"/>
      <c r="AA293" s="1262" t="s">
        <v>2427</v>
      </c>
      <c r="AB293" s="1262"/>
      <c r="AC293" s="1262"/>
      <c r="AD293" s="1262"/>
      <c r="AE293" s="1262"/>
      <c r="AF293" s="1262"/>
      <c r="AG293" s="1262"/>
      <c r="AH293" s="1262"/>
      <c r="AI293" s="1262"/>
      <c r="AJ293" s="1262"/>
      <c r="AK293" s="1262"/>
      <c r="AL293" s="10"/>
      <c r="AN293" s="281"/>
      <c r="AP293" t="s">
        <v>98</v>
      </c>
    </row>
    <row r="294" spans="1:42" s="4" customFormat="1" ht="12.75" customHeight="1">
      <c r="B294" s="41" t="s">
        <v>101</v>
      </c>
      <c r="C294" s="41"/>
      <c r="D294" s="41"/>
      <c r="E294" s="41"/>
      <c r="F294" s="41"/>
      <c r="G294" s="41"/>
      <c r="H294" s="1674">
        <v>0.3</v>
      </c>
      <c r="I294" s="1674"/>
      <c r="J294" s="1674"/>
      <c r="K294" s="1674"/>
      <c r="L294" s="1674"/>
      <c r="M294" s="1674"/>
      <c r="N294" s="1674"/>
      <c r="O294" s="1674"/>
      <c r="P294" s="1674"/>
      <c r="Q294" s="1674"/>
      <c r="R294" s="1674"/>
      <c r="S294" s="41"/>
      <c r="T294" s="41" t="s">
        <v>101</v>
      </c>
      <c r="U294" s="41"/>
      <c r="V294" s="41"/>
      <c r="W294" s="41"/>
      <c r="X294" s="41"/>
      <c r="Y294" s="41"/>
      <c r="Z294" s="12"/>
      <c r="AA294" s="1674">
        <v>0.5</v>
      </c>
      <c r="AB294" s="1674"/>
      <c r="AC294" s="1674"/>
      <c r="AD294" s="1674"/>
      <c r="AE294" s="1674"/>
      <c r="AF294" s="1674"/>
      <c r="AG294" s="1674"/>
      <c r="AH294" s="1674"/>
      <c r="AI294" s="1674"/>
      <c r="AJ294" s="1674"/>
      <c r="AK294" s="1674"/>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11" t="s">
        <v>2429</v>
      </c>
      <c r="I296" s="1111"/>
      <c r="J296" s="1111"/>
      <c r="K296" s="1111"/>
      <c r="L296" s="1111"/>
      <c r="M296" s="1111"/>
      <c r="N296" s="1111"/>
      <c r="O296" s="1111"/>
      <c r="P296" s="1111"/>
      <c r="Q296" s="1111"/>
      <c r="R296" s="1111"/>
      <c r="S296"/>
      <c r="T296" s="41" t="s">
        <v>89</v>
      </c>
      <c r="U296"/>
      <c r="V296" s="41"/>
      <c r="W296" s="41"/>
      <c r="X296" s="41"/>
      <c r="Y296" s="41"/>
      <c r="Z296"/>
      <c r="AA296" s="1111" t="s">
        <v>2433</v>
      </c>
      <c r="AB296" s="1111"/>
      <c r="AC296" s="1111"/>
      <c r="AD296" s="1111"/>
      <c r="AE296" s="1111"/>
      <c r="AF296" s="1111"/>
      <c r="AG296" s="1111"/>
      <c r="AH296" s="1111"/>
      <c r="AI296" s="1111"/>
      <c r="AJ296" s="1111"/>
      <c r="AK296" s="1111"/>
      <c r="AL296" s="10"/>
      <c r="AN296" s="281"/>
      <c r="AP296" s="48" t="s">
        <v>349</v>
      </c>
    </row>
    <row r="297" spans="1:42" s="20" customFormat="1" ht="12.75" customHeight="1">
      <c r="A297" s="4"/>
      <c r="B297" s="41" t="s">
        <v>700</v>
      </c>
      <c r="C297" s="41"/>
      <c r="D297" s="41"/>
      <c r="E297" s="41"/>
      <c r="F297" s="41"/>
      <c r="G297"/>
      <c r="H297" s="1262" t="s">
        <v>2430</v>
      </c>
      <c r="I297" s="1262"/>
      <c r="J297" s="1262"/>
      <c r="K297" s="1262"/>
      <c r="L297" s="1262"/>
      <c r="M297" s="1262"/>
      <c r="N297" s="1262"/>
      <c r="O297" s="1262"/>
      <c r="P297" s="1262"/>
      <c r="Q297" s="1262"/>
      <c r="R297" s="1262"/>
      <c r="S297"/>
      <c r="T297" s="41" t="s">
        <v>700</v>
      </c>
      <c r="U297"/>
      <c r="V297" s="41"/>
      <c r="W297" s="41"/>
      <c r="X297" s="41"/>
      <c r="Y297" s="41"/>
      <c r="Z297"/>
      <c r="AA297" s="1262" t="s">
        <v>2434</v>
      </c>
      <c r="AB297" s="1262"/>
      <c r="AC297" s="1262"/>
      <c r="AD297" s="1262"/>
      <c r="AE297" s="1262"/>
      <c r="AF297" s="1262"/>
      <c r="AG297" s="1262"/>
      <c r="AH297" s="1262"/>
      <c r="AI297" s="1262"/>
      <c r="AJ297" s="1262"/>
      <c r="AK297" s="1262"/>
      <c r="AL297" s="10"/>
      <c r="AM297" s="4"/>
      <c r="AN297" s="281"/>
      <c r="AO297" s="4"/>
    </row>
    <row r="298" spans="1:42" s="20" customFormat="1" ht="12.75" customHeight="1">
      <c r="A298" s="4"/>
      <c r="B298" s="41" t="s">
        <v>99</v>
      </c>
      <c r="C298" s="41"/>
      <c r="D298" s="41"/>
      <c r="E298" s="41"/>
      <c r="F298" s="41"/>
      <c r="G298"/>
      <c r="H298" s="1262" t="s">
        <v>2422</v>
      </c>
      <c r="I298" s="1262"/>
      <c r="J298" s="1262"/>
      <c r="K298" s="1262"/>
      <c r="L298" s="1262"/>
      <c r="M298" s="1262"/>
      <c r="N298" s="1262"/>
      <c r="O298" s="1262"/>
      <c r="P298" s="1262"/>
      <c r="Q298" s="1262"/>
      <c r="R298" s="1262"/>
      <c r="S298"/>
      <c r="T298" s="41" t="s">
        <v>99</v>
      </c>
      <c r="U298"/>
      <c r="V298" s="41"/>
      <c r="W298" s="41"/>
      <c r="X298" s="41"/>
      <c r="Y298" s="41"/>
      <c r="Z298"/>
      <c r="AA298" s="1262" t="s">
        <v>2422</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375</v>
      </c>
      <c r="C299" s="41"/>
      <c r="D299" s="41"/>
      <c r="E299" s="41"/>
      <c r="F299" s="41"/>
      <c r="G299"/>
      <c r="H299" s="1262" t="s">
        <v>2505</v>
      </c>
      <c r="I299" s="1262"/>
      <c r="J299" s="1262"/>
      <c r="K299" s="1262"/>
      <c r="L299" s="1262"/>
      <c r="M299" s="1262"/>
      <c r="N299" s="1262"/>
      <c r="O299" s="1262"/>
      <c r="P299" s="1262"/>
      <c r="Q299" s="1262"/>
      <c r="R299" s="1262"/>
      <c r="S299"/>
      <c r="T299" s="41" t="s">
        <v>375</v>
      </c>
      <c r="U299"/>
      <c r="V299" s="41"/>
      <c r="W299" s="41"/>
      <c r="X299" s="41"/>
      <c r="Y299" s="41"/>
      <c r="Z299"/>
      <c r="AA299" s="1262" t="s">
        <v>2504</v>
      </c>
      <c r="AB299" s="1262"/>
      <c r="AC299" s="1262"/>
      <c r="AD299" s="1262"/>
      <c r="AE299" s="1262"/>
      <c r="AF299" s="1262"/>
      <c r="AG299" s="1262"/>
      <c r="AH299" s="1262"/>
      <c r="AI299" s="1262"/>
      <c r="AJ299" s="1262"/>
      <c r="AK299" s="1262"/>
      <c r="AL299" s="10"/>
      <c r="AN299" s="281"/>
    </row>
    <row r="300" spans="1:42" s="4" customFormat="1" ht="12.75" customHeight="1">
      <c r="B300" s="41" t="s">
        <v>376</v>
      </c>
      <c r="C300" s="41"/>
      <c r="D300" s="41"/>
      <c r="E300" s="41"/>
      <c r="F300" s="41"/>
      <c r="G300" s="41"/>
      <c r="H300" s="1406" t="s">
        <v>2432</v>
      </c>
      <c r="I300" s="1406"/>
      <c r="J300" s="1406"/>
      <c r="K300" s="1406"/>
      <c r="L300" s="1406"/>
      <c r="M300" s="1406"/>
      <c r="N300" s="5" t="s">
        <v>819</v>
      </c>
      <c r="O300" s="5"/>
      <c r="P300" s="1395"/>
      <c r="Q300" s="1395"/>
      <c r="R300" s="1395"/>
      <c r="S300" s="41"/>
      <c r="T300" s="41" t="s">
        <v>376</v>
      </c>
      <c r="U300"/>
      <c r="V300" s="41"/>
      <c r="W300" s="41"/>
      <c r="X300" s="41"/>
      <c r="Y300" s="41"/>
      <c r="Z300"/>
      <c r="AA300" s="1406" t="s">
        <v>2436</v>
      </c>
      <c r="AB300" s="1406"/>
      <c r="AC300" s="1406"/>
      <c r="AD300" s="1406"/>
      <c r="AE300" s="1406"/>
      <c r="AF300" s="1406"/>
      <c r="AG300" s="5" t="s">
        <v>819</v>
      </c>
      <c r="AH300" s="5"/>
      <c r="AI300" s="1395"/>
      <c r="AJ300" s="1395"/>
      <c r="AK300" s="1395"/>
      <c r="AL300" s="10"/>
      <c r="AN300" s="281"/>
    </row>
    <row r="301" spans="1:42" s="4" customFormat="1" ht="12.75" customHeight="1">
      <c r="B301" s="41" t="s">
        <v>88</v>
      </c>
      <c r="C301" s="41"/>
      <c r="D301" s="41"/>
      <c r="E301" s="41"/>
      <c r="F301" s="41"/>
      <c r="G301" s="41"/>
      <c r="H301" s="1262" t="s">
        <v>93</v>
      </c>
      <c r="I301" s="1262"/>
      <c r="J301" s="1262"/>
      <c r="K301" s="1262"/>
      <c r="L301" s="1262"/>
      <c r="M301" s="1262"/>
      <c r="N301" s="1262"/>
      <c r="O301" s="1262"/>
      <c r="P301" s="1262"/>
      <c r="Q301" s="1262"/>
      <c r="R301" s="1262"/>
      <c r="S301" s="41"/>
      <c r="T301" s="41" t="s">
        <v>88</v>
      </c>
      <c r="U301"/>
      <c r="V301" s="41"/>
      <c r="W301" s="41"/>
      <c r="X301" s="41"/>
      <c r="Y301" s="41"/>
      <c r="Z301"/>
      <c r="AA301" s="1262" t="s">
        <v>96</v>
      </c>
      <c r="AB301" s="1262"/>
      <c r="AC301" s="1262"/>
      <c r="AD301" s="1262"/>
      <c r="AE301" s="1262"/>
      <c r="AF301" s="1262"/>
      <c r="AG301" s="1262"/>
      <c r="AH301" s="1262"/>
      <c r="AI301" s="1262"/>
      <c r="AJ301" s="1262"/>
      <c r="AK301" s="1262"/>
      <c r="AL301" s="10"/>
      <c r="AN301" s="281"/>
    </row>
    <row r="302" spans="1:42" s="4" customFormat="1" ht="12.75" customHeight="1">
      <c r="B302" s="41" t="s">
        <v>90</v>
      </c>
      <c r="C302" s="41"/>
      <c r="D302" s="41"/>
      <c r="E302" s="41"/>
      <c r="F302" s="41"/>
      <c r="G302" s="41"/>
      <c r="H302" s="1262" t="s">
        <v>2431</v>
      </c>
      <c r="I302" s="1262"/>
      <c r="J302" s="1262"/>
      <c r="K302" s="1262"/>
      <c r="L302" s="1262"/>
      <c r="M302" s="1262"/>
      <c r="N302" s="1262"/>
      <c r="O302" s="1262"/>
      <c r="P302" s="1262"/>
      <c r="Q302" s="1262"/>
      <c r="R302" s="1262"/>
      <c r="S302" s="41"/>
      <c r="T302" s="41" t="s">
        <v>90</v>
      </c>
      <c r="U302"/>
      <c r="V302" s="41"/>
      <c r="W302" s="41"/>
      <c r="X302" s="41"/>
      <c r="Y302" s="41"/>
      <c r="Z302"/>
      <c r="AA302" s="1262" t="s">
        <v>2435</v>
      </c>
      <c r="AB302" s="1262"/>
      <c r="AC302" s="1262"/>
      <c r="AD302" s="1262"/>
      <c r="AE302" s="1262"/>
      <c r="AF302" s="1262"/>
      <c r="AG302" s="1262"/>
      <c r="AH302" s="1262"/>
      <c r="AI302" s="1262"/>
      <c r="AJ302" s="1262"/>
      <c r="AK302" s="1262"/>
      <c r="AL302" s="10"/>
      <c r="AN302" s="281"/>
    </row>
    <row r="303" spans="1:42" s="4" customFormat="1" ht="12.75" customHeight="1">
      <c r="B303" s="41" t="s">
        <v>101</v>
      </c>
      <c r="C303" s="41"/>
      <c r="D303" s="41"/>
      <c r="E303" s="41"/>
      <c r="F303" s="41"/>
      <c r="G303" s="41"/>
      <c r="H303" s="1674">
        <v>0.1</v>
      </c>
      <c r="I303" s="1674"/>
      <c r="J303" s="1674"/>
      <c r="K303" s="1674"/>
      <c r="L303" s="1674"/>
      <c r="M303" s="1674"/>
      <c r="N303" s="1674"/>
      <c r="O303" s="1674"/>
      <c r="P303" s="1674"/>
      <c r="Q303" s="1674"/>
      <c r="R303" s="1674"/>
      <c r="S303" s="41"/>
      <c r="T303" s="41" t="s">
        <v>101</v>
      </c>
      <c r="U303" s="41"/>
      <c r="V303" s="41"/>
      <c r="W303" s="41"/>
      <c r="X303" s="41"/>
      <c r="Y303" s="41"/>
      <c r="Z303" s="12"/>
      <c r="AA303" s="1674">
        <v>0.1</v>
      </c>
      <c r="AB303" s="1674"/>
      <c r="AC303" s="1674"/>
      <c r="AD303" s="1674"/>
      <c r="AE303" s="1674"/>
      <c r="AF303" s="1674"/>
      <c r="AG303" s="1674"/>
      <c r="AH303" s="1674"/>
      <c r="AI303" s="1674"/>
      <c r="AJ303" s="1674"/>
      <c r="AK303" s="167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1" t="s">
        <v>2437</v>
      </c>
      <c r="I305" s="1111"/>
      <c r="J305" s="1111"/>
      <c r="K305" s="1111"/>
      <c r="L305" s="1111"/>
      <c r="M305" s="1111"/>
      <c r="N305" s="1111"/>
      <c r="O305" s="1111"/>
      <c r="P305" s="1111"/>
      <c r="Q305" s="1111"/>
      <c r="R305" s="1111"/>
      <c r="S305"/>
      <c r="T305" s="41" t="s">
        <v>89</v>
      </c>
      <c r="U305"/>
      <c r="V305" s="41"/>
      <c r="W305" s="41"/>
      <c r="X305" s="41"/>
      <c r="Y305" s="41"/>
      <c r="Z305"/>
      <c r="AA305" s="1111" t="s">
        <v>2441</v>
      </c>
      <c r="AB305" s="1111"/>
      <c r="AC305" s="1111"/>
      <c r="AD305" s="1111"/>
      <c r="AE305" s="1111"/>
      <c r="AF305" s="1111"/>
      <c r="AG305" s="1111"/>
      <c r="AH305" s="1111"/>
      <c r="AI305" s="1111"/>
      <c r="AJ305" s="1111"/>
      <c r="AK305" s="1111"/>
      <c r="AL305" s="10"/>
      <c r="AN305" s="281"/>
    </row>
    <row r="306" spans="2:40" s="4" customFormat="1" ht="12.75" customHeight="1">
      <c r="B306" s="41" t="s">
        <v>700</v>
      </c>
      <c r="C306" s="41"/>
      <c r="D306" s="41"/>
      <c r="E306" s="41"/>
      <c r="F306" s="41"/>
      <c r="G306"/>
      <c r="H306" s="1262" t="s">
        <v>2438</v>
      </c>
      <c r="I306" s="1262"/>
      <c r="J306" s="1262"/>
      <c r="K306" s="1262"/>
      <c r="L306" s="1262"/>
      <c r="M306" s="1262"/>
      <c r="N306" s="1262"/>
      <c r="O306" s="1262"/>
      <c r="P306" s="1262"/>
      <c r="Q306" s="1262"/>
      <c r="R306" s="1262"/>
      <c r="S306"/>
      <c r="T306" s="41" t="s">
        <v>700</v>
      </c>
      <c r="U306"/>
      <c r="V306" s="41"/>
      <c r="W306" s="41"/>
      <c r="X306" s="41"/>
      <c r="Y306" s="41"/>
      <c r="Z306"/>
      <c r="AA306" s="1262" t="s">
        <v>2442</v>
      </c>
      <c r="AB306" s="1262"/>
      <c r="AC306" s="1262"/>
      <c r="AD306" s="1262"/>
      <c r="AE306" s="1262"/>
      <c r="AF306" s="1262"/>
      <c r="AG306" s="1262"/>
      <c r="AH306" s="1262"/>
      <c r="AI306" s="1262"/>
      <c r="AJ306" s="1262"/>
      <c r="AK306" s="1262"/>
      <c r="AL306" s="10"/>
      <c r="AN306" s="281"/>
    </row>
    <row r="307" spans="2:40" s="4" customFormat="1" ht="12.75" customHeight="1">
      <c r="B307" s="41" t="s">
        <v>99</v>
      </c>
      <c r="C307" s="41"/>
      <c r="D307" s="41"/>
      <c r="E307" s="41"/>
      <c r="F307" s="41"/>
      <c r="G307"/>
      <c r="H307" s="1262" t="s">
        <v>2422</v>
      </c>
      <c r="I307" s="1262"/>
      <c r="J307" s="1262"/>
      <c r="K307" s="1262"/>
      <c r="L307" s="1262"/>
      <c r="M307" s="1262"/>
      <c r="N307" s="1262"/>
      <c r="O307" s="1262"/>
      <c r="P307" s="1262"/>
      <c r="Q307" s="1262"/>
      <c r="R307" s="1262"/>
      <c r="S307"/>
      <c r="T307" s="41" t="s">
        <v>99</v>
      </c>
      <c r="U307"/>
      <c r="V307" s="41"/>
      <c r="W307" s="41"/>
      <c r="X307" s="41"/>
      <c r="Y307" s="41"/>
      <c r="Z307"/>
      <c r="AA307" s="1262" t="s">
        <v>2422</v>
      </c>
      <c r="AB307" s="1262"/>
      <c r="AC307" s="1262"/>
      <c r="AD307" s="1262"/>
      <c r="AE307" s="1262"/>
      <c r="AF307" s="1262"/>
      <c r="AG307" s="1262"/>
      <c r="AH307" s="1262"/>
      <c r="AI307" s="1262"/>
      <c r="AJ307" s="1262"/>
      <c r="AK307" s="1262"/>
      <c r="AL307" s="10"/>
      <c r="AN307" s="281"/>
    </row>
    <row r="308" spans="2:40" s="4" customFormat="1" ht="12.75" customHeight="1">
      <c r="B308" s="41" t="s">
        <v>375</v>
      </c>
      <c r="C308" s="41"/>
      <c r="D308" s="41"/>
      <c r="E308" s="41"/>
      <c r="F308" s="41"/>
      <c r="G308"/>
      <c r="H308" s="1262" t="s">
        <v>2503</v>
      </c>
      <c r="I308" s="1262"/>
      <c r="J308" s="1262"/>
      <c r="K308" s="1262"/>
      <c r="L308" s="1262"/>
      <c r="M308" s="1262"/>
      <c r="N308" s="1262"/>
      <c r="O308" s="1262"/>
      <c r="P308" s="1262"/>
      <c r="Q308" s="1262"/>
      <c r="R308" s="1262"/>
      <c r="S308"/>
      <c r="T308" s="41" t="s">
        <v>375</v>
      </c>
      <c r="U308"/>
      <c r="V308" s="41"/>
      <c r="W308" s="41"/>
      <c r="X308" s="41"/>
      <c r="Y308" s="41"/>
      <c r="Z308"/>
      <c r="AA308" s="1262" t="s">
        <v>2507</v>
      </c>
      <c r="AB308" s="1262"/>
      <c r="AC308" s="1262"/>
      <c r="AD308" s="1262"/>
      <c r="AE308" s="1262"/>
      <c r="AF308" s="1262"/>
      <c r="AG308" s="1262"/>
      <c r="AH308" s="1262"/>
      <c r="AI308" s="1262"/>
      <c r="AJ308" s="1262"/>
      <c r="AK308" s="1262"/>
      <c r="AL308" s="10"/>
      <c r="AN308" s="281"/>
    </row>
    <row r="309" spans="2:40" s="4" customFormat="1" ht="12.75" customHeight="1">
      <c r="B309" s="41" t="s">
        <v>376</v>
      </c>
      <c r="C309" s="41"/>
      <c r="D309" s="41"/>
      <c r="E309" s="41"/>
      <c r="F309" s="41"/>
      <c r="G309" s="41"/>
      <c r="H309" s="1406" t="s">
        <v>2440</v>
      </c>
      <c r="I309" s="1406"/>
      <c r="J309" s="1406"/>
      <c r="K309" s="1406"/>
      <c r="L309" s="1406"/>
      <c r="M309" s="1406"/>
      <c r="N309" s="5" t="s">
        <v>819</v>
      </c>
      <c r="O309" s="5"/>
      <c r="P309" s="1395"/>
      <c r="Q309" s="1395"/>
      <c r="R309" s="1395"/>
      <c r="S309" s="41"/>
      <c r="T309" s="41" t="s">
        <v>376</v>
      </c>
      <c r="U309"/>
      <c r="V309" s="41"/>
      <c r="W309" s="41"/>
      <c r="X309" s="41"/>
      <c r="Y309" s="41"/>
      <c r="Z309"/>
      <c r="AA309" s="1406" t="s">
        <v>2443</v>
      </c>
      <c r="AB309" s="1406"/>
      <c r="AC309" s="1406"/>
      <c r="AD309" s="1406"/>
      <c r="AE309" s="1406"/>
      <c r="AF309" s="1406"/>
      <c r="AG309" s="5" t="s">
        <v>819</v>
      </c>
      <c r="AH309" s="5"/>
      <c r="AI309" s="1395"/>
      <c r="AJ309" s="1395"/>
      <c r="AK309" s="1395"/>
      <c r="AL309" s="10"/>
      <c r="AN309" s="281"/>
    </row>
    <row r="310" spans="2:40" s="4" customFormat="1" ht="12.75" customHeight="1">
      <c r="B310" s="41" t="s">
        <v>88</v>
      </c>
      <c r="C310" s="41"/>
      <c r="D310" s="41"/>
      <c r="E310" s="41"/>
      <c r="F310" s="41"/>
      <c r="G310" s="41"/>
      <c r="H310" s="1262" t="s">
        <v>95</v>
      </c>
      <c r="I310" s="1262"/>
      <c r="J310" s="1262"/>
      <c r="K310" s="1262"/>
      <c r="L310" s="1262"/>
      <c r="M310" s="1262"/>
      <c r="N310" s="1262"/>
      <c r="O310" s="1262"/>
      <c r="P310" s="1262"/>
      <c r="Q310" s="1262"/>
      <c r="R310" s="1262"/>
      <c r="S310" s="41"/>
      <c r="T310" s="41" t="s">
        <v>88</v>
      </c>
      <c r="U310"/>
      <c r="V310" s="41"/>
      <c r="W310" s="41"/>
      <c r="X310" s="41"/>
      <c r="Y310" s="41"/>
      <c r="Z310"/>
      <c r="AA310" s="1262" t="s">
        <v>91</v>
      </c>
      <c r="AB310" s="1262"/>
      <c r="AC310" s="1262"/>
      <c r="AD310" s="1262"/>
      <c r="AE310" s="1262"/>
      <c r="AF310" s="1262"/>
      <c r="AG310" s="1262"/>
      <c r="AH310" s="1262"/>
      <c r="AI310" s="1262"/>
      <c r="AJ310" s="1262"/>
      <c r="AK310" s="1262"/>
      <c r="AL310" s="10"/>
      <c r="AN310" s="281"/>
    </row>
    <row r="311" spans="2:40" s="4" customFormat="1" ht="12.75" customHeight="1">
      <c r="B311" s="41" t="s">
        <v>90</v>
      </c>
      <c r="C311" s="41"/>
      <c r="D311" s="41"/>
      <c r="E311" s="41"/>
      <c r="F311" s="41"/>
      <c r="G311" s="41"/>
      <c r="H311" s="1262" t="s">
        <v>2439</v>
      </c>
      <c r="I311" s="1262"/>
      <c r="J311" s="1262"/>
      <c r="K311" s="1262"/>
      <c r="L311" s="1262"/>
      <c r="M311" s="1262"/>
      <c r="N311" s="1262"/>
      <c r="O311" s="1262"/>
      <c r="P311" s="1262"/>
      <c r="Q311" s="1262"/>
      <c r="R311" s="1262"/>
      <c r="S311" s="41"/>
      <c r="T311" s="41" t="s">
        <v>90</v>
      </c>
      <c r="U311"/>
      <c r="V311" s="41"/>
      <c r="W311" s="41"/>
      <c r="X311" s="41"/>
      <c r="Y311" s="41"/>
      <c r="Z311"/>
      <c r="AA311" s="1262" t="s">
        <v>2506</v>
      </c>
      <c r="AB311" s="1262"/>
      <c r="AC311" s="1262"/>
      <c r="AD311" s="1262"/>
      <c r="AE311" s="1262"/>
      <c r="AF311" s="1262"/>
      <c r="AG311" s="1262"/>
      <c r="AH311" s="1262"/>
      <c r="AI311" s="1262"/>
      <c r="AJ311" s="1262"/>
      <c r="AK311" s="1262"/>
      <c r="AL311" s="10"/>
      <c r="AN311" s="281"/>
    </row>
    <row r="312" spans="2:40" s="4" customFormat="1" ht="12.75" customHeight="1">
      <c r="B312" s="41" t="s">
        <v>101</v>
      </c>
      <c r="C312" s="41"/>
      <c r="D312" s="41"/>
      <c r="E312" s="41"/>
      <c r="F312" s="41"/>
      <c r="G312" s="41"/>
      <c r="H312" s="1674">
        <v>0.2</v>
      </c>
      <c r="I312" s="1674"/>
      <c r="J312" s="1674"/>
      <c r="K312" s="1674"/>
      <c r="L312" s="1674"/>
      <c r="M312" s="1674"/>
      <c r="N312" s="1674"/>
      <c r="O312" s="1674"/>
      <c r="P312" s="1674"/>
      <c r="Q312" s="1674"/>
      <c r="R312" s="1674"/>
      <c r="S312" s="41"/>
      <c r="T312" s="41" t="s">
        <v>101</v>
      </c>
      <c r="U312" s="41"/>
      <c r="V312" s="41"/>
      <c r="W312" s="41"/>
      <c r="X312" s="41"/>
      <c r="Y312" s="41"/>
      <c r="Z312" s="12"/>
      <c r="AA312" s="1674">
        <v>0.2</v>
      </c>
      <c r="AB312" s="1674"/>
      <c r="AC312" s="1674"/>
      <c r="AD312" s="1674"/>
      <c r="AE312" s="1674"/>
      <c r="AF312" s="1674"/>
      <c r="AG312" s="1674"/>
      <c r="AH312" s="1674"/>
      <c r="AI312" s="1674"/>
      <c r="AJ312" s="1674"/>
      <c r="AK312" s="167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1"/>
      <c r="I314" s="1111"/>
      <c r="J314" s="1111"/>
      <c r="K314" s="1111"/>
      <c r="L314" s="1111"/>
      <c r="M314" s="1111"/>
      <c r="N314" s="1111"/>
      <c r="O314" s="1111"/>
      <c r="P314" s="1111"/>
      <c r="Q314" s="1111"/>
      <c r="R314" s="1111"/>
      <c r="S314"/>
      <c r="T314" s="41" t="s">
        <v>89</v>
      </c>
      <c r="U314"/>
      <c r="V314" s="41"/>
      <c r="W314" s="41"/>
      <c r="X314" s="41"/>
      <c r="Y314" s="41"/>
      <c r="Z314"/>
      <c r="AA314" s="1111"/>
      <c r="AB314" s="1111"/>
      <c r="AC314" s="1111"/>
      <c r="AD314" s="1111"/>
      <c r="AE314" s="1111"/>
      <c r="AF314" s="1111"/>
      <c r="AG314" s="1111"/>
      <c r="AH314" s="1111"/>
      <c r="AI314" s="1111"/>
      <c r="AJ314" s="1111"/>
      <c r="AK314" s="1111"/>
      <c r="AL314" s="10"/>
      <c r="AN314" s="281"/>
    </row>
    <row r="315" spans="2:40" s="4" customFormat="1" ht="12.75" customHeight="1">
      <c r="B315" s="41" t="s">
        <v>700</v>
      </c>
      <c r="C315" s="41"/>
      <c r="D315" s="41"/>
      <c r="E315" s="41"/>
      <c r="F315" s="41"/>
      <c r="G315"/>
      <c r="H315" s="1262"/>
      <c r="I315" s="1262"/>
      <c r="J315" s="1262"/>
      <c r="K315" s="1262"/>
      <c r="L315" s="1262"/>
      <c r="M315" s="1262"/>
      <c r="N315" s="1262"/>
      <c r="O315" s="1262"/>
      <c r="P315" s="1262"/>
      <c r="Q315" s="1262"/>
      <c r="R315" s="1262"/>
      <c r="S315"/>
      <c r="T315" s="41" t="s">
        <v>700</v>
      </c>
      <c r="U315"/>
      <c r="V315" s="41"/>
      <c r="W315" s="41"/>
      <c r="X315" s="41"/>
      <c r="Y315" s="41"/>
      <c r="Z315"/>
      <c r="AA315" s="1262"/>
      <c r="AB315" s="1262"/>
      <c r="AC315" s="1262"/>
      <c r="AD315" s="1262"/>
      <c r="AE315" s="1262"/>
      <c r="AF315" s="1262"/>
      <c r="AG315" s="1262"/>
      <c r="AH315" s="1262"/>
      <c r="AI315" s="1262"/>
      <c r="AJ315" s="1262"/>
      <c r="AK315" s="1262"/>
      <c r="AL315" s="10"/>
      <c r="AN315" s="281"/>
    </row>
    <row r="316" spans="2:40" s="4" customFormat="1" ht="12.75" customHeight="1">
      <c r="B316" s="41" t="s">
        <v>99</v>
      </c>
      <c r="C316" s="41"/>
      <c r="D316" s="41"/>
      <c r="E316" s="41"/>
      <c r="F316" s="41"/>
      <c r="G316"/>
      <c r="H316" s="1262"/>
      <c r="I316" s="1262"/>
      <c r="J316" s="1262"/>
      <c r="K316" s="1262"/>
      <c r="L316" s="1262"/>
      <c r="M316" s="1262"/>
      <c r="N316" s="1262"/>
      <c r="O316" s="1262"/>
      <c r="P316" s="1262"/>
      <c r="Q316" s="1262"/>
      <c r="R316" s="1262"/>
      <c r="S316"/>
      <c r="T316" s="41" t="s">
        <v>99</v>
      </c>
      <c r="U316"/>
      <c r="V316" s="41"/>
      <c r="W316" s="41"/>
      <c r="X316" s="41"/>
      <c r="Y316" s="41"/>
      <c r="Z316"/>
      <c r="AA316" s="1262"/>
      <c r="AB316" s="1262"/>
      <c r="AC316" s="1262"/>
      <c r="AD316" s="1262"/>
      <c r="AE316" s="1262"/>
      <c r="AF316" s="1262"/>
      <c r="AG316" s="1262"/>
      <c r="AH316" s="1262"/>
      <c r="AI316" s="1262"/>
      <c r="AJ316" s="1262"/>
      <c r="AK316" s="1262"/>
      <c r="AL316" s="10"/>
      <c r="AN316" s="281"/>
    </row>
    <row r="317" spans="2:40" s="4" customFormat="1" ht="12.75" customHeight="1">
      <c r="B317" s="41" t="s">
        <v>375</v>
      </c>
      <c r="C317" s="41"/>
      <c r="D317" s="41"/>
      <c r="E317" s="41"/>
      <c r="F317" s="41"/>
      <c r="G317"/>
      <c r="H317" s="1262"/>
      <c r="I317" s="1262"/>
      <c r="J317" s="1262"/>
      <c r="K317" s="1262"/>
      <c r="L317" s="1262"/>
      <c r="M317" s="1262"/>
      <c r="N317" s="1262"/>
      <c r="O317" s="1262"/>
      <c r="P317" s="1262"/>
      <c r="Q317" s="1262"/>
      <c r="R317" s="1262"/>
      <c r="S317"/>
      <c r="T317" s="41" t="s">
        <v>375</v>
      </c>
      <c r="U317"/>
      <c r="V317" s="41"/>
      <c r="W317" s="41"/>
      <c r="X317" s="41"/>
      <c r="Y317" s="41"/>
      <c r="Z317"/>
      <c r="AA317" s="1262"/>
      <c r="AB317" s="1262"/>
      <c r="AC317" s="1262"/>
      <c r="AD317" s="1262"/>
      <c r="AE317" s="1262"/>
      <c r="AF317" s="1262"/>
      <c r="AG317" s="1262"/>
      <c r="AH317" s="1262"/>
      <c r="AI317" s="1262"/>
      <c r="AJ317" s="1262"/>
      <c r="AK317" s="1262"/>
      <c r="AL317" s="10"/>
      <c r="AN317" s="281"/>
    </row>
    <row r="318" spans="2:40" s="4" customFormat="1" ht="12.75" customHeight="1">
      <c r="B318" s="41" t="s">
        <v>376</v>
      </c>
      <c r="C318" s="41"/>
      <c r="D318" s="41"/>
      <c r="E318" s="41"/>
      <c r="F318" s="41"/>
      <c r="G318" s="41"/>
      <c r="H318" s="1406"/>
      <c r="I318" s="1406"/>
      <c r="J318" s="1406"/>
      <c r="K318" s="1406"/>
      <c r="L318" s="1406"/>
      <c r="M318" s="1406"/>
      <c r="N318" s="5" t="s">
        <v>819</v>
      </c>
      <c r="O318" s="5"/>
      <c r="P318" s="1395"/>
      <c r="Q318" s="1395"/>
      <c r="R318" s="1395"/>
      <c r="S318" s="41"/>
      <c r="T318" s="41" t="s">
        <v>376</v>
      </c>
      <c r="U318"/>
      <c r="V318" s="41"/>
      <c r="W318" s="41"/>
      <c r="X318" s="41"/>
      <c r="Y318" s="41"/>
      <c r="Z318"/>
      <c r="AA318" s="1406"/>
      <c r="AB318" s="1406"/>
      <c r="AC318" s="1406"/>
      <c r="AD318" s="1406"/>
      <c r="AE318" s="1406"/>
      <c r="AF318" s="1406"/>
      <c r="AG318" s="5" t="s">
        <v>819</v>
      </c>
      <c r="AH318" s="5"/>
      <c r="AI318" s="1395"/>
      <c r="AJ318" s="1395"/>
      <c r="AK318" s="1395"/>
      <c r="AL318" s="10"/>
      <c r="AN318" s="281"/>
    </row>
    <row r="319" spans="2:40" s="4" customFormat="1" ht="12.75" customHeight="1">
      <c r="B319" s="41" t="s">
        <v>88</v>
      </c>
      <c r="C319" s="41"/>
      <c r="D319" s="41"/>
      <c r="E319" s="41"/>
      <c r="F319" s="41"/>
      <c r="G319" s="41"/>
      <c r="H319" s="1262"/>
      <c r="I319" s="1262"/>
      <c r="J319" s="1262"/>
      <c r="K319" s="1262"/>
      <c r="L319" s="1262"/>
      <c r="M319" s="1262"/>
      <c r="N319" s="1262"/>
      <c r="O319" s="1262"/>
      <c r="P319" s="1262"/>
      <c r="Q319" s="1262"/>
      <c r="R319" s="1262"/>
      <c r="S319" s="41"/>
      <c r="T319" s="41" t="s">
        <v>88</v>
      </c>
      <c r="U319"/>
      <c r="V319" s="41"/>
      <c r="W319" s="41"/>
      <c r="X319" s="41"/>
      <c r="Y319" s="41"/>
      <c r="Z319"/>
      <c r="AA319" s="1262"/>
      <c r="AB319" s="1262"/>
      <c r="AC319" s="1262"/>
      <c r="AD319" s="1262"/>
      <c r="AE319" s="1262"/>
      <c r="AF319" s="1262"/>
      <c r="AG319" s="1262"/>
      <c r="AH319" s="1262"/>
      <c r="AI319" s="1262"/>
      <c r="AJ319" s="1262"/>
      <c r="AK319" s="1262"/>
      <c r="AL319" s="10"/>
      <c r="AN319" s="281"/>
    </row>
    <row r="320" spans="2:40" s="4" customFormat="1" ht="12.75" customHeight="1">
      <c r="B320" s="41" t="s">
        <v>90</v>
      </c>
      <c r="C320" s="41"/>
      <c r="D320" s="41"/>
      <c r="E320" s="41"/>
      <c r="F320" s="41"/>
      <c r="G320" s="41"/>
      <c r="H320" s="1262"/>
      <c r="I320" s="1262"/>
      <c r="J320" s="1262"/>
      <c r="K320" s="1262"/>
      <c r="L320" s="1262"/>
      <c r="M320" s="1262"/>
      <c r="N320" s="1262"/>
      <c r="O320" s="1262"/>
      <c r="P320" s="1262"/>
      <c r="Q320" s="1262"/>
      <c r="R320" s="1262"/>
      <c r="S320" s="41"/>
      <c r="T320" s="41" t="s">
        <v>90</v>
      </c>
      <c r="U320"/>
      <c r="V320" s="41"/>
      <c r="W320" s="41"/>
      <c r="X320" s="41"/>
      <c r="Y320" s="41"/>
      <c r="Z320"/>
      <c r="AA320" s="1262"/>
      <c r="AB320" s="1262"/>
      <c r="AC320" s="1262"/>
      <c r="AD320" s="1262"/>
      <c r="AE320" s="1262"/>
      <c r="AF320" s="1262"/>
      <c r="AG320" s="1262"/>
      <c r="AH320" s="1262"/>
      <c r="AI320" s="1262"/>
      <c r="AJ320" s="1262"/>
      <c r="AK320" s="1262"/>
      <c r="AL320" s="10"/>
      <c r="AN320" s="281"/>
    </row>
    <row r="321" spans="1:76" s="4" customFormat="1" ht="12.75" customHeight="1">
      <c r="B321" s="41" t="s">
        <v>101</v>
      </c>
      <c r="C321" s="41"/>
      <c r="D321" s="41"/>
      <c r="E321" s="41"/>
      <c r="F321" s="41"/>
      <c r="G321" s="41"/>
      <c r="H321" s="1674"/>
      <c r="I321" s="1674"/>
      <c r="J321" s="1674"/>
      <c r="K321" s="1674"/>
      <c r="L321" s="1674"/>
      <c r="M321" s="1674"/>
      <c r="N321" s="1674"/>
      <c r="O321" s="1674"/>
      <c r="P321" s="1674"/>
      <c r="Q321" s="1674"/>
      <c r="R321" s="1674"/>
      <c r="S321" s="41"/>
      <c r="T321" s="41" t="s">
        <v>101</v>
      </c>
      <c r="U321" s="41"/>
      <c r="V321" s="41"/>
      <c r="W321" s="41"/>
      <c r="X321" s="41"/>
      <c r="Y321" s="41"/>
      <c r="Z321" s="12"/>
      <c r="AA321" s="1674"/>
      <c r="AB321" s="1674"/>
      <c r="AC321" s="1674"/>
      <c r="AD321" s="1674"/>
      <c r="AE321" s="1674"/>
      <c r="AF321" s="1674"/>
      <c r="AG321" s="1674"/>
      <c r="AH321" s="1674"/>
      <c r="AI321" s="1674"/>
      <c r="AJ321" s="1674"/>
      <c r="AK321" s="167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1"/>
      <c r="I323" s="1111"/>
      <c r="J323" s="1111"/>
      <c r="K323" s="1111"/>
      <c r="L323" s="1111"/>
      <c r="M323" s="1111"/>
      <c r="N323" s="1111"/>
      <c r="O323" s="1111"/>
      <c r="P323" s="1111"/>
      <c r="Q323" s="1111"/>
      <c r="R323" s="1111"/>
      <c r="S323"/>
      <c r="T323" s="41" t="s">
        <v>89</v>
      </c>
      <c r="U323"/>
      <c r="V323" s="41"/>
      <c r="W323" s="41"/>
      <c r="X323" s="41"/>
      <c r="Y323" s="41"/>
      <c r="Z323"/>
      <c r="AA323" s="1111"/>
      <c r="AB323" s="1111"/>
      <c r="AC323" s="1111"/>
      <c r="AD323" s="1111"/>
      <c r="AE323" s="1111"/>
      <c r="AF323" s="1111"/>
      <c r="AG323" s="1111"/>
      <c r="AH323" s="1111"/>
      <c r="AI323" s="1111"/>
      <c r="AJ323" s="1111"/>
      <c r="AK323" s="1111"/>
      <c r="AL323" s="41"/>
      <c r="AN323" s="281"/>
    </row>
    <row r="324" spans="1:76" s="4" customFormat="1" ht="12.75" customHeight="1">
      <c r="B324" s="41" t="s">
        <v>700</v>
      </c>
      <c r="C324" s="41"/>
      <c r="D324" s="41"/>
      <c r="E324" s="41"/>
      <c r="F324" s="41"/>
      <c r="G324"/>
      <c r="H324" s="1262"/>
      <c r="I324" s="1262"/>
      <c r="J324" s="1262"/>
      <c r="K324" s="1262"/>
      <c r="L324" s="1262"/>
      <c r="M324" s="1262"/>
      <c r="N324" s="1262"/>
      <c r="O324" s="1262"/>
      <c r="P324" s="1262"/>
      <c r="Q324" s="1262"/>
      <c r="R324" s="1262"/>
      <c r="S324"/>
      <c r="T324" s="41" t="s">
        <v>700</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99</v>
      </c>
      <c r="C325" s="41"/>
      <c r="D325" s="41"/>
      <c r="E325" s="41"/>
      <c r="F325" s="41"/>
      <c r="G325"/>
      <c r="H325" s="1262"/>
      <c r="I325" s="1262"/>
      <c r="J325" s="1262"/>
      <c r="K325" s="1262"/>
      <c r="L325" s="1262"/>
      <c r="M325" s="1262"/>
      <c r="N325" s="1262"/>
      <c r="O325" s="1262"/>
      <c r="P325" s="1262"/>
      <c r="Q325" s="1262"/>
      <c r="R325" s="1262"/>
      <c r="S325"/>
      <c r="T325" s="41" t="s">
        <v>99</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375</v>
      </c>
      <c r="C326" s="41"/>
      <c r="D326" s="41"/>
      <c r="E326" s="41"/>
      <c r="F326" s="41"/>
      <c r="G326"/>
      <c r="H326" s="1262"/>
      <c r="I326" s="1262"/>
      <c r="J326" s="1262"/>
      <c r="K326" s="1262"/>
      <c r="L326" s="1262"/>
      <c r="M326" s="1262"/>
      <c r="N326" s="1262"/>
      <c r="O326" s="1262"/>
      <c r="P326" s="1262"/>
      <c r="Q326" s="1262"/>
      <c r="R326" s="1262"/>
      <c r="S326"/>
      <c r="T326" s="41" t="s">
        <v>375</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376</v>
      </c>
      <c r="C327" s="41"/>
      <c r="D327" s="41"/>
      <c r="E327" s="41"/>
      <c r="F327" s="41"/>
      <c r="G327" s="41"/>
      <c r="H327" s="1406"/>
      <c r="I327" s="1406"/>
      <c r="J327" s="1406"/>
      <c r="K327" s="1406"/>
      <c r="L327" s="1406"/>
      <c r="M327" s="1406"/>
      <c r="N327" s="5" t="s">
        <v>819</v>
      </c>
      <c r="O327" s="5"/>
      <c r="P327" s="1395"/>
      <c r="Q327" s="1395"/>
      <c r="R327" s="1395"/>
      <c r="S327" s="41"/>
      <c r="T327" s="41" t="s">
        <v>376</v>
      </c>
      <c r="U327"/>
      <c r="V327" s="41"/>
      <c r="W327" s="41"/>
      <c r="X327" s="41"/>
      <c r="Y327" s="41"/>
      <c r="Z327"/>
      <c r="AA327" s="1406"/>
      <c r="AB327" s="1406"/>
      <c r="AC327" s="1406"/>
      <c r="AD327" s="1406"/>
      <c r="AE327" s="1406"/>
      <c r="AF327" s="1406"/>
      <c r="AG327" s="5" t="s">
        <v>819</v>
      </c>
      <c r="AH327" s="5"/>
      <c r="AI327" s="1395"/>
      <c r="AJ327" s="1395"/>
      <c r="AK327" s="1395"/>
      <c r="AL327" s="41"/>
      <c r="AN327" s="281"/>
    </row>
    <row r="328" spans="1:76" s="4" customFormat="1" ht="12.75" customHeight="1">
      <c r="B328" s="41" t="s">
        <v>88</v>
      </c>
      <c r="C328" s="41"/>
      <c r="D328" s="41"/>
      <c r="E328" s="41"/>
      <c r="F328" s="41"/>
      <c r="G328" s="41"/>
      <c r="H328" s="1262"/>
      <c r="I328" s="1262"/>
      <c r="J328" s="1262"/>
      <c r="K328" s="1262"/>
      <c r="L328" s="1262"/>
      <c r="M328" s="1262"/>
      <c r="N328" s="1262"/>
      <c r="O328" s="1262"/>
      <c r="P328" s="1262"/>
      <c r="Q328" s="1262"/>
      <c r="R328" s="1262"/>
      <c r="S328" s="41"/>
      <c r="T328" s="41" t="s">
        <v>88</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90</v>
      </c>
      <c r="C329" s="41"/>
      <c r="D329" s="41"/>
      <c r="E329" s="41"/>
      <c r="F329" s="41"/>
      <c r="G329" s="41"/>
      <c r="H329" s="1262"/>
      <c r="I329" s="1262"/>
      <c r="J329" s="1262"/>
      <c r="K329" s="1262"/>
      <c r="L329" s="1262"/>
      <c r="M329" s="1262"/>
      <c r="N329" s="1262"/>
      <c r="O329" s="1262"/>
      <c r="P329" s="1262"/>
      <c r="Q329" s="1262"/>
      <c r="R329" s="1262"/>
      <c r="S329" s="41"/>
      <c r="T329" s="41" t="s">
        <v>90</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101</v>
      </c>
      <c r="C330" s="41"/>
      <c r="D330" s="41"/>
      <c r="E330" s="41"/>
      <c r="F330" s="41"/>
      <c r="G330" s="41"/>
      <c r="H330" s="1674"/>
      <c r="I330" s="1674"/>
      <c r="J330" s="1674"/>
      <c r="K330" s="1674"/>
      <c r="L330" s="1674"/>
      <c r="M330" s="1674"/>
      <c r="N330" s="1674"/>
      <c r="O330" s="1674"/>
      <c r="P330" s="1674"/>
      <c r="Q330" s="1674"/>
      <c r="R330" s="1674"/>
      <c r="S330" s="41"/>
      <c r="T330" s="41" t="s">
        <v>101</v>
      </c>
      <c r="U330" s="41"/>
      <c r="V330" s="41"/>
      <c r="W330" s="41"/>
      <c r="X330" s="41"/>
      <c r="Y330" s="41"/>
      <c r="Z330" s="12"/>
      <c r="AA330" s="1674"/>
      <c r="AB330" s="1674"/>
      <c r="AC330" s="1674"/>
      <c r="AD330" s="1674"/>
      <c r="AE330" s="1674"/>
      <c r="AF330" s="1674"/>
      <c r="AG330" s="1674"/>
      <c r="AH330" s="1674"/>
      <c r="AI330" s="1674"/>
      <c r="AJ330" s="1674"/>
      <c r="AK330" s="167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23" t="s">
        <v>365</v>
      </c>
      <c r="AF333" s="1723"/>
      <c r="AG333" s="1723"/>
      <c r="AH333" s="1723"/>
      <c r="AI333" s="1723"/>
      <c r="AJ333" s="1723"/>
      <c r="AK333" s="1723"/>
      <c r="AL333" s="3"/>
      <c r="AM333" s="827"/>
      <c r="AN333" s="3"/>
    </row>
    <row r="334" spans="1:76" s="4" customFormat="1" ht="12.75" customHeight="1">
      <c r="A334" s="3"/>
      <c r="B334" s="5"/>
      <c r="C334" s="1714" t="s">
        <v>1841</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O341" s="185"/>
    </row>
    <row r="342" spans="1:76" s="4" customFormat="1" ht="12.75" customHeight="1">
      <c r="A342" s="27"/>
      <c r="B342" s="26"/>
      <c r="C342" s="1714" t="s">
        <v>1842</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row>
    <row r="343" spans="1:76" s="4" customFormat="1" ht="12.75"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row>
    <row r="344" spans="1:76" s="4" customFormat="1" ht="12.75" customHeight="1">
      <c r="A344" s="27"/>
      <c r="B344" s="26"/>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Q345"/>
    </row>
    <row r="346" spans="1:76" s="4" customFormat="1" ht="12.4"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Q346"/>
      <c r="AR346"/>
    </row>
    <row r="347" spans="1:76" s="4" customFormat="1" ht="12.75" customHeight="1">
      <c r="A347" s="27"/>
      <c r="B347" s="26"/>
      <c r="C347" s="1714" t="s">
        <v>2299</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R348"/>
    </row>
    <row r="349" spans="1:76" s="4" customFormat="1" ht="12.7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R349"/>
    </row>
    <row r="350" spans="1:76" s="4" customFormat="1" ht="12.75" customHeight="1">
      <c r="A350" s="27"/>
      <c r="B350" s="26"/>
      <c r="C350" s="1714" t="s">
        <v>1843</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Q350"/>
      <c r="AR350"/>
    </row>
    <row r="351" spans="1:76" s="4" customFormat="1" ht="12.7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Q351"/>
      <c r="AR351"/>
    </row>
    <row r="352" spans="1:76" s="4" customFormat="1" ht="13.1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Q352"/>
      <c r="AR352"/>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170"/>
      <c r="AP353" s="170"/>
      <c r="AQ353"/>
    </row>
    <row r="354" spans="1:46" s="4" customFormat="1" ht="11.8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88" t="s">
        <v>901</v>
      </c>
      <c r="AP354" s="71">
        <f>IF(C379="Yes",5,0)</f>
        <v>0</v>
      </c>
      <c r="AS354" s="3" t="s">
        <v>1779</v>
      </c>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88"/>
      <c r="AP355" s="71"/>
      <c r="AS355" s="1692">
        <f>IF(AQ368=0,AQ381,AQ368)</f>
        <v>10</v>
      </c>
      <c r="AT355" s="1692"/>
    </row>
    <row r="356" spans="1:46" s="4" customFormat="1" ht="12.75" customHeight="1">
      <c r="A356" s="27"/>
      <c r="B356" s="26"/>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688" t="s">
        <v>902</v>
      </c>
      <c r="AP356" s="71">
        <f>IF(C389="Yes",5,0)</f>
        <v>0</v>
      </c>
      <c r="AS356" s="3" t="s">
        <v>1812</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688"/>
      <c r="AP357" s="71"/>
      <c r="AS357" s="1692">
        <f>IF(AND(AQ368&gt;0,AQ381&gt;0),(AQ368+AQ381)/2,0)</f>
        <v>0</v>
      </c>
      <c r="AT357" s="1692"/>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88" t="s">
        <v>908</v>
      </c>
      <c r="AP358" s="71">
        <f>IF(C399="Yes",7,0)</f>
        <v>7</v>
      </c>
    </row>
    <row r="359" spans="1:46" s="4" customFormat="1" ht="12.75" customHeight="1">
      <c r="A359" s="27"/>
      <c r="B359" s="26"/>
      <c r="C359" s="1714" t="s">
        <v>1844</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IF(C401="Yes",5,0)</f>
        <v>0</v>
      </c>
    </row>
    <row r="360" spans="1:46" s="4" customFormat="1" ht="12.75"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88" t="s">
        <v>432</v>
      </c>
      <c r="AP361" s="71">
        <f>IF(C409="Yes",5,0)</f>
        <v>0</v>
      </c>
    </row>
    <row r="362" spans="1:46" s="4" customFormat="1" ht="11.8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281"/>
      <c r="AP362" s="71">
        <f>IF(C411="Yes",3,0)</f>
        <v>3</v>
      </c>
    </row>
    <row r="363" spans="1:46" s="4" customFormat="1" ht="12.4" customHeight="1">
      <c r="A363" s="27"/>
      <c r="B363" s="26"/>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88" t="s">
        <v>171</v>
      </c>
      <c r="AP364" s="71">
        <f>IF(C414="Yes",5,0)</f>
        <v>0</v>
      </c>
    </row>
    <row r="365" spans="1:46" s="4" customFormat="1" ht="12.75"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88" t="s">
        <v>435</v>
      </c>
      <c r="AP365" s="71">
        <f>IF(C423="Yes",5,0)</f>
        <v>0</v>
      </c>
    </row>
    <row r="366" spans="1:46" s="4" customFormat="1" ht="12.75" customHeight="1">
      <c r="A366" s="27"/>
      <c r="B366" s="26"/>
      <c r="C366" s="1714" t="s">
        <v>1845</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7"/>
      <c r="AL366" s="27"/>
      <c r="AM366" s="27"/>
      <c r="AN366" s="281"/>
      <c r="AO366" s="281"/>
      <c r="AP366" s="71">
        <f>IF(C425="Yes",3,0)</f>
        <v>0</v>
      </c>
    </row>
    <row r="367" spans="1:46" s="4" customFormat="1" ht="12.75" customHeight="1">
      <c r="A367" s="27"/>
      <c r="B367" s="26"/>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7"/>
      <c r="AL367" s="27"/>
      <c r="AM367" s="27"/>
      <c r="AN367" s="281"/>
      <c r="AO367" s="689"/>
      <c r="AP367" s="55"/>
    </row>
    <row r="368" spans="1:46" s="4" customFormat="1" ht="68.099999999999994" customHeight="1">
      <c r="A368" s="27"/>
      <c r="B368" s="26"/>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7"/>
      <c r="AL368" s="27"/>
      <c r="AM368" s="27"/>
      <c r="AN368" s="281"/>
      <c r="AO368" s="690" t="s">
        <v>611</v>
      </c>
      <c r="AP368" s="168">
        <f>SUM(AP354:AP367)</f>
        <v>10</v>
      </c>
      <c r="AQ368" s="1501">
        <f>IF(AP368&gt;0,AP368,0)</f>
        <v>10</v>
      </c>
      <c r="AR368" s="1501"/>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867">
        <f>Application!CQ649-U371</f>
        <v>56</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868">
        <f>Application!AG733</f>
        <v>0</v>
      </c>
      <c r="V371" s="1868"/>
      <c r="W371" s="1868"/>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682" t="s">
        <v>1788</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124</v>
      </c>
      <c r="D379" s="1102"/>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320</v>
      </c>
      <c r="AG379" s="1173"/>
      <c r="AH379" s="1173"/>
      <c r="AI379" s="1173"/>
      <c r="AJ379" s="1173"/>
      <c r="AK379" s="1173"/>
      <c r="AL379" s="167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501">
        <f>IF(AP381&gt;0,AP381,0)</f>
        <v>0</v>
      </c>
      <c r="AR381" s="150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2" t="s">
        <v>1787</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124</v>
      </c>
      <c r="D389" s="1102"/>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320</v>
      </c>
      <c r="AG389" s="1173"/>
      <c r="AH389" s="1173"/>
      <c r="AI389" s="1173"/>
      <c r="AJ389" s="1173"/>
      <c r="AK389" s="1173"/>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0"/>
      <c r="D391" s="1490"/>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2" t="s">
        <v>1952</v>
      </c>
      <c r="G394" s="1712"/>
      <c r="H394" s="1712"/>
      <c r="I394" s="1712"/>
      <c r="J394" s="1712"/>
      <c r="K394" s="1712"/>
      <c r="L394" s="1712"/>
      <c r="M394" s="1712"/>
      <c r="N394" s="1712"/>
      <c r="O394" s="1712"/>
      <c r="P394" s="1712"/>
      <c r="Q394" s="1712"/>
      <c r="R394" s="1712"/>
      <c r="S394" s="1712"/>
      <c r="T394" s="1712"/>
      <c r="U394" s="1712"/>
      <c r="V394" s="1712"/>
      <c r="W394" s="1712"/>
      <c r="X394" s="1712"/>
      <c r="Y394" s="1712"/>
      <c r="Z394" s="1712"/>
      <c r="AA394" s="1712"/>
      <c r="AB394" s="1712"/>
      <c r="AC394" s="1712"/>
      <c r="AD394" s="1712"/>
      <c r="AE394" s="1712"/>
      <c r="AF394" s="171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3"/>
      <c r="G395" s="1713"/>
      <c r="H395" s="1713"/>
      <c r="I395" s="1713"/>
      <c r="J395" s="1713"/>
      <c r="K395" s="1713"/>
      <c r="L395" s="1713"/>
      <c r="M395" s="1713"/>
      <c r="N395" s="1713"/>
      <c r="O395" s="1713"/>
      <c r="P395" s="1713"/>
      <c r="Q395" s="1713"/>
      <c r="R395" s="1713"/>
      <c r="S395" s="1713"/>
      <c r="T395" s="1713"/>
      <c r="U395" s="1713"/>
      <c r="V395" s="1713"/>
      <c r="W395" s="1713"/>
      <c r="X395" s="1713"/>
      <c r="Y395" s="1713"/>
      <c r="Z395" s="1713"/>
      <c r="AA395" s="1713"/>
      <c r="AB395" s="1713"/>
      <c r="AC395" s="1713"/>
      <c r="AD395" s="1713"/>
      <c r="AE395" s="1713"/>
      <c r="AF395" s="171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3"/>
      <c r="G396" s="1713"/>
      <c r="H396" s="1713"/>
      <c r="I396" s="1713"/>
      <c r="J396" s="1713"/>
      <c r="K396" s="1713"/>
      <c r="L396" s="1713"/>
      <c r="M396" s="1713"/>
      <c r="N396" s="1713"/>
      <c r="O396" s="1713"/>
      <c r="P396" s="1713"/>
      <c r="Q396" s="1713"/>
      <c r="R396" s="1713"/>
      <c r="S396" s="1713"/>
      <c r="T396" s="1713"/>
      <c r="U396" s="1713"/>
      <c r="V396" s="1713"/>
      <c r="W396" s="1713"/>
      <c r="X396" s="1713"/>
      <c r="Y396" s="1713"/>
      <c r="Z396" s="1713"/>
      <c r="AA396" s="1713"/>
      <c r="AB396" s="1713"/>
      <c r="AC396" s="1713"/>
      <c r="AD396" s="1713"/>
      <c r="AE396" s="1713"/>
      <c r="AF396" s="171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3"/>
      <c r="G397" s="1713"/>
      <c r="H397" s="1713"/>
      <c r="I397" s="1713"/>
      <c r="J397" s="1713"/>
      <c r="K397" s="1713"/>
      <c r="L397" s="1713"/>
      <c r="M397" s="1713"/>
      <c r="N397" s="1713"/>
      <c r="O397" s="1713"/>
      <c r="P397" s="1713"/>
      <c r="Q397" s="1713"/>
      <c r="R397" s="1713"/>
      <c r="S397" s="1713"/>
      <c r="T397" s="1713"/>
      <c r="U397" s="1713"/>
      <c r="V397" s="1713"/>
      <c r="W397" s="1713"/>
      <c r="X397" s="1713"/>
      <c r="Y397" s="1713"/>
      <c r="Z397" s="1713"/>
      <c r="AA397" s="1713"/>
      <c r="AB397" s="1713"/>
      <c r="AC397" s="1713"/>
      <c r="AD397" s="1713"/>
      <c r="AE397" s="1713"/>
      <c r="AF397" s="171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3"/>
      <c r="G398" s="1713"/>
      <c r="H398" s="1713"/>
      <c r="I398" s="1713"/>
      <c r="J398" s="1713"/>
      <c r="K398" s="1713"/>
      <c r="L398" s="1713"/>
      <c r="M398" s="1713"/>
      <c r="N398" s="1713"/>
      <c r="O398" s="1713"/>
      <c r="P398" s="1713"/>
      <c r="Q398" s="1713"/>
      <c r="R398" s="1713"/>
      <c r="S398" s="1713"/>
      <c r="T398" s="1713"/>
      <c r="U398" s="1713"/>
      <c r="V398" s="1713"/>
      <c r="W398" s="1713"/>
      <c r="X398" s="1713"/>
      <c r="Y398" s="1713"/>
      <c r="Z398" s="1713"/>
      <c r="AA398" s="1713"/>
      <c r="AB398" s="1713"/>
      <c r="AC398" s="1713"/>
      <c r="AD398" s="1713"/>
      <c r="AE398" s="1713"/>
      <c r="AF398" s="171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108</v>
      </c>
      <c r="D399" s="1102"/>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964</v>
      </c>
      <c r="AG399" s="1173"/>
      <c r="AH399" s="1173"/>
      <c r="AI399" s="1173"/>
      <c r="AJ399" s="1173"/>
      <c r="AK399" s="1173"/>
      <c r="AL399" s="167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124</v>
      </c>
      <c r="D401" s="1102"/>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3" t="s">
        <v>320</v>
      </c>
      <c r="AG401" s="1173"/>
      <c r="AH401" s="1173"/>
      <c r="AI401" s="1173"/>
      <c r="AJ401" s="1173"/>
      <c r="AK401" s="1173"/>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2" t="s">
        <v>1786</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124</v>
      </c>
      <c r="D409" s="1102"/>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320</v>
      </c>
      <c r="AG409" s="1173"/>
      <c r="AH409" s="1173"/>
      <c r="AI409" s="1173"/>
      <c r="AJ409" s="1173"/>
      <c r="AK409" s="1173"/>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108</v>
      </c>
      <c r="D411" s="1102"/>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963</v>
      </c>
      <c r="AG411" s="1173"/>
      <c r="AH411" s="1173"/>
      <c r="AI411" s="1173"/>
      <c r="AJ411" s="1173"/>
      <c r="AK411" s="1173"/>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124</v>
      </c>
      <c r="D414" s="1102"/>
      <c r="E414" s="698" t="s">
        <v>193</v>
      </c>
      <c r="F414" s="1682" t="s">
        <v>1790</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1" t="s">
        <v>320</v>
      </c>
      <c r="AG415" s="1711"/>
      <c r="AH415" s="1711"/>
      <c r="AI415" s="1711"/>
      <c r="AJ415" s="1711"/>
      <c r="AK415" s="1711"/>
      <c r="AL415" s="171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2" t="s">
        <v>1792</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124</v>
      </c>
      <c r="D423" s="1102"/>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320</v>
      </c>
      <c r="AG423" s="1711"/>
      <c r="AH423" s="1711"/>
      <c r="AI423" s="1711"/>
      <c r="AJ423" s="1711"/>
      <c r="AK423" s="1711"/>
      <c r="AL423" s="1718"/>
      <c r="AM423"/>
      <c r="AN423" s="281"/>
    </row>
    <row r="424" spans="1:55" s="4" customFormat="1" ht="12.75" customHeight="1">
      <c r="A424" s="5"/>
      <c r="B424" s="21"/>
      <c r="C424" s="707"/>
      <c r="AL424" s="705"/>
      <c r="AM424"/>
      <c r="AN424" s="281"/>
    </row>
    <row r="425" spans="1:55" s="4" customFormat="1" ht="12.75" customHeight="1">
      <c r="A425" s="5"/>
      <c r="B425" s="21"/>
      <c r="C425" s="1687" t="s">
        <v>124</v>
      </c>
      <c r="D425" s="1102"/>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963</v>
      </c>
      <c r="AG425" s="1711"/>
      <c r="AH425" s="1711"/>
      <c r="AI425" s="1711"/>
      <c r="AJ425" s="1711"/>
      <c r="AK425" s="1711"/>
      <c r="AL425" s="171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682" t="s">
        <v>1793</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4"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124</v>
      </c>
      <c r="D432" s="1102"/>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1" t="s">
        <v>320</v>
      </c>
      <c r="AG432" s="1711"/>
      <c r="AH432" s="1711"/>
      <c r="AI432" s="1711"/>
      <c r="AJ432" s="1711"/>
      <c r="AK432" s="1711"/>
      <c r="AL432" s="171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682" t="s">
        <v>1794</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124</v>
      </c>
      <c r="D444" s="1102"/>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320</v>
      </c>
      <c r="AG444" s="1711"/>
      <c r="AH444" s="1711"/>
      <c r="AI444" s="1711"/>
      <c r="AJ444" s="1711"/>
      <c r="AK444" s="1711"/>
      <c r="AL444" s="171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682" t="s">
        <v>1797</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124</v>
      </c>
      <c r="D451" s="1102"/>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320</v>
      </c>
      <c r="AG451" s="1711"/>
      <c r="AH451" s="1711"/>
      <c r="AI451" s="1711"/>
      <c r="AJ451" s="1711"/>
      <c r="AK451" s="1711"/>
      <c r="AL451" s="171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124</v>
      </c>
      <c r="D455" s="1870"/>
      <c r="E455" s="698" t="s">
        <v>968</v>
      </c>
      <c r="F455" s="1682" t="s">
        <v>970</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1" t="s">
        <v>320</v>
      </c>
      <c r="AG455" s="1721"/>
      <c r="AH455" s="1721"/>
      <c r="AI455" s="1721"/>
      <c r="AJ455" s="1721"/>
      <c r="AK455" s="1721"/>
      <c r="AL455" s="1722"/>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869" t="s">
        <v>124</v>
      </c>
      <c r="D459" s="1870"/>
      <c r="E459" s="698" t="s">
        <v>969</v>
      </c>
      <c r="F459" s="1682" t="s">
        <v>1834</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1" t="s">
        <v>320</v>
      </c>
      <c r="AG459" s="1721"/>
      <c r="AH459" s="1721"/>
      <c r="AI459" s="1721"/>
      <c r="AJ459" s="1721"/>
      <c r="AK459" s="1721"/>
      <c r="AL459" s="1722"/>
      <c r="AM459"/>
      <c r="AN459" s="670"/>
      <c r="AO459" s="4" t="s">
        <v>1336</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1332</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1333</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682" t="s">
        <v>1835</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976</v>
      </c>
      <c r="BA465" s="345" t="s">
        <v>977</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687" t="s">
        <v>124</v>
      </c>
      <c r="D468" s="1102"/>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320</v>
      </c>
      <c r="AG468" s="1173"/>
      <c r="AH468" s="1173"/>
      <c r="AI468" s="1173"/>
      <c r="AJ468" s="1173"/>
      <c r="AK468" s="1173"/>
      <c r="AL468" s="1678"/>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73" t="s">
        <v>1258</v>
      </c>
      <c r="AF477" s="1173"/>
      <c r="AG477" s="1173"/>
      <c r="AH477" s="1173"/>
      <c r="AI477" s="1173"/>
      <c r="AJ477" s="1173"/>
      <c r="AK477" s="1173"/>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685" t="s">
        <v>124</v>
      </c>
      <c r="D483" s="1686"/>
      <c r="E483" s="749" t="s">
        <v>195</v>
      </c>
      <c r="F483" s="1719" t="s">
        <v>973</v>
      </c>
      <c r="G483" s="1719"/>
      <c r="H483" s="1719"/>
      <c r="I483" s="1719"/>
      <c r="J483" s="1719"/>
      <c r="K483" s="1719"/>
      <c r="L483" s="1719"/>
      <c r="M483" s="1719"/>
      <c r="N483" s="1719"/>
      <c r="O483" s="1719"/>
      <c r="P483" s="1719"/>
      <c r="Q483" s="1719"/>
      <c r="R483" s="1719"/>
      <c r="S483" s="1719"/>
      <c r="T483" s="1719"/>
      <c r="U483" s="1719"/>
      <c r="V483" s="1719"/>
      <c r="W483" s="1719"/>
      <c r="X483" s="1719"/>
      <c r="Y483" s="1719"/>
      <c r="Z483" s="1719"/>
      <c r="AA483" s="1719"/>
      <c r="AB483" s="1719"/>
      <c r="AC483" s="1719"/>
      <c r="AD483" s="1719"/>
      <c r="AE483" s="1719"/>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20"/>
      <c r="G484" s="1720"/>
      <c r="H484" s="1720"/>
      <c r="I484" s="1720"/>
      <c r="J484" s="1720"/>
      <c r="K484" s="1720"/>
      <c r="L484" s="1720"/>
      <c r="M484" s="1720"/>
      <c r="N484" s="1720"/>
      <c r="O484" s="1720"/>
      <c r="P484" s="1720"/>
      <c r="Q484" s="1720"/>
      <c r="R484" s="1720"/>
      <c r="S484" s="1720"/>
      <c r="T484" s="1720"/>
      <c r="U484" s="1720"/>
      <c r="V484" s="1720"/>
      <c r="W484" s="1720"/>
      <c r="X484" s="1720"/>
      <c r="Y484" s="1720"/>
      <c r="Z484" s="1720"/>
      <c r="AA484" s="1720"/>
      <c r="AB484" s="1720"/>
      <c r="AC484" s="1720"/>
      <c r="AD484" s="1720"/>
      <c r="AE484" s="1720"/>
      <c r="AG484" s="19"/>
      <c r="AH484" s="19"/>
      <c r="AI484" s="19"/>
      <c r="AJ484" s="19"/>
      <c r="AK484" s="705"/>
      <c r="AN484" s="281"/>
      <c r="AO484" s="4" t="s">
        <v>1335</v>
      </c>
      <c r="AP484" s="4">
        <v>1</v>
      </c>
    </row>
    <row r="485" spans="1:50" s="4" customFormat="1" ht="12.75" hidden="1" customHeight="1">
      <c r="C485" s="727"/>
      <c r="D485" s="714"/>
      <c r="E485" s="728"/>
      <c r="F485" s="1648" t="s">
        <v>124</v>
      </c>
      <c r="G485" s="1648"/>
      <c r="H485" s="1648"/>
      <c r="I485" s="1648"/>
      <c r="J485" s="1648"/>
      <c r="K485" s="1648"/>
      <c r="L485" s="1648"/>
      <c r="M485" s="1648"/>
      <c r="N485" s="1648"/>
      <c r="O485" s="1648"/>
      <c r="P485" s="1648"/>
      <c r="Q485" s="1648"/>
      <c r="R485" s="1648"/>
      <c r="S485" s="1648"/>
      <c r="T485" s="1648"/>
      <c r="U485" s="1648"/>
      <c r="V485" s="1648"/>
      <c r="W485" s="1648"/>
      <c r="X485" s="1648"/>
      <c r="Y485" s="1648"/>
      <c r="Z485" s="1648"/>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79" t="s">
        <v>124</v>
      </c>
      <c r="W490" s="1679"/>
      <c r="X490" s="1679"/>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79" t="s">
        <v>124</v>
      </c>
      <c r="W492" s="1679"/>
      <c r="X492" s="1679"/>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79" t="s">
        <v>124</v>
      </c>
      <c r="W497" s="1679"/>
      <c r="X497" s="1679"/>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8"/>
      <c r="E500" s="1338"/>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79" t="s">
        <v>124</v>
      </c>
      <c r="W501" s="1679"/>
      <c r="X501" s="1679"/>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79" t="s">
        <v>124</v>
      </c>
      <c r="W503" s="1679"/>
      <c r="X503" s="1679"/>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6" t="s">
        <v>658</v>
      </c>
      <c r="AV504" s="1707"/>
      <c r="AW504" s="1707"/>
      <c r="AX504" s="1707"/>
      <c r="AY504" s="1707"/>
      <c r="AZ504" s="1707"/>
      <c r="BA504" s="1707"/>
      <c r="BB504" s="20"/>
      <c r="BC504" s="20"/>
      <c r="BE504" s="4"/>
      <c r="BF504" s="4"/>
      <c r="BG504" s="4"/>
      <c r="BH504" s="4"/>
      <c r="BI504" s="4"/>
      <c r="BJ504" s="1704" t="s">
        <v>30</v>
      </c>
      <c r="BK504" s="1705"/>
      <c r="BL504" s="1705"/>
      <c r="BM504" s="1705"/>
      <c r="BN504" s="1705"/>
      <c r="BO504" s="1705"/>
      <c r="BP504" s="170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6"/>
      <c r="AV505" s="1707"/>
      <c r="AW505" s="1707"/>
      <c r="AX505" s="1707"/>
      <c r="AY505" s="1707"/>
      <c r="AZ505" s="1707"/>
      <c r="BA505" s="1707"/>
      <c r="BB505" s="20"/>
      <c r="BC505" s="20"/>
      <c r="BE505" s="4"/>
      <c r="BF505" s="4"/>
      <c r="BG505" s="4"/>
      <c r="BH505" s="4"/>
      <c r="BI505" s="4"/>
      <c r="BJ505" s="1704"/>
      <c r="BK505" s="1705"/>
      <c r="BL505" s="1705"/>
      <c r="BM505" s="1705"/>
      <c r="BN505" s="1705"/>
      <c r="BO505" s="1705"/>
      <c r="BP505" s="1705"/>
      <c r="BQ505" s="20"/>
      <c r="BR505" s="4"/>
    </row>
    <row r="506" spans="1:147" customFormat="1" ht="12.75" hidden="1" customHeight="1">
      <c r="A506" s="120"/>
      <c r="B506" s="4"/>
      <c r="C506" s="1685" t="s">
        <v>124</v>
      </c>
      <c r="D506" s="1686"/>
      <c r="E506" s="742" t="s">
        <v>195</v>
      </c>
      <c r="F506" s="1719" t="s">
        <v>973</v>
      </c>
      <c r="G506" s="1719"/>
      <c r="H506" s="1719"/>
      <c r="I506" s="1719"/>
      <c r="J506" s="1719"/>
      <c r="K506" s="1719"/>
      <c r="L506" s="1719"/>
      <c r="M506" s="1719"/>
      <c r="N506" s="1719"/>
      <c r="O506" s="1719"/>
      <c r="P506" s="1719"/>
      <c r="Q506" s="1719"/>
      <c r="R506" s="1719"/>
      <c r="S506" s="1719"/>
      <c r="T506" s="1719"/>
      <c r="U506" s="1719"/>
      <c r="V506" s="1719"/>
      <c r="W506" s="1719"/>
      <c r="X506" s="1719"/>
      <c r="Y506" s="1719"/>
      <c r="Z506" s="1719"/>
      <c r="AA506" s="1719"/>
      <c r="AB506" s="1719"/>
      <c r="AC506" s="1719"/>
      <c r="AD506" s="1719"/>
      <c r="AE506" s="171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0"/>
      <c r="G507" s="1720"/>
      <c r="H507" s="1720"/>
      <c r="I507" s="1720"/>
      <c r="J507" s="1720"/>
      <c r="K507" s="1720"/>
      <c r="L507" s="1720"/>
      <c r="M507" s="1720"/>
      <c r="N507" s="1720"/>
      <c r="O507" s="1720"/>
      <c r="P507" s="1720"/>
      <c r="Q507" s="1720"/>
      <c r="R507" s="1720"/>
      <c r="S507" s="1720"/>
      <c r="T507" s="1720"/>
      <c r="U507" s="1720"/>
      <c r="V507" s="1720"/>
      <c r="W507" s="1720"/>
      <c r="X507" s="1720"/>
      <c r="Y507" s="1720"/>
      <c r="Z507" s="1720"/>
      <c r="AA507" s="1720"/>
      <c r="AB507" s="1720"/>
      <c r="AC507" s="1720"/>
      <c r="AD507" s="1720"/>
      <c r="AE507" s="1720"/>
      <c r="AF507" s="4"/>
      <c r="AG507" s="19"/>
      <c r="AH507" s="19"/>
      <c r="AI507" s="19"/>
      <c r="AJ507" s="19"/>
      <c r="AK507" s="705"/>
      <c r="AL507" s="4"/>
      <c r="AM507" s="4"/>
      <c r="AN507" s="669"/>
      <c r="AO507" s="38"/>
      <c r="AP507" s="1511" t="s">
        <v>1499</v>
      </c>
      <c r="AQ507" s="1512"/>
      <c r="AR507" s="1513"/>
      <c r="AS507" s="624">
        <v>80</v>
      </c>
      <c r="AT507" s="4">
        <v>0</v>
      </c>
      <c r="AU507" s="160">
        <v>10</v>
      </c>
      <c r="AV507" s="160">
        <v>25</v>
      </c>
      <c r="AW507" s="160">
        <v>37.5</v>
      </c>
      <c r="AX507" s="160">
        <v>35</v>
      </c>
      <c r="AY507" s="160">
        <v>37.5</v>
      </c>
      <c r="AZ507" s="160">
        <v>50</v>
      </c>
      <c r="BA507" s="160">
        <v>50</v>
      </c>
      <c r="BB507" s="21"/>
      <c r="BC507" s="21"/>
      <c r="BE507" s="1511" t="s">
        <v>1499</v>
      </c>
      <c r="BF507" s="1512"/>
      <c r="BG507" s="1513"/>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124</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975</v>
      </c>
      <c r="AI508" s="731"/>
      <c r="AJ508" s="730"/>
      <c r="AK508" s="715"/>
      <c r="AL508" s="4"/>
      <c r="AM508" s="4"/>
      <c r="AN508" s="669"/>
      <c r="AO508" s="38"/>
      <c r="AP508" s="1514"/>
      <c r="AQ508" s="1515"/>
      <c r="AR508" s="1516"/>
      <c r="AS508" s="624">
        <v>75</v>
      </c>
      <c r="AT508" s="4">
        <v>0</v>
      </c>
      <c r="AU508" s="160">
        <v>10</v>
      </c>
      <c r="AV508" s="160">
        <v>25</v>
      </c>
      <c r="AW508" s="160">
        <v>37.5</v>
      </c>
      <c r="AX508" s="160">
        <v>35</v>
      </c>
      <c r="AY508" s="160">
        <v>37.5</v>
      </c>
      <c r="AZ508" s="160">
        <v>50</v>
      </c>
      <c r="BA508" s="160">
        <v>50</v>
      </c>
      <c r="BB508" s="21"/>
      <c r="BC508" s="21"/>
      <c r="BE508" s="1514"/>
      <c r="BF508" s="1515"/>
      <c r="BG508" s="1516"/>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4"/>
      <c r="AQ509" s="1515"/>
      <c r="AR509" s="1516"/>
      <c r="AS509" s="624">
        <v>70</v>
      </c>
      <c r="AT509" s="4">
        <v>0</v>
      </c>
      <c r="AU509" s="160">
        <v>10</v>
      </c>
      <c r="AV509" s="160">
        <v>25</v>
      </c>
      <c r="AW509" s="160">
        <v>37.5</v>
      </c>
      <c r="AX509" s="160">
        <v>35</v>
      </c>
      <c r="AY509" s="160">
        <v>37.5</v>
      </c>
      <c r="AZ509" s="160">
        <v>50</v>
      </c>
      <c r="BA509" s="160">
        <v>50</v>
      </c>
      <c r="BB509" s="21"/>
      <c r="BC509" s="21"/>
      <c r="BE509" s="1514"/>
      <c r="BF509" s="1515"/>
      <c r="BG509" s="1516"/>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124</v>
      </c>
      <c r="D510" s="1686"/>
      <c r="E510" s="742" t="s">
        <v>303</v>
      </c>
      <c r="F510" s="1871" t="s">
        <v>1159</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4"/>
      <c r="AQ510" s="1515"/>
      <c r="AR510" s="1516"/>
      <c r="AS510" s="624">
        <v>65</v>
      </c>
      <c r="AT510" s="4">
        <v>0</v>
      </c>
      <c r="AU510" s="160">
        <v>10</v>
      </c>
      <c r="AV510" s="160">
        <v>25</v>
      </c>
      <c r="AW510" s="160">
        <v>37.5</v>
      </c>
      <c r="AX510" s="160">
        <v>35</v>
      </c>
      <c r="AY510" s="160">
        <v>37.5</v>
      </c>
      <c r="AZ510" s="160">
        <v>50</v>
      </c>
      <c r="BA510" s="160">
        <v>50</v>
      </c>
      <c r="BB510" s="21"/>
      <c r="BC510" s="21"/>
      <c r="BE510" s="1514"/>
      <c r="BF510" s="1515"/>
      <c r="BG510" s="1516"/>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4"/>
      <c r="AQ511" s="1515"/>
      <c r="AR511" s="1516"/>
      <c r="AS511" s="624">
        <v>60</v>
      </c>
      <c r="AT511" s="4">
        <v>0</v>
      </c>
      <c r="AU511" s="160">
        <v>10</v>
      </c>
      <c r="AV511" s="160">
        <v>25</v>
      </c>
      <c r="AW511" s="160">
        <v>37.5</v>
      </c>
      <c r="AX511" s="160">
        <v>35</v>
      </c>
      <c r="AY511" s="160">
        <v>37.5</v>
      </c>
      <c r="AZ511" s="160">
        <v>50</v>
      </c>
      <c r="BA511" s="160">
        <v>50</v>
      </c>
      <c r="BB511" s="21"/>
      <c r="BC511" s="21"/>
      <c r="BE511" s="1514"/>
      <c r="BF511" s="1515"/>
      <c r="BG511" s="1516"/>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4"/>
      <c r="AQ512" s="1515"/>
      <c r="AR512" s="1516"/>
      <c r="AS512" s="624">
        <v>55</v>
      </c>
      <c r="AT512" s="4">
        <v>0</v>
      </c>
      <c r="AU512" s="160">
        <v>10</v>
      </c>
      <c r="AV512" s="160">
        <v>25</v>
      </c>
      <c r="AW512" s="160">
        <v>37.5</v>
      </c>
      <c r="AX512" s="160">
        <v>35</v>
      </c>
      <c r="AY512" s="160">
        <v>37.5</v>
      </c>
      <c r="AZ512" s="160">
        <v>50</v>
      </c>
      <c r="BA512" s="160">
        <v>50</v>
      </c>
      <c r="BE512" s="1514"/>
      <c r="BF512" s="1515"/>
      <c r="BG512" s="1516"/>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124</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14"/>
      <c r="AQ513" s="1515"/>
      <c r="AR513" s="1516"/>
      <c r="AS513" s="159">
        <v>50</v>
      </c>
      <c r="AT513" s="4">
        <v>0</v>
      </c>
      <c r="AU513" s="160">
        <v>10</v>
      </c>
      <c r="AV513" s="160">
        <v>25</v>
      </c>
      <c r="AW513" s="160">
        <v>37.5</v>
      </c>
      <c r="AX513" s="160">
        <v>35</v>
      </c>
      <c r="AY513" s="160">
        <v>37.5</v>
      </c>
      <c r="AZ513" s="160">
        <v>50</v>
      </c>
      <c r="BA513" s="160">
        <v>50</v>
      </c>
      <c r="BE513" s="1514"/>
      <c r="BF513" s="1515"/>
      <c r="BG513" s="1516"/>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4"/>
      <c r="AQ514" s="1515"/>
      <c r="AR514" s="1516"/>
      <c r="AS514" s="159">
        <v>45</v>
      </c>
      <c r="AT514" s="4">
        <v>0</v>
      </c>
      <c r="AU514" s="160">
        <v>10</v>
      </c>
      <c r="AV514" s="160">
        <v>22.5</v>
      </c>
      <c r="AW514" s="160">
        <v>33.799999999999997</v>
      </c>
      <c r="AX514" s="160">
        <v>35</v>
      </c>
      <c r="AY514" s="160">
        <v>37.5</v>
      </c>
      <c r="AZ514" s="160">
        <v>50</v>
      </c>
      <c r="BA514" s="160">
        <v>50</v>
      </c>
      <c r="BE514" s="1514"/>
      <c r="BF514" s="1515"/>
      <c r="BG514" s="1516"/>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5" t="s">
        <v>124</v>
      </c>
      <c r="D515" s="1686"/>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4"/>
      <c r="AQ515" s="1515"/>
      <c r="AR515" s="1516"/>
      <c r="AS515" s="159">
        <v>40</v>
      </c>
      <c r="AT515" s="4">
        <v>0</v>
      </c>
      <c r="AU515" s="160">
        <v>10</v>
      </c>
      <c r="AV515" s="160">
        <v>20</v>
      </c>
      <c r="AW515" s="160">
        <v>30</v>
      </c>
      <c r="AX515" s="160">
        <v>35</v>
      </c>
      <c r="AY515" s="160">
        <v>37.5</v>
      </c>
      <c r="AZ515" s="160">
        <v>50</v>
      </c>
      <c r="BA515" s="160">
        <v>50</v>
      </c>
      <c r="BE515" s="1514"/>
      <c r="BF515" s="1515"/>
      <c r="BG515" s="1516"/>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4"/>
      <c r="AQ516" s="1515"/>
      <c r="AR516" s="1516"/>
      <c r="AS516" s="159">
        <v>35</v>
      </c>
      <c r="AT516" s="4">
        <v>0</v>
      </c>
      <c r="AU516" s="160">
        <v>8.8000000000000007</v>
      </c>
      <c r="AV516" s="160">
        <v>17.5</v>
      </c>
      <c r="AW516" s="160">
        <v>26.3</v>
      </c>
      <c r="AX516" s="160">
        <v>35</v>
      </c>
      <c r="AY516" s="160">
        <v>37.5</v>
      </c>
      <c r="AZ516" s="160">
        <v>50</v>
      </c>
      <c r="BA516" s="160">
        <v>50</v>
      </c>
      <c r="BE516" s="1514"/>
      <c r="BF516" s="1515"/>
      <c r="BG516" s="1516"/>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7"/>
      <c r="D517" s="1338"/>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14"/>
      <c r="AQ517" s="1515"/>
      <c r="AR517" s="1516"/>
      <c r="AS517" s="159">
        <v>30</v>
      </c>
      <c r="AT517" s="4">
        <v>0</v>
      </c>
      <c r="AU517" s="160">
        <v>7.5</v>
      </c>
      <c r="AV517" s="160">
        <v>15</v>
      </c>
      <c r="AW517" s="160">
        <v>22.5</v>
      </c>
      <c r="AX517" s="160">
        <v>30</v>
      </c>
      <c r="AY517" s="160">
        <v>37.5</v>
      </c>
      <c r="AZ517" s="160">
        <v>45</v>
      </c>
      <c r="BA517" s="160">
        <v>50</v>
      </c>
      <c r="BE517" s="1514"/>
      <c r="BF517" s="1515"/>
      <c r="BG517" s="1516"/>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124</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4"/>
      <c r="AQ518" s="1515"/>
      <c r="AR518" s="1516"/>
      <c r="AS518" s="159">
        <v>25</v>
      </c>
      <c r="AT518" s="4">
        <v>0</v>
      </c>
      <c r="AU518" s="160">
        <v>6.3</v>
      </c>
      <c r="AV518" s="160">
        <v>12.5</v>
      </c>
      <c r="AW518" s="160">
        <v>18.8</v>
      </c>
      <c r="AX518" s="160">
        <v>25</v>
      </c>
      <c r="AY518" s="160">
        <v>31.3</v>
      </c>
      <c r="AZ518" s="160">
        <v>37.5</v>
      </c>
      <c r="BA518" s="160">
        <v>50</v>
      </c>
      <c r="BE518" s="1514"/>
      <c r="BF518" s="1515"/>
      <c r="BG518" s="1516"/>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4"/>
      <c r="AQ519" s="1515"/>
      <c r="AR519" s="1516"/>
      <c r="AS519" s="159">
        <v>20</v>
      </c>
      <c r="AT519" s="4">
        <v>0</v>
      </c>
      <c r="AU519" s="160">
        <v>5</v>
      </c>
      <c r="AV519" s="160">
        <v>10</v>
      </c>
      <c r="AW519" s="160">
        <v>15</v>
      </c>
      <c r="AX519" s="160">
        <v>20</v>
      </c>
      <c r="AY519" s="160">
        <v>25</v>
      </c>
      <c r="AZ519" s="160">
        <v>30</v>
      </c>
      <c r="BA519" s="160">
        <v>40</v>
      </c>
      <c r="BE519" s="1514"/>
      <c r="BF519" s="1515"/>
      <c r="BG519" s="1516"/>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124</v>
      </c>
      <c r="D520" s="1691"/>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14"/>
      <c r="AQ520" s="1515"/>
      <c r="AR520" s="1516"/>
      <c r="AS520" s="159">
        <v>15</v>
      </c>
      <c r="AT520" s="4">
        <v>0</v>
      </c>
      <c r="AU520" s="160">
        <v>3.8</v>
      </c>
      <c r="AV520" s="160">
        <v>7.5</v>
      </c>
      <c r="AW520" s="160">
        <v>11.3</v>
      </c>
      <c r="AX520" s="160">
        <v>15</v>
      </c>
      <c r="AY520" s="160">
        <v>18.8</v>
      </c>
      <c r="AZ520" s="160">
        <v>22.5</v>
      </c>
      <c r="BA520" s="160">
        <v>30</v>
      </c>
      <c r="BE520" s="1514"/>
      <c r="BF520" s="1515"/>
      <c r="BG520" s="1516"/>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7"/>
      <c r="AQ521" s="1518"/>
      <c r="AR521" s="1519"/>
      <c r="AS521" s="159">
        <v>10</v>
      </c>
      <c r="AT521" s="4">
        <v>0</v>
      </c>
      <c r="AU521" s="160">
        <v>2.5</v>
      </c>
      <c r="AV521" s="160">
        <v>5</v>
      </c>
      <c r="AW521" s="160">
        <v>7.5</v>
      </c>
      <c r="AX521" s="160">
        <v>10</v>
      </c>
      <c r="AY521" s="160">
        <v>12.5</v>
      </c>
      <c r="AZ521" s="160">
        <v>15</v>
      </c>
      <c r="BA521" s="160">
        <v>20</v>
      </c>
      <c r="BE521" s="1517"/>
      <c r="BF521" s="1518"/>
      <c r="BG521" s="1519"/>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124</v>
      </c>
      <c r="D524" s="1691"/>
      <c r="F524" s="496" t="s">
        <v>875</v>
      </c>
      <c r="G524" s="1675" t="s">
        <v>984</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703">
        <f>BJ528</f>
        <v>56</v>
      </c>
      <c r="BE524" s="1703"/>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3">
        <f>SUM(E581:J589)</f>
        <v>56</v>
      </c>
      <c r="BE525" s="1703"/>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701">
        <v>0</v>
      </c>
      <c r="BK526" s="170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1">
        <f>Application!AG431</f>
        <v>0</v>
      </c>
      <c r="BK527" s="1702"/>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124</v>
      </c>
      <c r="D528" s="1102"/>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1">
        <f>Application!AG433</f>
        <v>56</v>
      </c>
      <c r="BK528" s="1702"/>
      <c r="BM528" s="1698"/>
      <c r="BN528" s="1700"/>
      <c r="BO528" s="1698"/>
      <c r="BP528" s="1700"/>
      <c r="BQ528" s="1708"/>
      <c r="BR528" s="1710"/>
      <c r="BS528" s="1708"/>
      <c r="BT528" s="1710"/>
      <c r="BU528" s="1698">
        <f>IF(T611&gt;0,1,0)</f>
        <v>0</v>
      </c>
      <c r="BV528" s="1700"/>
      <c r="BW528" s="1698">
        <f>IF(Y611&gt;=0.1,1,0)</f>
        <v>0</v>
      </c>
      <c r="BX528" s="1700"/>
      <c r="BY528" s="1708"/>
      <c r="BZ528" s="1710"/>
      <c r="CA528" s="1708"/>
      <c r="CB528" s="1710"/>
      <c r="CC528" s="1698"/>
      <c r="CD528" s="1700"/>
      <c r="CE528" s="1698"/>
      <c r="CF528" s="1700"/>
      <c r="CG528"/>
      <c r="CH528"/>
      <c r="CI528"/>
      <c r="CJ528"/>
    </row>
    <row r="529" spans="1:101" s="4" customFormat="1" ht="12.75" hidden="1" customHeight="1">
      <c r="C529" s="699"/>
      <c r="E529" s="143"/>
      <c r="F529" s="1103" t="s">
        <v>124</v>
      </c>
      <c r="G529" s="1103"/>
      <c r="H529" s="1103"/>
      <c r="I529" s="1103"/>
      <c r="J529" s="1103"/>
      <c r="K529" s="1103"/>
      <c r="L529" s="1103"/>
      <c r="M529" s="1103"/>
      <c r="N529" s="1103"/>
      <c r="O529" s="1103"/>
      <c r="P529" s="1103"/>
      <c r="Q529" s="1103"/>
      <c r="R529" s="1103"/>
      <c r="S529" s="1103"/>
      <c r="T529" s="1103"/>
      <c r="U529" s="1103"/>
      <c r="V529" s="1103"/>
      <c r="W529" s="1103"/>
      <c r="X529" s="1103"/>
      <c r="Y529" s="1103"/>
      <c r="Z529" s="1103"/>
      <c r="AA529" s="1103"/>
      <c r="AB529" s="1103"/>
      <c r="AC529" s="1103"/>
      <c r="AD529" s="1103"/>
      <c r="AE529" s="1103"/>
      <c r="AF529" s="1103"/>
      <c r="AG529" s="19"/>
      <c r="AH529" s="19"/>
      <c r="AI529" s="19"/>
      <c r="AJ529" s="19"/>
      <c r="AK529" s="705"/>
      <c r="AN529" s="281"/>
      <c r="BM529" s="1698"/>
      <c r="BN529" s="1700"/>
      <c r="BO529" s="1698"/>
      <c r="BP529" s="1700"/>
      <c r="BQ529" s="1708"/>
      <c r="BR529" s="1710"/>
      <c r="BS529" s="1708"/>
      <c r="BT529" s="1710"/>
      <c r="BU529" s="1698"/>
      <c r="BV529" s="1700"/>
      <c r="BW529" s="1698"/>
      <c r="BX529" s="1700"/>
      <c r="BY529" s="1708">
        <f>IF(T612&gt;0,1,0)</f>
        <v>1</v>
      </c>
      <c r="BZ529" s="1710"/>
      <c r="CA529" s="1708">
        <f>IF(Y612&gt;=0.1,1,0)</f>
        <v>1</v>
      </c>
      <c r="CB529" s="1710"/>
      <c r="CC529" s="1698"/>
      <c r="CD529" s="1700"/>
      <c r="CE529" s="1698"/>
      <c r="CF529" s="1700"/>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8"/>
      <c r="BN530" s="1700"/>
      <c r="BO530" s="1698"/>
      <c r="BP530" s="1700"/>
      <c r="BQ530" s="1708"/>
      <c r="BR530" s="1710"/>
      <c r="BS530" s="1708"/>
      <c r="BT530" s="1710"/>
      <c r="BU530" s="1698"/>
      <c r="BV530" s="1700"/>
      <c r="BW530" s="1698"/>
      <c r="BX530" s="1700"/>
      <c r="BY530" s="1708"/>
      <c r="BZ530" s="1710"/>
      <c r="CA530" s="1708"/>
      <c r="CB530" s="1710"/>
      <c r="CC530" s="1698">
        <f>IF(T613&gt;0,1,0)</f>
        <v>0</v>
      </c>
      <c r="CD530" s="1700"/>
      <c r="CE530" s="1698">
        <f>IF(Y613&gt;=0.1,1,0)</f>
        <v>0</v>
      </c>
      <c r="CF530" s="170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8">
        <f>SUM(BM526:BN530)</f>
        <v>0</v>
      </c>
      <c r="BN531" s="1700"/>
      <c r="BO531" s="1698">
        <f>SUM(BO526:BP530)</f>
        <v>0</v>
      </c>
      <c r="BP531" s="1700"/>
      <c r="BQ531" s="1698">
        <f>SUM(BQ526:BR530)</f>
        <v>0</v>
      </c>
      <c r="BR531" s="1700"/>
      <c r="BS531" s="1698">
        <f>SUM(BS526:BT530)</f>
        <v>0</v>
      </c>
      <c r="BT531" s="1700"/>
      <c r="BU531" s="1698">
        <f>SUM(BU526:BV530)</f>
        <v>0</v>
      </c>
      <c r="BV531" s="1700"/>
      <c r="BW531" s="1698">
        <f>SUM(BW526:BX530)</f>
        <v>0</v>
      </c>
      <c r="BX531" s="1700"/>
      <c r="BY531" s="1698">
        <f>SUM(BY526:BZ530)</f>
        <v>1</v>
      </c>
      <c r="BZ531" s="1700"/>
      <c r="CA531" s="1698">
        <f>SUM(CA526:CB530)</f>
        <v>1</v>
      </c>
      <c r="CB531" s="1700"/>
      <c r="CC531" s="1698">
        <f>SUM(CC526:CD530)</f>
        <v>0</v>
      </c>
      <c r="CD531" s="1700"/>
      <c r="CE531" s="1698">
        <f>SUM(CE526:CF530)</f>
        <v>0</v>
      </c>
      <c r="CF531" s="1700"/>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5" t="s">
        <v>456</v>
      </c>
      <c r="AQ532" s="1716"/>
      <c r="AR532" s="1716"/>
      <c r="AS532" s="1716"/>
      <c r="AT532" s="1717"/>
      <c r="AU532" s="1715" t="s">
        <v>457</v>
      </c>
      <c r="AV532" s="1716"/>
      <c r="AW532" s="1716"/>
      <c r="AX532" s="1716"/>
      <c r="AY532" s="1717"/>
      <c r="BM532" s="1708">
        <f>SUM(BM531:BP531)</f>
        <v>0</v>
      </c>
      <c r="BN532" s="1709"/>
      <c r="BO532" s="1709"/>
      <c r="BP532" s="1710"/>
      <c r="BQ532" s="1708">
        <f>SUM(BQ531:BT531)</f>
        <v>0</v>
      </c>
      <c r="BR532" s="1709"/>
      <c r="BS532" s="1709"/>
      <c r="BT532" s="1710"/>
      <c r="BU532" s="1708">
        <f>SUM(BU531:BX531)</f>
        <v>0</v>
      </c>
      <c r="BV532" s="1709"/>
      <c r="BW532" s="1709"/>
      <c r="BX532" s="1710"/>
      <c r="BY532" s="1708">
        <f>SUM(BY531:CB531)</f>
        <v>2</v>
      </c>
      <c r="BZ532" s="1709"/>
      <c r="CA532" s="1709"/>
      <c r="CB532" s="1710"/>
      <c r="CC532" s="1708">
        <f>SUM(CC531:CF531)</f>
        <v>0</v>
      </c>
      <c r="CD532" s="1709"/>
      <c r="CE532" s="1709"/>
      <c r="CF532" s="1710"/>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3">
        <f>RANK(T609,$T$609:$X$613,0)+COUNTIF($T$609:$X$613,T609)-1</f>
        <v>5</v>
      </c>
      <c r="AQ533" s="1694"/>
      <c r="AR533" s="1694"/>
      <c r="AS533" s="1694"/>
      <c r="AT533" s="1695"/>
      <c r="AU533" s="1693">
        <f>RANK(Y609,$Y$609:$AC$613,0)+COUNTIF($Y$609:$AC$613,Y609)-1</f>
        <v>5</v>
      </c>
      <c r="AV533" s="1694"/>
      <c r="AW533" s="1694"/>
      <c r="AX533" s="1694"/>
      <c r="AY533" s="1695"/>
      <c r="BM533" s="1708"/>
      <c r="BN533" s="1709"/>
      <c r="BO533" s="1709"/>
      <c r="BP533" s="1710"/>
      <c r="BQ533" s="1708">
        <f>IF(AND(BQ532=2,BM532=1),1,0)</f>
        <v>0</v>
      </c>
      <c r="BR533" s="1709"/>
      <c r="BS533" s="1709"/>
      <c r="BT533" s="1710"/>
      <c r="BU533" s="1708">
        <f>IF(AND(BU532=2,BQ532=1),1,0)</f>
        <v>0</v>
      </c>
      <c r="BV533" s="1709"/>
      <c r="BW533" s="1709"/>
      <c r="BX533" s="1710"/>
      <c r="BY533" s="1708">
        <f>IF(AND(BY532=2,BU532=1),1,0)</f>
        <v>0</v>
      </c>
      <c r="BZ533" s="1709"/>
      <c r="CA533" s="1709"/>
      <c r="CB533" s="1710"/>
      <c r="CC533" s="1708">
        <f>IF(AND(CC532=2,BU532=1),1,0)</f>
        <v>0</v>
      </c>
      <c r="CD533" s="1709"/>
      <c r="CE533" s="1709"/>
      <c r="CF533" s="1710"/>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3">
        <f>RANK(T610,$T$609:$X$613,0)+COUNTIF($T$609:$X$613,T610)-1</f>
        <v>5</v>
      </c>
      <c r="AQ534" s="1694"/>
      <c r="AR534" s="1694"/>
      <c r="AS534" s="1694"/>
      <c r="AT534" s="1695"/>
      <c r="AU534" s="1693">
        <f>RANK(Y610,$Y$609:$AC$613,0)+COUNTIF($Y$609:$AC$613,Y610)-1</f>
        <v>5</v>
      </c>
      <c r="AV534" s="1694"/>
      <c r="AW534" s="1694"/>
      <c r="AX534" s="1694"/>
      <c r="AY534" s="1695"/>
      <c r="BM534" s="1708"/>
      <c r="BN534" s="1709"/>
      <c r="BO534" s="1709"/>
      <c r="BP534" s="1710"/>
      <c r="BQ534" s="1708"/>
      <c r="BR534" s="1709"/>
      <c r="BS534" s="1709"/>
      <c r="BT534" s="1710"/>
      <c r="BU534" s="1708">
        <f>IF(AND(BU532=2,BM532=1),1,0)</f>
        <v>0</v>
      </c>
      <c r="BV534" s="1709"/>
      <c r="BW534" s="1709"/>
      <c r="BX534" s="1710"/>
      <c r="BY534" s="1708">
        <f>IF(AND(BY532=2,BQ532=1),1,0)</f>
        <v>0</v>
      </c>
      <c r="BZ534" s="1709"/>
      <c r="CA534" s="1709"/>
      <c r="CB534" s="1710"/>
      <c r="CC534" s="1708">
        <f>IF(AND(CC533=2,BY533=1),1,0)</f>
        <v>0</v>
      </c>
      <c r="CD534" s="1709"/>
      <c r="CE534" s="1709"/>
      <c r="CF534" s="1710"/>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3">
        <f>RANK(T611,$T$609:$X$613,0)+COUNTIF($T$609:$X$613,T611)-1</f>
        <v>5</v>
      </c>
      <c r="AQ535" s="1694"/>
      <c r="AR535" s="1694"/>
      <c r="AS535" s="1694"/>
      <c r="AT535" s="1695"/>
      <c r="AU535" s="1693">
        <f>RANK(Y611,$Y$609:$AC$613,0)+COUNTIF($Y$609:$AC$613,Y611)-1</f>
        <v>5</v>
      </c>
      <c r="AV535" s="1694"/>
      <c r="AW535" s="1694"/>
      <c r="AX535" s="1694"/>
      <c r="AY535" s="1695"/>
      <c r="BM535" s="1708"/>
      <c r="BN535" s="1709"/>
      <c r="BO535" s="1709"/>
      <c r="BP535" s="1710"/>
      <c r="BQ535" s="1708"/>
      <c r="BR535" s="1709"/>
      <c r="BS535" s="1709"/>
      <c r="BT535" s="1710"/>
      <c r="BU535" s="1708"/>
      <c r="BV535" s="1709"/>
      <c r="BW535" s="1709"/>
      <c r="BX535" s="1710"/>
      <c r="BY535" s="1708">
        <f>IF(AND(BY532=2,BM532=1),1,0)</f>
        <v>0</v>
      </c>
      <c r="BZ535" s="1709"/>
      <c r="CA535" s="1709"/>
      <c r="CB535" s="1710"/>
      <c r="CC535" s="1708">
        <f>IF(AND(CC532=2,BQ532=1),1,0)</f>
        <v>0</v>
      </c>
      <c r="CD535" s="1709"/>
      <c r="CE535" s="1709"/>
      <c r="CF535" s="1710"/>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3">
        <f>RANK(T612,$T$609:$X$613,0)+COUNTIF($T$609:$X$613,T612)-1</f>
        <v>1</v>
      </c>
      <c r="AQ536" s="1694"/>
      <c r="AR536" s="1694"/>
      <c r="AS536" s="1694"/>
      <c r="AT536" s="1695"/>
      <c r="AU536" s="1693">
        <f>RANK(Y612,$Y$609:$AC$613,0)+COUNTIF($Y$609:$AC$613,Y612)-1</f>
        <v>1</v>
      </c>
      <c r="AV536" s="1694"/>
      <c r="AW536" s="1694"/>
      <c r="AX536" s="1694"/>
      <c r="AY536" s="1695"/>
      <c r="BM536" s="1708"/>
      <c r="BN536" s="1709"/>
      <c r="BO536" s="1709"/>
      <c r="BP536" s="1710"/>
      <c r="BQ536" s="1708"/>
      <c r="BR536" s="1709"/>
      <c r="BS536" s="1709"/>
      <c r="BT536" s="1710"/>
      <c r="BU536" s="1708"/>
      <c r="BV536" s="1709"/>
      <c r="BW536" s="1709"/>
      <c r="BX536" s="1710"/>
      <c r="BY536" s="1708"/>
      <c r="BZ536" s="1709"/>
      <c r="CA536" s="1709"/>
      <c r="CB536" s="1710"/>
      <c r="CC536" s="1708">
        <f>IF(AND(CC532=2,BM532=1),1,0)</f>
        <v>0</v>
      </c>
      <c r="CD536" s="1709"/>
      <c r="CE536" s="1709"/>
      <c r="CF536" s="1710"/>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3">
        <f>RANK(T613,$T$609:$X$613,0)+COUNTIF($T$609:$X$613,T613)-1</f>
        <v>5</v>
      </c>
      <c r="AQ537" s="1694"/>
      <c r="AR537" s="1694"/>
      <c r="AS537" s="1694"/>
      <c r="AT537" s="1695"/>
      <c r="AU537" s="1693">
        <f>RANK(Y613,$Y$609:$AC$613,0)+COUNTIF($Y$609:$AC$613,Y613)-1</f>
        <v>5</v>
      </c>
      <c r="AV537" s="1694"/>
      <c r="AW537" s="1694"/>
      <c r="AX537" s="1694"/>
      <c r="AY537" s="1695"/>
      <c r="BM537" s="1708">
        <f>SUM(BM533:BP536)</f>
        <v>0</v>
      </c>
      <c r="BN537" s="1709"/>
      <c r="BO537" s="1709"/>
      <c r="BP537" s="1710"/>
      <c r="BQ537" s="1708">
        <f>SUM(BQ533:BT536)</f>
        <v>0</v>
      </c>
      <c r="BR537" s="1709"/>
      <c r="BS537" s="1709"/>
      <c r="BT537" s="1710"/>
      <c r="BU537" s="1708">
        <f>SUM(BU533:BX536)</f>
        <v>0</v>
      </c>
      <c r="BV537" s="1709"/>
      <c r="BW537" s="1709"/>
      <c r="BX537" s="1710"/>
      <c r="BY537" s="1708">
        <f>SUM(BY533:CB536)</f>
        <v>0</v>
      </c>
      <c r="BZ537" s="1709"/>
      <c r="CA537" s="1709"/>
      <c r="CB537" s="1710"/>
      <c r="CC537" s="1708">
        <f>SUM(CC533:CF536)</f>
        <v>0</v>
      </c>
      <c r="CD537" s="1709"/>
      <c r="CE537" s="1709"/>
      <c r="CF537" s="1710"/>
      <c r="CG537" s="1708">
        <f>SUM(BM537:CF537)</f>
        <v>0</v>
      </c>
      <c r="CH537" s="1709"/>
      <c r="CI537" s="1709"/>
      <c r="CJ537" s="1710"/>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9">
        <f>SUM(AG484:AG529)</f>
        <v>0</v>
      </c>
      <c r="AL540" s="1270"/>
      <c r="AM540" s="1271"/>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698">
        <f>SUM(O609:S613)</f>
        <v>56</v>
      </c>
      <c r="AZ541" s="1700"/>
      <c r="CG541"/>
      <c r="CH541" s="1829" t="s">
        <v>776</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698" t="str">
        <f>IF(AY541=BK568,"passed","failed")</f>
        <v>passed</v>
      </c>
      <c r="AT542" s="1699"/>
      <c r="AU542" s="1700"/>
      <c r="AV542" s="151"/>
      <c r="AW542" s="151"/>
      <c r="AX542" s="151"/>
      <c r="AY542" s="151"/>
      <c r="AZ542" s="152"/>
      <c r="CG542"/>
      <c r="CH542" s="1237"/>
      <c r="CI542" s="1238"/>
      <c r="CJ542" s="1238"/>
      <c r="CK542" s="1239"/>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3" t="s">
        <v>366</v>
      </c>
      <c r="AF543" s="1723"/>
      <c r="AG543" s="1723"/>
      <c r="AH543" s="1723"/>
      <c r="AI543" s="1723"/>
      <c r="AJ543" s="1723"/>
      <c r="AK543" s="1723"/>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7"/>
      <c r="CI543" s="1238"/>
      <c r="CJ543" s="1238"/>
      <c r="CK543" s="1239"/>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182</v>
      </c>
      <c r="AH544" s="1711"/>
      <c r="AI544" s="1711"/>
      <c r="AJ544" s="1711"/>
      <c r="AK544" s="18"/>
      <c r="AL544" s="18"/>
      <c r="AM544" s="21"/>
      <c r="AN544" s="281"/>
      <c r="BE544" s="1708" t="s">
        <v>223</v>
      </c>
      <c r="BF544" s="1709"/>
      <c r="BG544" s="1709"/>
      <c r="BH544" s="1710"/>
      <c r="BI544" s="1708" t="s">
        <v>717</v>
      </c>
      <c r="BJ544" s="1709"/>
      <c r="BK544" s="1709"/>
      <c r="BL544" s="1710"/>
      <c r="BM544" s="1708" t="s">
        <v>718</v>
      </c>
      <c r="BN544" s="1709"/>
      <c r="BO544" s="1709"/>
      <c r="BP544" s="1710"/>
      <c r="BQ544" s="1708" t="s">
        <v>719</v>
      </c>
      <c r="BR544" s="1709"/>
      <c r="BS544" s="1709"/>
      <c r="BT544" s="1710"/>
      <c r="BU544" s="1708" t="s">
        <v>720</v>
      </c>
      <c r="BV544" s="1709"/>
      <c r="BW544" s="1709"/>
      <c r="BX544" s="1710"/>
      <c r="BY544" s="1708" t="s">
        <v>224</v>
      </c>
      <c r="BZ544" s="1709"/>
      <c r="CA544" s="1709"/>
      <c r="CB544" s="1710"/>
      <c r="CC544"/>
      <c r="CG544"/>
      <c r="CH544" s="1237"/>
      <c r="CI544" s="1238"/>
      <c r="CJ544" s="1238"/>
      <c r="CK544" s="1239"/>
    </row>
    <row r="545" spans="1:89" s="4" customFormat="1" ht="12.75" customHeight="1">
      <c r="A545" s="3"/>
      <c r="B545" s="1673" t="s">
        <v>1721</v>
      </c>
      <c r="C545" s="1673"/>
      <c r="D545" s="1673"/>
      <c r="E545" s="1673"/>
      <c r="F545" s="1673"/>
      <c r="G545" s="1673"/>
      <c r="H545" s="1673"/>
      <c r="I545" s="1673"/>
      <c r="J545" s="1673"/>
      <c r="K545" s="1673"/>
      <c r="L545" s="1673"/>
      <c r="M545" s="1673"/>
      <c r="N545" s="1673"/>
      <c r="O545" s="1673"/>
      <c r="P545" s="1673"/>
      <c r="Q545" s="1673"/>
      <c r="R545" s="1673"/>
      <c r="S545" s="1673"/>
      <c r="T545" s="1673"/>
      <c r="U545" s="1673"/>
      <c r="V545" s="1673"/>
      <c r="W545" s="1673"/>
      <c r="X545" s="1673"/>
      <c r="Y545" s="1673"/>
      <c r="Z545" s="1673"/>
      <c r="AA545" s="1673"/>
      <c r="AB545" s="1673"/>
      <c r="AC545" s="1673"/>
      <c r="AD545" s="1673"/>
      <c r="AE545" s="1673"/>
      <c r="AF545" s="1673"/>
      <c r="AG545" s="1673"/>
      <c r="AK545" s="21"/>
      <c r="AL545" s="21"/>
      <c r="AN545" s="281"/>
      <c r="AP545" s="434" t="s">
        <v>614</v>
      </c>
      <c r="AQ545" s="435"/>
      <c r="AR545" s="435"/>
      <c r="AS545" s="435"/>
      <c r="AT545" s="435"/>
      <c r="AU545" s="435"/>
      <c r="AV545" s="436"/>
      <c r="AW545" s="435"/>
      <c r="AX545" s="435"/>
      <c r="AY545" s="436"/>
      <c r="BE545" s="1698">
        <f>IF(CH546=1,0,1)</f>
        <v>0</v>
      </c>
      <c r="BF545" s="1699"/>
      <c r="BG545" s="1699"/>
      <c r="BH545" s="1700"/>
      <c r="BI545" s="1698"/>
      <c r="BJ545" s="1699"/>
      <c r="BK545" s="1699"/>
      <c r="BL545" s="1700"/>
      <c r="BM545" s="1698"/>
      <c r="BN545" s="1699"/>
      <c r="BO545" s="1699"/>
      <c r="BP545" s="1700"/>
      <c r="BQ545" s="1698"/>
      <c r="BR545" s="1699"/>
      <c r="BS545" s="1699"/>
      <c r="BT545" s="1700"/>
      <c r="BU545" s="1708"/>
      <c r="BV545" s="1709"/>
      <c r="BW545" s="1709"/>
      <c r="BX545" s="1710"/>
      <c r="BY545" s="1708"/>
      <c r="BZ545" s="1709"/>
      <c r="CA545" s="1709"/>
      <c r="CB545" s="1710"/>
      <c r="CC545"/>
      <c r="CG545"/>
      <c r="CH545" s="1240"/>
      <c r="CI545" s="1241"/>
      <c r="CJ545" s="1241"/>
      <c r="CK545" s="1242"/>
    </row>
    <row r="546" spans="1:89" s="4" customFormat="1" ht="12.75" customHeight="1">
      <c r="A546" s="20"/>
      <c r="B546" s="1673"/>
      <c r="C546" s="1673"/>
      <c r="D546" s="1673"/>
      <c r="E546" s="1673"/>
      <c r="F546" s="1673"/>
      <c r="G546" s="1673"/>
      <c r="H546" s="1673"/>
      <c r="I546" s="1673"/>
      <c r="J546" s="1673"/>
      <c r="K546" s="1673"/>
      <c r="L546" s="1673"/>
      <c r="M546" s="1673"/>
      <c r="N546" s="1673"/>
      <c r="O546" s="1673"/>
      <c r="P546" s="1673"/>
      <c r="Q546" s="1673"/>
      <c r="R546" s="1673"/>
      <c r="S546" s="1673"/>
      <c r="T546" s="1673"/>
      <c r="U546" s="1673"/>
      <c r="V546" s="1673"/>
      <c r="W546" s="1673"/>
      <c r="X546" s="1673"/>
      <c r="Y546" s="1673"/>
      <c r="Z546" s="1673"/>
      <c r="AA546" s="1673"/>
      <c r="AB546" s="1673"/>
      <c r="AC546" s="1673"/>
      <c r="AD546" s="1673"/>
      <c r="AE546" s="1673"/>
      <c r="AF546" s="1673"/>
      <c r="AG546" s="1673"/>
      <c r="AK546" s="163"/>
      <c r="AL546" s="163"/>
      <c r="AM546" s="163"/>
      <c r="AN546" s="281"/>
      <c r="AP546" s="437" t="s">
        <v>612</v>
      </c>
      <c r="AQ546" s="438"/>
      <c r="AR546" s="438"/>
      <c r="AS546" s="438"/>
      <c r="AT546" s="438"/>
      <c r="AU546" s="1696">
        <f>ROUNDUP(BK568*0.1,0)</f>
        <v>6</v>
      </c>
      <c r="AV546" s="1697"/>
      <c r="AW546" s="438"/>
      <c r="AX546" s="438">
        <f>AU546-AP548</f>
        <v>-6</v>
      </c>
      <c r="AY546" s="439"/>
      <c r="BE546" s="1698"/>
      <c r="BF546" s="1699"/>
      <c r="BG546" s="1699"/>
      <c r="BH546" s="1700"/>
      <c r="BI546" s="1698">
        <f>IF(AND(CH547=1,BE545=0),0,1)</f>
        <v>0</v>
      </c>
      <c r="BJ546" s="1699"/>
      <c r="BK546" s="1699"/>
      <c r="BL546" s="1700"/>
      <c r="BM546" s="1698"/>
      <c r="BN546" s="1699"/>
      <c r="BO546" s="1699"/>
      <c r="BP546" s="1700"/>
      <c r="BQ546" s="1698"/>
      <c r="BR546" s="1699"/>
      <c r="BS546" s="1699"/>
      <c r="BT546" s="1700"/>
      <c r="BU546" s="1708"/>
      <c r="BV546" s="1709"/>
      <c r="BW546" s="1709"/>
      <c r="BX546" s="1710"/>
      <c r="BY546" s="1708"/>
      <c r="BZ546" s="1709"/>
      <c r="CA546" s="1709"/>
      <c r="CB546" s="1710"/>
      <c r="CC546"/>
      <c r="CG546"/>
      <c r="CH546" s="1708">
        <f>IF(OR(Y609=0,Y609&gt;=0.1),1,0)</f>
        <v>1</v>
      </c>
      <c r="CI546" s="1709"/>
      <c r="CJ546" s="1709"/>
      <c r="CK546" s="1710"/>
    </row>
    <row r="547" spans="1:89" s="4" customFormat="1" ht="12.75" customHeight="1">
      <c r="B547" s="1673"/>
      <c r="C547" s="1673"/>
      <c r="D547" s="1673"/>
      <c r="E547" s="1673"/>
      <c r="F547" s="1673"/>
      <c r="G547" s="1673"/>
      <c r="H547" s="1673"/>
      <c r="I547" s="1673"/>
      <c r="J547" s="1673"/>
      <c r="K547" s="1673"/>
      <c r="L547" s="1673"/>
      <c r="M547" s="1673"/>
      <c r="N547" s="1673"/>
      <c r="O547" s="1673"/>
      <c r="P547" s="1673"/>
      <c r="Q547" s="1673"/>
      <c r="R547" s="1673"/>
      <c r="S547" s="1673"/>
      <c r="T547" s="1673"/>
      <c r="U547" s="1673"/>
      <c r="V547" s="1673"/>
      <c r="W547" s="1673"/>
      <c r="X547" s="1673"/>
      <c r="Y547" s="1673"/>
      <c r="Z547" s="1673"/>
      <c r="AA547" s="1673"/>
      <c r="AB547" s="1673"/>
      <c r="AC547" s="1673"/>
      <c r="AD547" s="1673"/>
      <c r="AE547" s="1673"/>
      <c r="AF547" s="1673"/>
      <c r="AG547" s="1673"/>
      <c r="AH547" s="162"/>
      <c r="AI547" s="162"/>
      <c r="AJ547" s="162"/>
      <c r="AK547" s="163"/>
      <c r="AL547" s="163"/>
      <c r="AM547" s="163"/>
      <c r="AN547" s="281"/>
      <c r="AP547" s="437"/>
      <c r="AQ547" s="438"/>
      <c r="AR547" s="438"/>
      <c r="AS547" s="438"/>
      <c r="AT547" s="438"/>
      <c r="AU547" s="438"/>
      <c r="AV547" s="439"/>
      <c r="AW547" s="438"/>
      <c r="AX547" s="438"/>
      <c r="AY547" s="439"/>
      <c r="BE547" s="1698"/>
      <c r="BF547" s="1699"/>
      <c r="BG547" s="1699"/>
      <c r="BH547" s="1700"/>
      <c r="BI547" s="1698"/>
      <c r="BJ547" s="1699"/>
      <c r="BK547" s="1699"/>
      <c r="BL547" s="1700"/>
      <c r="BM547" s="1698">
        <f>IF(AND(AND(CH548=1,BI546=0,BE545=0)),0,1)</f>
        <v>0</v>
      </c>
      <c r="BN547" s="1699"/>
      <c r="BO547" s="1699"/>
      <c r="BP547" s="1700"/>
      <c r="BQ547" s="1698"/>
      <c r="BR547" s="1699"/>
      <c r="BS547" s="1699"/>
      <c r="BT547" s="1700"/>
      <c r="BU547" s="1708"/>
      <c r="BV547" s="1709"/>
      <c r="BW547" s="1709"/>
      <c r="BX547" s="1710"/>
      <c r="BY547" s="1708"/>
      <c r="BZ547" s="1709"/>
      <c r="CA547" s="1709"/>
      <c r="CB547" s="1710"/>
      <c r="CC547"/>
      <c r="CG547"/>
      <c r="CH547" s="1708">
        <f>IF(OR(Y610=0,Y610&gt;=0.1),1,0)</f>
        <v>1</v>
      </c>
      <c r="CI547" s="1709"/>
      <c r="CJ547" s="1709"/>
      <c r="CK547" s="1710"/>
    </row>
    <row r="548" spans="1:89" s="4" customFormat="1" ht="12.75" customHeight="1">
      <c r="B548" s="1673"/>
      <c r="C548" s="1673"/>
      <c r="D548" s="1673"/>
      <c r="E548" s="1673"/>
      <c r="F548" s="1673"/>
      <c r="G548" s="1673"/>
      <c r="H548" s="1673"/>
      <c r="I548" s="1673"/>
      <c r="J548" s="1673"/>
      <c r="K548" s="1673"/>
      <c r="L548" s="1673"/>
      <c r="M548" s="1673"/>
      <c r="N548" s="1673"/>
      <c r="O548" s="1673"/>
      <c r="P548" s="1673"/>
      <c r="Q548" s="1673"/>
      <c r="R548" s="1673"/>
      <c r="S548" s="1673"/>
      <c r="T548" s="1673"/>
      <c r="U548" s="1673"/>
      <c r="V548" s="1673"/>
      <c r="W548" s="1673"/>
      <c r="X548" s="1673"/>
      <c r="Y548" s="1673"/>
      <c r="Z548" s="1673"/>
      <c r="AA548" s="1673"/>
      <c r="AB548" s="1673"/>
      <c r="AC548" s="1673"/>
      <c r="AD548" s="1673"/>
      <c r="AE548" s="1673"/>
      <c r="AF548" s="1673"/>
      <c r="AG548" s="1673"/>
      <c r="AH548" s="162"/>
      <c r="AI548" s="162"/>
      <c r="AJ548" s="162"/>
      <c r="AK548" s="163"/>
      <c r="AL548" s="163"/>
      <c r="AM548" s="163"/>
      <c r="AN548" s="281"/>
      <c r="AP548" s="1738">
        <f>SUM(T609:X613)</f>
        <v>12</v>
      </c>
      <c r="AQ548" s="1739"/>
      <c r="AR548" s="1739"/>
      <c r="AS548" s="1739"/>
      <c r="AT548" s="1740"/>
      <c r="AU548" s="438"/>
      <c r="AV548" s="439"/>
      <c r="AW548" s="438"/>
      <c r="AX548" s="438"/>
      <c r="AY548" s="439"/>
      <c r="BE548" s="1698"/>
      <c r="BF548" s="1699"/>
      <c r="BG548" s="1699"/>
      <c r="BH548" s="1700"/>
      <c r="BI548" s="1698"/>
      <c r="BJ548" s="1699"/>
      <c r="BK548" s="1699"/>
      <c r="BL548" s="1700"/>
      <c r="BM548" s="1698"/>
      <c r="BN548" s="1699"/>
      <c r="BO548" s="1699"/>
      <c r="BP548" s="1700"/>
      <c r="BQ548" s="1698">
        <f>IF(AND(AND(AND(CH549=1,BM547=0,BI546=0,BE545=0))),0,1)</f>
        <v>0</v>
      </c>
      <c r="BR548" s="1699"/>
      <c r="BS548" s="1699"/>
      <c r="BT548" s="1700"/>
      <c r="BU548" s="1708"/>
      <c r="BV548" s="1709"/>
      <c r="BW548" s="1709"/>
      <c r="BX548" s="1710"/>
      <c r="BY548" s="1708"/>
      <c r="BZ548" s="1709"/>
      <c r="CA548" s="1709"/>
      <c r="CB548" s="1710"/>
      <c r="CC548"/>
      <c r="CG548"/>
      <c r="CH548" s="1708">
        <f>IF(OR(Y611=0,Y611&gt;=0.1),1,0)</f>
        <v>1</v>
      </c>
      <c r="CI548" s="1709"/>
      <c r="CJ548" s="1709"/>
      <c r="CK548" s="1710"/>
    </row>
    <row r="549" spans="1:89" s="4" customFormat="1" ht="12.75" customHeight="1">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3"/>
      <c r="Z549" s="1673"/>
      <c r="AA549" s="1673"/>
      <c r="AB549" s="1673"/>
      <c r="AC549" s="1673"/>
      <c r="AD549" s="1673"/>
      <c r="AE549" s="1673"/>
      <c r="AF549" s="1673"/>
      <c r="AG549" s="1673"/>
      <c r="AH549" s="162"/>
      <c r="AI549" s="162"/>
      <c r="AJ549" s="162"/>
      <c r="AK549" s="163"/>
      <c r="AL549" s="163"/>
      <c r="AM549" s="163"/>
      <c r="AN549" s="281"/>
      <c r="AP549" s="440"/>
      <c r="AQ549" s="441"/>
      <c r="AR549" s="441"/>
      <c r="AS549" s="441"/>
      <c r="AT549" s="442" t="s">
        <v>607</v>
      </c>
      <c r="AU549" s="1696" t="str">
        <f>IF(AP548&gt;=AU546,"passed","failed")</f>
        <v>passed</v>
      </c>
      <c r="AV549" s="1840"/>
      <c r="AW549" s="1697"/>
      <c r="AX549" s="443"/>
      <c r="AY549" s="444"/>
      <c r="BE549" s="1698"/>
      <c r="BF549" s="1699"/>
      <c r="BG549" s="1699"/>
      <c r="BH549" s="1700"/>
      <c r="BI549" s="1698"/>
      <c r="BJ549" s="1699"/>
      <c r="BK549" s="1699"/>
      <c r="BL549" s="1700"/>
      <c r="BM549" s="1698"/>
      <c r="BN549" s="1699"/>
      <c r="BO549" s="1699"/>
      <c r="BP549" s="1700"/>
      <c r="BQ549" s="1698"/>
      <c r="BR549" s="1699"/>
      <c r="BS549" s="1699"/>
      <c r="BT549" s="1700"/>
      <c r="BU549" s="1698">
        <f>IF(AND(AND(AND(AND(CH550=1,BQ548=0,BM547=0,BI546=0,BE545=0)))),0,1)</f>
        <v>0</v>
      </c>
      <c r="BV549" s="1699"/>
      <c r="BW549" s="1699"/>
      <c r="BX549" s="1700"/>
      <c r="BY549" s="1708"/>
      <c r="BZ549" s="1709"/>
      <c r="CA549" s="1709"/>
      <c r="CB549" s="1710"/>
      <c r="CC549"/>
      <c r="CD549"/>
      <c r="CE549"/>
      <c r="CF549"/>
      <c r="CG549"/>
      <c r="CH549" s="1708">
        <f>IF(OR(Y612=0,Y612&gt;=0.1),1,0)</f>
        <v>1</v>
      </c>
      <c r="CI549" s="1709"/>
      <c r="CJ549" s="1709"/>
      <c r="CK549" s="1710"/>
    </row>
    <row r="550" spans="1:89" s="4" customFormat="1" ht="13.7" customHeight="1">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3"/>
      <c r="Z550" s="1673"/>
      <c r="AA550" s="1673"/>
      <c r="AB550" s="1673"/>
      <c r="AC550" s="1673"/>
      <c r="AD550" s="1673"/>
      <c r="AE550" s="1673"/>
      <c r="AF550" s="1673"/>
      <c r="AG550" s="1673"/>
      <c r="AH550" s="162"/>
      <c r="AI550" s="162"/>
      <c r="AJ550" s="162"/>
      <c r="AK550" s="163"/>
      <c r="AL550" s="163"/>
      <c r="AM550" s="163"/>
      <c r="AN550" s="281"/>
      <c r="BE550" s="1698">
        <f>SUM(BE545:BH549)</f>
        <v>0</v>
      </c>
      <c r="BF550" s="1699"/>
      <c r="BG550" s="1699"/>
      <c r="BH550" s="1700"/>
      <c r="BI550" s="1698">
        <f>SUM(BI545:BL549)</f>
        <v>0</v>
      </c>
      <c r="BJ550" s="1699"/>
      <c r="BK550" s="1699"/>
      <c r="BL550" s="1700"/>
      <c r="BM550" s="1698">
        <f>SUM(BM545:BP549)</f>
        <v>0</v>
      </c>
      <c r="BN550" s="1699"/>
      <c r="BO550" s="1699"/>
      <c r="BP550" s="1700"/>
      <c r="BQ550" s="1698">
        <f>SUM(BQ545:BT549)</f>
        <v>0</v>
      </c>
      <c r="BR550" s="1699"/>
      <c r="BS550" s="1699"/>
      <c r="BT550" s="1700"/>
      <c r="BU550" s="1698">
        <f>SUM(BU545:BX549)</f>
        <v>0</v>
      </c>
      <c r="BV550" s="1699"/>
      <c r="BW550" s="1699"/>
      <c r="BX550" s="1700"/>
      <c r="BY550" s="1698">
        <f>SUM(BY545:CB549)</f>
        <v>0</v>
      </c>
      <c r="BZ550" s="1699"/>
      <c r="CA550" s="1699"/>
      <c r="CB550" s="1700"/>
      <c r="CC550" s="1708">
        <f>IF(AND(CH546=1,T609&gt;0),0,SUM(BE550:CB550))</f>
        <v>0</v>
      </c>
      <c r="CD550" s="1709"/>
      <c r="CE550" s="1709"/>
      <c r="CF550" s="1710"/>
      <c r="CG550"/>
      <c r="CH550" s="1708">
        <f>IF(OR(Y613=0,Y613&gt;=0.1),1,0)</f>
        <v>1</v>
      </c>
      <c r="CI550" s="1709"/>
      <c r="CJ550" s="1709"/>
      <c r="CK550" s="1710"/>
    </row>
    <row r="551" spans="1:89" s="4" customFormat="1" ht="12.4" customHeight="1">
      <c r="B551" s="1844" t="s">
        <v>1500</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844" t="s">
        <v>1763</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607</v>
      </c>
      <c r="AU554" s="151"/>
      <c r="AV554" s="1698" t="str">
        <f>IF(BJ590&gt;0,"failed","passed")</f>
        <v>passed</v>
      </c>
      <c r="AW554" s="1699"/>
      <c r="AX554" s="1699"/>
      <c r="AY554" s="1700"/>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1501</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1762</v>
      </c>
      <c r="R559" s="1684"/>
      <c r="S559" s="1756" t="s">
        <v>204</v>
      </c>
      <c r="T559" s="1756"/>
      <c r="U559" s="1683">
        <v>0.5</v>
      </c>
      <c r="V559" s="1684"/>
      <c r="W559" s="1683">
        <v>0.45</v>
      </c>
      <c r="X559" s="1684"/>
      <c r="Y559" s="1683">
        <v>0.4</v>
      </c>
      <c r="Z559" s="1684"/>
      <c r="AA559" s="1683">
        <v>0.35</v>
      </c>
      <c r="AB559" s="1684"/>
      <c r="AC559" s="1838">
        <v>0.3</v>
      </c>
      <c r="AD559" s="1839"/>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79"/>
      <c r="R560" s="1845"/>
      <c r="S560" s="1853"/>
      <c r="T560" s="1853"/>
      <c r="U560" s="1845"/>
      <c r="V560" s="1845"/>
      <c r="W560" s="1845"/>
      <c r="X560" s="1845"/>
      <c r="Y560" s="1845"/>
      <c r="Z560" s="1845"/>
      <c r="AA560" s="1848"/>
      <c r="AB560" s="1848"/>
      <c r="AC560" s="1845"/>
      <c r="AD560" s="1845"/>
      <c r="AE560" s="1836"/>
      <c r="AF560" s="1837"/>
      <c r="AN560" s="281"/>
      <c r="AP560" s="144" t="s">
        <v>714</v>
      </c>
      <c r="AQ560" s="9"/>
      <c r="AR560" s="9"/>
      <c r="AS560" s="9"/>
      <c r="AT560" s="1708" t="str">
        <f>IF(OR(AV554="passed",BD558="passed"),"passed","failed")</f>
        <v>passed</v>
      </c>
      <c r="AU560" s="1709"/>
      <c r="AV560" s="1709"/>
      <c r="AW560" s="1709"/>
      <c r="AX560" s="1710"/>
    </row>
    <row r="561" spans="1:96" s="4" customFormat="1" ht="12.75" customHeight="1">
      <c r="B561" s="63"/>
      <c r="I561" s="220"/>
      <c r="J561" s="162"/>
      <c r="N561" s="5"/>
      <c r="O561" s="1680"/>
      <c r="P561" s="1681"/>
      <c r="Q561" s="1852"/>
      <c r="R561" s="1688"/>
      <c r="S561" s="1688"/>
      <c r="T561" s="1688"/>
      <c r="U561" s="1688"/>
      <c r="V561" s="1688"/>
      <c r="W561" s="1688"/>
      <c r="X561" s="1688"/>
      <c r="Y561" s="1654"/>
      <c r="Z561" s="1654"/>
      <c r="AA561" s="1688"/>
      <c r="AB561" s="1688"/>
      <c r="AC561" s="1654"/>
      <c r="AD561" s="1654"/>
      <c r="AE561" s="1731"/>
      <c r="AF561" s="1732"/>
      <c r="AN561" s="281"/>
      <c r="AP561"/>
      <c r="AQ561"/>
      <c r="AR561"/>
      <c r="AS561"/>
      <c r="AT561"/>
      <c r="AU561"/>
      <c r="AV561"/>
      <c r="AW561"/>
      <c r="AX561"/>
      <c r="AY561"/>
    </row>
    <row r="562" spans="1:96" s="4" customFormat="1" ht="12.75" customHeight="1">
      <c r="B562" s="63"/>
      <c r="I562" s="220"/>
      <c r="J562" s="162"/>
      <c r="N562" s="5"/>
      <c r="O562" s="1680"/>
      <c r="P562" s="1681"/>
      <c r="Q562" s="1852"/>
      <c r="R562" s="1688"/>
      <c r="S562" s="1688"/>
      <c r="T562" s="1688"/>
      <c r="U562" s="1688"/>
      <c r="V562" s="1688"/>
      <c r="W562" s="1688"/>
      <c r="X562" s="1688"/>
      <c r="Y562" s="1688"/>
      <c r="Z562" s="1688"/>
      <c r="AA562" s="1654"/>
      <c r="AB562" s="1654"/>
      <c r="AC562" s="1688"/>
      <c r="AD562" s="1688"/>
      <c r="AE562" s="1733"/>
      <c r="AF562" s="1734"/>
      <c r="AN562" s="281"/>
      <c r="AP562" s="153" t="s">
        <v>608</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80"/>
      <c r="P563" s="1681"/>
      <c r="Q563" s="1852"/>
      <c r="R563" s="1688"/>
      <c r="S563" s="1688"/>
      <c r="T563" s="1688"/>
      <c r="U563" s="1688"/>
      <c r="V563" s="1688"/>
      <c r="W563" s="1688"/>
      <c r="X563" s="1688"/>
      <c r="Y563" s="1654"/>
      <c r="Z563" s="1654"/>
      <c r="AA563" s="1688"/>
      <c r="AB563" s="1688"/>
      <c r="AC563" s="1654"/>
      <c r="AD563" s="1654"/>
      <c r="AE563" s="1731"/>
      <c r="AF563" s="1732"/>
      <c r="AN563" s="281"/>
    </row>
    <row r="564" spans="1:96" s="4" customFormat="1" ht="12.75" customHeight="1">
      <c r="B564" s="63"/>
      <c r="I564" s="220"/>
      <c r="J564" s="162"/>
      <c r="N564" s="5"/>
      <c r="O564" s="1680"/>
      <c r="P564" s="1681"/>
      <c r="Q564" s="1852"/>
      <c r="R564" s="1688"/>
      <c r="S564" s="1688"/>
      <c r="T564" s="1688"/>
      <c r="U564" s="1688"/>
      <c r="V564" s="1688"/>
      <c r="W564" s="1654"/>
      <c r="X564" s="1654"/>
      <c r="Y564" s="1688"/>
      <c r="Z564" s="1688"/>
      <c r="AA564" s="1654"/>
      <c r="AB564" s="1654"/>
      <c r="AC564" s="1688"/>
      <c r="AD564" s="1688"/>
      <c r="AE564" s="1733"/>
      <c r="AF564" s="1734"/>
      <c r="AN564" s="281"/>
    </row>
    <row r="565" spans="1:96" s="4" customFormat="1" ht="12.75" customHeight="1">
      <c r="B565" s="63"/>
      <c r="I565" s="220"/>
      <c r="J565" s="162"/>
      <c r="N565" s="5"/>
      <c r="O565" s="1680"/>
      <c r="P565" s="1681"/>
      <c r="Q565" s="1852"/>
      <c r="R565" s="1688"/>
      <c r="S565" s="1688"/>
      <c r="T565" s="1688"/>
      <c r="U565" s="1688"/>
      <c r="V565" s="1688"/>
      <c r="W565" s="1688"/>
      <c r="X565" s="1688"/>
      <c r="Y565" s="1654"/>
      <c r="Z565" s="1654"/>
      <c r="AA565" s="1688"/>
      <c r="AB565" s="1688"/>
      <c r="AC565" s="1654"/>
      <c r="AD565" s="1654"/>
      <c r="AE565" s="1731"/>
      <c r="AF565" s="1732"/>
      <c r="AN565" s="281"/>
      <c r="AU565" s="21"/>
      <c r="AV565" s="21"/>
      <c r="AW565" s="8"/>
      <c r="AX565" s="9"/>
      <c r="AY565" s="9"/>
      <c r="AZ565" s="60" t="s">
        <v>1127</v>
      </c>
      <c r="BA565" s="1821" t="s">
        <v>715</v>
      </c>
      <c r="BB565" s="1822"/>
      <c r="BC565" s="1822"/>
      <c r="BD565" s="1822"/>
      <c r="BE565" s="1823"/>
      <c r="BF565" s="1849">
        <f>SUM(O609:S613)</f>
        <v>56</v>
      </c>
      <c r="BG565" s="1850"/>
      <c r="BH565" s="1850"/>
      <c r="BI565" s="1850"/>
      <c r="BJ565" s="1851"/>
      <c r="BK565" s="1658">
        <f>SUM(T609:X613)</f>
        <v>12</v>
      </c>
      <c r="BL565" s="1659"/>
      <c r="BM565" s="1659"/>
      <c r="BN565" s="1659"/>
      <c r="BO565" s="1660"/>
    </row>
    <row r="566" spans="1:96" s="4" customFormat="1" ht="12.75" customHeight="1">
      <c r="B566" s="35"/>
      <c r="I566" s="1514" t="s">
        <v>1499</v>
      </c>
      <c r="J566" s="1515"/>
      <c r="K566" s="1515"/>
      <c r="L566" s="1515"/>
      <c r="M566" s="1515"/>
      <c r="N566" s="1516"/>
      <c r="O566" s="1680">
        <v>0.5</v>
      </c>
      <c r="P566" s="1681"/>
      <c r="Q566" s="1892"/>
      <c r="R566" s="1730"/>
      <c r="S566" s="1688"/>
      <c r="T566" s="1688"/>
      <c r="U566" s="1873" t="s">
        <v>1503</v>
      </c>
      <c r="V566" s="1873"/>
      <c r="W566" s="1866">
        <v>37.5</v>
      </c>
      <c r="X566" s="1866"/>
      <c r="Y566" s="1730"/>
      <c r="Z566" s="1730"/>
      <c r="AA566" s="1866"/>
      <c r="AB566" s="1866"/>
      <c r="AC566" s="1730"/>
      <c r="AD566" s="1730"/>
      <c r="AE566" s="1846"/>
      <c r="AF566" s="1847"/>
      <c r="AN566" s="281"/>
      <c r="CL566"/>
      <c r="CM566"/>
    </row>
    <row r="567" spans="1:96" s="4" customFormat="1" ht="12.75" customHeight="1">
      <c r="B567" s="120"/>
      <c r="C567" s="61"/>
      <c r="I567" s="1514"/>
      <c r="J567" s="1515"/>
      <c r="K567" s="1515"/>
      <c r="L567" s="1515"/>
      <c r="M567" s="1515"/>
      <c r="N567" s="1516"/>
      <c r="O567" s="1680">
        <v>0.45</v>
      </c>
      <c r="P567" s="1681"/>
      <c r="Q567" s="1852"/>
      <c r="R567" s="1688"/>
      <c r="S567" s="1688"/>
      <c r="T567" s="1688"/>
      <c r="U567" s="1653" t="s">
        <v>130</v>
      </c>
      <c r="V567" s="1653"/>
      <c r="W567" s="1654">
        <v>33.799999999999997</v>
      </c>
      <c r="X567" s="1654"/>
      <c r="Y567" s="1654"/>
      <c r="Z567" s="1654"/>
      <c r="AA567" s="1688"/>
      <c r="AB567" s="1688"/>
      <c r="AC567" s="1654"/>
      <c r="AD567" s="1654"/>
      <c r="AE567" s="1731"/>
      <c r="AF567" s="1732"/>
      <c r="AN567" s="281"/>
      <c r="CL567"/>
      <c r="CM567"/>
    </row>
    <row r="568" spans="1:96" s="4" customFormat="1" ht="12.75" customHeight="1">
      <c r="B568" s="5"/>
      <c r="C568" s="5"/>
      <c r="D568" s="5"/>
      <c r="E568" s="5"/>
      <c r="I568" s="1514"/>
      <c r="J568" s="1515"/>
      <c r="K568" s="1515"/>
      <c r="L568" s="1515"/>
      <c r="M568" s="1515"/>
      <c r="N568" s="1516"/>
      <c r="O568" s="1680">
        <v>0.4</v>
      </c>
      <c r="P568" s="1681"/>
      <c r="Q568" s="1852"/>
      <c r="R568" s="1688"/>
      <c r="S568" s="1653" t="s">
        <v>1502</v>
      </c>
      <c r="T568" s="1653"/>
      <c r="U568" s="1654">
        <v>20</v>
      </c>
      <c r="V568" s="1654"/>
      <c r="W568" s="1654">
        <v>30</v>
      </c>
      <c r="X568" s="1654"/>
      <c r="Y568" s="1654"/>
      <c r="Z568" s="1654"/>
      <c r="AA568" s="1654"/>
      <c r="AB568" s="1654"/>
      <c r="AC568" s="1654"/>
      <c r="AD568" s="1654"/>
      <c r="AE568" s="1731"/>
      <c r="AF568" s="1732"/>
      <c r="AN568" s="281"/>
      <c r="AP568" s="1757" t="s">
        <v>205</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830">
        <f>BF565</f>
        <v>56</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80">
        <v>0.35</v>
      </c>
      <c r="P569" s="1681"/>
      <c r="Q569" s="1852"/>
      <c r="R569" s="1688"/>
      <c r="S569" s="1653" t="s">
        <v>1764</v>
      </c>
      <c r="T569" s="1653"/>
      <c r="U569" s="1654">
        <v>17.5</v>
      </c>
      <c r="V569" s="1654"/>
      <c r="W569" s="1654">
        <v>26.3</v>
      </c>
      <c r="X569" s="1654"/>
      <c r="Y569" s="1654">
        <v>35</v>
      </c>
      <c r="Z569" s="1654"/>
      <c r="AA569" s="1654"/>
      <c r="AB569" s="1654"/>
      <c r="AC569" s="1654">
        <v>50</v>
      </c>
      <c r="AD569" s="1654"/>
      <c r="AE569" s="1731"/>
      <c r="AF569" s="1732"/>
      <c r="AN569" s="28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80">
        <v>0.3</v>
      </c>
      <c r="P570" s="1681"/>
      <c r="Q570" s="1852"/>
      <c r="R570" s="1688"/>
      <c r="S570" s="1653" t="s">
        <v>1765</v>
      </c>
      <c r="T570" s="1653"/>
      <c r="U570" s="1654">
        <v>15</v>
      </c>
      <c r="V570" s="1654"/>
      <c r="W570" s="1654">
        <v>22.5</v>
      </c>
      <c r="X570" s="1654"/>
      <c r="Y570" s="1654">
        <v>30</v>
      </c>
      <c r="Z570" s="1654"/>
      <c r="AA570" s="1654">
        <v>37.5</v>
      </c>
      <c r="AB570" s="1654"/>
      <c r="AC570" s="1654">
        <v>45</v>
      </c>
      <c r="AD570" s="1654"/>
      <c r="AE570" s="1731"/>
      <c r="AF570" s="173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0">
        <v>5</v>
      </c>
      <c r="BK570" s="1141"/>
      <c r="BL570" s="1141"/>
      <c r="BM570" s="1141"/>
      <c r="BN570" s="1142"/>
      <c r="BO570" s="1140">
        <v>4</v>
      </c>
      <c r="BP570" s="1141"/>
      <c r="BQ570" s="1141"/>
      <c r="BR570" s="1141"/>
      <c r="BS570" s="1142"/>
      <c r="BT570" s="1140">
        <v>3</v>
      </c>
      <c r="BU570" s="1141"/>
      <c r="BV570" s="1141"/>
      <c r="BW570" s="1141"/>
      <c r="BX570" s="1142"/>
      <c r="BY570" s="1140">
        <v>2</v>
      </c>
      <c r="BZ570" s="1141"/>
      <c r="CA570" s="1141"/>
      <c r="CB570" s="1141"/>
      <c r="CC570" s="1142"/>
      <c r="CD570" s="1140">
        <v>1</v>
      </c>
      <c r="CE570" s="1141"/>
      <c r="CF570" s="1141"/>
      <c r="CG570" s="1141"/>
      <c r="CH570" s="1142"/>
      <c r="CI570" s="1140">
        <v>0</v>
      </c>
      <c r="CJ570" s="1141"/>
      <c r="CK570" s="1141"/>
      <c r="CL570" s="1141"/>
      <c r="CM570" s="1142"/>
      <c r="CN570" s="21"/>
      <c r="CO570" s="21"/>
      <c r="CP570" s="21"/>
      <c r="CQ570" s="21"/>
      <c r="CR570" s="21"/>
    </row>
    <row r="571" spans="1:96" s="4" customFormat="1" ht="12.75" customHeight="1">
      <c r="B571" s="5"/>
      <c r="C571" s="5"/>
      <c r="D571" s="5"/>
      <c r="E571" s="5"/>
      <c r="I571" s="1514"/>
      <c r="J571" s="1515"/>
      <c r="K571" s="1515"/>
      <c r="L571" s="1515"/>
      <c r="M571" s="1515"/>
      <c r="N571" s="1516"/>
      <c r="O571" s="1680">
        <v>0.25</v>
      </c>
      <c r="P571" s="1681"/>
      <c r="Q571" s="1852"/>
      <c r="R571" s="1688"/>
      <c r="S571" s="1653" t="s">
        <v>1766</v>
      </c>
      <c r="T571" s="1653"/>
      <c r="U571" s="1654">
        <v>12.5</v>
      </c>
      <c r="V571" s="1654"/>
      <c r="W571" s="1654">
        <v>18.8</v>
      </c>
      <c r="X571" s="1654"/>
      <c r="Y571" s="1654">
        <v>25</v>
      </c>
      <c r="Z571" s="1654"/>
      <c r="AA571" s="1654">
        <v>31.3</v>
      </c>
      <c r="AB571" s="1654"/>
      <c r="AC571" s="1654">
        <v>37.5</v>
      </c>
      <c r="AD571" s="1654"/>
      <c r="AE571" s="1731">
        <v>50</v>
      </c>
      <c r="AF571" s="1732"/>
      <c r="AN571" s="281"/>
      <c r="AP571" s="1826" t="str">
        <f t="shared" ref="AP571:AP577" si="0">J608</f>
        <v>5 BR</v>
      </c>
      <c r="AQ571" s="1827"/>
      <c r="AR571" s="1827"/>
      <c r="AS571" s="1827"/>
      <c r="AT571" s="1828"/>
      <c r="AU571" s="1144">
        <f t="shared" ref="AU571:AU576" si="1">O608</f>
        <v>0</v>
      </c>
      <c r="AV571" s="1145"/>
      <c r="AW571" s="1145"/>
      <c r="AX571" s="1145"/>
      <c r="AY571" s="1146"/>
      <c r="AZ571" s="1144">
        <f t="shared" ref="AZ571:AZ576" si="2">T608</f>
        <v>0</v>
      </c>
      <c r="BA571" s="1145"/>
      <c r="BB571" s="1145"/>
      <c r="BC571" s="1145"/>
      <c r="BD571" s="1146"/>
      <c r="BE571" s="1818">
        <f t="shared" ref="BE571:BE576" si="3">Y608</f>
        <v>0</v>
      </c>
      <c r="BF571" s="1819"/>
      <c r="BG571" s="1819"/>
      <c r="BH571" s="1819"/>
      <c r="BI571" s="1820"/>
      <c r="BJ571" s="1140">
        <f>IF(OR(AP581=0,BE571&gt;=0.1),0,1)</f>
        <v>0</v>
      </c>
      <c r="BK571" s="1141"/>
      <c r="BL571" s="1141"/>
      <c r="BM571" s="1141"/>
      <c r="BN571" s="1142"/>
      <c r="BO571" s="1140"/>
      <c r="BP571" s="1141"/>
      <c r="BQ571" s="1141"/>
      <c r="BR571" s="1141"/>
      <c r="BS571" s="1142"/>
      <c r="BT571" s="1140"/>
      <c r="BU571" s="1141"/>
      <c r="BV571" s="1141"/>
      <c r="BW571" s="1141"/>
      <c r="BX571" s="1142"/>
      <c r="BY571" s="1140"/>
      <c r="BZ571" s="1141"/>
      <c r="CA571" s="1141"/>
      <c r="CB571" s="1141"/>
      <c r="CC571" s="1142"/>
      <c r="CD571" s="1140"/>
      <c r="CE571" s="1141"/>
      <c r="CF571" s="1141"/>
      <c r="CG571" s="1141"/>
      <c r="CH571" s="1142"/>
      <c r="CI571" s="1140"/>
      <c r="CJ571" s="1141"/>
      <c r="CK571" s="1141"/>
      <c r="CL571" s="1141"/>
      <c r="CM571" s="1142"/>
      <c r="CN571" s="21"/>
      <c r="CO571" s="21"/>
      <c r="CP571" s="21"/>
      <c r="CQ571" s="21"/>
      <c r="CR571" s="21"/>
    </row>
    <row r="572" spans="1:96" s="4" customFormat="1" ht="12.75" customHeight="1">
      <c r="A572" s="120"/>
      <c r="B572" s="5"/>
      <c r="C572" s="5"/>
      <c r="D572" s="5"/>
      <c r="E572" s="5"/>
      <c r="I572" s="1514"/>
      <c r="J572" s="1515"/>
      <c r="K572" s="1515"/>
      <c r="L572" s="1515"/>
      <c r="M572" s="1515"/>
      <c r="N572" s="1516"/>
      <c r="O572" s="1680">
        <v>0.2</v>
      </c>
      <c r="P572" s="1681"/>
      <c r="Q572" s="1852"/>
      <c r="R572" s="1688"/>
      <c r="S572" s="1878" t="s">
        <v>1769</v>
      </c>
      <c r="T572" s="1878"/>
      <c r="U572" s="1654">
        <v>10</v>
      </c>
      <c r="V572" s="1654"/>
      <c r="W572" s="1654">
        <v>15</v>
      </c>
      <c r="X572" s="1654"/>
      <c r="Y572" s="1654">
        <v>20</v>
      </c>
      <c r="Z572" s="1654"/>
      <c r="AA572" s="1654">
        <v>25</v>
      </c>
      <c r="AB572" s="1654"/>
      <c r="AC572" s="1654">
        <v>30</v>
      </c>
      <c r="AD572" s="1654"/>
      <c r="AE572" s="1731">
        <v>40</v>
      </c>
      <c r="AF572" s="1732"/>
      <c r="AN572" s="281"/>
      <c r="AP572" s="1826" t="str">
        <f t="shared" si="0"/>
        <v>4 BR</v>
      </c>
      <c r="AQ572" s="1827"/>
      <c r="AR572" s="1827"/>
      <c r="AS572" s="1827"/>
      <c r="AT572" s="1828"/>
      <c r="AU572" s="1144">
        <f t="shared" si="1"/>
        <v>0</v>
      </c>
      <c r="AV572" s="1145"/>
      <c r="AW572" s="1145"/>
      <c r="AX572" s="1145"/>
      <c r="AY572" s="1146"/>
      <c r="AZ572" s="1144">
        <f t="shared" si="2"/>
        <v>0</v>
      </c>
      <c r="BA572" s="1145"/>
      <c r="BB572" s="1145"/>
      <c r="BC572" s="1145"/>
      <c r="BD572" s="1146"/>
      <c r="BE572" s="1818">
        <f t="shared" si="3"/>
        <v>0</v>
      </c>
      <c r="BF572" s="1819"/>
      <c r="BG572" s="1819"/>
      <c r="BH572" s="1819"/>
      <c r="BI572" s="1820"/>
      <c r="BJ572" s="1140"/>
      <c r="BK572" s="1141"/>
      <c r="BL572" s="1141"/>
      <c r="BM572" s="1141"/>
      <c r="BN572" s="1142"/>
      <c r="BO572" s="1140">
        <f>IF(AND(AND(AZ571=0,BJ571=0,AP582=1)),1,0)</f>
        <v>0</v>
      </c>
      <c r="BP572" s="1141"/>
      <c r="BQ572" s="1141"/>
      <c r="BR572" s="1141"/>
      <c r="BS572" s="1142"/>
      <c r="BT572" s="1140"/>
      <c r="BU572" s="1141"/>
      <c r="BV572" s="1141"/>
      <c r="BW572" s="1141"/>
      <c r="BX572" s="1142"/>
      <c r="BY572" s="1140"/>
      <c r="BZ572" s="1141"/>
      <c r="CA572" s="1141"/>
      <c r="CB572" s="1141"/>
      <c r="CC572" s="1142"/>
      <c r="CD572" s="1140"/>
      <c r="CE572" s="1141"/>
      <c r="CF572" s="1141"/>
      <c r="CG572" s="1141"/>
      <c r="CH572" s="1142"/>
      <c r="CI572" s="1140"/>
      <c r="CJ572" s="1141"/>
      <c r="CK572" s="1141"/>
      <c r="CL572" s="1141"/>
      <c r="CM572" s="1142"/>
      <c r="CN572" s="21"/>
      <c r="CO572" s="21"/>
      <c r="CP572" s="21"/>
      <c r="CQ572" s="21"/>
      <c r="CR572" s="21"/>
    </row>
    <row r="573" spans="1:96" s="4" customFormat="1" ht="12.75" customHeight="1">
      <c r="A573" s="120"/>
      <c r="B573" s="5"/>
      <c r="C573" s="5"/>
      <c r="D573" s="5"/>
      <c r="E573" s="5"/>
      <c r="I573" s="1514"/>
      <c r="J573" s="1515"/>
      <c r="K573" s="1515"/>
      <c r="L573" s="1515"/>
      <c r="M573" s="1515"/>
      <c r="N573" s="1516"/>
      <c r="O573" s="1680">
        <v>0.15</v>
      </c>
      <c r="P573" s="1681"/>
      <c r="Q573" s="1852"/>
      <c r="R573" s="1688"/>
      <c r="S573" s="1653" t="s">
        <v>1767</v>
      </c>
      <c r="T573" s="1653"/>
      <c r="U573" s="1654">
        <v>7.5</v>
      </c>
      <c r="V573" s="1654"/>
      <c r="W573" s="1654">
        <v>11.3</v>
      </c>
      <c r="X573" s="1654"/>
      <c r="Y573" s="1654">
        <v>15</v>
      </c>
      <c r="Z573" s="1654"/>
      <c r="AA573" s="1654">
        <v>18.8</v>
      </c>
      <c r="AB573" s="1654"/>
      <c r="AC573" s="1654">
        <v>22.5</v>
      </c>
      <c r="AD573" s="1654"/>
      <c r="AE573" s="1731">
        <v>30</v>
      </c>
      <c r="AF573" s="1732"/>
      <c r="AN573" s="281"/>
      <c r="AP573" s="1826" t="str">
        <f t="shared" si="0"/>
        <v>3 BR</v>
      </c>
      <c r="AQ573" s="1827"/>
      <c r="AR573" s="1827"/>
      <c r="AS573" s="1827"/>
      <c r="AT573" s="1828"/>
      <c r="AU573" s="1144">
        <f t="shared" si="1"/>
        <v>0</v>
      </c>
      <c r="AV573" s="1145"/>
      <c r="AW573" s="1145"/>
      <c r="AX573" s="1145"/>
      <c r="AY573" s="1146"/>
      <c r="AZ573" s="1144">
        <f t="shared" si="2"/>
        <v>0</v>
      </c>
      <c r="BA573" s="1145"/>
      <c r="BB573" s="1145"/>
      <c r="BC573" s="1145"/>
      <c r="BD573" s="1146"/>
      <c r="BE573" s="1818">
        <f t="shared" si="3"/>
        <v>0</v>
      </c>
      <c r="BF573" s="1819"/>
      <c r="BG573" s="1819"/>
      <c r="BH573" s="1819"/>
      <c r="BI573" s="1820"/>
      <c r="BJ573" s="1140"/>
      <c r="BK573" s="1141"/>
      <c r="BL573" s="1141"/>
      <c r="BM573" s="1141"/>
      <c r="BN573" s="1142"/>
      <c r="BO573" s="1140"/>
      <c r="BP573" s="1141"/>
      <c r="BQ573" s="1141"/>
      <c r="BR573" s="1141"/>
      <c r="BS573" s="1142"/>
      <c r="BT573" s="1140">
        <f>IF(AND(AND(AZ571+AZ572=0,BJ571+BO572=0,AP583=1)),1,0)</f>
        <v>0</v>
      </c>
      <c r="BU573" s="1141"/>
      <c r="BV573" s="1141"/>
      <c r="BW573" s="1141"/>
      <c r="BX573" s="1142"/>
      <c r="BY573" s="1140"/>
      <c r="BZ573" s="1141"/>
      <c r="CA573" s="1141"/>
      <c r="CB573" s="1141"/>
      <c r="CC573" s="1142"/>
      <c r="CD573" s="1140"/>
      <c r="CE573" s="1141"/>
      <c r="CF573" s="1141"/>
      <c r="CG573" s="1141"/>
      <c r="CH573" s="1142"/>
      <c r="CI573" s="1140"/>
      <c r="CJ573" s="1141"/>
      <c r="CK573" s="1141"/>
      <c r="CL573" s="1141"/>
      <c r="CM573" s="1142"/>
      <c r="CN573" s="21"/>
      <c r="CO573" s="21"/>
      <c r="CP573" s="21"/>
      <c r="CQ573" s="21"/>
      <c r="CR573" s="21"/>
    </row>
    <row r="574" spans="1:96" s="4" customFormat="1" ht="12.75" customHeight="1" thickBot="1">
      <c r="B574" s="5"/>
      <c r="C574" s="5"/>
      <c r="D574" s="5"/>
      <c r="E574" s="5"/>
      <c r="I574" s="1517"/>
      <c r="J574" s="1518"/>
      <c r="K574" s="1518"/>
      <c r="L574" s="1518"/>
      <c r="M574" s="1518"/>
      <c r="N574" s="1519"/>
      <c r="O574" s="1680">
        <v>0.1</v>
      </c>
      <c r="P574" s="1681"/>
      <c r="Q574" s="1876"/>
      <c r="R574" s="1877"/>
      <c r="S574" s="1653" t="s">
        <v>1768</v>
      </c>
      <c r="T574" s="1653"/>
      <c r="U574" s="1741">
        <v>5</v>
      </c>
      <c r="V574" s="1741"/>
      <c r="W574" s="1741">
        <v>7.5</v>
      </c>
      <c r="X574" s="1741"/>
      <c r="Y574" s="1741">
        <v>10</v>
      </c>
      <c r="Z574" s="1741"/>
      <c r="AA574" s="1741">
        <v>12.5</v>
      </c>
      <c r="AB574" s="1741"/>
      <c r="AC574" s="1741">
        <v>15</v>
      </c>
      <c r="AD574" s="1741"/>
      <c r="AE574" s="1671">
        <v>20</v>
      </c>
      <c r="AF574" s="1672"/>
      <c r="AK574" s="167"/>
      <c r="AL574" s="167"/>
      <c r="AM574" s="5"/>
      <c r="AN574" s="281"/>
      <c r="AP574" s="1826" t="str">
        <f t="shared" si="0"/>
        <v>2 BR</v>
      </c>
      <c r="AQ574" s="1827"/>
      <c r="AR574" s="1827"/>
      <c r="AS574" s="1827"/>
      <c r="AT574" s="1828"/>
      <c r="AU574" s="1144">
        <f t="shared" si="1"/>
        <v>0</v>
      </c>
      <c r="AV574" s="1145"/>
      <c r="AW574" s="1145"/>
      <c r="AX574" s="1145"/>
      <c r="AY574" s="1146"/>
      <c r="AZ574" s="1144">
        <f t="shared" si="2"/>
        <v>0</v>
      </c>
      <c r="BA574" s="1145"/>
      <c r="BB574" s="1145"/>
      <c r="BC574" s="1145"/>
      <c r="BD574" s="1146"/>
      <c r="BE574" s="1818">
        <f t="shared" si="3"/>
        <v>0</v>
      </c>
      <c r="BF574" s="1819"/>
      <c r="BG574" s="1819"/>
      <c r="BH574" s="1819"/>
      <c r="BI574" s="1820"/>
      <c r="BJ574" s="1140"/>
      <c r="BK574" s="1141"/>
      <c r="BL574" s="1141"/>
      <c r="BM574" s="1141"/>
      <c r="BN574" s="1142"/>
      <c r="BO574" s="1140"/>
      <c r="BP574" s="1141"/>
      <c r="BQ574" s="1141"/>
      <c r="BR574" s="1141"/>
      <c r="BS574" s="1142"/>
      <c r="BT574" s="1140"/>
      <c r="BU574" s="1141"/>
      <c r="BV574" s="1141"/>
      <c r="BW574" s="1141"/>
      <c r="BX574" s="1142"/>
      <c r="BY574" s="1140">
        <f>IF(AND(AND(AZ571+AZ572+AZ573=0,BO572+BT573+BJ571=0,AP584=1)),1,0)</f>
        <v>0</v>
      </c>
      <c r="BZ574" s="1141"/>
      <c r="CA574" s="1141"/>
      <c r="CB574" s="1141"/>
      <c r="CC574" s="1142"/>
      <c r="CD574" s="1140"/>
      <c r="CE574" s="1141"/>
      <c r="CF574" s="1141"/>
      <c r="CG574" s="1141"/>
      <c r="CH574" s="1142"/>
      <c r="CI574" s="1140"/>
      <c r="CJ574" s="1141"/>
      <c r="CK574" s="1141"/>
      <c r="CL574" s="1141"/>
      <c r="CM574" s="1142"/>
      <c r="CN574" s="21"/>
      <c r="CO574" s="21"/>
      <c r="CP574" s="21"/>
      <c r="CQ574" s="21"/>
      <c r="CR574" s="21"/>
    </row>
    <row r="575" spans="1:96" s="4" customFormat="1" ht="12.75" customHeight="1">
      <c r="B575" s="5"/>
      <c r="C575" s="5"/>
      <c r="D575" s="5"/>
      <c r="E575" s="1554" t="s">
        <v>940</v>
      </c>
      <c r="F575" s="1550"/>
      <c r="G575" s="1550"/>
      <c r="H575" s="1550"/>
      <c r="I575" s="1550"/>
      <c r="J575" s="1550"/>
      <c r="K575" s="1550"/>
      <c r="L575" s="1550"/>
      <c r="M575" s="1550"/>
      <c r="N575" s="1550"/>
      <c r="O575" s="1550"/>
      <c r="P575" s="1550"/>
      <c r="Q575" s="1550"/>
      <c r="R575" s="1550"/>
      <c r="S575" s="1550"/>
      <c r="T575" s="1550"/>
      <c r="U575" s="1550"/>
      <c r="V575" s="1550"/>
      <c r="W575" s="1550"/>
      <c r="X575" s="1550"/>
      <c r="Y575" s="1550"/>
      <c r="Z575" s="1550"/>
      <c r="AA575" s="1550"/>
      <c r="AB575" s="1550"/>
      <c r="AC575" s="1550"/>
      <c r="AD575" s="1550"/>
      <c r="AE575" s="1550"/>
      <c r="AF575" s="1550"/>
      <c r="AG575" s="1550"/>
      <c r="AH575" s="1551"/>
      <c r="AK575" s="167"/>
      <c r="AL575" s="167"/>
      <c r="AM575" s="5"/>
      <c r="AN575" s="281"/>
      <c r="AP575" s="1826" t="str">
        <f t="shared" si="0"/>
        <v>1 BR</v>
      </c>
      <c r="AQ575" s="1827"/>
      <c r="AR575" s="1827"/>
      <c r="AS575" s="1827"/>
      <c r="AT575" s="1828"/>
      <c r="AU575" s="1144">
        <f t="shared" si="1"/>
        <v>56</v>
      </c>
      <c r="AV575" s="1145"/>
      <c r="AW575" s="1145"/>
      <c r="AX575" s="1145"/>
      <c r="AY575" s="1146"/>
      <c r="AZ575" s="1144">
        <f t="shared" si="2"/>
        <v>12</v>
      </c>
      <c r="BA575" s="1145"/>
      <c r="BB575" s="1145"/>
      <c r="BC575" s="1145"/>
      <c r="BD575" s="1146"/>
      <c r="BE575" s="1818">
        <f t="shared" si="3"/>
        <v>0.21428571428571427</v>
      </c>
      <c r="BF575" s="1819"/>
      <c r="BG575" s="1819"/>
      <c r="BH575" s="1819"/>
      <c r="BI575" s="1820"/>
      <c r="BJ575" s="1140"/>
      <c r="BK575" s="1141"/>
      <c r="BL575" s="1141"/>
      <c r="BM575" s="1141"/>
      <c r="BN575" s="1142"/>
      <c r="BO575" s="1140"/>
      <c r="BP575" s="1141"/>
      <c r="BQ575" s="1141"/>
      <c r="BR575" s="1141"/>
      <c r="BS575" s="1142"/>
      <c r="BT575" s="1140"/>
      <c r="BU575" s="1141"/>
      <c r="BV575" s="1141"/>
      <c r="BW575" s="1141"/>
      <c r="BX575" s="1142"/>
      <c r="BY575" s="1140"/>
      <c r="BZ575" s="1141"/>
      <c r="CA575" s="1141"/>
      <c r="CB575" s="1141"/>
      <c r="CC575" s="1142"/>
      <c r="CD575" s="1140">
        <f>IF(AND(AND(BE572+BE573+BE574+BE571=0,BT573+BY574+BO572+BJ571=0,AP585=1)),1,0)</f>
        <v>0</v>
      </c>
      <c r="CE575" s="1141"/>
      <c r="CF575" s="1141"/>
      <c r="CG575" s="1141"/>
      <c r="CH575" s="1142"/>
      <c r="CI575" s="1140"/>
      <c r="CJ575" s="1141"/>
      <c r="CK575" s="1141"/>
      <c r="CL575" s="1141"/>
      <c r="CM575" s="1142"/>
      <c r="CN575" s="21"/>
      <c r="CO575" s="21"/>
      <c r="CP575" s="21"/>
      <c r="CQ575" s="21"/>
      <c r="CR575" s="21"/>
    </row>
    <row r="576" spans="1:96" s="4" customFormat="1" ht="12.75" customHeight="1">
      <c r="E576" s="1745"/>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46"/>
      <c r="AN576" s="281"/>
      <c r="AP576" s="1826" t="str">
        <f t="shared" si="0"/>
        <v>SRO</v>
      </c>
      <c r="AQ576" s="1827"/>
      <c r="AR576" s="1827"/>
      <c r="AS576" s="1827"/>
      <c r="AT576" s="1828"/>
      <c r="AU576" s="1144">
        <f t="shared" si="1"/>
        <v>0</v>
      </c>
      <c r="AV576" s="1145"/>
      <c r="AW576" s="1145"/>
      <c r="AX576" s="1145"/>
      <c r="AY576" s="1146"/>
      <c r="AZ576" s="1144">
        <f t="shared" si="2"/>
        <v>0</v>
      </c>
      <c r="BA576" s="1145"/>
      <c r="BB576" s="1145"/>
      <c r="BC576" s="1145"/>
      <c r="BD576" s="1146"/>
      <c r="BE576" s="1818">
        <f t="shared" si="3"/>
        <v>0</v>
      </c>
      <c r="BF576" s="1819"/>
      <c r="BG576" s="1819"/>
      <c r="BH576" s="1819"/>
      <c r="BI576" s="1820"/>
      <c r="BJ576" s="1140"/>
      <c r="BK576" s="1141"/>
      <c r="BL576" s="1141"/>
      <c r="BM576" s="1141"/>
      <c r="BN576" s="1142"/>
      <c r="BO576" s="1140"/>
      <c r="BP576" s="1141"/>
      <c r="BQ576" s="1141"/>
      <c r="BR576" s="1141"/>
      <c r="BS576" s="1142"/>
      <c r="BT576" s="1140"/>
      <c r="BU576" s="1141"/>
      <c r="BV576" s="1141"/>
      <c r="BW576" s="1141"/>
      <c r="BX576" s="1142"/>
      <c r="BY576" s="1140"/>
      <c r="BZ576" s="1141"/>
      <c r="CA576" s="1141"/>
      <c r="CB576" s="1141"/>
      <c r="CC576" s="1142"/>
      <c r="CD576" s="1140"/>
      <c r="CE576" s="1141"/>
      <c r="CF576" s="1141"/>
      <c r="CG576" s="1141"/>
      <c r="CH576" s="1142"/>
      <c r="CI576" s="1140">
        <f>IF(AND(AND(AZ573+AZ574+AZ575+AZ572+AZ571=0,BY574+CD575+BT573+BO572+BJ571=0,AP586=1)),1,0)</f>
        <v>0</v>
      </c>
      <c r="CJ576" s="1141"/>
      <c r="CK576" s="1141"/>
      <c r="CL576" s="1141"/>
      <c r="CM576" s="1142"/>
      <c r="CN576" s="21"/>
      <c r="CO576" s="21"/>
      <c r="CP576" s="21"/>
      <c r="CQ576" s="21"/>
      <c r="CR576" s="21"/>
    </row>
    <row r="577" spans="5:96" s="4" customFormat="1" ht="12.75" customHeight="1">
      <c r="E577" s="1661" t="s">
        <v>1509</v>
      </c>
      <c r="F577" s="1662"/>
      <c r="G577" s="1662"/>
      <c r="H577" s="1662"/>
      <c r="I577" s="1662"/>
      <c r="J577" s="1663"/>
      <c r="K577" s="1661" t="s">
        <v>1760</v>
      </c>
      <c r="L577" s="1662"/>
      <c r="M577" s="1662"/>
      <c r="N577" s="1662"/>
      <c r="O577" s="1662"/>
      <c r="P577" s="1663"/>
      <c r="Q577" s="1511" t="s">
        <v>1505</v>
      </c>
      <c r="R577" s="1512"/>
      <c r="S577" s="1512"/>
      <c r="T577" s="1512"/>
      <c r="U577" s="1512"/>
      <c r="V577" s="1513"/>
      <c r="W577" s="1511" t="str">
        <f>I566</f>
        <v>Percent of Low-Income Units (exclusive of manager’s units)</v>
      </c>
      <c r="X577" s="1512"/>
      <c r="Y577" s="1512"/>
      <c r="Z577" s="1512"/>
      <c r="AA577" s="1512"/>
      <c r="AB577" s="1513"/>
      <c r="AC577" s="1511" t="s">
        <v>1508</v>
      </c>
      <c r="AD577" s="1512"/>
      <c r="AE577" s="1512"/>
      <c r="AF577" s="1512"/>
      <c r="AG577" s="1512"/>
      <c r="AH577" s="1513"/>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40">
        <f>SUM(BJ571:BN576)</f>
        <v>0</v>
      </c>
      <c r="BK577" s="1141"/>
      <c r="BL577" s="1141"/>
      <c r="BM577" s="1141"/>
      <c r="BN577" s="1142"/>
      <c r="BO577" s="1140">
        <f>SUM(BO571:BS576)</f>
        <v>0</v>
      </c>
      <c r="BP577" s="1141"/>
      <c r="BQ577" s="1141"/>
      <c r="BR577" s="1141"/>
      <c r="BS577" s="1142"/>
      <c r="BT577" s="1140">
        <f>SUM(BT571:BX576)</f>
        <v>0</v>
      </c>
      <c r="BU577" s="1141"/>
      <c r="BV577" s="1141"/>
      <c r="BW577" s="1141"/>
      <c r="BX577" s="1142"/>
      <c r="BY577" s="1140">
        <f>SUM(BY571:CC576)</f>
        <v>0</v>
      </c>
      <c r="BZ577" s="1141"/>
      <c r="CA577" s="1141"/>
      <c r="CB577" s="1141"/>
      <c r="CC577" s="1142"/>
      <c r="CD577" s="1140">
        <f>SUM(CD571:CH576)</f>
        <v>0</v>
      </c>
      <c r="CE577" s="1141"/>
      <c r="CF577" s="1141"/>
      <c r="CG577" s="1141"/>
      <c r="CH577" s="1142"/>
      <c r="CI577" s="1140">
        <f>SUM(CI571:CM576)</f>
        <v>0</v>
      </c>
      <c r="CJ577" s="1141"/>
      <c r="CK577" s="1141"/>
      <c r="CL577" s="1141"/>
      <c r="CM577" s="1142"/>
      <c r="CN577" s="1140">
        <f>SUM(BJ577:CM577)</f>
        <v>0</v>
      </c>
      <c r="CO577" s="1141"/>
      <c r="CP577" s="1141"/>
      <c r="CQ577" s="1141"/>
      <c r="CR577" s="1142"/>
    </row>
    <row r="578" spans="5:96" s="4" customFormat="1" ht="12.75" customHeight="1">
      <c r="E578" s="1664"/>
      <c r="F578" s="1665"/>
      <c r="G578" s="1665"/>
      <c r="H578" s="1665"/>
      <c r="I578" s="1665"/>
      <c r="J578" s="1666"/>
      <c r="K578" s="1664"/>
      <c r="L578" s="1665"/>
      <c r="M578" s="1665"/>
      <c r="N578" s="1665"/>
      <c r="O578" s="1665"/>
      <c r="P578" s="1666"/>
      <c r="Q578" s="1514"/>
      <c r="R578" s="1515"/>
      <c r="S578" s="1515"/>
      <c r="T578" s="1515"/>
      <c r="U578" s="1515"/>
      <c r="V578" s="1516"/>
      <c r="W578" s="1514"/>
      <c r="X578" s="1515"/>
      <c r="Y578" s="1515"/>
      <c r="Z578" s="1515"/>
      <c r="AA578" s="1515"/>
      <c r="AB578" s="1516"/>
      <c r="AC578" s="1514"/>
      <c r="AD578" s="1515"/>
      <c r="AE578" s="1515"/>
      <c r="AF578" s="1515"/>
      <c r="AG578" s="1515"/>
      <c r="AH578" s="1516"/>
      <c r="AN578" s="281"/>
    </row>
    <row r="579" spans="5:96" s="4" customFormat="1" ht="12.75" customHeight="1">
      <c r="E579" s="1664"/>
      <c r="F579" s="1665"/>
      <c r="G579" s="1665"/>
      <c r="H579" s="1665"/>
      <c r="I579" s="1665"/>
      <c r="J579" s="1666"/>
      <c r="K579" s="1664"/>
      <c r="L579" s="1665"/>
      <c r="M579" s="1665"/>
      <c r="N579" s="1665"/>
      <c r="O579" s="1665"/>
      <c r="P579" s="1666"/>
      <c r="Q579" s="1514"/>
      <c r="R579" s="1515"/>
      <c r="S579" s="1515"/>
      <c r="T579" s="1515"/>
      <c r="U579" s="1515"/>
      <c r="V579" s="1516"/>
      <c r="W579" s="1514"/>
      <c r="X579" s="1515"/>
      <c r="Y579" s="1515"/>
      <c r="Z579" s="1515"/>
      <c r="AA579" s="1515"/>
      <c r="AB579" s="1516"/>
      <c r="AC579" s="1514"/>
      <c r="AD579" s="1515"/>
      <c r="AE579" s="1515"/>
      <c r="AF579" s="1515"/>
      <c r="AG579" s="1515"/>
      <c r="AH579" s="1516"/>
      <c r="AN579" s="281"/>
    </row>
    <row r="580" spans="5:96" s="4" customFormat="1" ht="12.75" customHeight="1">
      <c r="E580" s="1664"/>
      <c r="F580" s="1665"/>
      <c r="G580" s="1665"/>
      <c r="H580" s="1665"/>
      <c r="I580" s="1665"/>
      <c r="J580" s="1666"/>
      <c r="K580" s="1664"/>
      <c r="L580" s="1665"/>
      <c r="M580" s="1665"/>
      <c r="N580" s="1665"/>
      <c r="O580" s="1665"/>
      <c r="P580" s="1666"/>
      <c r="Q580" s="1514"/>
      <c r="R580" s="1515"/>
      <c r="S580" s="1515"/>
      <c r="T580" s="1515"/>
      <c r="U580" s="1515"/>
      <c r="V580" s="1516"/>
      <c r="W580" s="1514"/>
      <c r="X580" s="1515"/>
      <c r="Y580" s="1515"/>
      <c r="Z580" s="1515"/>
      <c r="AA580" s="1515"/>
      <c r="AB580" s="1516"/>
      <c r="AC580" s="1514"/>
      <c r="AD580" s="1515"/>
      <c r="AE580" s="1515"/>
      <c r="AF580" s="1515"/>
      <c r="AG580" s="1515"/>
      <c r="AH580" s="1516"/>
      <c r="AN580" s="281"/>
      <c r="AP580" s="3" t="s">
        <v>1128</v>
      </c>
      <c r="BH580" s="3" t="s">
        <v>1129</v>
      </c>
    </row>
    <row r="581" spans="5:96" s="4" customFormat="1" ht="12.75" customHeight="1">
      <c r="E581" s="1655"/>
      <c r="F581" s="1656"/>
      <c r="G581" s="1656"/>
      <c r="H581" s="1656"/>
      <c r="I581" s="1656"/>
      <c r="J581" s="1657"/>
      <c r="K581" s="1658">
        <v>20</v>
      </c>
      <c r="L581" s="1659"/>
      <c r="M581" s="1659"/>
      <c r="N581" s="1659"/>
      <c r="O581" s="1659"/>
      <c r="P581" s="1660"/>
      <c r="Q581" s="1727">
        <f>IF(ISERROR(IF((((E581/$BJ$528)*100)&gt;100),"EXCESSIVE VALUE",(E581/$BJ$528)*100)),0,IF((((E581/$BJ$528)*100)&gt;100),"EXCESSIVE VALUE",(E581/$BJ$528)*100))</f>
        <v>0</v>
      </c>
      <c r="R581" s="1728"/>
      <c r="S581" s="1728"/>
      <c r="T581" s="1728"/>
      <c r="U581" s="1728"/>
      <c r="V581" s="1729"/>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58">
        <f t="shared" ref="AP581:AP586" si="5">IF(OR(BE571&gt;=0.1,BE571=0),0,1)</f>
        <v>0</v>
      </c>
      <c r="AQ581" s="1659"/>
      <c r="AR581" s="1659"/>
      <c r="AS581" s="1659"/>
      <c r="AT581" s="1660"/>
      <c r="AX581" s="1698" t="s">
        <v>795</v>
      </c>
      <c r="AY581" s="1699"/>
      <c r="AZ581" s="1699"/>
      <c r="BA581" s="1699"/>
      <c r="BB581" s="1699"/>
      <c r="BC581" s="1699"/>
      <c r="BD581" s="1699"/>
      <c r="BE581" s="1699"/>
      <c r="BF581" s="1699"/>
      <c r="BG581" s="1699"/>
      <c r="BH581" s="1699"/>
      <c r="BI581" s="1699"/>
      <c r="BJ581" s="1699"/>
      <c r="BK581" s="1699"/>
      <c r="BL581" s="1699"/>
      <c r="BM581" s="1699"/>
      <c r="BN581" s="1699"/>
      <c r="BO581" s="1699"/>
      <c r="BP581" s="1699"/>
      <c r="BQ581" s="1700"/>
    </row>
    <row r="582" spans="5:96" s="4" customFormat="1" ht="12.75" customHeight="1">
      <c r="E582" s="1655">
        <v>12</v>
      </c>
      <c r="F582" s="1656"/>
      <c r="G582" s="1656"/>
      <c r="H582" s="1656"/>
      <c r="I582" s="1656"/>
      <c r="J582" s="1657"/>
      <c r="K582" s="1658">
        <v>30</v>
      </c>
      <c r="L582" s="1659"/>
      <c r="M582" s="1659"/>
      <c r="N582" s="1659"/>
      <c r="O582" s="1659"/>
      <c r="P582" s="1660"/>
      <c r="Q582" s="1727">
        <f>IF(ISERROR(IF((((E582/$BJ$528)*100)&gt;100),"EXCESSIVE VALUE",(E582/$BJ$528)*100)),0,IF((((E582/$BJ$528)*100)&gt;100),"EXCESSIVE VALUE",(E582/$BJ$528)*100))</f>
        <v>21.428571428571427</v>
      </c>
      <c r="R582" s="1728"/>
      <c r="S582" s="1728"/>
      <c r="T582" s="1728"/>
      <c r="U582" s="1728"/>
      <c r="V582" s="1729"/>
      <c r="W582" s="1667">
        <f>IF(FLOOR(Q582,5)&gt;80,80,FLOOR(Q582,5))</f>
        <v>20</v>
      </c>
      <c r="X582" s="1668"/>
      <c r="Y582" s="1668"/>
      <c r="Z582" s="1668"/>
      <c r="AA582" s="1668"/>
      <c r="AB582" s="1669"/>
      <c r="AC582" s="1667">
        <f t="shared" si="4"/>
        <v>30</v>
      </c>
      <c r="AD582" s="1668"/>
      <c r="AE582" s="1668"/>
      <c r="AF582" s="1668"/>
      <c r="AG582" s="1668"/>
      <c r="AH582" s="1669"/>
      <c r="AN582" s="281"/>
      <c r="AO582" s="4">
        <v>4</v>
      </c>
      <c r="AP582" s="1658">
        <f t="shared" si="5"/>
        <v>0</v>
      </c>
      <c r="AQ582" s="1659"/>
      <c r="AR582" s="1659"/>
      <c r="AS582" s="1659"/>
      <c r="AT582" s="1660"/>
      <c r="AX582" s="1779" t="s">
        <v>617</v>
      </c>
      <c r="AY582" s="1780"/>
      <c r="AZ582" s="1275" t="s">
        <v>617</v>
      </c>
      <c r="BA582" s="1277"/>
      <c r="BB582" s="1779" t="s">
        <v>265</v>
      </c>
      <c r="BC582" s="1780"/>
      <c r="BD582" s="1708" t="s">
        <v>265</v>
      </c>
      <c r="BE582" s="1710"/>
      <c r="BF582" s="1779" t="s">
        <v>264</v>
      </c>
      <c r="BG582" s="1780"/>
      <c r="BH582" s="1708" t="s">
        <v>264</v>
      </c>
      <c r="BI582" s="1710"/>
      <c r="BJ582" s="1779" t="s">
        <v>263</v>
      </c>
      <c r="BK582" s="1780"/>
      <c r="BL582" s="1708" t="s">
        <v>263</v>
      </c>
      <c r="BM582" s="1710"/>
      <c r="BN582" s="1779" t="s">
        <v>616</v>
      </c>
      <c r="BO582" s="1780"/>
      <c r="BP582" s="1708" t="s">
        <v>616</v>
      </c>
      <c r="BQ582" s="1710"/>
    </row>
    <row r="583" spans="5:96" s="4" customFormat="1" ht="12.75" customHeight="1">
      <c r="E583" s="1655"/>
      <c r="F583" s="1656"/>
      <c r="G583" s="1656"/>
      <c r="H583" s="1656"/>
      <c r="I583" s="1656"/>
      <c r="J583" s="1657"/>
      <c r="K583" s="1658">
        <v>35</v>
      </c>
      <c r="L583" s="1659"/>
      <c r="M583" s="1659"/>
      <c r="N583" s="1659"/>
      <c r="O583" s="1659"/>
      <c r="P583" s="1660"/>
      <c r="Q583" s="1727">
        <f t="shared" ref="Q583:Q589" si="6">IF(ISERROR(IF((((E583/$BJ$528)*100)&gt;100),"EXCESSIVE VALUE",(E583/$BJ$528)*100)),0,IF((((E583/$BJ$528)*100)&gt;100),"EXCESSIVE VALUE",(E583/$BJ$528)*100))</f>
        <v>0</v>
      </c>
      <c r="R583" s="1728"/>
      <c r="S583" s="1728"/>
      <c r="T583" s="1728"/>
      <c r="U583" s="1728"/>
      <c r="V583" s="1729"/>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58">
        <f t="shared" si="5"/>
        <v>0</v>
      </c>
      <c r="AQ583" s="1659"/>
      <c r="AR583" s="1659"/>
      <c r="AS583" s="1659"/>
      <c r="AT583" s="1660"/>
      <c r="AX583" s="1779">
        <f>IF(AP533=1,1,0)</f>
        <v>0</v>
      </c>
      <c r="AY583" s="1780"/>
      <c r="AZ583" s="1698"/>
      <c r="BA583" s="1700"/>
      <c r="BB583" s="1824"/>
      <c r="BC583" s="1825"/>
      <c r="BD583" s="1708">
        <f>IF(AND(T609&gt;0,AP533&gt;0),1,0)</f>
        <v>0</v>
      </c>
      <c r="BE583" s="1710"/>
      <c r="BF583" s="1824"/>
      <c r="BG583" s="1825"/>
      <c r="BH583" s="1708">
        <f>IF(AND(T609&gt;0,AP533&gt;0),1,0)</f>
        <v>0</v>
      </c>
      <c r="BI583" s="1710"/>
      <c r="BJ583" s="1824"/>
      <c r="BK583" s="1825"/>
      <c r="BL583" s="1708">
        <f>IF(AND(T609&gt;0,AP533&gt;0),1,0)</f>
        <v>0</v>
      </c>
      <c r="BM583" s="1710"/>
      <c r="BN583" s="1824"/>
      <c r="BO583" s="1825"/>
      <c r="BP583" s="1708">
        <f>IF(AND(T609&gt;0,AP533&gt;0),1,0)</f>
        <v>0</v>
      </c>
      <c r="BQ583" s="1710"/>
    </row>
    <row r="584" spans="5:96" s="4" customFormat="1" ht="12.75" customHeight="1">
      <c r="E584" s="1655"/>
      <c r="F584" s="1656"/>
      <c r="G584" s="1656"/>
      <c r="H584" s="1656"/>
      <c r="I584" s="1656"/>
      <c r="J584" s="1657"/>
      <c r="K584" s="1658">
        <v>40</v>
      </c>
      <c r="L584" s="1659"/>
      <c r="M584" s="1659"/>
      <c r="N584" s="1659"/>
      <c r="O584" s="1659"/>
      <c r="P584" s="1660"/>
      <c r="Q584" s="1727">
        <f t="shared" si="6"/>
        <v>0</v>
      </c>
      <c r="R584" s="1728"/>
      <c r="S584" s="1728"/>
      <c r="T584" s="1728"/>
      <c r="U584" s="1728"/>
      <c r="V584" s="1729"/>
      <c r="W584" s="1667">
        <f t="shared" si="7"/>
        <v>0</v>
      </c>
      <c r="X584" s="1668"/>
      <c r="Y584" s="1668"/>
      <c r="Z584" s="1668"/>
      <c r="AA584" s="1668"/>
      <c r="AB584" s="1669"/>
      <c r="AC584" s="1667">
        <f t="shared" si="4"/>
        <v>0</v>
      </c>
      <c r="AD584" s="1668"/>
      <c r="AE584" s="1668"/>
      <c r="AF584" s="1668"/>
      <c r="AG584" s="1668"/>
      <c r="AH584" s="1669"/>
      <c r="AN584" s="281"/>
      <c r="AO584" s="4">
        <v>2</v>
      </c>
      <c r="AP584" s="1658">
        <f t="shared" si="5"/>
        <v>0</v>
      </c>
      <c r="AQ584" s="1659"/>
      <c r="AR584" s="1659"/>
      <c r="AS584" s="1659"/>
      <c r="AT584" s="1660"/>
      <c r="AX584" s="1824"/>
      <c r="AY584" s="1825"/>
      <c r="AZ584" s="1698"/>
      <c r="BA584" s="1700"/>
      <c r="BB584" s="1779">
        <f>IF(AP534=1,1,0)</f>
        <v>0</v>
      </c>
      <c r="BC584" s="1780"/>
      <c r="BD584" s="1698"/>
      <c r="BE584" s="1700"/>
      <c r="BF584" s="1824"/>
      <c r="BG584" s="1825"/>
      <c r="BH584" s="1708">
        <f>IF(AND(T610&gt;0,AP534&gt;0),1,0)</f>
        <v>0</v>
      </c>
      <c r="BI584" s="1710"/>
      <c r="BJ584" s="1824"/>
      <c r="BK584" s="1825"/>
      <c r="BL584" s="1708">
        <f>IF(AND(T610&gt;0,AP534&gt;0),1,0)</f>
        <v>0</v>
      </c>
      <c r="BM584" s="1710"/>
      <c r="BN584" s="1824"/>
      <c r="BO584" s="1825"/>
      <c r="BP584" s="1708">
        <f>IF(AND(T610&gt;0,AP534&gt;0),1,0)</f>
        <v>0</v>
      </c>
      <c r="BQ584" s="1710"/>
    </row>
    <row r="585" spans="5:96" s="4" customFormat="1" ht="12.75" customHeight="1">
      <c r="E585" s="1655"/>
      <c r="F585" s="1656"/>
      <c r="G585" s="1656"/>
      <c r="H585" s="1656"/>
      <c r="I585" s="1656"/>
      <c r="J585" s="1657"/>
      <c r="K585" s="1658">
        <v>45</v>
      </c>
      <c r="L585" s="1659"/>
      <c r="M585" s="1659"/>
      <c r="N585" s="1659"/>
      <c r="O585" s="1659"/>
      <c r="P585" s="1660"/>
      <c r="Q585" s="1727">
        <f t="shared" si="6"/>
        <v>0</v>
      </c>
      <c r="R585" s="1728"/>
      <c r="S585" s="1728"/>
      <c r="T585" s="1728"/>
      <c r="U585" s="1728"/>
      <c r="V585" s="1729"/>
      <c r="W585" s="1667">
        <f>IF(FLOOR(Q585,5)&gt;65,65,FLOOR(Q585,5))</f>
        <v>0</v>
      </c>
      <c r="X585" s="1668"/>
      <c r="Y585" s="1668"/>
      <c r="Z585" s="1668"/>
      <c r="AA585" s="1668"/>
      <c r="AB585" s="1669"/>
      <c r="AC585" s="1667">
        <f t="shared" si="4"/>
        <v>0</v>
      </c>
      <c r="AD585" s="1668"/>
      <c r="AE585" s="1668"/>
      <c r="AF585" s="1668"/>
      <c r="AG585" s="1668"/>
      <c r="AH585" s="1669"/>
      <c r="AN585" s="281"/>
      <c r="AO585" s="4">
        <v>1</v>
      </c>
      <c r="AP585" s="1658">
        <f t="shared" si="5"/>
        <v>0</v>
      </c>
      <c r="AQ585" s="1659"/>
      <c r="AR585" s="1659"/>
      <c r="AS585" s="1659"/>
      <c r="AT585" s="1660"/>
      <c r="AX585" s="1824"/>
      <c r="AY585" s="1825"/>
      <c r="AZ585" s="1698"/>
      <c r="BA585" s="1700"/>
      <c r="BB585" s="1824"/>
      <c r="BC585" s="1825"/>
      <c r="BD585" s="1698"/>
      <c r="BE585" s="1700"/>
      <c r="BF585" s="1779">
        <f>IF(AP535=1,1,0)</f>
        <v>0</v>
      </c>
      <c r="BG585" s="1780"/>
      <c r="BH585" s="1698"/>
      <c r="BI585" s="1700"/>
      <c r="BJ585" s="1824"/>
      <c r="BK585" s="1825"/>
      <c r="BL585" s="1708">
        <f>IF(AND(T611&gt;0,AP535&gt;0),1,0)</f>
        <v>0</v>
      </c>
      <c r="BM585" s="1710"/>
      <c r="BN585" s="1824"/>
      <c r="BO585" s="1825"/>
      <c r="BP585" s="1708">
        <f>IF(AND(T611&gt;0,AP535&gt;0),1,0)</f>
        <v>0</v>
      </c>
      <c r="BQ585" s="1710"/>
    </row>
    <row r="586" spans="5:96" s="4" customFormat="1" ht="12.75" customHeight="1">
      <c r="E586" s="1655">
        <v>44</v>
      </c>
      <c r="F586" s="1656"/>
      <c r="G586" s="1656"/>
      <c r="H586" s="1656"/>
      <c r="I586" s="1656"/>
      <c r="J586" s="1657"/>
      <c r="K586" s="1658">
        <f>IF(OR(Application!D211="Rural",Application!D211="Rural apportionment (Section 514)",Application!D211="Rural apportionment (Section 515)",Application!D211="Rural apportionment (HOME)",Application!D211="Rural (Native American apportionment)"),"",50)</f>
        <v>50</v>
      </c>
      <c r="L586" s="1659"/>
      <c r="M586" s="1659"/>
      <c r="N586" s="1659"/>
      <c r="O586" s="1659"/>
      <c r="P586" s="1660"/>
      <c r="Q586" s="1727">
        <f t="shared" si="6"/>
        <v>78.571428571428569</v>
      </c>
      <c r="R586" s="1728"/>
      <c r="S586" s="1728"/>
      <c r="T586" s="1728"/>
      <c r="U586" s="1728"/>
      <c r="V586" s="1729"/>
      <c r="W586" s="1667">
        <f>IF(FLOOR(Q586,5)&gt;40,40,FLOOR(Q586,5))</f>
        <v>40</v>
      </c>
      <c r="X586" s="1668"/>
      <c r="Y586" s="1668"/>
      <c r="Z586" s="1668"/>
      <c r="AA586" s="1668"/>
      <c r="AB586" s="1669"/>
      <c r="AC586" s="1667">
        <f t="shared" si="4"/>
        <v>20</v>
      </c>
      <c r="AD586" s="1668"/>
      <c r="AE586" s="1668"/>
      <c r="AF586" s="1668"/>
      <c r="AG586" s="1668"/>
      <c r="AH586" s="1669"/>
      <c r="AN586" s="281"/>
      <c r="AO586" s="4">
        <v>0</v>
      </c>
      <c r="AP586" s="1658">
        <f t="shared" si="5"/>
        <v>0</v>
      </c>
      <c r="AQ586" s="1659"/>
      <c r="AR586" s="1659"/>
      <c r="AS586" s="1659"/>
      <c r="AT586" s="1660"/>
      <c r="AX586" s="1824"/>
      <c r="AY586" s="1825"/>
      <c r="AZ586" s="1698"/>
      <c r="BA586" s="1700"/>
      <c r="BB586" s="1824"/>
      <c r="BC586" s="1825"/>
      <c r="BD586" s="1698"/>
      <c r="BE586" s="1700"/>
      <c r="BF586" s="1824"/>
      <c r="BG586" s="1825"/>
      <c r="BH586" s="1698"/>
      <c r="BI586" s="1700"/>
      <c r="BJ586" s="1779">
        <f>IF(AP536=1,1,0)</f>
        <v>1</v>
      </c>
      <c r="BK586" s="1780"/>
      <c r="BL586" s="1824"/>
      <c r="BM586" s="1825"/>
      <c r="BN586" s="1824"/>
      <c r="BO586" s="1825"/>
      <c r="BP586" s="1708">
        <f>IF(AND(T612&gt;0,AP536&gt;0),1,0)</f>
        <v>1</v>
      </c>
      <c r="BQ586" s="1710"/>
    </row>
    <row r="587" spans="5:96" s="4" customFormat="1" ht="12.75" customHeight="1">
      <c r="E587" s="1753"/>
      <c r="F587" s="1754"/>
      <c r="G587" s="1754"/>
      <c r="H587" s="1754"/>
      <c r="I587" s="1754"/>
      <c r="J587" s="1755"/>
      <c r="K587" s="1860" t="str">
        <f>IF(OR(Application!D211="Rural",Application!D211="Rural apportionment (Section 514)",Application!D211="Rural apportionment (Section 515)",Application!D211="Rural apportionment (HOME)",Application!D211="Rural (Native American apportionment)"),"50 -","")</f>
        <v/>
      </c>
      <c r="L587" s="1861"/>
      <c r="M587" s="1862" t="s">
        <v>2280</v>
      </c>
      <c r="N587" s="1862"/>
      <c r="O587" s="1862"/>
      <c r="P587" s="1863"/>
      <c r="Q587" s="1727">
        <f t="shared" si="6"/>
        <v>0</v>
      </c>
      <c r="R587" s="1728"/>
      <c r="S587" s="1728"/>
      <c r="T587" s="1728"/>
      <c r="U587" s="1728"/>
      <c r="V587" s="1729"/>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81"/>
      <c r="AP587" s="1658"/>
      <c r="AQ587" s="1659"/>
      <c r="AR587" s="1659"/>
      <c r="AS587" s="1659"/>
      <c r="AT587" s="1660"/>
      <c r="AX587" s="1824"/>
      <c r="AY587" s="1825"/>
      <c r="AZ587" s="1698"/>
      <c r="BA587" s="1700"/>
      <c r="BB587" s="1824"/>
      <c r="BC587" s="1825"/>
      <c r="BD587" s="1698"/>
      <c r="BE587" s="1700"/>
      <c r="BF587" s="1824"/>
      <c r="BG587" s="1825"/>
      <c r="BH587" s="1698"/>
      <c r="BI587" s="1700"/>
      <c r="BJ587" s="1824"/>
      <c r="BK587" s="1825"/>
      <c r="BL587" s="1824"/>
      <c r="BM587" s="1825"/>
      <c r="BN587" s="1779">
        <f>IF(AP537=1,1,0)</f>
        <v>0</v>
      </c>
      <c r="BO587" s="1780"/>
      <c r="BP587" s="1698"/>
      <c r="BQ587" s="1700"/>
    </row>
    <row r="588" spans="5:96" s="4" customFormat="1" ht="12.75" customHeight="1">
      <c r="E588" s="1753"/>
      <c r="F588" s="1754"/>
      <c r="G588" s="1754"/>
      <c r="H588" s="1754"/>
      <c r="I588" s="1754"/>
      <c r="J588" s="1755"/>
      <c r="K588" s="1860" t="str">
        <f>IF(OR(Application!D211="Rural",Application!D211="Rural apportionment (Section 514)",Application!D211="Rural apportionment (Section 515)",Application!D211="Rural apportionment (HOME)",Application!D211="Rural (Native American apportionment)"),"55 -","")</f>
        <v/>
      </c>
      <c r="L588" s="1861"/>
      <c r="M588" s="1862" t="s">
        <v>2280</v>
      </c>
      <c r="N588" s="1862"/>
      <c r="O588" s="1862"/>
      <c r="P588" s="1863"/>
      <c r="Q588" s="1727">
        <f t="shared" si="6"/>
        <v>0</v>
      </c>
      <c r="R588" s="1728"/>
      <c r="S588" s="1728"/>
      <c r="T588" s="1728"/>
      <c r="U588" s="1728"/>
      <c r="V588" s="1729"/>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79">
        <f>SUM(AX583:AY587)</f>
        <v>0</v>
      </c>
      <c r="AY588" s="1780"/>
      <c r="AZ588" s="1708">
        <f>SUM(AZ584:BA587)</f>
        <v>0</v>
      </c>
      <c r="BA588" s="1710"/>
      <c r="BB588" s="1779">
        <f>SUM(BB584:BC587)</f>
        <v>0</v>
      </c>
      <c r="BC588" s="1780"/>
      <c r="BD588" s="1708">
        <f>SUM(BD583:BE587)</f>
        <v>0</v>
      </c>
      <c r="BE588" s="1710"/>
      <c r="BF588" s="1779">
        <f>SUM(BF585:BG587)</f>
        <v>0</v>
      </c>
      <c r="BG588" s="1780"/>
      <c r="BH588" s="1708">
        <f>SUM(BH583:BI587)</f>
        <v>0</v>
      </c>
      <c r="BI588" s="1710"/>
      <c r="BJ588" s="1779">
        <f>SUM(BJ583:BK587)</f>
        <v>1</v>
      </c>
      <c r="BK588" s="1780"/>
      <c r="BL588" s="1708">
        <f>SUM(BL583:BM587)</f>
        <v>0</v>
      </c>
      <c r="BM588" s="1710"/>
      <c r="BN588" s="1779">
        <f>SUM(BN583:BO587)</f>
        <v>0</v>
      </c>
      <c r="BO588" s="1780"/>
      <c r="BP588" s="1708">
        <f>SUM(BP583:BQ587)</f>
        <v>1</v>
      </c>
      <c r="BQ588" s="1710"/>
    </row>
    <row r="589" spans="5:96" s="4" customFormat="1" ht="12.75" customHeight="1">
      <c r="E589" s="1655"/>
      <c r="F589" s="1656"/>
      <c r="G589" s="1656"/>
      <c r="H589" s="1656"/>
      <c r="I589" s="1656"/>
      <c r="J589" s="1657"/>
      <c r="K589" s="1658" t="s">
        <v>2132</v>
      </c>
      <c r="L589" s="1659"/>
      <c r="M589" s="1659"/>
      <c r="N589" s="1659"/>
      <c r="O589" s="1659"/>
      <c r="P589" s="1660"/>
      <c r="Q589" s="1727">
        <f t="shared" si="6"/>
        <v>0</v>
      </c>
      <c r="R589" s="1728"/>
      <c r="S589" s="1728"/>
      <c r="T589" s="1728"/>
      <c r="U589" s="1728"/>
      <c r="V589" s="1729"/>
      <c r="W589" s="1667">
        <f t="shared" si="7"/>
        <v>0</v>
      </c>
      <c r="X589" s="1668"/>
      <c r="Y589" s="1668"/>
      <c r="Z589" s="1668"/>
      <c r="AA589" s="1668"/>
      <c r="AB589" s="1669"/>
      <c r="AC589" s="1667">
        <v>0</v>
      </c>
      <c r="AD589" s="1668"/>
      <c r="AE589" s="1668"/>
      <c r="AF589" s="1668"/>
      <c r="AG589" s="1668"/>
      <c r="AH589" s="1669"/>
      <c r="AN589" s="281"/>
      <c r="AX589" s="1793">
        <f>IF(AND(AX588=1,AZ588&gt;1),1,0)</f>
        <v>0</v>
      </c>
      <c r="AY589" s="1794"/>
      <c r="AZ589" s="1794"/>
      <c r="BA589" s="1795"/>
      <c r="BB589" s="1793">
        <f>IF(AND(BB588=1,BD588&gt;=1),1,0)</f>
        <v>0</v>
      </c>
      <c r="BC589" s="1794"/>
      <c r="BD589" s="1794"/>
      <c r="BE589" s="1795"/>
      <c r="BF589" s="1793">
        <f>IF(AND(BF588=1,BH588&gt;=1),1,0)</f>
        <v>0</v>
      </c>
      <c r="BG589" s="1794"/>
      <c r="BH589" s="1794"/>
      <c r="BI589" s="1795"/>
      <c r="BJ589" s="1793">
        <f>IF(AND(BJ588=1,BL588&gt;=1),1,0)</f>
        <v>0</v>
      </c>
      <c r="BK589" s="1794"/>
      <c r="BL589" s="1794"/>
      <c r="BM589" s="1795"/>
      <c r="BN589" s="1793">
        <f>IF(AND(BN588=1,BP588&gt;=1),1,0)</f>
        <v>0</v>
      </c>
      <c r="BO589" s="1794"/>
      <c r="BP589" s="1794"/>
      <c r="BQ589" s="1795"/>
    </row>
    <row r="590" spans="5:96" s="4" customFormat="1" ht="12.75" customHeight="1">
      <c r="E590" s="1655"/>
      <c r="F590" s="1656"/>
      <c r="G590" s="1656"/>
      <c r="H590" s="1656"/>
      <c r="I590" s="1656"/>
      <c r="J590" s="1657"/>
      <c r="K590" s="1658" t="s">
        <v>2133</v>
      </c>
      <c r="L590" s="1659"/>
      <c r="M590" s="1659"/>
      <c r="N590" s="1659"/>
      <c r="O590" s="1659"/>
      <c r="P590" s="1660"/>
      <c r="Q590" s="1727">
        <f>IF(ISERROR(IF((((E590/$BJ$528)*100)&gt;100),"EXCESSIVE VALUE",(E590/$BJ$528)*100)),0,IF((((E590/$BJ$528)*100)&gt;100),"EXCESSIVE VALUE",(E590/$BJ$528)*100))</f>
        <v>0</v>
      </c>
      <c r="R590" s="1728"/>
      <c r="S590" s="1728"/>
      <c r="T590" s="1728"/>
      <c r="U590" s="1728"/>
      <c r="V590" s="1729"/>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611</v>
      </c>
      <c r="BJ590" s="1793">
        <f>AX589+BB589+BF589+BJ589+BN589</f>
        <v>0</v>
      </c>
      <c r="BK590" s="1794"/>
      <c r="BL590" s="1794"/>
      <c r="BM590" s="1795"/>
      <c r="BN590"/>
      <c r="BO590"/>
      <c r="BP590"/>
      <c r="BQ590"/>
    </row>
    <row r="591" spans="5:96" s="4" customFormat="1" ht="12.75" customHeight="1">
      <c r="E591" s="1655"/>
      <c r="F591" s="1656"/>
      <c r="G591" s="1656"/>
      <c r="H591" s="1656"/>
      <c r="I591" s="1656"/>
      <c r="J591" s="1657"/>
      <c r="K591" s="1658" t="s">
        <v>2134</v>
      </c>
      <c r="L591" s="1659"/>
      <c r="M591" s="1659"/>
      <c r="N591" s="1659"/>
      <c r="O591" s="1659"/>
      <c r="P591" s="1660"/>
      <c r="Q591" s="1727">
        <f>IF(ISERROR(IF((((E591/$BJ$528)*100)&gt;100),"EXCESSIVE VALUE",(E591/$BJ$528)*100)),0,IF((((E591/$BJ$528)*100)&gt;100),"EXCESSIVE VALUE",(E591/$BJ$528)*100))</f>
        <v>0</v>
      </c>
      <c r="R591" s="1728"/>
      <c r="S591" s="1728"/>
      <c r="T591" s="1728"/>
      <c r="U591" s="1728"/>
      <c r="V591" s="1729"/>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610</v>
      </c>
      <c r="BK591"/>
      <c r="BL591"/>
      <c r="BM591"/>
      <c r="BN591"/>
      <c r="BO591"/>
      <c r="BP591"/>
      <c r="BQ591"/>
    </row>
    <row r="592" spans="5:96" s="4" customFormat="1" ht="12.75" customHeight="1">
      <c r="E592" s="1750">
        <f>SUM(E581:J591)</f>
        <v>56</v>
      </c>
      <c r="F592" s="1751"/>
      <c r="G592" s="1751"/>
      <c r="H592" s="1751"/>
      <c r="I592" s="1751"/>
      <c r="J592" s="1752"/>
      <c r="K592" s="89"/>
      <c r="L592" s="89"/>
      <c r="M592" s="89"/>
      <c r="N592" s="89"/>
      <c r="O592" s="89"/>
      <c r="P592" s="89"/>
      <c r="Q592" s="89"/>
      <c r="R592" s="89"/>
      <c r="S592" s="89"/>
      <c r="T592" s="89"/>
      <c r="U592" s="93"/>
      <c r="V592" s="93"/>
      <c r="W592" s="93"/>
      <c r="X592" s="93"/>
      <c r="Y592" s="93"/>
      <c r="Z592" s="89"/>
      <c r="AA592" s="93"/>
      <c r="AB592" s="60" t="s">
        <v>606</v>
      </c>
      <c r="AC592" s="1747">
        <f>IF(SUM(AC581:AH591)&gt;0,SUM(AC581:AH591),0)</f>
        <v>50</v>
      </c>
      <c r="AD592" s="1748"/>
      <c r="AE592" s="1748"/>
      <c r="AF592" s="1748"/>
      <c r="AG592" s="1748"/>
      <c r="AH592" s="17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711" t="s">
        <v>103</v>
      </c>
      <c r="AH596" s="1711"/>
      <c r="AI596" s="1711"/>
      <c r="AJ596" s="1711"/>
      <c r="AK596" s="5"/>
      <c r="AL596" s="5"/>
      <c r="AM596" s="5"/>
      <c r="AN596" s="281"/>
    </row>
    <row r="597" spans="1:64" s="4" customFormat="1" ht="12.75" customHeight="1">
      <c r="B597" s="1673" t="s">
        <v>2122</v>
      </c>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3"/>
      <c r="Z597" s="1673"/>
      <c r="AA597" s="1673"/>
      <c r="AB597" s="1673"/>
      <c r="AC597" s="1673"/>
      <c r="AD597" s="1673"/>
      <c r="AE597" s="1673"/>
      <c r="AF597" s="1673"/>
      <c r="AG597" s="1673"/>
      <c r="AH597" s="1673"/>
      <c r="AI597" s="21"/>
      <c r="AJ597" s="21"/>
      <c r="AK597"/>
      <c r="AL597"/>
      <c r="AM597"/>
      <c r="AN597" s="281"/>
    </row>
    <row r="598" spans="1:64" s="4" customFormat="1" ht="12.75" customHeight="1">
      <c r="A598" s="21"/>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3"/>
      <c r="Z598" s="1673"/>
      <c r="AA598" s="1673"/>
      <c r="AB598" s="1673"/>
      <c r="AC598" s="1673"/>
      <c r="AD598" s="1673"/>
      <c r="AE598" s="1673"/>
      <c r="AF598" s="1673"/>
      <c r="AG598" s="1673"/>
      <c r="AH598" s="1673"/>
      <c r="AI598" s="21"/>
      <c r="AJ598" s="21"/>
      <c r="AK598"/>
      <c r="AL598"/>
      <c r="AM598"/>
      <c r="AN598" s="281"/>
    </row>
    <row r="599" spans="1:64" s="4" customFormat="1" ht="12.75" customHeight="1">
      <c r="A599" s="21"/>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3"/>
      <c r="Z599" s="1673"/>
      <c r="AA599" s="1673"/>
      <c r="AB599" s="1673"/>
      <c r="AC599" s="1673"/>
      <c r="AD599" s="1673"/>
      <c r="AE599" s="1673"/>
      <c r="AF599" s="1673"/>
      <c r="AG599" s="1673"/>
      <c r="AH599" s="1673"/>
      <c r="AI599" s="21"/>
      <c r="AJ599" s="21"/>
      <c r="AK599"/>
      <c r="AL599"/>
      <c r="AM599"/>
      <c r="AN599" s="281"/>
    </row>
    <row r="600" spans="1:64" s="4" customFormat="1" ht="12.75" customHeight="1">
      <c r="A600" s="21"/>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3"/>
      <c r="Z600" s="1673"/>
      <c r="AA600" s="1673"/>
      <c r="AB600" s="1673"/>
      <c r="AC600" s="1673"/>
      <c r="AD600" s="1673"/>
      <c r="AE600" s="1673"/>
      <c r="AF600" s="1673"/>
      <c r="AG600" s="1673"/>
      <c r="AH600" s="1673"/>
      <c r="AI600" s="21"/>
      <c r="AJ600" s="21"/>
      <c r="AK600"/>
      <c r="AL600"/>
      <c r="AM600"/>
      <c r="AN600" s="669"/>
    </row>
    <row r="601" spans="1:64">
      <c r="B601" s="1673"/>
      <c r="C601" s="1673"/>
      <c r="D601" s="1673"/>
      <c r="E601" s="1673"/>
      <c r="F601" s="1673"/>
      <c r="G601" s="1673"/>
      <c r="H601" s="1673"/>
      <c r="I601" s="1673"/>
      <c r="J601" s="1673"/>
      <c r="K601" s="1673"/>
      <c r="L601" s="1673"/>
      <c r="M601" s="1673"/>
      <c r="N601" s="1673"/>
      <c r="O601" s="1673"/>
      <c r="P601" s="1673"/>
      <c r="Q601" s="1673"/>
      <c r="R601" s="1673"/>
      <c r="S601" s="1673"/>
      <c r="T601" s="1673"/>
      <c r="U601" s="1673"/>
      <c r="V601" s="1673"/>
      <c r="W601" s="1673"/>
      <c r="X601" s="1673"/>
      <c r="Y601" s="1673"/>
      <c r="Z601" s="1673"/>
      <c r="AA601" s="1673"/>
      <c r="AB601" s="1673"/>
      <c r="AC601" s="1673"/>
      <c r="AD601" s="1673"/>
      <c r="AE601" s="1673"/>
      <c r="AF601" s="1673"/>
      <c r="AG601" s="1673"/>
      <c r="AH601" s="1673"/>
      <c r="AK601"/>
      <c r="AL601"/>
      <c r="AM601"/>
      <c r="BD601" s="21"/>
      <c r="BE601" s="21"/>
      <c r="BF601" s="21"/>
      <c r="BG601" s="21"/>
      <c r="BH601" s="21"/>
    </row>
    <row r="602" spans="1:64" ht="12.75" customHeight="1">
      <c r="B602" s="1673"/>
      <c r="C602" s="1673"/>
      <c r="D602" s="1673"/>
      <c r="E602" s="1673"/>
      <c r="F602" s="1673"/>
      <c r="G602" s="1673"/>
      <c r="H602" s="1673"/>
      <c r="I602" s="1673"/>
      <c r="J602" s="1673"/>
      <c r="K602" s="1673"/>
      <c r="L602" s="1673"/>
      <c r="M602" s="1673"/>
      <c r="N602" s="1673"/>
      <c r="O602" s="1673"/>
      <c r="P602" s="1673"/>
      <c r="Q602" s="1673"/>
      <c r="R602" s="1673"/>
      <c r="S602" s="1673"/>
      <c r="T602" s="1673"/>
      <c r="U602" s="1673"/>
      <c r="V602" s="1673"/>
      <c r="W602" s="1673"/>
      <c r="X602" s="1673"/>
      <c r="Y602" s="1673"/>
      <c r="Z602" s="1673"/>
      <c r="AA602" s="1673"/>
      <c r="AB602" s="1673"/>
      <c r="AC602" s="1673"/>
      <c r="AD602" s="1673"/>
      <c r="AE602" s="1673"/>
      <c r="AF602" s="1673"/>
      <c r="AG602" s="1673"/>
      <c r="AH602" s="1673"/>
    </row>
    <row r="603" spans="1:64" ht="12.75" customHeight="1">
      <c r="E603" s="162"/>
    </row>
    <row r="604" spans="1:64">
      <c r="J604" s="1804" t="s">
        <v>796</v>
      </c>
      <c r="K604" s="1805"/>
      <c r="L604" s="1805"/>
      <c r="M604" s="1805"/>
      <c r="N604" s="1806"/>
      <c r="O604" s="1511" t="s">
        <v>1506</v>
      </c>
      <c r="P604" s="1512"/>
      <c r="Q604" s="1512"/>
      <c r="R604" s="1512"/>
      <c r="S604" s="1513"/>
      <c r="T604" s="1511" t="s">
        <v>1770</v>
      </c>
      <c r="U604" s="1512"/>
      <c r="V604" s="1512"/>
      <c r="W604" s="1512"/>
      <c r="X604" s="1513"/>
      <c r="Y604" s="1511" t="s">
        <v>1507</v>
      </c>
      <c r="Z604" s="1512"/>
      <c r="AA604" s="1512"/>
      <c r="AB604" s="1512"/>
      <c r="AC604" s="1513"/>
      <c r="AF604"/>
      <c r="AG604"/>
      <c r="AH604"/>
      <c r="AI604"/>
      <c r="AJ604"/>
    </row>
    <row r="605" spans="1:64">
      <c r="D605"/>
      <c r="E605"/>
      <c r="F605"/>
      <c r="G605"/>
      <c r="H605"/>
      <c r="I605"/>
      <c r="J605" s="1704"/>
      <c r="K605" s="1705"/>
      <c r="L605" s="1705"/>
      <c r="M605" s="1705"/>
      <c r="N605" s="1807"/>
      <c r="O605" s="1514"/>
      <c r="P605" s="1515"/>
      <c r="Q605" s="1515"/>
      <c r="R605" s="1515"/>
      <c r="S605" s="1516"/>
      <c r="T605" s="1514"/>
      <c r="U605" s="1515"/>
      <c r="V605" s="1515"/>
      <c r="W605" s="1515"/>
      <c r="X605" s="1516"/>
      <c r="Y605" s="1514"/>
      <c r="Z605" s="1515"/>
      <c r="AA605" s="1515"/>
      <c r="AB605" s="1515"/>
      <c r="AC605" s="1516"/>
      <c r="AF605"/>
      <c r="AG605"/>
      <c r="AH605"/>
      <c r="AI605"/>
      <c r="AJ605"/>
      <c r="AO605" s="38" t="s">
        <v>2232</v>
      </c>
      <c r="AR605" s="21" t="b">
        <f>$Y$614&gt;=10%</f>
        <v>1</v>
      </c>
    </row>
    <row r="606" spans="1:64">
      <c r="I606"/>
      <c r="J606" s="1704"/>
      <c r="K606" s="1705"/>
      <c r="L606" s="1705"/>
      <c r="M606" s="1705"/>
      <c r="N606" s="1807"/>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2233</v>
      </c>
      <c r="AR606" s="955">
        <f>ROUNDUP(($O$614*10%),0)</f>
        <v>6</v>
      </c>
    </row>
    <row r="607" spans="1:64">
      <c r="D607"/>
      <c r="E607"/>
      <c r="F607"/>
      <c r="G607"/>
      <c r="H607"/>
      <c r="I607"/>
      <c r="J607" s="1704"/>
      <c r="K607" s="1705"/>
      <c r="L607" s="1705"/>
      <c r="M607" s="1705"/>
      <c r="N607" s="1807"/>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2234</v>
      </c>
      <c r="AR607" s="21" t="s">
        <v>2235</v>
      </c>
    </row>
    <row r="608" spans="1:64">
      <c r="D608"/>
      <c r="E608"/>
      <c r="F608"/>
      <c r="G608"/>
      <c r="H608"/>
      <c r="I608"/>
      <c r="J608" s="1735" t="s">
        <v>225</v>
      </c>
      <c r="K608" s="1736"/>
      <c r="L608" s="1736"/>
      <c r="M608" s="1736"/>
      <c r="N608" s="1737"/>
      <c r="O608" s="1658">
        <f>Application!CM626</f>
        <v>0</v>
      </c>
      <c r="P608" s="1659"/>
      <c r="Q608" s="1659"/>
      <c r="R608" s="1659"/>
      <c r="S608" s="1660"/>
      <c r="T608" s="1658">
        <f>Application!DR627</f>
        <v>0</v>
      </c>
      <c r="U608" s="1659"/>
      <c r="V608" s="1659"/>
      <c r="W608" s="1659"/>
      <c r="X608" s="1660"/>
      <c r="Y608" s="1742">
        <f t="shared" ref="Y608:Y612" si="8">IF(T608&gt;0,T608/O608,0)</f>
        <v>0</v>
      </c>
      <c r="Z608" s="1743"/>
      <c r="AA608" s="1743"/>
      <c r="AB608" s="1743"/>
      <c r="AC608" s="1744"/>
      <c r="AD608"/>
      <c r="AF608"/>
      <c r="AG608"/>
      <c r="AH608"/>
      <c r="AI608"/>
      <c r="AJ608"/>
      <c r="AO608" s="955">
        <f>ROUNDUP((O608*10%),0)</f>
        <v>0</v>
      </c>
      <c r="AP608" s="206"/>
      <c r="AR608" s="956" t="b">
        <f>OR(SUM($T$608:T608)&gt;=$AR$606,T608&gt;=AO608)</f>
        <v>1</v>
      </c>
    </row>
    <row r="609" spans="1:60">
      <c r="D609"/>
      <c r="E609"/>
      <c r="F609"/>
      <c r="G609"/>
      <c r="H609"/>
      <c r="I609"/>
      <c r="J609" s="1735" t="s">
        <v>31</v>
      </c>
      <c r="K609" s="1736"/>
      <c r="L609" s="1736"/>
      <c r="M609" s="1736"/>
      <c r="N609" s="1737"/>
      <c r="O609" s="1658">
        <f>Application!CH626</f>
        <v>0</v>
      </c>
      <c r="P609" s="1659"/>
      <c r="Q609" s="1659"/>
      <c r="R609" s="1659"/>
      <c r="S609" s="1660"/>
      <c r="T609" s="1658">
        <f>Application!DM627</f>
        <v>0</v>
      </c>
      <c r="U609" s="1659"/>
      <c r="V609" s="1659"/>
      <c r="W609" s="1659"/>
      <c r="X609" s="1660"/>
      <c r="Y609" s="1742">
        <f t="shared" si="8"/>
        <v>0</v>
      </c>
      <c r="Z609" s="1743"/>
      <c r="AA609" s="1743"/>
      <c r="AB609" s="1743"/>
      <c r="AC609" s="1744"/>
      <c r="AD609"/>
      <c r="AF609"/>
      <c r="AG609"/>
      <c r="AH609"/>
      <c r="AI609"/>
      <c r="AJ609"/>
      <c r="AO609" s="955">
        <f t="shared" ref="AO609:AO613" si="9">ROUNDUP((O609*10%),0)</f>
        <v>0</v>
      </c>
      <c r="AP609" s="206"/>
      <c r="AR609" s="956" t="b">
        <f>OR(SUM($T$608:T609)&gt;=$AR$606,T609&gt;=AO609)</f>
        <v>1</v>
      </c>
    </row>
    <row r="610" spans="1:60">
      <c r="D610"/>
      <c r="E610"/>
      <c r="F610"/>
      <c r="G610"/>
      <c r="H610"/>
      <c r="I610"/>
      <c r="J610" s="1735" t="s">
        <v>265</v>
      </c>
      <c r="K610" s="1736"/>
      <c r="L610" s="1736"/>
      <c r="M610" s="1736"/>
      <c r="N610" s="1737"/>
      <c r="O610" s="1658">
        <f>Application!CC626</f>
        <v>0</v>
      </c>
      <c r="P610" s="1659"/>
      <c r="Q610" s="1659"/>
      <c r="R610" s="1659"/>
      <c r="S610" s="1660"/>
      <c r="T610" s="1658">
        <f>Application!DH627</f>
        <v>0</v>
      </c>
      <c r="U610" s="1659"/>
      <c r="V610" s="1659"/>
      <c r="W610" s="1659"/>
      <c r="X610" s="1660"/>
      <c r="Y610" s="1742">
        <f t="shared" si="8"/>
        <v>0</v>
      </c>
      <c r="Z610" s="1743"/>
      <c r="AA610" s="1743"/>
      <c r="AB610" s="1743"/>
      <c r="AC610" s="1744"/>
      <c r="AD610"/>
      <c r="AF610"/>
      <c r="AG610"/>
      <c r="AH610"/>
      <c r="AI610"/>
      <c r="AJ610"/>
      <c r="AO610" s="955">
        <f t="shared" si="9"/>
        <v>0</v>
      </c>
      <c r="AP610" s="206"/>
      <c r="AR610" s="956" t="b">
        <f>OR(SUM($T$608:T610)&gt;=$AR$606,T610&gt;=AO610)</f>
        <v>1</v>
      </c>
    </row>
    <row r="611" spans="1:60">
      <c r="D611"/>
      <c r="E611"/>
      <c r="F611"/>
      <c r="G611"/>
      <c r="H611"/>
      <c r="I611"/>
      <c r="J611" s="1735" t="s">
        <v>264</v>
      </c>
      <c r="K611" s="1736"/>
      <c r="L611" s="1736"/>
      <c r="M611" s="1736"/>
      <c r="N611" s="1737"/>
      <c r="O611" s="1658">
        <f>Application!BX626</f>
        <v>0</v>
      </c>
      <c r="P611" s="1659"/>
      <c r="Q611" s="1659"/>
      <c r="R611" s="1659"/>
      <c r="S611" s="1660"/>
      <c r="T611" s="1658">
        <f>Application!DC627</f>
        <v>0</v>
      </c>
      <c r="U611" s="1659"/>
      <c r="V611" s="1659"/>
      <c r="W611" s="1659"/>
      <c r="X611" s="1660"/>
      <c r="Y611" s="1742">
        <f t="shared" si="8"/>
        <v>0</v>
      </c>
      <c r="Z611" s="1743"/>
      <c r="AA611" s="1743"/>
      <c r="AB611" s="1743"/>
      <c r="AC611" s="1744"/>
      <c r="AD611"/>
      <c r="AF611"/>
      <c r="AG611"/>
      <c r="AH611"/>
      <c r="AI611"/>
      <c r="AJ611"/>
      <c r="AO611" s="955">
        <f t="shared" si="9"/>
        <v>0</v>
      </c>
      <c r="AP611" s="206"/>
      <c r="AR611" s="956" t="b">
        <f>OR(SUM($T$608:T611)&gt;=$AR$606,T611&gt;=AO611)</f>
        <v>1</v>
      </c>
    </row>
    <row r="612" spans="1:60">
      <c r="D612"/>
      <c r="E612"/>
      <c r="F612"/>
      <c r="G612"/>
      <c r="H612"/>
      <c r="I612"/>
      <c r="J612" s="1735" t="s">
        <v>263</v>
      </c>
      <c r="K612" s="1736"/>
      <c r="L612" s="1736"/>
      <c r="M612" s="1736"/>
      <c r="N612" s="1737"/>
      <c r="O612" s="1658">
        <f>Application!BS626</f>
        <v>56</v>
      </c>
      <c r="P612" s="1659"/>
      <c r="Q612" s="1659"/>
      <c r="R612" s="1659"/>
      <c r="S612" s="1660"/>
      <c r="T612" s="1658">
        <f>Application!CX627</f>
        <v>12</v>
      </c>
      <c r="U612" s="1659"/>
      <c r="V612" s="1659"/>
      <c r="W612" s="1659"/>
      <c r="X612" s="1660"/>
      <c r="Y612" s="1742">
        <f t="shared" si="8"/>
        <v>0.21428571428571427</v>
      </c>
      <c r="Z612" s="1743"/>
      <c r="AA612" s="1743"/>
      <c r="AB612" s="1743"/>
      <c r="AC612" s="1744"/>
      <c r="AD612"/>
      <c r="AF612"/>
      <c r="AG612"/>
      <c r="AH612"/>
      <c r="AI612"/>
      <c r="AJ612"/>
      <c r="AO612" s="955">
        <f t="shared" si="9"/>
        <v>6</v>
      </c>
      <c r="AP612" s="206"/>
      <c r="AR612" s="956" t="b">
        <f>OR(SUM($T$608:T612)&gt;=$AR$606,T612&gt;=AO612)</f>
        <v>1</v>
      </c>
    </row>
    <row r="613" spans="1:60">
      <c r="D613"/>
      <c r="E613"/>
      <c r="F613"/>
      <c r="G613"/>
      <c r="H613"/>
      <c r="I613"/>
      <c r="J613" s="1735" t="s">
        <v>616</v>
      </c>
      <c r="K613" s="1736"/>
      <c r="L613" s="1736"/>
      <c r="M613" s="1736"/>
      <c r="N613" s="1737"/>
      <c r="O613" s="1658">
        <f>Application!BN626</f>
        <v>0</v>
      </c>
      <c r="P613" s="1659"/>
      <c r="Q613" s="1659"/>
      <c r="R613" s="1659"/>
      <c r="S613" s="1660"/>
      <c r="T613" s="1658">
        <f>Application!CS627</f>
        <v>0</v>
      </c>
      <c r="U613" s="1659"/>
      <c r="V613" s="1659"/>
      <c r="W613" s="1659"/>
      <c r="X613" s="1660"/>
      <c r="Y613" s="1742">
        <f>IF(T613&gt;0,T613/O613,0)</f>
        <v>0</v>
      </c>
      <c r="Z613" s="1743"/>
      <c r="AA613" s="1743"/>
      <c r="AB613" s="1743"/>
      <c r="AC613" s="1744"/>
      <c r="AD613"/>
      <c r="AF613"/>
      <c r="AG613"/>
      <c r="AH613"/>
      <c r="AI613"/>
      <c r="AJ613"/>
      <c r="AO613" s="955">
        <f t="shared" si="9"/>
        <v>0</v>
      </c>
      <c r="AP613" s="206"/>
      <c r="AR613" s="956" t="b">
        <f>OR(SUM($T$608:T613)&gt;=$AR$606,T613&gt;=AO613)</f>
        <v>1</v>
      </c>
    </row>
    <row r="614" spans="1:60">
      <c r="D614"/>
      <c r="E614"/>
      <c r="F614"/>
      <c r="G614"/>
      <c r="H614"/>
      <c r="I614"/>
      <c r="J614" s="1157" t="s">
        <v>877</v>
      </c>
      <c r="K614" s="1158"/>
      <c r="L614" s="1158"/>
      <c r="M614" s="1158"/>
      <c r="N614" s="1159"/>
      <c r="O614" s="1724">
        <f>SUM(O608:S613)</f>
        <v>56</v>
      </c>
      <c r="P614" s="1725"/>
      <c r="Q614" s="1725"/>
      <c r="R614" s="1725"/>
      <c r="S614" s="1726"/>
      <c r="T614" s="1724">
        <f>SUM(T608:X613)</f>
        <v>12</v>
      </c>
      <c r="U614" s="1725"/>
      <c r="V614" s="1725"/>
      <c r="W614" s="1725"/>
      <c r="X614" s="1726"/>
      <c r="Y614" s="1801">
        <f>IF(T614&gt;0,T614/O614,0)</f>
        <v>0.21428571428571427</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6" t="s">
        <v>1510</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781">
        <f>IF(AND(AR605,AR608,AR609,AR610,AR611,AR612,AR613),2,0)</f>
        <v>2</v>
      </c>
      <c r="AK617" s="178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180</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269">
        <f>IF($E$592=Application!G730,$AC$592+$AJ$617,0)</f>
        <v>52</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5" t="s">
        <v>1511</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2" t="s">
        <v>108</v>
      </c>
      <c r="D627" s="1102"/>
      <c r="E627" s="185"/>
      <c r="F627" s="1883" t="s">
        <v>2225</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9" t="s">
        <v>939</v>
      </c>
      <c r="AH627" s="1039"/>
      <c r="AI627" s="1039"/>
      <c r="AJ627" s="1039"/>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7"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5" t="s">
        <v>2230</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7"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7"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7"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7"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7"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7"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4"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2" t="s">
        <v>124</v>
      </c>
      <c r="D650" s="1102"/>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2" t="s">
        <v>124</v>
      </c>
      <c r="D655" s="1102"/>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2" t="s">
        <v>108</v>
      </c>
      <c r="D659" s="1102"/>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2" t="s">
        <v>124</v>
      </c>
      <c r="D663" s="1102"/>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2" t="s">
        <v>124</v>
      </c>
      <c r="D665" s="1102"/>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2" t="s">
        <v>124</v>
      </c>
      <c r="D670" s="1102"/>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2" t="s">
        <v>124</v>
      </c>
      <c r="D673" s="1102"/>
      <c r="E673" s="185" t="s">
        <v>281</v>
      </c>
      <c r="F673" s="1675" t="s">
        <v>2216</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9" t="s">
        <v>723</v>
      </c>
      <c r="B691" s="1799"/>
      <c r="C691" s="1799"/>
      <c r="D691" s="1799"/>
      <c r="E691" s="1799"/>
      <c r="F691" s="1799"/>
      <c r="G691" s="1799"/>
      <c r="H691" s="1799"/>
      <c r="I691" s="1799"/>
      <c r="J691" s="1799"/>
      <c r="K691" s="1799"/>
      <c r="L691" s="1799"/>
      <c r="M691" s="1799"/>
      <c r="N691" s="1799"/>
      <c r="O691" s="1799"/>
      <c r="P691" s="1799"/>
      <c r="Q691" s="1799"/>
      <c r="R691" s="1799"/>
      <c r="S691" s="1799"/>
      <c r="T691" s="1799"/>
      <c r="U691" s="1799"/>
      <c r="V691" s="1799"/>
      <c r="W691" s="1799"/>
      <c r="X691" s="1799"/>
      <c r="Y691" s="1799"/>
      <c r="Z691" s="1799"/>
      <c r="AA691" s="1799"/>
      <c r="AB691" s="1799"/>
      <c r="AC691" s="1799"/>
      <c r="AD691" s="1799"/>
      <c r="AE691" s="1799"/>
      <c r="AF691" s="1799"/>
      <c r="AG691" s="1799"/>
      <c r="AH691" s="1799"/>
      <c r="AI691" s="1799"/>
      <c r="AJ691" s="1799"/>
      <c r="AK691" s="1799"/>
      <c r="AL691" s="1799"/>
      <c r="AM691" s="1799"/>
      <c r="AO691" s="206"/>
      <c r="AP691" s="206"/>
      <c r="AQ691" s="206"/>
    </row>
    <row r="692" spans="1:43">
      <c r="A692" s="1800"/>
      <c r="B692" s="1800"/>
      <c r="C692" s="1800"/>
      <c r="D692" s="1800"/>
      <c r="E692" s="1800"/>
      <c r="F692" s="1800"/>
      <c r="G692" s="1800"/>
      <c r="H692" s="1800"/>
      <c r="I692" s="1800"/>
      <c r="J692" s="1800"/>
      <c r="K692" s="1800"/>
      <c r="L692" s="1800"/>
      <c r="M692" s="1800"/>
      <c r="N692" s="1800"/>
      <c r="O692" s="1800"/>
      <c r="P692" s="1800"/>
      <c r="Q692" s="1800"/>
      <c r="R692" s="1800"/>
      <c r="S692" s="1800"/>
      <c r="T692" s="1800"/>
      <c r="U692" s="1800"/>
      <c r="V692" s="1800"/>
      <c r="W692" s="1800"/>
      <c r="X692" s="1800"/>
      <c r="Y692" s="1800"/>
      <c r="Z692" s="1800"/>
      <c r="AA692" s="1800"/>
      <c r="AB692" s="1800"/>
      <c r="AC692" s="1800"/>
      <c r="AD692" s="1800"/>
      <c r="AE692" s="1800"/>
      <c r="AF692" s="1800"/>
      <c r="AG692" s="1800"/>
      <c r="AH692" s="1800"/>
      <c r="AI692" s="1800"/>
      <c r="AJ692" s="1800"/>
      <c r="AK692" s="1800"/>
      <c r="AL692" s="1800"/>
      <c r="AM692" s="180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3" t="s">
        <v>1945</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6">
        <f>IF(T703&gt;15,15,T703)</f>
        <v>15</v>
      </c>
      <c r="AP694" s="206"/>
      <c r="AQ694" s="206"/>
    </row>
    <row r="695" spans="1:43">
      <c r="A695" s="1173" t="s">
        <v>1946</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4" t="s">
        <v>234</v>
      </c>
      <c r="U696" s="1552"/>
      <c r="V696" s="1552"/>
      <c r="W696" s="1552"/>
      <c r="X696" s="1552"/>
      <c r="Y696" s="1553"/>
      <c r="Z696" s="1554" t="s">
        <v>233</v>
      </c>
      <c r="AA696" s="1552"/>
      <c r="AB696" s="1552"/>
      <c r="AC696" s="1552"/>
      <c r="AD696" s="1552"/>
      <c r="AE696" s="1553"/>
      <c r="AF696" s="1554" t="s">
        <v>235</v>
      </c>
      <c r="AG696" s="1552"/>
      <c r="AH696" s="1552"/>
      <c r="AI696" s="1552"/>
      <c r="AJ696" s="1552"/>
      <c r="AK696" s="1553"/>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5"/>
      <c r="U697" s="1546"/>
      <c r="V697" s="1546"/>
      <c r="W697" s="1546"/>
      <c r="X697" s="1546"/>
      <c r="Y697" s="1547"/>
      <c r="Z697" s="1545"/>
      <c r="AA697" s="1546"/>
      <c r="AB697" s="1546"/>
      <c r="AC697" s="1546"/>
      <c r="AD697" s="1546"/>
      <c r="AE697" s="1547"/>
      <c r="AF697" s="1545"/>
      <c r="AG697" s="1546"/>
      <c r="AH697" s="1546"/>
      <c r="AI697" s="1546"/>
      <c r="AJ697" s="1546"/>
      <c r="AK697" s="1547"/>
      <c r="AL697" s="778"/>
      <c r="AM697" s="20"/>
    </row>
    <row r="698" spans="1:43">
      <c r="A698" s="594" t="s">
        <v>654</v>
      </c>
      <c r="B698" s="1768" t="s">
        <v>270</v>
      </c>
      <c r="C698" s="1768"/>
      <c r="D698" s="1768"/>
      <c r="E698" s="1768"/>
      <c r="F698" s="1768"/>
      <c r="G698" s="1768"/>
      <c r="H698" s="1768"/>
      <c r="I698" s="1768"/>
      <c r="J698" s="1768"/>
      <c r="K698" s="1768"/>
      <c r="L698" s="1768"/>
      <c r="M698" s="1768"/>
      <c r="N698" s="1768"/>
      <c r="O698" s="1768"/>
      <c r="P698" s="1768"/>
      <c r="Q698" s="1768"/>
      <c r="R698" s="1768"/>
      <c r="S698" s="1769"/>
      <c r="T698" s="1767">
        <f>SUM(T699:Y700)</f>
        <v>10</v>
      </c>
      <c r="U698" s="1767"/>
      <c r="V698" s="1767"/>
      <c r="W698" s="1767"/>
      <c r="X698" s="1767"/>
      <c r="Y698" s="1767"/>
      <c r="Z698" s="1501">
        <v>10</v>
      </c>
      <c r="AA698" s="1501"/>
      <c r="AB698" s="1501"/>
      <c r="AC698" s="1501"/>
      <c r="AD698" s="1501"/>
      <c r="AE698" s="1501"/>
      <c r="AF698" s="1501">
        <f>IF(T698&gt;Z698,Z698,T698)</f>
        <v>10</v>
      </c>
      <c r="AG698" s="1501"/>
      <c r="AH698" s="1501"/>
      <c r="AI698" s="1501"/>
      <c r="AJ698" s="1501"/>
      <c r="AK698" s="1501"/>
      <c r="AL698" s="778"/>
      <c r="AM698" s="20"/>
      <c r="AO698" s="4">
        <f>IF(T707&gt;50,50,T707)</f>
        <v>50</v>
      </c>
    </row>
    <row r="699" spans="1:43">
      <c r="A699" s="614"/>
      <c r="B699" s="615"/>
      <c r="C699" s="620"/>
      <c r="D699" s="306" t="s">
        <v>210</v>
      </c>
      <c r="E699" s="1771" t="s">
        <v>236</v>
      </c>
      <c r="F699" s="1771"/>
      <c r="G699" s="1771"/>
      <c r="H699" s="1771"/>
      <c r="I699" s="1771"/>
      <c r="J699" s="1771"/>
      <c r="K699" s="1771"/>
      <c r="L699" s="1771"/>
      <c r="M699" s="1771"/>
      <c r="N699" s="1771"/>
      <c r="O699" s="1771"/>
      <c r="P699" s="1771"/>
      <c r="Q699" s="1771"/>
      <c r="R699" s="1771"/>
      <c r="S699" s="1772"/>
      <c r="T699" s="1770">
        <f>AJ31</f>
        <v>7</v>
      </c>
      <c r="U699" s="1770"/>
      <c r="V699" s="1770"/>
      <c r="W699" s="1770"/>
      <c r="X699" s="1770"/>
      <c r="Y699" s="1770"/>
      <c r="Z699" s="1670">
        <v>7</v>
      </c>
      <c r="AA699" s="1670"/>
      <c r="AB699" s="1670"/>
      <c r="AC699" s="1670"/>
      <c r="AD699" s="1670"/>
      <c r="AE699" s="1670"/>
      <c r="AF699" s="1783"/>
      <c r="AG699" s="1783"/>
      <c r="AH699" s="1783"/>
      <c r="AI699" s="1783"/>
      <c r="AJ699" s="1783"/>
      <c r="AK699" s="1783"/>
      <c r="AL699" s="778"/>
      <c r="AM699" s="20"/>
    </row>
    <row r="700" spans="1:43">
      <c r="A700" s="616"/>
      <c r="B700" s="615"/>
      <c r="C700" s="615"/>
      <c r="D700" s="306" t="s">
        <v>429</v>
      </c>
      <c r="E700" s="1771" t="s">
        <v>237</v>
      </c>
      <c r="F700" s="1771"/>
      <c r="G700" s="1771"/>
      <c r="H700" s="1771"/>
      <c r="I700" s="1771"/>
      <c r="J700" s="1771"/>
      <c r="K700" s="1771"/>
      <c r="L700" s="1771"/>
      <c r="M700" s="1771"/>
      <c r="N700" s="1771"/>
      <c r="O700" s="1771"/>
      <c r="P700" s="1771"/>
      <c r="Q700" s="1771"/>
      <c r="R700" s="1771"/>
      <c r="S700" s="1772"/>
      <c r="T700" s="1770">
        <f>AJ47</f>
        <v>3</v>
      </c>
      <c r="U700" s="1770"/>
      <c r="V700" s="1770"/>
      <c r="W700" s="1770"/>
      <c r="X700" s="1770"/>
      <c r="Y700" s="1770"/>
      <c r="Z700" s="1670">
        <v>3</v>
      </c>
      <c r="AA700" s="1670"/>
      <c r="AB700" s="1670"/>
      <c r="AC700" s="1670"/>
      <c r="AD700" s="1670"/>
      <c r="AE700" s="1670"/>
      <c r="AF700" s="1783"/>
      <c r="AG700" s="1783"/>
      <c r="AH700" s="1783"/>
      <c r="AI700" s="1783"/>
      <c r="AJ700" s="1783"/>
      <c r="AK700" s="1783"/>
      <c r="AL700" s="778"/>
      <c r="AM700" s="20"/>
    </row>
    <row r="701" spans="1:43">
      <c r="A701" s="594" t="s">
        <v>8</v>
      </c>
      <c r="B701" s="1768" t="s">
        <v>271</v>
      </c>
      <c r="C701" s="1768"/>
      <c r="D701" s="1768"/>
      <c r="E701" s="1768"/>
      <c r="F701" s="1768"/>
      <c r="G701" s="1768"/>
      <c r="H701" s="1768"/>
      <c r="I701" s="1768"/>
      <c r="J701" s="1768"/>
      <c r="K701" s="1768"/>
      <c r="L701" s="1768"/>
      <c r="M701" s="1768"/>
      <c r="N701" s="1768"/>
      <c r="O701" s="1768"/>
      <c r="P701" s="1768"/>
      <c r="Q701" s="1768"/>
      <c r="R701" s="1768"/>
      <c r="S701" s="1769"/>
      <c r="T701" s="1767">
        <f>AK68</f>
        <v>10</v>
      </c>
      <c r="U701" s="1767"/>
      <c r="V701" s="1767"/>
      <c r="W701" s="1767"/>
      <c r="X701" s="1767"/>
      <c r="Y701" s="1767"/>
      <c r="Z701" s="1501">
        <v>10</v>
      </c>
      <c r="AA701" s="1501"/>
      <c r="AB701" s="1501"/>
      <c r="AC701" s="1501"/>
      <c r="AD701" s="1501"/>
      <c r="AE701" s="1501"/>
      <c r="AF701" s="1501">
        <f>IF(T701&gt;Z701,Z701,T701)</f>
        <v>10</v>
      </c>
      <c r="AG701" s="1501"/>
      <c r="AH701" s="1501"/>
      <c r="AI701" s="1501"/>
      <c r="AJ701" s="1501"/>
      <c r="AK701" s="1501"/>
      <c r="AL701" s="778"/>
      <c r="AM701" s="20"/>
    </row>
    <row r="702" spans="1:43">
      <c r="A702" s="594" t="s">
        <v>119</v>
      </c>
      <c r="B702" s="1768" t="s">
        <v>272</v>
      </c>
      <c r="C702" s="1768"/>
      <c r="D702" s="1768"/>
      <c r="E702" s="1768"/>
      <c r="F702" s="1768"/>
      <c r="G702" s="1768"/>
      <c r="H702" s="1768"/>
      <c r="I702" s="1768"/>
      <c r="J702" s="1768"/>
      <c r="K702" s="1768"/>
      <c r="L702" s="1768"/>
      <c r="M702" s="1768"/>
      <c r="N702" s="1768"/>
      <c r="O702" s="1768"/>
      <c r="P702" s="1768"/>
      <c r="Q702" s="1768"/>
      <c r="R702" s="1768"/>
      <c r="S702" s="1769"/>
      <c r="T702" s="1767">
        <f>AO693</f>
        <v>25</v>
      </c>
      <c r="U702" s="1767">
        <f>IF(AND(AND(A703&gt;15,15+A704),A704&gt;10,A703+10),A702,0)</f>
        <v>0</v>
      </c>
      <c r="V702" s="1767">
        <f>IF(AND(AND(B703&gt;15,15+B704),B704&gt;10,B703+10),#REF!,0)</f>
        <v>0</v>
      </c>
      <c r="W702" s="1767">
        <f>IF(AND(AND(C703&gt;15,15+C704),C704&gt;10,C703+10),B702,0)</f>
        <v>0</v>
      </c>
      <c r="X702" s="1767" t="e">
        <f>IF(AND(AND(D703&gt;15,15+D704),D704&gt;10,D703+10),D702,0)</f>
        <v>#VALUE!</v>
      </c>
      <c r="Y702" s="1767" t="e">
        <f>IF(AND(AND(E703&gt;15,15+E704),E704&gt;10,E703+10),E702,0)</f>
        <v>#VALUE!</v>
      </c>
      <c r="Z702" s="1501">
        <v>25</v>
      </c>
      <c r="AA702" s="1501"/>
      <c r="AB702" s="1501"/>
      <c r="AC702" s="1501"/>
      <c r="AD702" s="1501"/>
      <c r="AE702" s="1501"/>
      <c r="AF702" s="1501">
        <f>IF(T702&gt;Z702,Z702,T702)</f>
        <v>25</v>
      </c>
      <c r="AG702" s="1501"/>
      <c r="AH702" s="1501"/>
      <c r="AI702" s="1501"/>
      <c r="AJ702" s="1501"/>
      <c r="AK702" s="1501"/>
      <c r="AL702" s="778"/>
      <c r="AM702" s="20"/>
    </row>
    <row r="703" spans="1:43">
      <c r="A703" s="594"/>
      <c r="B703" s="615"/>
      <c r="C703" s="615"/>
      <c r="D703" s="306" t="s">
        <v>1469</v>
      </c>
      <c r="E703" s="1771" t="s">
        <v>294</v>
      </c>
      <c r="F703" s="1771"/>
      <c r="G703" s="1771"/>
      <c r="H703" s="1771"/>
      <c r="I703" s="1771"/>
      <c r="J703" s="1771"/>
      <c r="K703" s="1771"/>
      <c r="L703" s="1771"/>
      <c r="M703" s="1771"/>
      <c r="N703" s="1771"/>
      <c r="O703" s="1771"/>
      <c r="P703" s="1771"/>
      <c r="Q703" s="1771"/>
      <c r="R703" s="1771"/>
      <c r="S703" s="1772"/>
      <c r="T703" s="1770">
        <f>AK283</f>
        <v>23</v>
      </c>
      <c r="U703" s="1770"/>
      <c r="V703" s="1770"/>
      <c r="W703" s="1770"/>
      <c r="X703" s="1770"/>
      <c r="Y703" s="1770"/>
      <c r="Z703" s="1670">
        <v>15</v>
      </c>
      <c r="AA703" s="1670"/>
      <c r="AB703" s="1670"/>
      <c r="AC703" s="1670"/>
      <c r="AD703" s="1670"/>
      <c r="AE703" s="1670"/>
      <c r="AF703" s="1783"/>
      <c r="AG703" s="1783"/>
      <c r="AH703" s="1783"/>
      <c r="AI703" s="1783"/>
      <c r="AJ703" s="1783"/>
      <c r="AK703" s="1783"/>
      <c r="AL703" s="778"/>
      <c r="AM703" s="20"/>
    </row>
    <row r="704" spans="1:43">
      <c r="A704" s="617"/>
      <c r="B704" s="90"/>
      <c r="C704" s="90"/>
      <c r="D704" s="618" t="s">
        <v>1470</v>
      </c>
      <c r="E704" s="1771" t="s">
        <v>295</v>
      </c>
      <c r="F704" s="1771"/>
      <c r="G704" s="1771"/>
      <c r="H704" s="1771"/>
      <c r="I704" s="1771"/>
      <c r="J704" s="1771"/>
      <c r="K704" s="1771"/>
      <c r="L704" s="1771"/>
      <c r="M704" s="1771"/>
      <c r="N704" s="1771"/>
      <c r="O704" s="1771"/>
      <c r="P704" s="1771"/>
      <c r="Q704" s="1771"/>
      <c r="R704" s="1771"/>
      <c r="S704" s="1772"/>
      <c r="T704" s="1770">
        <f>AK474</f>
        <v>10</v>
      </c>
      <c r="U704" s="1770"/>
      <c r="V704" s="1770"/>
      <c r="W704" s="1770"/>
      <c r="X704" s="1770"/>
      <c r="Y704" s="1770"/>
      <c r="Z704" s="1670">
        <v>10</v>
      </c>
      <c r="AA704" s="1670"/>
      <c r="AB704" s="1670"/>
      <c r="AC704" s="1670"/>
      <c r="AD704" s="1670"/>
      <c r="AE704" s="1670"/>
      <c r="AF704" s="1783"/>
      <c r="AG704" s="1783"/>
      <c r="AH704" s="1783"/>
      <c r="AI704" s="1783"/>
      <c r="AJ704" s="1783"/>
      <c r="AK704" s="1783"/>
      <c r="AL704" s="778"/>
      <c r="AM704" s="20"/>
    </row>
    <row r="705" spans="1:39" hidden="1">
      <c r="A705" s="594" t="s">
        <v>122</v>
      </c>
      <c r="B705" s="1768" t="s">
        <v>541</v>
      </c>
      <c r="C705" s="1768"/>
      <c r="D705" s="1768"/>
      <c r="E705" s="1768"/>
      <c r="F705" s="1768"/>
      <c r="G705" s="1768"/>
      <c r="H705" s="1768"/>
      <c r="I705" s="1768"/>
      <c r="J705" s="1768"/>
      <c r="K705" s="1768"/>
      <c r="L705" s="1768"/>
      <c r="M705" s="1768"/>
      <c r="N705" s="1768"/>
      <c r="O705" s="1768"/>
      <c r="P705" s="1768"/>
      <c r="Q705" s="1768"/>
      <c r="R705" s="1768"/>
      <c r="S705" s="1769"/>
      <c r="T705" s="1767"/>
      <c r="U705" s="1767"/>
      <c r="V705" s="1767"/>
      <c r="W705" s="1767"/>
      <c r="X705" s="1767"/>
      <c r="Y705" s="1767"/>
      <c r="Z705" s="1501"/>
      <c r="AA705" s="1501"/>
      <c r="AB705" s="1501"/>
      <c r="AC705" s="1501"/>
      <c r="AD705" s="1501"/>
      <c r="AE705" s="1501"/>
      <c r="AF705" s="1501"/>
      <c r="AG705" s="1501"/>
      <c r="AH705" s="1501"/>
      <c r="AI705" s="1501"/>
      <c r="AJ705" s="1501"/>
      <c r="AK705" s="1501"/>
      <c r="AL705" s="778"/>
      <c r="AM705" s="20"/>
    </row>
    <row r="706" spans="1:39">
      <c r="A706" s="594" t="s">
        <v>122</v>
      </c>
      <c r="B706" s="1768" t="s">
        <v>542</v>
      </c>
      <c r="C706" s="1768"/>
      <c r="D706" s="1768"/>
      <c r="E706" s="1768"/>
      <c r="F706" s="1768"/>
      <c r="G706" s="1768"/>
      <c r="H706" s="1768"/>
      <c r="I706" s="1768"/>
      <c r="J706" s="1768"/>
      <c r="K706" s="1768"/>
      <c r="L706" s="1768"/>
      <c r="M706" s="1768"/>
      <c r="N706" s="1768"/>
      <c r="O706" s="1768"/>
      <c r="P706" s="1768"/>
      <c r="Q706" s="1768"/>
      <c r="R706" s="1768"/>
      <c r="S706" s="1769"/>
      <c r="T706" s="1789">
        <f>IF(SUM(T707:Y708)&gt;52,52,SUM(T707:Y708))</f>
        <v>52</v>
      </c>
      <c r="U706" s="1763"/>
      <c r="V706" s="1763"/>
      <c r="W706" s="1763"/>
      <c r="X706" s="1763"/>
      <c r="Y706" s="1763"/>
      <c r="Z706" s="1763">
        <v>52</v>
      </c>
      <c r="AA706" s="1763"/>
      <c r="AB706" s="1763"/>
      <c r="AC706" s="1763"/>
      <c r="AD706" s="1763"/>
      <c r="AE706" s="1763"/>
      <c r="AF706" s="1763">
        <f>$AO$698+$T$708</f>
        <v>52</v>
      </c>
      <c r="AG706" s="1763"/>
      <c r="AH706" s="1763"/>
      <c r="AI706" s="1763"/>
      <c r="AJ706" s="1763"/>
      <c r="AK706" s="1763"/>
      <c r="AL706" s="778"/>
      <c r="AM706" s="20"/>
    </row>
    <row r="707" spans="1:39">
      <c r="A707" s="619"/>
      <c r="B707" s="621"/>
      <c r="C707" s="621"/>
      <c r="D707" s="622" t="s">
        <v>2221</v>
      </c>
      <c r="E707" s="1771" t="s">
        <v>183</v>
      </c>
      <c r="F707" s="1771"/>
      <c r="G707" s="1771"/>
      <c r="H707" s="1771"/>
      <c r="I707" s="1771"/>
      <c r="J707" s="1771"/>
      <c r="K707" s="1771"/>
      <c r="L707" s="1771"/>
      <c r="M707" s="1771"/>
      <c r="N707" s="1771"/>
      <c r="O707" s="1771"/>
      <c r="P707" s="1771"/>
      <c r="Q707" s="1771"/>
      <c r="R707" s="1771"/>
      <c r="S707" s="1772"/>
      <c r="T707" s="1764">
        <f>AC592</f>
        <v>50</v>
      </c>
      <c r="U707" s="1765"/>
      <c r="V707" s="1765"/>
      <c r="W707" s="1765"/>
      <c r="X707" s="1765"/>
      <c r="Y707" s="1766"/>
      <c r="Z707" s="1764">
        <v>50</v>
      </c>
      <c r="AA707" s="1765"/>
      <c r="AB707" s="1765"/>
      <c r="AC707" s="1765"/>
      <c r="AD707" s="1765"/>
      <c r="AE707" s="1766"/>
      <c r="AF707" s="1796"/>
      <c r="AG707" s="1797"/>
      <c r="AH707" s="1797"/>
      <c r="AI707" s="1797"/>
      <c r="AJ707" s="1797"/>
      <c r="AK707" s="1798"/>
      <c r="AL707" s="778"/>
      <c r="AM707" s="4"/>
    </row>
    <row r="708" spans="1:39">
      <c r="A708" s="623"/>
      <c r="B708" s="615"/>
      <c r="C708" s="615"/>
      <c r="D708" s="306" t="s">
        <v>2222</v>
      </c>
      <c r="E708" s="1771" t="s">
        <v>269</v>
      </c>
      <c r="F708" s="1771"/>
      <c r="G708" s="1771"/>
      <c r="H708" s="1771"/>
      <c r="I708" s="1771"/>
      <c r="J708" s="1771"/>
      <c r="K708" s="1771"/>
      <c r="L708" s="1771"/>
      <c r="M708" s="1771"/>
      <c r="N708" s="1771"/>
      <c r="O708" s="1771"/>
      <c r="P708" s="1771"/>
      <c r="Q708" s="1771"/>
      <c r="R708" s="1771"/>
      <c r="S708" s="1772"/>
      <c r="T708" s="1750">
        <f>IF(AJ617&gt;0,2,0)</f>
        <v>2</v>
      </c>
      <c r="U708" s="1751"/>
      <c r="V708" s="1751"/>
      <c r="W708" s="1751"/>
      <c r="X708" s="1751"/>
      <c r="Y708" s="1752"/>
      <c r="Z708" s="1269">
        <v>2</v>
      </c>
      <c r="AA708" s="1270"/>
      <c r="AB708" s="1270"/>
      <c r="AC708" s="1270"/>
      <c r="AD708" s="1270"/>
      <c r="AE708" s="1271"/>
      <c r="AF708" s="1786"/>
      <c r="AG708" s="1787"/>
      <c r="AH708" s="1787"/>
      <c r="AI708" s="1787"/>
      <c r="AJ708" s="1787"/>
      <c r="AK708" s="1788"/>
      <c r="AL708" s="778"/>
      <c r="AM708" s="4"/>
    </row>
    <row r="709" spans="1:39">
      <c r="A709" s="619" t="s">
        <v>123</v>
      </c>
      <c r="B709" s="1768" t="s">
        <v>543</v>
      </c>
      <c r="C709" s="1768"/>
      <c r="D709" s="1768"/>
      <c r="E709" s="1768"/>
      <c r="F709" s="1768"/>
      <c r="G709" s="1768"/>
      <c r="H709" s="1768"/>
      <c r="I709" s="1768"/>
      <c r="J709" s="1768"/>
      <c r="K709" s="1768"/>
      <c r="L709" s="1768"/>
      <c r="M709" s="1768"/>
      <c r="N709" s="1768"/>
      <c r="O709" s="1768"/>
      <c r="P709" s="1768"/>
      <c r="Q709" s="1768"/>
      <c r="R709" s="1768"/>
      <c r="S709" s="1769"/>
      <c r="T709" s="1767">
        <f>AK645</f>
        <v>10</v>
      </c>
      <c r="U709" s="1767"/>
      <c r="V709" s="1767"/>
      <c r="W709" s="1767"/>
      <c r="X709" s="1767"/>
      <c r="Y709" s="1767"/>
      <c r="Z709" s="1501">
        <v>10</v>
      </c>
      <c r="AA709" s="1501"/>
      <c r="AB709" s="1501"/>
      <c r="AC709" s="1501"/>
      <c r="AD709" s="1501"/>
      <c r="AE709" s="1501"/>
      <c r="AF709" s="1350">
        <f>IF(T709&gt;Z709,Z709,T709)</f>
        <v>10</v>
      </c>
      <c r="AG709" s="1351"/>
      <c r="AH709" s="1351"/>
      <c r="AI709" s="1351"/>
      <c r="AJ709" s="1351"/>
      <c r="AK709" s="1369"/>
      <c r="AL709" s="778"/>
      <c r="AM709" s="20"/>
    </row>
    <row r="710" spans="1:39">
      <c r="A710" s="619" t="s">
        <v>125</v>
      </c>
      <c r="B710" s="1768" t="s">
        <v>986</v>
      </c>
      <c r="C710" s="1768"/>
      <c r="D710" s="1768"/>
      <c r="E710" s="1768"/>
      <c r="F710" s="1768"/>
      <c r="G710" s="1768"/>
      <c r="H710" s="1768"/>
      <c r="I710" s="1768"/>
      <c r="J710" s="1768"/>
      <c r="K710" s="1768"/>
      <c r="L710" s="1768"/>
      <c r="M710" s="1768"/>
      <c r="N710" s="1768"/>
      <c r="O710" s="1768"/>
      <c r="P710" s="1768"/>
      <c r="Q710" s="1768"/>
      <c r="R710" s="1768"/>
      <c r="S710" s="1769"/>
      <c r="T710" s="1790">
        <f>IF(AK688&gt;2,2,AK688)</f>
        <v>2</v>
      </c>
      <c r="U710" s="1791"/>
      <c r="V710" s="1791"/>
      <c r="W710" s="1791"/>
      <c r="X710" s="1791"/>
      <c r="Y710" s="1792"/>
      <c r="Z710" s="1350">
        <v>2</v>
      </c>
      <c r="AA710" s="1351"/>
      <c r="AB710" s="1351"/>
      <c r="AC710" s="1351"/>
      <c r="AD710" s="1351"/>
      <c r="AE710" s="1369"/>
      <c r="AF710" s="1350">
        <f>IF(T710&gt;Z710,Z710,T710)</f>
        <v>2</v>
      </c>
      <c r="AG710" s="1784"/>
      <c r="AH710" s="1784"/>
      <c r="AI710" s="1784"/>
      <c r="AJ710" s="1784"/>
      <c r="AK710" s="1785"/>
      <c r="AL710" s="3"/>
      <c r="AM710" s="20"/>
    </row>
    <row r="711" spans="1:39">
      <c r="A711" s="1864" t="s">
        <v>297</v>
      </c>
      <c r="B711" s="1768"/>
      <c r="C711" s="1768"/>
      <c r="D711" s="1768"/>
      <c r="E711" s="1768"/>
      <c r="F711" s="1768"/>
      <c r="G711" s="1768"/>
      <c r="H711" s="1768"/>
      <c r="I711" s="1768"/>
      <c r="J711" s="1768"/>
      <c r="K711" s="1768"/>
      <c r="L711" s="1768"/>
      <c r="M711" s="1768"/>
      <c r="N711" s="1768"/>
      <c r="O711" s="1768"/>
      <c r="P711" s="1768"/>
      <c r="Q711" s="1768"/>
      <c r="R711" s="1768"/>
      <c r="S711" s="1769"/>
      <c r="T711" s="1095"/>
      <c r="U711" s="1095"/>
      <c r="V711" s="1095"/>
      <c r="W711" s="1095"/>
      <c r="X711" s="1095"/>
      <c r="Y711" s="1095"/>
      <c r="Z711" s="1670" t="s">
        <v>296</v>
      </c>
      <c r="AA711" s="1670"/>
      <c r="AB711" s="1670"/>
      <c r="AC711" s="1670"/>
      <c r="AD711" s="1670"/>
      <c r="AE711" s="1670"/>
      <c r="AF711" s="1350">
        <f>IF(T711&gt;0,T711,0)</f>
        <v>0</v>
      </c>
      <c r="AG711" s="1351"/>
      <c r="AH711" s="1351"/>
      <c r="AI711" s="1351"/>
      <c r="AJ711" s="1351"/>
      <c r="AK711" s="1369"/>
      <c r="AL711" s="18"/>
      <c r="AM711" s="20"/>
    </row>
    <row r="712" spans="1:39" ht="15.75">
      <c r="A712" s="1854" t="s">
        <v>722</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3">
        <f>SUM(AF698:AK710)-AF711</f>
        <v>109</v>
      </c>
      <c r="AG712" s="1774"/>
      <c r="AH712" s="1774"/>
      <c r="AI712" s="1774"/>
      <c r="AJ712" s="1774"/>
      <c r="AK712" s="1775"/>
      <c r="AL712" s="779"/>
      <c r="AM712" s="4"/>
    </row>
    <row r="713" spans="1:39" ht="12.4"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6"/>
      <c r="AG713" s="1777"/>
      <c r="AH713" s="1777"/>
      <c r="AI713" s="1777"/>
      <c r="AJ713" s="1777"/>
      <c r="AK713" s="1778"/>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652"/>
    </row>
    <row r="715" spans="1:39" ht="12.4"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652"/>
    </row>
    <row r="716" spans="1:39" ht="12.4"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652"/>
    </row>
    <row r="717" spans="1:39" ht="12.4"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652"/>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652"/>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652"/>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9" t="s">
        <v>2038</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2039</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2042</v>
      </c>
      <c r="I6" s="899"/>
      <c r="K6" s="900"/>
      <c r="U6" s="1908"/>
      <c r="V6" s="1908"/>
      <c r="W6" s="1908"/>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899"/>
      <c r="Q9" s="1899"/>
      <c r="R9" s="1899"/>
      <c r="S9" s="1899"/>
      <c r="T9" s="1899"/>
    </row>
    <row r="10" spans="1:57">
      <c r="A10" s="898"/>
      <c r="B10" s="898"/>
      <c r="I10" s="899"/>
      <c r="K10" s="900"/>
    </row>
    <row r="11" spans="1:57">
      <c r="A11" s="1898" t="s">
        <v>2045</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483</v>
      </c>
    </row>
    <row r="13" spans="1:57">
      <c r="A13" s="898"/>
      <c r="B13" s="898"/>
      <c r="D13" s="896" t="s">
        <v>2046</v>
      </c>
      <c r="I13" s="899"/>
      <c r="K13" s="900"/>
      <c r="T13" s="1908"/>
      <c r="U13" s="1908"/>
      <c r="V13" s="1908"/>
    </row>
    <row r="14" spans="1:57">
      <c r="A14" s="898"/>
      <c r="B14" s="898"/>
      <c r="E14" s="896" t="s">
        <v>2053</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1125000</v>
      </c>
    </row>
    <row r="16" spans="1:57">
      <c r="A16" s="898"/>
      <c r="B16" s="898"/>
      <c r="BC16" s="896" t="s">
        <v>2057</v>
      </c>
      <c r="BE16" s="896">
        <f>'Basis &amp; Credits'!T11+'Basis &amp; Credits'!AD11</f>
        <v>15975874</v>
      </c>
    </row>
    <row r="17" spans="1:43">
      <c r="A17" s="898"/>
      <c r="B17" s="898"/>
      <c r="D17" s="896" t="s">
        <v>2048</v>
      </c>
      <c r="I17" s="899"/>
      <c r="K17" s="900"/>
      <c r="U17" s="1897" t="str">
        <f>IF(T13="yes",(BE15/BE16)," ")</f>
        <v xml:space="preserve"> </v>
      </c>
      <c r="V17" s="1897"/>
      <c r="W17" s="1897"/>
      <c r="X17" s="1897"/>
      <c r="Y17" s="1897"/>
    </row>
    <row r="18" spans="1:43">
      <c r="A18" s="898"/>
      <c r="B18" s="898"/>
      <c r="I18" s="899"/>
      <c r="K18" s="900"/>
    </row>
    <row r="19" spans="1:43">
      <c r="A19" s="1898" t="s">
        <v>2050</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729</v>
      </c>
      <c r="D22" s="901"/>
      <c r="E22" s="896" t="s">
        <v>2051</v>
      </c>
      <c r="H22" s="902"/>
      <c r="K22" s="896"/>
      <c r="Q22" s="1900">
        <f>ROUND('Basis &amp; Credits'!AB55,0)</f>
        <v>1125000</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2028</v>
      </c>
      <c r="M24" s="1907"/>
      <c r="N24" s="1907"/>
      <c r="P24" s="1903" t="s">
        <v>2029</v>
      </c>
      <c r="Q24" s="1903"/>
      <c r="R24" s="1903"/>
      <c r="S24" s="1903"/>
      <c r="T24" s="1903"/>
      <c r="V24" s="1903" t="s">
        <v>2030</v>
      </c>
      <c r="W24" s="1903"/>
      <c r="X24" s="1903"/>
    </row>
    <row r="25" spans="1:43">
      <c r="C25" s="901" t="s">
        <v>190</v>
      </c>
      <c r="D25" s="901"/>
      <c r="E25" s="896" t="s">
        <v>987</v>
      </c>
      <c r="J25" s="904"/>
      <c r="L25" s="1904" t="s">
        <v>2031</v>
      </c>
      <c r="M25" s="1904"/>
      <c r="N25" s="1904"/>
      <c r="P25" s="1904" t="s">
        <v>2032</v>
      </c>
      <c r="Q25" s="1904"/>
      <c r="R25" s="1904"/>
      <c r="S25" s="1904"/>
      <c r="T25" s="1904"/>
      <c r="V25" s="1904" t="s">
        <v>2031</v>
      </c>
      <c r="W25" s="1904"/>
      <c r="X25" s="1904"/>
    </row>
    <row r="26" spans="1:43">
      <c r="C26" s="898"/>
      <c r="D26" s="898"/>
      <c r="E26" s="907" t="s">
        <v>2033</v>
      </c>
      <c r="F26" s="907"/>
      <c r="J26" s="908"/>
      <c r="L26" s="1901">
        <f>Application!BN626</f>
        <v>0</v>
      </c>
      <c r="M26" s="1901"/>
      <c r="N26" s="1901"/>
      <c r="P26" s="1905">
        <v>0.9</v>
      </c>
      <c r="Q26" s="1905"/>
      <c r="R26" s="1905"/>
      <c r="S26" s="1905"/>
      <c r="T26" s="1905"/>
      <c r="V26" s="1905">
        <f>L26*P26</f>
        <v>0</v>
      </c>
      <c r="W26" s="1905"/>
      <c r="X26" s="1905"/>
    </row>
    <row r="27" spans="1:43">
      <c r="C27" s="898"/>
      <c r="D27" s="898"/>
      <c r="E27" s="896" t="s">
        <v>2034</v>
      </c>
      <c r="J27" s="908"/>
      <c r="L27" s="1910">
        <f>Application!BS626</f>
        <v>56</v>
      </c>
      <c r="M27" s="1910">
        <f>Application!BS634+Application!BS643+Application!CX657</f>
        <v>0</v>
      </c>
      <c r="N27" s="1910"/>
      <c r="P27" s="1906">
        <v>1</v>
      </c>
      <c r="Q27" s="1906"/>
      <c r="R27" s="1906"/>
      <c r="S27" s="1906"/>
      <c r="T27" s="1906"/>
      <c r="V27" s="1906">
        <f>L27*P27</f>
        <v>56</v>
      </c>
      <c r="W27" s="1906"/>
      <c r="X27" s="1906"/>
    </row>
    <row r="28" spans="1:43">
      <c r="C28" s="898"/>
      <c r="D28" s="898"/>
      <c r="E28" s="896" t="s">
        <v>2035</v>
      </c>
      <c r="J28" s="908"/>
      <c r="L28" s="1910">
        <f>Application!BX626</f>
        <v>0</v>
      </c>
      <c r="M28" s="1910">
        <f>Application!BX634+Application!BX643+Application!DC657</f>
        <v>0</v>
      </c>
      <c r="N28" s="1910"/>
      <c r="P28" s="1906">
        <v>1.25</v>
      </c>
      <c r="Q28" s="1906"/>
      <c r="R28" s="1906"/>
      <c r="S28" s="1906"/>
      <c r="T28" s="1906"/>
      <c r="V28" s="1906">
        <f>L28*P28</f>
        <v>0</v>
      </c>
      <c r="W28" s="1906"/>
      <c r="X28" s="1906"/>
    </row>
    <row r="29" spans="1:43">
      <c r="C29" s="898"/>
      <c r="D29" s="898"/>
      <c r="E29" s="896" t="s">
        <v>2036</v>
      </c>
      <c r="J29" s="908"/>
      <c r="L29" s="1910">
        <f>Application!CC626</f>
        <v>0</v>
      </c>
      <c r="M29" s="1910">
        <f>Application!CC634+Application!CC643+Application!DH657</f>
        <v>0</v>
      </c>
      <c r="N29" s="1910"/>
      <c r="P29" s="1906">
        <v>1.5</v>
      </c>
      <c r="Q29" s="1906"/>
      <c r="R29" s="1906"/>
      <c r="S29" s="1906"/>
      <c r="T29" s="1906"/>
      <c r="V29" s="1906">
        <f>L29*P29</f>
        <v>0</v>
      </c>
      <c r="W29" s="1906"/>
      <c r="X29" s="1906"/>
    </row>
    <row r="30" spans="1:43">
      <c r="C30" s="898"/>
      <c r="D30" s="898"/>
      <c r="E30" s="896" t="s">
        <v>2037</v>
      </c>
      <c r="J30" s="908"/>
      <c r="L30" s="1911">
        <f>Application!CH626+Application!CM626</f>
        <v>0</v>
      </c>
      <c r="M30" s="1911"/>
      <c r="N30" s="1911"/>
      <c r="P30" s="1906">
        <v>1.75</v>
      </c>
      <c r="Q30" s="1906"/>
      <c r="R30" s="1906">
        <f>1.75+0.25*0</f>
        <v>1.75</v>
      </c>
      <c r="S30" s="1906"/>
      <c r="T30" s="1906"/>
      <c r="V30" s="1915">
        <f>L30*P30</f>
        <v>0</v>
      </c>
      <c r="W30" s="1915"/>
      <c r="X30" s="1915"/>
    </row>
    <row r="31" spans="1:43">
      <c r="C31" s="898"/>
      <c r="D31" s="898"/>
      <c r="L31" s="1901">
        <f>SUM(L26:N30)</f>
        <v>56</v>
      </c>
      <c r="M31" s="1902"/>
      <c r="N31" s="1902"/>
      <c r="V31" s="1905">
        <f>SUM(V26:X30)</f>
        <v>56</v>
      </c>
      <c r="W31" s="1905"/>
      <c r="X31" s="1905"/>
    </row>
    <row r="32" spans="1:43">
      <c r="C32" s="898"/>
      <c r="D32" s="898"/>
      <c r="K32" s="909"/>
    </row>
    <row r="33" spans="1:27">
      <c r="C33" s="901" t="s">
        <v>191</v>
      </c>
      <c r="D33" s="901"/>
      <c r="E33" s="898" t="s">
        <v>2052</v>
      </c>
      <c r="H33" s="910"/>
      <c r="I33" s="911"/>
      <c r="J33" s="912"/>
      <c r="K33" s="909"/>
      <c r="M33" s="897"/>
      <c r="V33" s="1912">
        <f>IF(V31&gt;0,V31/Q22," ")</f>
        <v>4.9777777777777779E-5</v>
      </c>
      <c r="W33" s="1913"/>
      <c r="X33" s="1913"/>
      <c r="Y33" s="1913"/>
      <c r="Z33" s="1913"/>
      <c r="AA33" s="1914"/>
    </row>
    <row r="34" spans="1:27">
      <c r="K34" s="896"/>
      <c r="M34" s="897"/>
    </row>
    <row r="35" spans="1:27">
      <c r="E35" s="898" t="s">
        <v>2058</v>
      </c>
      <c r="F35" s="898"/>
      <c r="G35" s="898"/>
      <c r="H35" s="898"/>
      <c r="I35" s="898"/>
      <c r="J35" s="898"/>
      <c r="K35" s="898"/>
      <c r="L35" s="898"/>
      <c r="M35" s="918"/>
      <c r="N35" s="898"/>
      <c r="O35" s="898"/>
      <c r="P35" s="898"/>
      <c r="Q35" s="898"/>
      <c r="R35" s="898"/>
      <c r="V35" s="1893">
        <f>IF(V31&gt;0,1/V33," ")</f>
        <v>20089.285714285714</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Evan Laws</cp:lastModifiedBy>
  <cp:lastPrinted>2024-02-13T19:41:54Z</cp:lastPrinted>
  <dcterms:created xsi:type="dcterms:W3CDTF">2007-12-27T18:26:28Z</dcterms:created>
  <dcterms:modified xsi:type="dcterms:W3CDTF">2024-02-13T21:49:50Z</dcterms:modified>
</cp:coreProperties>
</file>