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407\L\L\"/>
    </mc:Choice>
  </mc:AlternateContent>
  <xr:revisionPtr revIDLastSave="0" documentId="13_ncr:1_{F08A8BB3-639D-47DB-B885-2EE6B639A278}" xr6:coauthVersionLast="47" xr6:coauthVersionMax="47" xr10:uidLastSave="{00000000-0000-0000-0000-000000000000}"/>
  <bookViews>
    <workbookView xWindow="54660" yWindow="1590" windowWidth="23460" windowHeight="18480"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Application!$A$4:$AT$153</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48" i="3" l="1"/>
  <c r="W836" i="3"/>
  <c r="E42" i="25" l="1"/>
  <c r="E589" i="6"/>
  <c r="E586" i="6"/>
  <c r="E584" i="6"/>
  <c r="E582" i="6"/>
  <c r="G36" i="18"/>
  <c r="G35" i="18"/>
  <c r="G34" i="18"/>
  <c r="G33" i="18"/>
  <c r="G32" i="18"/>
  <c r="G31" i="18"/>
  <c r="G30" i="18"/>
  <c r="G28" i="18"/>
  <c r="G40" i="18"/>
  <c r="G39" i="18"/>
  <c r="G42" i="18"/>
  <c r="G51" i="18"/>
  <c r="G50" i="18"/>
  <c r="G49" i="18"/>
  <c r="G48" i="18"/>
  <c r="G47" i="18"/>
  <c r="G46" i="18"/>
  <c r="G45" i="18"/>
  <c r="G44" i="18"/>
  <c r="G63" i="18"/>
  <c r="G67" i="18"/>
  <c r="G78" i="18"/>
  <c r="G77" i="18"/>
  <c r="G85" i="18"/>
  <c r="G84" i="18"/>
  <c r="G83" i="18"/>
  <c r="G82" i="18"/>
  <c r="G93" i="18"/>
  <c r="G92" i="18"/>
  <c r="G91" i="18"/>
  <c r="G90" i="18"/>
  <c r="G89" i="18"/>
  <c r="G88" i="18"/>
  <c r="G87" i="18"/>
  <c r="D97" i="18"/>
  <c r="D93" i="18"/>
  <c r="D92" i="18"/>
  <c r="D91" i="18"/>
  <c r="D90" i="18"/>
  <c r="D89" i="18"/>
  <c r="D88" i="18"/>
  <c r="D87" i="18"/>
  <c r="D86" i="18"/>
  <c r="D85" i="18"/>
  <c r="D84" i="18"/>
  <c r="D83" i="18"/>
  <c r="D82" i="18"/>
  <c r="D78" i="18"/>
  <c r="D77" i="18"/>
  <c r="D74" i="18"/>
  <c r="D72" i="18"/>
  <c r="D71" i="18"/>
  <c r="D70" i="18"/>
  <c r="D67" i="18"/>
  <c r="D63" i="18"/>
  <c r="D57" i="18"/>
  <c r="D56" i="18"/>
  <c r="D55" i="18"/>
  <c r="D51" i="18"/>
  <c r="D50" i="18"/>
  <c r="D49" i="18"/>
  <c r="D48" i="18"/>
  <c r="D47" i="18"/>
  <c r="D46" i="18"/>
  <c r="D45" i="18"/>
  <c r="D44" i="18"/>
  <c r="D42" i="18"/>
  <c r="D40" i="18"/>
  <c r="D39" i="18"/>
  <c r="D36" i="18"/>
  <c r="D35" i="18"/>
  <c r="D34" i="18"/>
  <c r="D33" i="18"/>
  <c r="D32" i="18"/>
  <c r="D31" i="18"/>
  <c r="D30" i="18"/>
  <c r="D29" i="18"/>
  <c r="D28" i="18"/>
  <c r="D4" i="18"/>
  <c r="S93" i="4"/>
  <c r="S92" i="4"/>
  <c r="S91" i="4"/>
  <c r="S90" i="4"/>
  <c r="S89" i="4"/>
  <c r="S88" i="4"/>
  <c r="S86" i="4"/>
  <c r="S85" i="4"/>
  <c r="S84" i="4"/>
  <c r="S83" i="4"/>
  <c r="S79" i="4"/>
  <c r="S78" i="4"/>
  <c r="S68" i="4"/>
  <c r="S67" i="4"/>
  <c r="S66" i="4"/>
  <c r="S65" i="4"/>
  <c r="S64" i="4"/>
  <c r="S52" i="4"/>
  <c r="S51" i="4"/>
  <c r="S50" i="4"/>
  <c r="S49" i="4"/>
  <c r="S48" i="4"/>
  <c r="S47" i="4"/>
  <c r="S46" i="4"/>
  <c r="S43" i="4"/>
  <c r="S40" i="4"/>
  <c r="S37" i="4"/>
  <c r="S36" i="4"/>
  <c r="S35" i="4"/>
  <c r="S34" i="4"/>
  <c r="S33" i="4"/>
  <c r="S32" i="4"/>
  <c r="S31" i="4"/>
  <c r="H30" i="4"/>
  <c r="E30" i="4" s="1"/>
  <c r="E98" i="4"/>
  <c r="E94" i="4"/>
  <c r="E93" i="4"/>
  <c r="E92" i="4"/>
  <c r="E91" i="4"/>
  <c r="E90" i="4"/>
  <c r="E89" i="4"/>
  <c r="E88" i="4"/>
  <c r="E87" i="4"/>
  <c r="E86" i="4"/>
  <c r="E85" i="4"/>
  <c r="E84" i="4"/>
  <c r="E83" i="4"/>
  <c r="E82" i="4"/>
  <c r="E79" i="4"/>
  <c r="E78" i="4"/>
  <c r="E71" i="4"/>
  <c r="E75" i="4"/>
  <c r="E74" i="4"/>
  <c r="E73" i="4"/>
  <c r="E72" i="4"/>
  <c r="E68" i="4"/>
  <c r="E67" i="4"/>
  <c r="E66" i="4"/>
  <c r="E65" i="4"/>
  <c r="E64" i="4"/>
  <c r="E59" i="4"/>
  <c r="E58" i="4"/>
  <c r="E57" i="4"/>
  <c r="E56" i="4"/>
  <c r="E55" i="4"/>
  <c r="E52" i="4"/>
  <c r="E51" i="4"/>
  <c r="E50" i="4"/>
  <c r="E49" i="4"/>
  <c r="E48" i="4"/>
  <c r="E47" i="4"/>
  <c r="E46" i="4"/>
  <c r="E45" i="4"/>
  <c r="E43" i="4"/>
  <c r="E41" i="4"/>
  <c r="E40" i="4"/>
  <c r="E37" i="4"/>
  <c r="E36" i="4"/>
  <c r="E35" i="4"/>
  <c r="E34" i="4"/>
  <c r="E33" i="4"/>
  <c r="E32" i="4"/>
  <c r="E31" i="4"/>
  <c r="E29" i="4"/>
  <c r="E4" i="4"/>
  <c r="C45" i="4"/>
  <c r="AC865" i="3"/>
  <c r="Q621"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BG695" i="3" s="1"/>
  <c r="AZ260" i="3"/>
  <c r="BO245" i="3" s="1"/>
  <c r="T269" i="3" s="1"/>
  <c r="Y22" i="5"/>
  <c r="AD22" i="5"/>
  <c r="AI22" i="5"/>
  <c r="T22" i="5"/>
  <c r="BF709" i="3" l="1"/>
  <c r="BG709" i="3" s="1"/>
  <c r="BF708" i="3"/>
  <c r="BG708" i="3" s="1"/>
  <c r="BF707" i="3"/>
  <c r="BG707" i="3" s="1"/>
  <c r="BF706" i="3"/>
  <c r="BG706" i="3" s="1"/>
  <c r="BF705" i="3"/>
  <c r="BG705" i="3" s="1"/>
  <c r="BF704" i="3"/>
  <c r="BG704" i="3" s="1"/>
  <c r="BF703" i="3"/>
  <c r="BG703" i="3" s="1"/>
  <c r="BF702" i="3"/>
  <c r="BG702" i="3" s="1"/>
  <c r="BF701" i="3"/>
  <c r="BG701" i="3" s="1"/>
  <c r="BF700" i="3"/>
  <c r="BG700" i="3" s="1"/>
  <c r="BF699" i="3"/>
  <c r="BG699" i="3" s="1"/>
  <c r="BF698" i="3"/>
  <c r="BG698" i="3" s="1"/>
  <c r="AZ728" i="3"/>
  <c r="BA728" i="3" s="1"/>
  <c r="BF697" i="3"/>
  <c r="BG697" i="3" s="1"/>
  <c r="BF696" i="3"/>
  <c r="BG696"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E103" i="15" s="1"/>
  <c r="D103" i="15"/>
  <c r="D99" i="15"/>
  <c r="C99" i="15"/>
  <c r="B99" i="15"/>
  <c r="E99" i="15" s="1"/>
  <c r="B84" i="15"/>
  <c r="C84" i="15"/>
  <c r="E84" i="15" s="1"/>
  <c r="D84" i="15"/>
  <c r="B85" i="15"/>
  <c r="C85" i="15"/>
  <c r="D85" i="15"/>
  <c r="B86" i="15"/>
  <c r="C86" i="15"/>
  <c r="D86" i="15"/>
  <c r="B87" i="15"/>
  <c r="C87" i="15"/>
  <c r="E87" i="15" s="1"/>
  <c r="D87" i="15"/>
  <c r="B88" i="15"/>
  <c r="C88" i="15"/>
  <c r="D88" i="15"/>
  <c r="B89" i="15"/>
  <c r="C89" i="15"/>
  <c r="D89" i="15"/>
  <c r="B90" i="15"/>
  <c r="C90" i="15"/>
  <c r="E90" i="15" s="1"/>
  <c r="D90" i="15"/>
  <c r="B91" i="15"/>
  <c r="C91" i="15"/>
  <c r="E91" i="15" s="1"/>
  <c r="D91" i="15"/>
  <c r="B92" i="15"/>
  <c r="C92" i="15"/>
  <c r="E92" i="15" s="1"/>
  <c r="D92" i="15"/>
  <c r="B93" i="15"/>
  <c r="C93" i="15"/>
  <c r="E93" i="15" s="1"/>
  <c r="D93" i="15"/>
  <c r="B94" i="15"/>
  <c r="C94" i="15"/>
  <c r="D94" i="15"/>
  <c r="B95" i="15"/>
  <c r="E95" i="15" s="1"/>
  <c r="C95" i="15"/>
  <c r="D95" i="15"/>
  <c r="D83" i="15"/>
  <c r="C83" i="15"/>
  <c r="B83" i="15"/>
  <c r="B80" i="15"/>
  <c r="C80" i="15"/>
  <c r="E80" i="15" s="1"/>
  <c r="D80" i="15"/>
  <c r="D79" i="15"/>
  <c r="C79" i="15"/>
  <c r="B79" i="15"/>
  <c r="B73" i="15"/>
  <c r="C73" i="15"/>
  <c r="D73" i="15"/>
  <c r="B74" i="15"/>
  <c r="C74" i="15"/>
  <c r="D74" i="15"/>
  <c r="B75" i="15"/>
  <c r="C75" i="15"/>
  <c r="D75" i="15"/>
  <c r="B76" i="15"/>
  <c r="C76" i="15"/>
  <c r="D76" i="15"/>
  <c r="D72" i="15"/>
  <c r="C72" i="15"/>
  <c r="B72" i="15"/>
  <c r="B66" i="15"/>
  <c r="C66" i="15"/>
  <c r="E66" i="15" s="1"/>
  <c r="D66" i="15"/>
  <c r="B67" i="15"/>
  <c r="C67" i="15"/>
  <c r="E67" i="15" s="1"/>
  <c r="D67" i="15"/>
  <c r="B68" i="15"/>
  <c r="C68" i="15"/>
  <c r="E68" i="15" s="1"/>
  <c r="D68" i="15"/>
  <c r="B69" i="15"/>
  <c r="C69" i="15"/>
  <c r="D69" i="15"/>
  <c r="D65" i="15"/>
  <c r="C65" i="15"/>
  <c r="B65" i="15"/>
  <c r="B57" i="15"/>
  <c r="C57" i="15"/>
  <c r="D57" i="15"/>
  <c r="B58" i="15"/>
  <c r="C58" i="15"/>
  <c r="E58" i="15" s="1"/>
  <c r="D58" i="15"/>
  <c r="B59" i="15"/>
  <c r="C59" i="15"/>
  <c r="E59" i="15"/>
  <c r="D59" i="15"/>
  <c r="B60" i="15"/>
  <c r="C60" i="15"/>
  <c r="E60" i="15" s="1"/>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D51" i="15"/>
  <c r="B52" i="15"/>
  <c r="C52" i="15"/>
  <c r="E52" i="15" s="1"/>
  <c r="D52" i="15"/>
  <c r="B53" i="15"/>
  <c r="C53" i="15"/>
  <c r="D53" i="15"/>
  <c r="D46" i="15"/>
  <c r="C46" i="15"/>
  <c r="B46" i="15"/>
  <c r="B44" i="15"/>
  <c r="C44" i="15"/>
  <c r="D44" i="15"/>
  <c r="B42" i="15"/>
  <c r="E42" i="15" s="1"/>
  <c r="C42" i="15"/>
  <c r="D42" i="15"/>
  <c r="D41" i="15"/>
  <c r="C41" i="15"/>
  <c r="B41" i="15"/>
  <c r="B38" i="15"/>
  <c r="C38" i="15"/>
  <c r="E38" i="15" s="1"/>
  <c r="D38" i="15"/>
  <c r="B31" i="15"/>
  <c r="E31" i="15" s="1"/>
  <c r="C31" i="15"/>
  <c r="D31" i="15"/>
  <c r="B32" i="15"/>
  <c r="C32" i="15"/>
  <c r="E32" i="15" s="1"/>
  <c r="D32" i="15"/>
  <c r="B33" i="15"/>
  <c r="C33" i="15"/>
  <c r="E33" i="15" s="1"/>
  <c r="D33" i="15"/>
  <c r="B34" i="15"/>
  <c r="C34" i="15"/>
  <c r="D34" i="15"/>
  <c r="B35" i="15"/>
  <c r="C35" i="15"/>
  <c r="D35" i="15"/>
  <c r="B36" i="15"/>
  <c r="C36" i="15"/>
  <c r="D36" i="15"/>
  <c r="B37" i="15"/>
  <c r="E37" i="15" s="1"/>
  <c r="C37" i="15"/>
  <c r="D37" i="15"/>
  <c r="D30" i="15"/>
  <c r="C30" i="15"/>
  <c r="E30" i="15" s="1"/>
  <c r="B30" i="15"/>
  <c r="B19" i="15"/>
  <c r="C19" i="15"/>
  <c r="E19" i="15" s="1"/>
  <c r="D19" i="15"/>
  <c r="B20" i="15"/>
  <c r="C20" i="15"/>
  <c r="E20" i="15" s="1"/>
  <c r="D20" i="15"/>
  <c r="B21" i="15"/>
  <c r="E21" i="15" s="1"/>
  <c r="C21" i="15"/>
  <c r="D21" i="15"/>
  <c r="B22" i="15"/>
  <c r="C22" i="15"/>
  <c r="E22" i="15" s="1"/>
  <c r="D22" i="15"/>
  <c r="B23" i="15"/>
  <c r="C23" i="15"/>
  <c r="E23" i="15" s="1"/>
  <c r="D23" i="15"/>
  <c r="B24" i="15"/>
  <c r="E24" i="15" s="1"/>
  <c r="C24" i="15"/>
  <c r="D24" i="15"/>
  <c r="B25" i="15"/>
  <c r="C25" i="15"/>
  <c r="E25" i="15" s="1"/>
  <c r="D25" i="15"/>
  <c r="B26" i="15"/>
  <c r="C26" i="15"/>
  <c r="E26" i="15" s="1"/>
  <c r="D26" i="15"/>
  <c r="B28" i="15"/>
  <c r="C28" i="15"/>
  <c r="D28" i="15"/>
  <c r="B5" i="15"/>
  <c r="C5" i="15"/>
  <c r="E5" i="15" s="1"/>
  <c r="B6" i="15"/>
  <c r="C6" i="15"/>
  <c r="B7" i="15"/>
  <c r="C7" i="15"/>
  <c r="B8" i="15"/>
  <c r="C8" i="15"/>
  <c r="B10" i="15"/>
  <c r="C10" i="15"/>
  <c r="B11" i="15"/>
  <c r="C11" i="15"/>
  <c r="B14" i="15"/>
  <c r="C14" i="15"/>
  <c r="E14" i="15" s="1"/>
  <c r="B15" i="15"/>
  <c r="C15" i="15"/>
  <c r="B16" i="15"/>
  <c r="C16" i="15"/>
  <c r="E16" i="15" s="1"/>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53" i="15"/>
  <c r="E56" i="15"/>
  <c r="E7" i="15"/>
  <c r="E51" i="15"/>
  <c r="E61" i="15"/>
  <c r="E57" i="15"/>
  <c r="E88" i="15"/>
  <c r="C12" i="15"/>
  <c r="E12" i="15" s="1"/>
  <c r="B12" i="15"/>
  <c r="E6" i="15"/>
  <c r="E41" i="15"/>
  <c r="E11" i="15"/>
  <c r="E35" i="15"/>
  <c r="E65"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G58" i="9" s="1"/>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42" i="4"/>
  <c r="B41" i="18" s="1"/>
  <c r="C53" i="4"/>
  <c r="C54" i="15" s="1"/>
  <c r="C61" i="4"/>
  <c r="B62" i="15" s="1"/>
  <c r="C69" i="4"/>
  <c r="B68" i="18" s="1"/>
  <c r="C76" i="4"/>
  <c r="C80" i="4"/>
  <c r="B79" i="18" s="1"/>
  <c r="C95" i="4"/>
  <c r="D96" i="15" s="1"/>
  <c r="C103" i="4"/>
  <c r="C104" i="15" s="1"/>
  <c r="C66" i="25"/>
  <c r="Y20" i="5"/>
  <c r="AI20" i="5"/>
  <c r="S26" i="4"/>
  <c r="S42" i="4"/>
  <c r="E41" i="18" s="1"/>
  <c r="S53" i="4"/>
  <c r="S69" i="4"/>
  <c r="S80" i="4"/>
  <c r="E79" i="18"/>
  <c r="S95" i="4"/>
  <c r="E94" i="18" s="1"/>
  <c r="F25" i="18"/>
  <c r="F37" i="18"/>
  <c r="F41" i="18"/>
  <c r="F52" i="18"/>
  <c r="F68" i="18"/>
  <c r="F79" i="18"/>
  <c r="F94" i="18"/>
  <c r="F102" i="18"/>
  <c r="T20" i="5"/>
  <c r="T26" i="4"/>
  <c r="T38" i="4"/>
  <c r="T42" i="4"/>
  <c r="T53" i="4"/>
  <c r="T11" i="4"/>
  <c r="T69" i="4"/>
  <c r="H68" i="18"/>
  <c r="T80" i="4"/>
  <c r="H79" i="18" s="1"/>
  <c r="T95" i="4"/>
  <c r="H94" i="18" s="1"/>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62" i="4" s="1"/>
  <c r="J96" i="4" s="1"/>
  <c r="J104" i="4" s="1"/>
  <c r="J53" i="4"/>
  <c r="J61" i="4"/>
  <c r="J69" i="4"/>
  <c r="J76" i="4"/>
  <c r="J95" i="4"/>
  <c r="K8" i="4"/>
  <c r="K11" i="4"/>
  <c r="K26" i="4"/>
  <c r="K38" i="4"/>
  <c r="K62" i="4" s="1"/>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12" i="4" s="1"/>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96" i="4" s="1"/>
  <c r="Q104" i="4" s="1"/>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41" i="18"/>
  <c r="G52" i="18"/>
  <c r="G68" i="18"/>
  <c r="G94"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D81" i="18" s="1"/>
  <c r="B77" i="18"/>
  <c r="B74" i="18"/>
  <c r="B73" i="18"/>
  <c r="D73" i="18" s="1"/>
  <c r="D75"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G97" i="18" s="1"/>
  <c r="G102" i="18" s="1"/>
  <c r="R94" i="4"/>
  <c r="R82" i="4"/>
  <c r="R84" i="4"/>
  <c r="R85" i="4"/>
  <c r="R86" i="4"/>
  <c r="R87" i="4"/>
  <c r="R88" i="4"/>
  <c r="R89" i="4"/>
  <c r="R90" i="4"/>
  <c r="R91" i="4"/>
  <c r="R92" i="4"/>
  <c r="R93" i="4"/>
  <c r="R60" i="4"/>
  <c r="R59" i="4"/>
  <c r="R61" i="4" s="1"/>
  <c r="R58" i="4"/>
  <c r="R57" i="4"/>
  <c r="R56" i="4"/>
  <c r="R52" i="4"/>
  <c r="R51" i="4"/>
  <c r="R50" i="4"/>
  <c r="R49" i="4"/>
  <c r="R48" i="4"/>
  <c r="R47" i="4"/>
  <c r="R46" i="4"/>
  <c r="R45" i="4"/>
  <c r="R43" i="4"/>
  <c r="R41" i="4"/>
  <c r="R40" i="4"/>
  <c r="R37" i="4"/>
  <c r="R35" i="4"/>
  <c r="R34" i="4"/>
  <c r="R33" i="4"/>
  <c r="R32" i="4"/>
  <c r="R30" i="4"/>
  <c r="S30" i="4" s="1"/>
  <c r="E29" i="18" s="1"/>
  <c r="G29" i="18" s="1"/>
  <c r="G37" i="18" s="1"/>
  <c r="R31" i="4"/>
  <c r="R29" i="4"/>
  <c r="S29" i="4" s="1"/>
  <c r="R27" i="4"/>
  <c r="R25" i="4"/>
  <c r="R23" i="4"/>
  <c r="R22" i="4"/>
  <c r="R21" i="4"/>
  <c r="R20" i="4"/>
  <c r="R19" i="4"/>
  <c r="R18" i="4"/>
  <c r="R17" i="4"/>
  <c r="R26" i="4" s="1"/>
  <c r="R15" i="4"/>
  <c r="R14" i="4"/>
  <c r="R13" i="4"/>
  <c r="R7" i="4"/>
  <c r="R8" i="4" s="1"/>
  <c r="R12" i="4" s="1"/>
  <c r="R6" i="4"/>
  <c r="D5" i="15"/>
  <c r="D6" i="15"/>
  <c r="D7" i="15"/>
  <c r="D8" i="15"/>
  <c r="D10" i="15"/>
  <c r="D12" i="15" s="1"/>
  <c r="D11" i="15"/>
  <c r="D14" i="15"/>
  <c r="D15" i="15"/>
  <c r="D16" i="15"/>
  <c r="D18" i="15"/>
  <c r="E52" i="18"/>
  <c r="E68" i="18"/>
  <c r="H25" i="18"/>
  <c r="H37" i="18"/>
  <c r="H52"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E25" i="18"/>
  <c r="B26" i="4"/>
  <c r="D12" i="4"/>
  <c r="B43" i="15"/>
  <c r="C43" i="15"/>
  <c r="E43" i="15" s="1"/>
  <c r="D43" i="15"/>
  <c r="G12" i="4"/>
  <c r="F12" i="4"/>
  <c r="B27" i="15"/>
  <c r="D27" i="15"/>
  <c r="C27" i="15"/>
  <c r="B11" i="4"/>
  <c r="B76" i="4"/>
  <c r="B77" i="15"/>
  <c r="C77" i="15"/>
  <c r="D77" i="15"/>
  <c r="B8" i="4"/>
  <c r="T62" i="4"/>
  <c r="H61" i="18" s="1"/>
  <c r="B11" i="18"/>
  <c r="G52" i="25"/>
  <c r="AB47" i="26"/>
  <c r="I61" i="18"/>
  <c r="I95" i="18"/>
  <c r="I103" i="18"/>
  <c r="I105" i="18"/>
  <c r="J61" i="18"/>
  <c r="J95" i="18"/>
  <c r="J103" i="18"/>
  <c r="J105" i="18"/>
  <c r="K12" i="4"/>
  <c r="B42" i="4"/>
  <c r="J12" i="4"/>
  <c r="R11" i="4"/>
  <c r="E12" i="4"/>
  <c r="M62" i="4"/>
  <c r="M96" i="4"/>
  <c r="M104" i="4"/>
  <c r="C12" i="4"/>
  <c r="B12" i="18" s="1"/>
  <c r="O62" i="4"/>
  <c r="O96" i="4"/>
  <c r="O104" i="4" s="1"/>
  <c r="D62" i="4"/>
  <c r="D96" i="4"/>
  <c r="D104" i="4"/>
  <c r="B75" i="18"/>
  <c r="B8" i="18"/>
  <c r="H11" i="18"/>
  <c r="Q62" i="4"/>
  <c r="I62" i="4"/>
  <c r="I96" i="4" s="1"/>
  <c r="R42" i="4"/>
  <c r="M12" i="4"/>
  <c r="B69" i="4"/>
  <c r="F61" i="18"/>
  <c r="F95" i="18"/>
  <c r="F103" i="18" s="1"/>
  <c r="F105" i="18" s="1"/>
  <c r="T24" i="27"/>
  <c r="T24" i="26"/>
  <c r="F96" i="4" l="1"/>
  <c r="F104" i="4" s="1"/>
  <c r="K53" i="9"/>
  <c r="I58" i="9"/>
  <c r="S38" i="4"/>
  <c r="S103" i="4"/>
  <c r="E102" i="18" s="1"/>
  <c r="G98" i="25"/>
  <c r="S62" i="4"/>
  <c r="S96" i="4" s="1"/>
  <c r="E37" i="18"/>
  <c r="E94" i="15"/>
  <c r="R69" i="4"/>
  <c r="E36" i="15"/>
  <c r="E74" i="15"/>
  <c r="E101" i="15"/>
  <c r="T96" i="4"/>
  <c r="E86" i="15"/>
  <c r="C12" i="18"/>
  <c r="E73" i="15"/>
  <c r="E100" i="15"/>
  <c r="R53" i="4"/>
  <c r="R95" i="4"/>
  <c r="E28" i="15"/>
  <c r="E34" i="15"/>
  <c r="E85" i="15"/>
  <c r="R103" i="4"/>
  <c r="D12" i="18"/>
  <c r="I104" i="4"/>
  <c r="B12" i="4"/>
  <c r="E15" i="15"/>
  <c r="K96" i="4"/>
  <c r="K104" i="4" s="1"/>
  <c r="AB47" i="5"/>
  <c r="D61" i="18"/>
  <c r="D95" i="18" s="1"/>
  <c r="D103" i="18" s="1"/>
  <c r="C61" i="18"/>
  <c r="C95" i="18" s="1"/>
  <c r="C103" i="18" s="1"/>
  <c r="G61" i="18"/>
  <c r="G95" i="18" s="1"/>
  <c r="G103" i="18" s="1"/>
  <c r="G105" i="18" s="1"/>
  <c r="R76" i="4"/>
  <c r="P62" i="4"/>
  <c r="P96" i="4" s="1"/>
  <c r="P104" i="4" s="1"/>
  <c r="E89" i="15"/>
  <c r="E10" i="15"/>
  <c r="H62" i="4"/>
  <c r="H96" i="4" s="1"/>
  <c r="H104" i="4" s="1"/>
  <c r="D9" i="15"/>
  <c r="D13" i="15" s="1"/>
  <c r="N62" i="4"/>
  <c r="N96" i="4" s="1"/>
  <c r="N104" i="4" s="1"/>
  <c r="E76" i="15"/>
  <c r="G62" i="4"/>
  <c r="G96" i="4" s="1"/>
  <c r="G104" i="4" s="1"/>
  <c r="E8" i="15"/>
  <c r="E77" i="15"/>
  <c r="E44" i="15"/>
  <c r="E79" i="15"/>
  <c r="E46" i="15"/>
  <c r="E72" i="15"/>
  <c r="E69" i="15"/>
  <c r="E75" i="15"/>
  <c r="B9" i="15"/>
  <c r="B13" i="15" s="1"/>
  <c r="E83" i="15"/>
  <c r="R38" i="4"/>
  <c r="R62" i="4" s="1"/>
  <c r="E62" i="4"/>
  <c r="E96" i="4" s="1"/>
  <c r="E104" i="4" s="1"/>
  <c r="C96" i="15"/>
  <c r="B94" i="18"/>
  <c r="B96" i="15"/>
  <c r="B95" i="4"/>
  <c r="B81" i="15"/>
  <c r="B80" i="4"/>
  <c r="D81" i="15"/>
  <c r="C81" i="15"/>
  <c r="E81" i="15" s="1"/>
  <c r="D70" i="15"/>
  <c r="C70" i="15"/>
  <c r="B70" i="15"/>
  <c r="B61" i="4"/>
  <c r="B60" i="18"/>
  <c r="C62" i="15"/>
  <c r="E62" i="15" s="1"/>
  <c r="D62" i="15"/>
  <c r="B54" i="15"/>
  <c r="E54" i="15" s="1"/>
  <c r="B53" i="4"/>
  <c r="B52" i="18"/>
  <c r="D54" i="15"/>
  <c r="C62" i="4"/>
  <c r="C96" i="4" s="1"/>
  <c r="B95" i="18" s="1"/>
  <c r="B37" i="18"/>
  <c r="B38" i="4"/>
  <c r="B39" i="15"/>
  <c r="D39" i="15"/>
  <c r="C39" i="15"/>
  <c r="C9" i="15"/>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61" i="18" l="1"/>
  <c r="R96" i="4"/>
  <c r="R104" i="4" s="1"/>
  <c r="M53" i="9"/>
  <c r="K58" i="9"/>
  <c r="H95" i="18"/>
  <c r="T104" i="4"/>
  <c r="B62" i="4"/>
  <c r="E95" i="18"/>
  <c r="S104" i="4"/>
  <c r="E96" i="15"/>
  <c r="E70" i="15"/>
  <c r="B61" i="18"/>
  <c r="B97" i="15"/>
  <c r="D63" i="15"/>
  <c r="C97" i="15"/>
  <c r="B96" i="4"/>
  <c r="C63" i="15"/>
  <c r="E63" i="15" s="1"/>
  <c r="D97" i="15"/>
  <c r="C104" i="4"/>
  <c r="AC448" i="3" s="1"/>
  <c r="B63" i="15"/>
  <c r="E39" i="15"/>
  <c r="E9" i="15"/>
  <c r="C13" i="15"/>
  <c r="E1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O53" i="9" l="1"/>
  <c r="M58" i="9"/>
  <c r="H103" i="18"/>
  <c r="T106" i="4"/>
  <c r="H105" i="18" s="1"/>
  <c r="E103" i="18"/>
  <c r="S106" i="4"/>
  <c r="E97" i="15"/>
  <c r="B103" i="18"/>
  <c r="B104" i="4"/>
  <c r="AC447" i="3" s="1"/>
  <c r="F450" i="3" s="1"/>
  <c r="C105" i="15"/>
  <c r="D105" i="15"/>
  <c r="B105"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3" i="9" l="1"/>
  <c r="O58" i="9"/>
  <c r="AI11" i="26"/>
  <c r="AI23" i="26" s="1"/>
  <c r="AI26" i="26" s="1"/>
  <c r="AI28" i="26" s="1"/>
  <c r="AD63" i="26" s="1"/>
  <c r="AD11" i="26"/>
  <c r="AD23" i="26" s="1"/>
  <c r="AD26" i="26" s="1"/>
  <c r="AD28" i="26" s="1"/>
  <c r="AD11" i="5"/>
  <c r="AD23" i="5" s="1"/>
  <c r="AD26" i="5" s="1"/>
  <c r="AD28" i="5" s="1"/>
  <c r="AD11" i="27"/>
  <c r="AD23" i="27" s="1"/>
  <c r="AD26" i="27" s="1"/>
  <c r="AD28" i="27" s="1"/>
  <c r="AI11" i="27"/>
  <c r="AI23" i="27" s="1"/>
  <c r="AI26" i="27" s="1"/>
  <c r="AI28" i="27" s="1"/>
  <c r="AD63" i="27" s="1"/>
  <c r="AC449" i="3"/>
  <c r="E105" i="18"/>
  <c r="X1024" i="3"/>
  <c r="E105" i="15"/>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T11" i="26"/>
  <c r="T23" i="26" s="1"/>
  <c r="Y11" i="26"/>
  <c r="Y23" i="26" s="1"/>
  <c r="Y26" i="26" s="1"/>
  <c r="Y28" i="26" s="1"/>
  <c r="Y63" i="26" s="1"/>
  <c r="Y67" i="26" s="1"/>
  <c r="T11" i="5"/>
  <c r="T11" i="27"/>
  <c r="T23" i="27" s="1"/>
  <c r="Y11" i="27"/>
  <c r="Y23" i="27" s="1"/>
  <c r="Y26" i="27" s="1"/>
  <c r="Y28" i="27" s="1"/>
  <c r="Y63" i="27" s="1"/>
  <c r="Y67" i="27"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T26" i="27"/>
  <c r="T28" i="27" s="1"/>
  <c r="T29" i="27" s="1"/>
  <c r="AD38" i="27"/>
  <c r="AD40" i="27" s="1"/>
  <c r="Y38" i="27"/>
  <c r="Y40" i="27" s="1"/>
  <c r="BE16" i="28"/>
  <c r="T23" i="5"/>
  <c r="T26" i="26"/>
  <c r="T28" i="26" s="1"/>
  <c r="T29" i="26" s="1"/>
  <c r="Y38" i="26"/>
  <c r="Y40" i="26" s="1"/>
  <c r="AD38" i="26"/>
  <c r="AD40"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3" i="9" l="1"/>
  <c r="U58" i="9"/>
  <c r="Y41" i="27"/>
  <c r="AB55" i="27" s="1"/>
  <c r="AB56" i="27" s="1"/>
  <c r="AB58" i="27" s="1"/>
  <c r="AB75" i="27" s="1"/>
  <c r="AB76" i="27" s="1"/>
  <c r="AB77" i="27" s="1"/>
  <c r="AB79" i="27" s="1"/>
  <c r="J80" i="27" s="1"/>
  <c r="T26" i="5"/>
  <c r="T28" i="5" s="1"/>
  <c r="Q71" i="25"/>
  <c r="O75" i="25" s="1"/>
  <c r="R75" i="25" s="1"/>
  <c r="Y41" i="26"/>
  <c r="AB55" i="26" s="1"/>
  <c r="AB56" i="26" s="1"/>
  <c r="AB58"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F59" i="27"/>
  <c r="Y63" i="5"/>
  <c r="Y67" i="5" s="1"/>
  <c r="T29" i="5"/>
  <c r="F59" i="26"/>
  <c r="AB75" i="26"/>
  <c r="AB76" i="26" s="1"/>
  <c r="AB77" i="26" s="1"/>
  <c r="AB79" i="26" s="1"/>
  <c r="J80" i="26" s="1"/>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K62" i="9" l="1"/>
  <c r="AA53" i="9"/>
  <c r="Y58" i="9"/>
  <c r="W5" i="9"/>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C53"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E53" i="9" l="1"/>
  <c r="AC58" i="9"/>
  <c r="AB58" i="5"/>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<sst xmlns="http://schemas.openxmlformats.org/spreadsheetml/2006/main" count="4656" uniqueCount="2456">
  <si>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</si>
  <si>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</si>
  <si>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</si>
  <si>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</si>
  <si>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</si>
  <si>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</si>
  <si>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</si>
  <si>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</si>
  <si>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</si>
  <si>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</si>
  <si>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</si>
  <si>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</si>
  <si>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</si>
  <si>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</si>
  <si>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</si>
  <si>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</si>
  <si>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</si>
  <si>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</si>
  <si>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</si>
  <si>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</si>
  <si>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</si>
  <si>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</si>
  <si>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</si>
  <si>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</si>
  <si>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</si>
  <si>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</si>
  <si>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</si>
  <si>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</si>
  <si>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</si>
  <si>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</si>
  <si>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</si>
  <si>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</si>
  <si>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</si>
  <si>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</si>
  <si>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</si>
  <si>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</si>
  <si>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</si>
  <si>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</si>
  <si>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</si>
  <si>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</si>
  <si>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</si>
  <si>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</si>
  <si>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</si>
  <si>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</si>
  <si>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</si>
  <si>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</si>
  <si>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</si>
  <si>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</si>
  <si>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</si>
  <si>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</si>
  <si>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</si>
  <si>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</si>
  <si>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</si>
  <si>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</si>
  <si>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</si>
  <si>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</si>
  <si>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</si>
  <si>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</si>
  <si>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</si>
  <si>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</si>
  <si>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</si>
  <si>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</si>
  <si>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</si>
  <si>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</si>
  <si>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</si>
  <si>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</si>
  <si>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</si>
  <si>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</si>
  <si>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</si>
  <si>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</si>
  <si>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</si>
  <si>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</si>
  <si>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</si>
  <si>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</si>
  <si>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</si>
  <si>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</si>
  <si>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</si>
  <si>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</si>
  <si>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</si>
  <si>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</si>
  <si>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</si>
  <si>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</si>
  <si>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</si>
  <si>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</si>
  <si>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</si>
  <si>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</si>
  <si>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</si>
  <si>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</si>
  <si>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</si>
  <si>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</si>
  <si>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</si>
  <si>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</si>
  <si>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</si>
  <si>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</si>
  <si>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</si>
  <si>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</si>
  <si>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</si>
  <si>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</si>
  <si>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</si>
  <si>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</si>
  <si>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</si>
  <si>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</si>
  <si>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</si>
  <si>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</si>
  <si>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</si>
  <si>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</si>
  <si>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</si>
  <si>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</si>
  <si>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</si>
  <si>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</si>
  <si>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</si>
  <si>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</si>
  <si>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</si>
  <si>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</si>
  <si>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</si>
  <si>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</si>
  <si>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</si>
  <si>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</si>
  <si>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</si>
  <si>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</si>
  <si>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</si>
  <si>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</si>
  <si>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</si>
  <si>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</si>
  <si>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</si>
  <si>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</si>
  <si>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</si>
  <si>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</si>
  <si>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</si>
  <si>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</si>
  <si>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</si>
  <si>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</si>
  <si>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</si>
  <si>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</si>
  <si>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</si>
  <si>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</si>
  <si>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</si>
  <si>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</si>
  <si>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</si>
  <si>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</si>
  <si>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</si>
  <si>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</si>
  <si>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</si>
  <si>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</si>
  <si>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</si>
  <si>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</si>
  <si>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</si>
  <si>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</si>
  <si>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</si>
  <si>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</si>
  <si>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</si>
  <si>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</si>
  <si>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</si>
  <si>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</si>
  <si>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</si>
  <si>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</si>
  <si>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</si>
  <si>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</si>
  <si>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</si>
  <si>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</si>
  <si>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</si>
  <si>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</si>
  <si>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</si>
  <si>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</si>
  <si>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</si>
  <si>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</si>
  <si>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</si>
  <si>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</si>
  <si>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</si>
  <si>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</si>
  <si>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</si>
  <si>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</si>
  <si>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</si>
  <si>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</si>
  <si>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</si>
  <si>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</si>
  <si>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</si>
  <si>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</si>
  <si>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</si>
  <si>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</si>
  <si>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</si>
  <si>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</si>
  <si>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</si>
  <si>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</si>
  <si>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</si>
  <si>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</si>
  <si>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</si>
  <si>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</si>
  <si>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</si>
  <si>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</si>
  <si>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</si>
  <si>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</si>
  <si>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</si>
  <si>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</si>
  <si>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</si>
  <si>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</si>
  <si>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</si>
  <si>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</si>
  <si>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</si>
  <si>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</si>
  <si>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</si>
  <si>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</si>
  <si>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</si>
  <si>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</si>
  <si>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</si>
  <si>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</si>
  <si>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</si>
  <si>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</si>
  <si>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</si>
  <si>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</si>
  <si>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</si>
  <si>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</si>
  <si>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</si>
  <si>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</si>
  <si>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</si>
  <si>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</si>
  <si>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</si>
  <si>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</si>
  <si>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</si>
  <si>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</si>
  <si>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</si>
  <si>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</si>
  <si>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</si>
  <si>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</si>
  <si>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</si>
  <si>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</si>
  <si>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</si>
  <si>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</si>
  <si>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</si>
  <si>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</si>
  <si>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</si>
  <si>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</si>
  <si>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</si>
  <si>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</si>
  <si>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</si>
  <si>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</si>
  <si>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</si>
  <si>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</si>
  <si>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</si>
  <si>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</si>
  <si>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</si>
  <si>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</si>
  <si>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</si>
  <si>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</si>
  <si>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</si>
  <si>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</si>
  <si>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</si>
  <si>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</si>
  <si>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</si>
  <si>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</si>
  <si>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</si>
  <si>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</si>
  <si>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</si>
  <si>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</si>
  <si>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</si>
  <si>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</si>
  <si>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</si>
  <si>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</si>
  <si>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</si>
  <si>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</si>
  <si>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</si>
  <si>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</si>
  <si>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</si>
  <si>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</si>
  <si>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</si>
  <si>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</si>
  <si>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</si>
  <si>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</si>
  <si>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</si>
  <si>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</si>
  <si>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</si>
  <si>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</si>
  <si>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</si>
  <si>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</si>
  <si>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</si>
  <si>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</si>
  <si>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</si>
  <si>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</si>
  <si>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</si>
  <si>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</si>
  <si>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</si>
  <si>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</si>
  <si>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</si>
  <si>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</si>
  <si>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</si>
  <si>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</si>
  <si>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</si>
  <si>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</si>
  <si>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</si>
  <si>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</si>
  <si>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</si>
  <si>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</si>
  <si>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</si>
  <si>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</si>
  <si>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</si>
  <si>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</si>
  <si>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</si>
  <si>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</si>
  <si>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</si>
  <si>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</si>
  <si>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</si>
  <si>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</si>
  <si>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</si>
  <si>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</si>
  <si>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</si>
  <si>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</si>
  <si>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</si>
  <si>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</si>
  <si>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</si>
  <si>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</si>
  <si>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</si>
  <si>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</si>
  <si>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</si>
  <si>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</si>
  <si>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</si>
  <si>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</si>
  <si>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</si>
  <si>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</si>
  <si>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</si>
  <si>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</si>
  <si>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</si>
  <si>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</si>
  <si>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</si>
  <si>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</si>
  <si>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</si>
  <si>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</si>
  <si>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</si>
  <si>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</si>
  <si>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</si>
  <si>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</si>
  <si>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</si>
  <si>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</si>
  <si>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</si>
  <si>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</si>
  <si>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</si>
  <si>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</si>
  <si>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</si>
  <si>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</si>
  <si>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</si>
  <si>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</si>
  <si>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</si>
  <si>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</si>
  <si>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</si>
  <si>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</si>
  <si>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</si>
  <si>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</si>
  <si>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</si>
  <si>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</si>
  <si>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</si>
  <si>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</si>
  <si>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</si>
  <si>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</si>
  <si>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</si>
  <si>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</si>
  <si>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</si>
  <si>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</si>
  <si>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</si>
  <si>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</si>
  <si>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</si>
  <si>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</si>
  <si>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</si>
  <si>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</si>
  <si>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</si>
  <si>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</si>
  <si>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</si>
  <si>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</si>
  <si>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</si>
  <si>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</si>
  <si>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</si>
  <si>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</si>
  <si>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</si>
  <si>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</si>
  <si>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</si>
  <si>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</si>
  <si>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</si>
  <si>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</si>
  <si>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</si>
  <si>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</si>
  <si>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</si>
  <si>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</si>
  <si>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</si>
  <si>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</si>
  <si>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</si>
  <si>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</si>
  <si>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</si>
  <si>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</si>
  <si>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</si>
  <si>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</si>
  <si>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</si>
  <si>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</si>
  <si>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</si>
  <si>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</si>
  <si>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</si>
  <si>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</si>
  <si>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</si>
  <si>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</si>
  <si>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</si>
  <si>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</si>
  <si>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</si>
  <si>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</si>
  <si>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</si>
  <si>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</si>
  <si>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</si>
  <si>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</si>
  <si>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</si>
  <si>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</si>
  <si>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</si>
  <si>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</si>
  <si>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</si>
  <si>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</si>
  <si>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</si>
  <si>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</si>
  <si>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</si>
  <si>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</si>
  <si>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</si>
  <si>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</si>
  <si>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</si>
  <si>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</si>
  <si>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</si>
  <si>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</si>
  <si>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</si>
  <si>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</si>
  <si>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</si>
  <si>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</si>
  <si>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</si>
  <si>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</si>
  <si>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</si>
  <si>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</si>
  <si>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</si>
  <si>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</si>
  <si>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</si>
  <si>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</si>
  <si>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</si>
  <si>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</si>
  <si>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</si>
  <si>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</si>
  <si>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</si>
  <si>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</si>
  <si>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</si>
  <si>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</si>
  <si>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</si>
  <si>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</si>
  <si>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</si>
  <si>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</si>
  <si>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</si>
  <si>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</si>
  <si>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</si>
  <si>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</si>
  <si>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</si>
  <si>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</si>
  <si>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</si>
  <si>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</si>
  <si>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</si>
  <si>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</si>
  <si>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</si>
  <si>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</si>
  <si>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</si>
  <si>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</si>
  <si>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</si>
  <si>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</si>
  <si>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</si>
  <si>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</si>
  <si>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</si>
  <si>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</si>
  <si>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</si>
  <si>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</si>
  <si>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</si>
  <si>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</si>
  <si>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</si>
  <si>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</si>
  <si>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</si>
  <si>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</si>
  <si>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</si>
  <si>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</si>
  <si>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</si>
  <si>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</si>
  <si>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</si>
  <si>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</si>
  <si>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</si>
  <si>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</si>
  <si>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</si>
  <si>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</si>
  <si>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</si>
  <si>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</si>
  <si>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</si>
  <si>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</si>
  <si>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</si>
  <si>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</si>
  <si>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</si>
  <si>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</si>
  <si>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</si>
  <si>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</si>
  <si>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</si>
  <si>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</si>
  <si>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</si>
  <si>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</si>
  <si>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</si>
  <si>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</si>
  <si>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</si>
  <si>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</si>
  <si>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</si>
  <si>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</si>
  <si>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</si>
  <si>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</si>
  <si>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</si>
  <si>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</si>
  <si>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</si>
  <si>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</si>
  <si>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</si>
  <si>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</si>
  <si>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</si>
  <si>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</si>
  <si>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</si>
  <si>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</si>
  <si>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</si>
  <si>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</si>
  <si>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</si>
  <si>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</si>
  <si>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</si>
  <si>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</si>
  <si>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</si>
  <si>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</si>
  <si>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</si>
  <si>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</si>
  <si>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</si>
  <si>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</si>
  <si>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</si>
  <si>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</si>
  <si>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</si>
  <si>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</si>
  <si>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</si>
  <si>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</si>
  <si>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</si>
  <si>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</si>
  <si>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</si>
  <si>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</si>
  <si>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</si>
  <si>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</si>
  <si>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</si>
  <si>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</si>
  <si>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</si>
  <si>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</si>
  <si>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</si>
  <si>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</si>
  <si>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</si>
  <si>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</si>
  <si>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</si>
  <si>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</si>
  <si>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</si>
  <si>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</si>
  <si>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</si>
  <si>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</si>
  <si>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</si>
  <si>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</si>
  <si>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</si>
  <si>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</si>
  <si>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</si>
  <si>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</si>
  <si>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</si>
  <si>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</si>
  <si>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</si>
  <si>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</si>
  <si>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</si>
  <si>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</si>
  <si>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</si>
  <si>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</si>
  <si>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</si>
  <si>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</si>
  <si>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</si>
  <si>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</si>
  <si>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</si>
  <si>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</si>
  <si>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</si>
  <si>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</si>
  <si>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</si>
  <si>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</si>
  <si>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</si>
  <si>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</si>
  <si>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</si>
  <si>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</si>
  <si>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</si>
  <si>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</si>
  <si>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</si>
  <si>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</si>
  <si>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</si>
  <si>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</si>
  <si>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</si>
  <si>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</si>
  <si>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</si>
  <si>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</si>
  <si>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</si>
  <si>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</si>
  <si>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</si>
  <si>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</si>
  <si>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</si>
  <si>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</si>
  <si>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</si>
  <si>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</si>
  <si>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</si>
  <si>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</si>
  <si>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</si>
  <si>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</si>
  <si>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</si>
  <si>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</si>
  <si>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</si>
  <si>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</si>
  <si>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</si>
  <si>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</si>
  <si>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</si>
  <si>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</si>
  <si>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</si>
  <si>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</si>
  <si>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</si>
  <si>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</si>
  <si>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</si>
  <si>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</si>
  <si>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</si>
  <si>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</si>
  <si>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</si>
  <si>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</si>
  <si>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</si>
  <si>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</si>
  <si>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</si>
  <si>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</si>
  <si>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</si>
  <si>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</si>
  <si>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</si>
  <si>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</si>
  <si>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</si>
  <si>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</si>
  <si>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</si>
  <si>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</si>
  <si>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</si>
  <si>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</si>
  <si>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</si>
  <si>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</si>
  <si>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</si>
  <si>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</si>
  <si>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</si>
  <si>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</si>
  <si>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</si>
  <si>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</si>
  <si>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</si>
  <si>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</si>
  <si>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</si>
  <si>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</si>
  <si>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</si>
  <si>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</si>
  <si>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</si>
  <si>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</si>
  <si>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</si>
  <si>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</si>
  <si>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</si>
  <si>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</si>
  <si>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</si>
  <si>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</si>
  <si>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</si>
  <si>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</si>
  <si>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</si>
  <si>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</si>
  <si>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</si>
  <si>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</si>
  <si>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</si>
  <si>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</si>
  <si>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</si>
  <si>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</si>
  <si>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</si>
  <si>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</si>
  <si>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</si>
  <si>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</si>
  <si>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</si>
  <si>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</si>
  <si>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</si>
  <si>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</si>
  <si>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</si>
  <si>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</si>
  <si>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</si>
  <si>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</si>
  <si>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</si>
  <si>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</si>
  <si>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</si>
  <si>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</si>
  <si>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</si>
  <si>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</si>
  <si>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</si>
  <si>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</si>
  <si>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</si>
  <si>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</si>
  <si>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</si>
  <si>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</si>
  <si>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</si>
  <si>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</si>
  <si>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</si>
  <si>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</si>
  <si>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</si>
  <si>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</si>
  <si>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</si>
  <si>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</si>
  <si>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</si>
  <si>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</si>
  <si>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</si>
  <si>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</si>
  <si>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</si>
  <si>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</si>
  <si>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</si>
  <si>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</si>
  <si>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</si>
  <si>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</si>
  <si>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</si>
  <si>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</si>
  <si>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</si>
  <si>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</si>
  <si>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</si>
  <si>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</si>
  <si>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</si>
  <si>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</si>
  <si>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</si>
  <si>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</si>
  <si>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</si>
  <si>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</si>
  <si>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</si>
  <si>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</si>
  <si>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</si>
  <si>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</si>
  <si>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</si>
  <si>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</si>
  <si>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</si>
  <si>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</si>
  <si>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</si>
  <si>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</si>
  <si>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</si>
  <si>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</si>
  <si>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</si>
  <si>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</si>
  <si>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</si>
  <si>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</si>
  <si>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</si>
  <si>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</si>
  <si>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</si>
  <si>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</si>
  <si>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</si>
  <si>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</si>
  <si>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</si>
  <si>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</si>
  <si>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</si>
  <si>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</si>
  <si>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</si>
  <si>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</si>
  <si>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</si>
  <si>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</si>
  <si>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</si>
  <si>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</si>
  <si>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</si>
  <si>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</si>
  <si>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</si>
  <si>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</si>
  <si>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</si>
  <si>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</si>
  <si>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</si>
  <si>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</si>
  <si>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</si>
  <si>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</si>
  <si>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</si>
  <si>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</si>
  <si>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</si>
  <si>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</si>
  <si>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</si>
  <si>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</si>
  <si>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</si>
  <si>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</si>
  <si>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</si>
  <si>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</si>
  <si>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</si>
  <si>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</si>
  <si>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</si>
  <si>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</si>
  <si>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</si>
  <si>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</si>
  <si>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</si>
  <si>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</si>
  <si>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</si>
  <si>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</si>
  <si>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</si>
  <si>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</si>
  <si>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</si>
  <si>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</si>
  <si>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</si>
  <si>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</si>
  <si>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</si>
  <si>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</si>
  <si>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</si>
  <si>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</si>
  <si>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</si>
  <si>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</si>
  <si>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</si>
  <si>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</si>
  <si>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</si>
  <si>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</si>
  <si>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</si>
  <si>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</si>
  <si>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</si>
  <si>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</si>
  <si>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</si>
  <si>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</si>
  <si>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</si>
  <si>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</si>
  <si>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</si>
  <si>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</si>
  <si>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</si>
  <si>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</si>
  <si>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</si>
  <si>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</si>
  <si>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</si>
  <si>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</si>
  <si>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</si>
  <si>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</si>
  <si>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</si>
  <si>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</si>
  <si>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</si>
  <si>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</si>
  <si>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</si>
  <si>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</si>
  <si>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</si>
  <si>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</si>
  <si>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</si>
  <si>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</si>
  <si>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</si>
  <si>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</si>
  <si>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</si>
  <si>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</si>
  <si>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</si>
  <si>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</si>
  <si>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</si>
  <si>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</si>
  <si>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</si>
  <si>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</si>
  <si>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</si>
  <si>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</si>
  <si>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</si>
  <si>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</si>
  <si>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</si>
  <si>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</si>
  <si>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</si>
  <si>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</si>
  <si>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</si>
  <si>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</si>
  <si>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</si>
  <si>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</si>
  <si>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</si>
  <si>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</si>
  <si>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</si>
  <si>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</si>
  <si>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</si>
  <si>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</si>
  <si>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</si>
  <si>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</si>
  <si>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</si>
  <si>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</si>
  <si>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</si>
  <si>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</si>
  <si>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</si>
  <si>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</si>
  <si>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</si>
  <si>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</si>
  <si>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</si>
  <si>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</si>
  <si>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</si>
  <si>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</si>
  <si>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</si>
  <si>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</si>
  <si>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</si>
  <si>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</si>
  <si>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</si>
  <si>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</si>
  <si>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</si>
  <si>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</si>
  <si>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</si>
  <si>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</si>
  <si>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</si>
  <si>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</si>
  <si>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</si>
  <si>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</si>
  <si>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</si>
  <si>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</si>
  <si>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</si>
  <si>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</si>
  <si>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</si>
  <si>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</si>
  <si>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</si>
  <si>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</si>
  <si>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</si>
  <si>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</si>
  <si>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</si>
  <si>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</si>
  <si>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</si>
  <si>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</si>
  <si>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</si>
  <si>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</si>
  <si>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</si>
  <si>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</si>
  <si>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</si>
  <si>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</si>
  <si>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</si>
  <si>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</si>
  <si>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</si>
  <si>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</si>
  <si>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</si>
  <si>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</si>
  <si>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</si>
  <si>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</si>
  <si>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</si>
  <si>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</si>
  <si>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</si>
  <si>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</si>
  <si>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</si>
  <si>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</si>
  <si>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</si>
  <si>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</si>
  <si>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</si>
  <si>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</si>
  <si>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</si>
  <si>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</si>
  <si>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</si>
  <si>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</si>
  <si>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</si>
  <si>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</si>
  <si>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</si>
  <si>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</si>
  <si>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</si>
  <si>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</si>
  <si>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</si>
  <si>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</si>
  <si>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</si>
  <si>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</si>
  <si>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</si>
  <si>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</si>
  <si>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</si>
  <si>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</si>
  <si>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</si>
  <si>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</si>
  <si>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</si>
  <si>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</si>
  <si>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</si>
  <si>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</si>
  <si>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</si>
  <si>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</si>
  <si>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</si>
  <si>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</si>
  <si>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</si>
  <si>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</si>
  <si>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</si>
  <si>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</si>
  <si>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</si>
  <si>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</si>
  <si>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</si>
  <si>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</si>
  <si>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</si>
  <si>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</si>
  <si>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</si>
  <si>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</si>
  <si>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</si>
  <si>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</si>
  <si>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</si>
  <si>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</si>
  <si>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</si>
  <si>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</si>
  <si>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</si>
  <si>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</si>
  <si>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</si>
  <si>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</si>
  <si>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</si>
  <si>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</si>
  <si>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</si>
  <si>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</si>
  <si>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</si>
  <si>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</si>
  <si>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</si>
  <si>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</si>
  <si>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</si>
  <si>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</si>
  <si>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</si>
  <si>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</si>
  <si>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</si>
  <si>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</si>
  <si>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</si>
  <si>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</si>
  <si>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</si>
  <si>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</si>
  <si>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</si>
  <si>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</si>
  <si>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</si>
  <si>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</si>
  <si>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</si>
  <si>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</si>
  <si>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</si>
  <si>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</si>
  <si>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</si>
  <si>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</si>
  <si>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</si>
  <si>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</si>
  <si>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</si>
  <si>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</si>
  <si>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</si>
  <si>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</si>
  <si>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</si>
  <si>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</si>
  <si>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</si>
  <si>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</si>
  <si>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</si>
  <si>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</si>
  <si>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</si>
  <si>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</si>
  <si>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</si>
  <si>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</si>
  <si>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</si>
  <si>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</si>
  <si>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</si>
  <si>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</si>
  <si>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</si>
  <si>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</si>
  <si>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</si>
  <si>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</si>
  <si>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</si>
  <si>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</si>
  <si>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</si>
  <si>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</si>
  <si>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</si>
  <si>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</si>
  <si>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</si>
  <si>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</si>
  <si>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</si>
  <si>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</si>
  <si>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</si>
  <si>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</si>
  <si>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</si>
  <si>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</si>
  <si>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</si>
  <si>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</si>
  <si>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</si>
  <si>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</si>
  <si>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</si>
  <si>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</si>
  <si>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</si>
  <si>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</si>
  <si>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</si>
  <si>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</si>
  <si>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</si>
  <si>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</si>
  <si>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</si>
  <si>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</si>
  <si>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</si>
  <si>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</si>
  <si>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</si>
  <si>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</si>
  <si>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</si>
  <si>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</si>
  <si>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</si>
  <si>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</si>
  <si>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</si>
  <si>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</si>
  <si>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</si>
  <si>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</si>
  <si>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</si>
  <si>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</si>
  <si>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</si>
  <si>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</si>
  <si>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</si>
  <si>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</si>
  <si>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</si>
  <si>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</si>
  <si>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</si>
  <si>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</si>
  <si>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</si>
  <si>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</si>
  <si>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</si>
  <si>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</si>
  <si>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</si>
  <si>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</si>
  <si>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</si>
  <si>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</si>
  <si>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</si>
  <si>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</si>
  <si>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</si>
  <si>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</si>
  <si>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</si>
  <si>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</si>
  <si>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</si>
  <si>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</si>
  <si>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</si>
  <si>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</si>
  <si>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</si>
  <si>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</si>
  <si>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</si>
  <si>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</si>
  <si>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</si>
  <si>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</si>
  <si>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</si>
  <si>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</si>
  <si>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</si>
  <si>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</si>
  <si>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</si>
  <si>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</si>
  <si>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</si>
  <si>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</si>
  <si>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</si>
  <si>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</si>
  <si>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</si>
  <si>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</si>
  <si>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</si>
  <si>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</si>
  <si>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</si>
  <si>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</si>
  <si>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</si>
  <si>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</si>
  <si>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</si>
  <si>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</si>
  <si>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</si>
  <si>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</si>
  <si>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</si>
  <si>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</si>
  <si>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</si>
  <si>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</si>
  <si>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</si>
  <si>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</si>
  <si>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</si>
  <si>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</si>
  <si>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</si>
  <si>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</si>
  <si>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</si>
  <si>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</si>
  <si>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</si>
  <si>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</si>
  <si>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</si>
  <si>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</si>
  <si>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</si>
  <si>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</si>
  <si>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</si>
  <si>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</si>
  <si>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</si>
  <si>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</si>
  <si>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</si>
  <si>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</si>
  <si>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</si>
  <si>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</si>
  <si>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</si>
  <si>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</si>
  <si>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</si>
  <si>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</si>
  <si>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</si>
  <si>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</si>
  <si>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</si>
  <si>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</si>
  <si>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</si>
  <si>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</si>
  <si>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</si>
  <si>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</si>
  <si>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</si>
  <si>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</si>
  <si>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</si>
  <si>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</si>
  <si>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</si>
  <si>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</si>
  <si>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</si>
  <si>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</si>
  <si>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</si>
  <si>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</si>
  <si>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</si>
  <si>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</si>
  <si>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</si>
  <si>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</si>
  <si>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</si>
  <si>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</si>
  <si>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</si>
  <si>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</si>
  <si>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</si>
  <si>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</si>
  <si>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</si>
  <si>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</si>
  <si>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</si>
  <si>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</si>
  <si>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</si>
  <si>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</si>
  <si>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</si>
  <si>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</si>
  <si>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</si>
  <si>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</si>
  <si>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</si>
  <si>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</si>
  <si>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</si>
  <si>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</si>
  <si>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</si>
  <si>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</si>
  <si>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</si>
  <si>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</si>
  <si>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</si>
  <si>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</si>
  <si>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</si>
  <si>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</si>
  <si>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</si>
  <si>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</si>
  <si>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</si>
  <si>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</si>
  <si>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</si>
  <si>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</si>
  <si>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</si>
  <si>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</si>
  <si>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</si>
  <si>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</si>
  <si>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</si>
  <si>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</si>
  <si>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</si>
  <si>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</si>
  <si>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</si>
  <si>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</si>
  <si>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</si>
  <si>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</si>
  <si>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</si>
  <si>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</si>
  <si>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</si>
  <si>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</si>
  <si>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</si>
  <si>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</si>
  <si>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</si>
  <si>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</si>
  <si>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</si>
  <si>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</si>
  <si>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</si>
  <si>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</si>
  <si>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</si>
  <si>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</si>
  <si>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</si>
  <si>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</si>
  <si>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</si>
  <si>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</si>
  <si>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</si>
  <si>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</si>
  <si>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</si>
  <si>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</si>
  <si>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</si>
  <si>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</si>
  <si>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</si>
  <si>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</si>
  <si>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</si>
  <si>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</si>
  <si>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</si>
  <si>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</si>
  <si>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</si>
  <si>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</si>
  <si>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</si>
  <si>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</si>
  <si>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</si>
  <si>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</si>
  <si>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</si>
  <si>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</si>
  <si>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</si>
  <si>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</si>
  <si>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</si>
  <si>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</si>
  <si>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</si>
  <si>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</si>
  <si>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</si>
  <si>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</si>
  <si>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</si>
  <si>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</si>
  <si>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</si>
  <si>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</si>
  <si>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</si>
  <si>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</si>
  <si>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</si>
  <si>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</si>
  <si>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</si>
  <si>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</si>
  <si>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</si>
  <si>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</si>
  <si>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</si>
  <si>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</si>
  <si>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</si>
  <si>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</si>
  <si>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</si>
  <si>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</si>
  <si>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</si>
  <si>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</si>
  <si>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</si>
  <si>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</si>
  <si>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</si>
  <si>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</si>
  <si>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</si>
  <si>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</si>
  <si>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</si>
  <si>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</si>
  <si>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</si>
  <si>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</si>
  <si>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</si>
  <si>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</si>
  <si>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</si>
  <si>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</si>
  <si>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</si>
  <si>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</si>
  <si>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</si>
  <si>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</si>
  <si>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</si>
  <si>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</si>
  <si>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</si>
  <si>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</si>
  <si>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</si>
  <si>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</si>
  <si>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</si>
  <si>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</si>
  <si>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</si>
  <si>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</si>
  <si>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</si>
  <si>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</si>
  <si>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</si>
  <si>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</si>
  <si>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</si>
  <si>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</si>
  <si>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</si>
  <si>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</si>
  <si>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</si>
  <si>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</si>
  <si>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</si>
  <si>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</si>
  <si>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</si>
  <si>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</si>
  <si>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</si>
  <si>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</si>
  <si>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</si>
  <si>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</si>
  <si>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</si>
  <si>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</si>
  <si>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</si>
  <si>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</si>
  <si>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</si>
  <si>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</si>
  <si>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</si>
  <si>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</si>
  <si>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</si>
  <si>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</si>
  <si>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</si>
  <si>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</si>
  <si>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</si>
  <si>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</si>
  <si>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</si>
  <si>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</si>
  <si>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</si>
  <si>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</si>
  <si>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</si>
  <si>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</si>
  <si>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</si>
  <si>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</si>
  <si>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</si>
  <si>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</si>
  <si>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</si>
  <si>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</si>
  <si>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</si>
  <si>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</si>
  <si>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</si>
  <si>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</si>
  <si>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</si>
  <si>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</si>
  <si>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</si>
  <si>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</si>
  <si>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</si>
  <si>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</si>
  <si>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</si>
  <si>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</si>
  <si>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</si>
  <si>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</si>
  <si>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</si>
  <si>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</si>
  <si>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</si>
  <si>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</si>
  <si>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</si>
  <si>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</si>
  <si>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</si>
  <si>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</si>
  <si>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</si>
  <si>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</si>
  <si>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</si>
  <si>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</si>
  <si>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</si>
  <si>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</si>
  <si>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</si>
  <si>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</si>
  <si>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</si>
  <si>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</si>
  <si>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</si>
  <si>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</si>
  <si>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</si>
  <si>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</si>
  <si>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</si>
  <si>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</si>
  <si>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</si>
  <si>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</si>
  <si>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</si>
  <si>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</si>
  <si>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</si>
  <si>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</si>
  <si>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</si>
  <si>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</si>
  <si>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</si>
  <si>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</si>
  <si>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</si>
  <si>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</si>
  <si>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</si>
  <si>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</si>
  <si>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</si>
  <si>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</si>
  <si>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</si>
  <si>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</si>
  <si>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</si>
  <si>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</si>
  <si>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</si>
  <si>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</si>
  <si>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</si>
  <si>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</si>
  <si>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</si>
  <si>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</si>
  <si>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</si>
  <si>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</si>
  <si>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</si>
  <si>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</si>
  <si>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</si>
  <si>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</si>
  <si>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</si>
  <si>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</si>
  <si>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</si>
  <si>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</si>
  <si>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</si>
  <si>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</si>
  <si>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</si>
  <si>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</si>
  <si>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</si>
  <si>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</si>
  <si>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</si>
  <si>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</si>
  <si>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</si>
  <si>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</si>
  <si>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</si>
  <si>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</si>
  <si>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</si>
  <si>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</si>
  <si>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</si>
  <si>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</si>
  <si>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</si>
  <si>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</si>
  <si>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</si>
  <si>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</si>
  <si>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</si>
  <si>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</si>
  <si>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</si>
  <si>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</si>
  <si>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</si>
  <si>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</si>
  <si>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</si>
  <si>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</si>
  <si>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</si>
  <si>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</si>
  <si>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</si>
  <si>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</si>
  <si>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</si>
  <si>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</si>
  <si>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</si>
  <si>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</si>
  <si>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</si>
  <si>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</si>
  <si>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</si>
  <si>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</si>
  <si>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</si>
  <si>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</si>
  <si>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</si>
  <si>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</si>
  <si>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</si>
  <si>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</si>
  <si>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</si>
  <si>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</si>
  <si>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</si>
  <si>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</si>
  <si>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</si>
  <si>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</si>
  <si>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</si>
  <si>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</si>
  <si>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</si>
  <si>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</si>
  <si>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</si>
  <si>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</si>
  <si>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</si>
  <si>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</si>
  <si>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</si>
  <si>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</si>
  <si>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</si>
  <si>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</si>
  <si>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</si>
  <si>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</si>
  <si>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</si>
  <si>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</si>
  <si>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</si>
  <si>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</si>
  <si>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</si>
  <si>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</si>
  <si>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</si>
  <si>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</si>
  <si>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</si>
  <si>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</si>
  <si>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</si>
  <si>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</si>
  <si>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</si>
  <si>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</si>
  <si>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</si>
  <si>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</si>
  <si>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</si>
  <si>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</si>
  <si>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</si>
  <si>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</si>
  <si>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</si>
  <si>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</si>
  <si>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</si>
  <si>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</si>
  <si>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</si>
  <si>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</si>
  <si>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</si>
  <si>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</si>
  <si>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</si>
  <si>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</si>
  <si>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</si>
  <si>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</si>
  <si>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</si>
  <si>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</si>
  <si>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</si>
  <si>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</si>
  <si>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</si>
  <si>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</si>
  <si>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</si>
  <si>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</si>
  <si>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</si>
  <si>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</si>
  <si>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</si>
  <si>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</si>
  <si>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</si>
  <si>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</si>
  <si>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</si>
  <si>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</si>
  <si>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</si>
  <si>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</si>
  <si>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</si>
  <si>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</si>
  <si>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</si>
  <si>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</si>
  <si>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</si>
  <si>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</si>
  <si>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</si>
  <si>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</si>
  <si>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</si>
  <si>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</si>
  <si>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</si>
  <si>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</si>
  <si>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</si>
  <si>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</si>
  <si>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</si>
  <si>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</si>
  <si>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</si>
  <si>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</si>
  <si>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</si>
  <si>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</si>
  <si>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</si>
  <si>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</si>
  <si>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</si>
  <si>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</si>
  <si>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</si>
  <si>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</si>
  <si>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</si>
  <si>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</si>
  <si>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</si>
  <si>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</si>
  <si>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</si>
  <si>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</si>
  <si>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</si>
  <si>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</si>
  <si>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</si>
  <si>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</si>
  <si>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</si>
  <si>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</si>
  <si>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</si>
  <si>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</si>
  <si>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</si>
  <si>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</si>
  <si>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</si>
  <si>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</si>
  <si>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</si>
  <si>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</si>
  <si>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</si>
  <si>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</si>
  <si>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</si>
  <si>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</si>
  <si>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</si>
  <si>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</si>
  <si>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</si>
  <si>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</si>
  <si>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</si>
  <si>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</si>
  <si>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</si>
  <si>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</si>
  <si>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</si>
  <si>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</si>
  <si>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</si>
  <si>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</si>
  <si>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</si>
  <si>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</si>
  <si>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</si>
  <si>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</si>
  <si>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</si>
  <si>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</si>
  <si>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</si>
  <si>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</si>
  <si>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</si>
  <si>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</si>
  <si>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</si>
  <si>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</si>
  <si>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</si>
  <si>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</si>
  <si>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</si>
  <si>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</si>
  <si>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</si>
  <si>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</si>
  <si>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</si>
  <si>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</si>
  <si>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</si>
  <si>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</si>
  <si>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</si>
  <si>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</si>
  <si>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</si>
  <si>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</si>
  <si>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</si>
  <si>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</si>
  <si>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</si>
  <si>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</si>
  <si>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</si>
  <si>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</si>
  <si>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</si>
  <si>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</si>
  <si>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</si>
  <si>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</si>
  <si>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</si>
  <si>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</si>
  <si>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</si>
  <si>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</si>
  <si>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</si>
  <si>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</si>
  <si>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</si>
  <si>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</si>
  <si>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</si>
  <si>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</si>
  <si>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</si>
  <si>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</si>
  <si>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</si>
  <si>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</si>
  <si>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</si>
  <si>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</si>
  <si>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</si>
  <si>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</si>
  <si>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</si>
  <si>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</si>
  <si>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</si>
  <si>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</si>
  <si>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</si>
  <si>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</si>
  <si>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</si>
  <si>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</si>
  <si>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</si>
  <si>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</si>
  <si>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</si>
  <si>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</si>
  <si>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</si>
  <si>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</si>
  <si>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</si>
  <si>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</si>
  <si>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</si>
  <si>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</si>
  <si>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</si>
  <si>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</si>
  <si>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</si>
  <si>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</si>
  <si>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</si>
  <si>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</si>
  <si>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</si>
  <si>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</si>
  <si>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</si>
  <si>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</si>
  <si>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</si>
  <si>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</si>
  <si>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</si>
  <si>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</si>
  <si>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</si>
  <si>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</si>
  <si>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</si>
  <si>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</si>
  <si>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</si>
  <si>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</si>
  <si>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</si>
  <si>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</si>
  <si>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</si>
  <si>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</si>
  <si>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</si>
  <si>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</si>
  <si>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</si>
  <si>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</si>
  <si>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</si>
  <si>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</si>
  <si>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</si>
  <si>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</si>
  <si>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</si>
  <si>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</si>
  <si>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</si>
  <si>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</si>
  <si>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</si>
  <si>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</si>
  <si>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</si>
  <si>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</si>
  <si>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</si>
  <si>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</si>
  <si>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</si>
  <si>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</si>
  <si>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</si>
  <si>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</si>
  <si>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</si>
  <si>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</si>
  <si>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</si>
  <si>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</si>
  <si>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</si>
  <si>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</si>
  <si>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</si>
  <si>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</si>
  <si>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</si>
  <si>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</si>
  <si>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</si>
  <si>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</si>
  <si>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</si>
  <si>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</si>
  <si>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</si>
  <si>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</si>
  <si>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</si>
  <si>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</si>
  <si>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</si>
  <si>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</si>
  <si>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</si>
  <si>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</si>
  <si>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</si>
  <si>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</si>
  <si>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</si>
  <si>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</si>
  <si>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</si>
  <si>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</si>
  <si>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</si>
  <si>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</si>
  <si>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</si>
  <si>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</si>
  <si>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</si>
  <si>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</si>
  <si>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</si>
  <si>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</si>
  <si>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</si>
  <si>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</si>
  <si>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</si>
  <si>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</si>
  <si>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</si>
  <si>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</si>
  <si>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</si>
  <si>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</si>
  <si>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</si>
  <si>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</si>
  <si>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</si>
  <si>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</si>
  <si>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</si>
  <si>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</si>
  <si>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</si>
  <si>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</si>
  <si>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</si>
  <si>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</si>
  <si>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</si>
  <si>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</si>
  <si>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</si>
  <si>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</si>
  <si>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</si>
  <si>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</si>
  <si>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</si>
  <si>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</si>
  <si>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</si>
  <si>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</si>
  <si>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</si>
  <si>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</si>
  <si>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</si>
  <si>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</si>
  <si>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</si>
  <si>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</si>
  <si>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</si>
  <si>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</si>
  <si>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</si>
  <si>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</si>
  <si>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</si>
  <si>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</si>
  <si>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</si>
  <si>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</si>
  <si>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</si>
  <si>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</si>
  <si>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</si>
  <si>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</si>
  <si>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</si>
  <si>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</si>
  <si>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</si>
  <si>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</si>
  <si>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</si>
  <si>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</si>
  <si>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</si>
  <si>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</si>
  <si>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</si>
  <si>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</si>
  <si>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</si>
  <si>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</si>
  <si>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</si>
  <si>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</si>
  <si>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</si>
  <si>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</si>
  <si>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</si>
  <si>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</si>
  <si>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</si>
  <si>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</si>
  <si>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</si>
  <si>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</si>
  <si>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</si>
  <si>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</si>
  <si>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</si>
  <si>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</si>
  <si>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</si>
  <si>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</si>
  <si>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</si>
  <si>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</si>
  <si>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</si>
  <si>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</si>
  <si>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</si>
  <si>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</si>
  <si>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</si>
  <si>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</si>
  <si>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</si>
  <si>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</si>
  <si>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</si>
  <si>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</si>
  <si>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</si>
  <si>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</si>
  <si>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</si>
  <si>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</si>
  <si>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</si>
  <si>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</si>
  <si>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</si>
  <si>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</si>
  <si>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</si>
  <si>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</si>
  <si>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</si>
  <si>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</si>
  <si>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</si>
  <si>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</si>
  <si>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</si>
  <si>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</si>
  <si>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</si>
  <si>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</si>
  <si>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</si>
  <si>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</si>
  <si>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</si>
  <si>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</si>
  <si>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</si>
  <si>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</si>
  <si>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</si>
  <si>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</si>
  <si>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</si>
  <si>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</si>
  <si>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</si>
  <si>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</si>
  <si>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</si>
  <si>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</si>
  <si>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</si>
  <si>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</si>
  <si>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</si>
  <si>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</si>
  <si>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</si>
  <si>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</si>
  <si>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</si>
  <si>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</si>
  <si>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</si>
  <si>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</si>
  <si>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</si>
  <si>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</si>
  <si>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</si>
  <si>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</si>
  <si>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</si>
  <si>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</si>
  <si>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</si>
  <si>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</si>
  <si>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</si>
  <si>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</si>
  <si>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</si>
  <si>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</si>
  <si>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</si>
  <si>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</si>
  <si>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</si>
  <si>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</si>
  <si>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</si>
  <si>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</si>
  <si>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</si>
  <si>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</si>
  <si>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</si>
  <si>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</si>
  <si>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</si>
  <si>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</si>
  <si>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</si>
  <si>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</si>
  <si>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</si>
  <si>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</si>
  <si>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</si>
  <si>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</si>
  <si>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</si>
  <si>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</si>
  <si>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</si>
  <si>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</si>
  <si>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</si>
  <si>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</si>
  <si>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</si>
  <si>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</si>
  <si>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</si>
  <si>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</si>
  <si>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</si>
  <si>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</si>
  <si>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</si>
  <si>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</si>
  <si>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</si>
  <si>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</si>
  <si>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</si>
  <si>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</si>
  <si>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</si>
  <si>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</si>
  <si>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</si>
  <si>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</si>
  <si>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</si>
  <si>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</si>
  <si>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</si>
  <si>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</si>
  <si>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</si>
  <si>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</si>
  <si>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</si>
  <si>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</si>
  <si>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</si>
  <si>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</si>
  <si>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</si>
  <si>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</si>
  <si>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</si>
  <si>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</si>
  <si>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</si>
  <si>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</si>
  <si>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</si>
  <si>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</si>
  <si>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</si>
  <si>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</si>
  <si>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</si>
  <si>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</si>
  <si>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</si>
  <si>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</si>
  <si>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</si>
  <si>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</si>
  <si>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</si>
  <si>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</si>
  <si>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</si>
  <si>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</si>
  <si>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</si>
  <si>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</si>
  <si>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</si>
  <si>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</si>
  <si>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</si>
  <si>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</si>
  <si>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</si>
  <si>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</si>
  <si>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</si>
  <si>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</si>
  <si>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</si>
  <si>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</si>
  <si>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</si>
  <si>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</si>
  <si>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</si>
  <si>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</si>
  <si>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</si>
  <si>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</si>
  <si>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</si>
  <si>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</si>
  <si>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</si>
  <si>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</si>
  <si>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</si>
  <si>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</si>
  <si>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</si>
  <si>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</si>
  <si>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</si>
  <si>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</si>
  <si>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</si>
  <si>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</si>
  <si>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</si>
  <si>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</si>
  <si>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</si>
  <si>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</si>
  <si>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</si>
  <si>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</si>
  <si>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</si>
  <si>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</si>
  <si>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</si>
  <si>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</si>
  <si>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</si>
  <si>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</si>
  <si>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</si>
  <si>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</si>
  <si>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</si>
  <si>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</si>
  <si>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</si>
  <si>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</si>
  <si>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</si>
  <si>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</si>
  <si>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</si>
  <si>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</si>
  <si>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</si>
  <si>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</si>
  <si>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</si>
  <si>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</si>
  <si>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</si>
  <si>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</si>
  <si>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</si>
  <si>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</si>
  <si>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</si>
  <si>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</si>
  <si>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</si>
  <si>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</si>
  <si>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</si>
  <si>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</si>
  <si>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</si>
  <si>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</si>
  <si>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</si>
  <si>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</si>
  <si>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</si>
  <si>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</si>
  <si>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</si>
  <si>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</si>
  <si>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</si>
  <si>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</si>
  <si>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</si>
  <si>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</si>
  <si>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</si>
  <si>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</si>
  <si>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</si>
  <si>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</si>
  <si>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</si>
  <si>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</si>
  <si>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</si>
  <si>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</si>
  <si>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</si>
  <si>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</si>
  <si>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</si>
  <si>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</si>
  <si>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</si>
  <si>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</si>
  <si>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</si>
  <si>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</si>
  <si>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</si>
  <si>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</si>
  <si>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</si>
  <si>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</si>
  <si>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</si>
  <si>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</si>
  <si>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</si>
  <si>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</si>
  <si>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</si>
  <si>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</si>
  <si>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</si>
  <si>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</si>
  <si>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</si>
  <si>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</si>
  <si>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</si>
  <si>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</si>
  <si>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</si>
  <si>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</si>
  <si>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</si>
  <si>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</si>
  <si>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</si>
  <si>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</si>
  <si>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</si>
  <si>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</si>
  <si>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</si>
  <si>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</si>
  <si>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</si>
  <si>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</si>
  <si>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</si>
  <si>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</si>
  <si>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</si>
  <si>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</si>
  <si>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</si>
  <si>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</si>
  <si>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</si>
  <si>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</si>
  <si>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</si>
  <si>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</si>
  <si>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</si>
  <si>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</si>
  <si>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</si>
  <si>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</si>
  <si>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</si>
  <si>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</si>
  <si>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</si>
  <si>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</si>
  <si>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</si>
  <si>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</si>
  <si>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</si>
  <si>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</si>
  <si>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</si>
  <si>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</si>
  <si>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</si>
  <si>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</si>
  <si>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</si>
  <si>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</si>
  <si>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</si>
  <si>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</si>
  <si>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</si>
  <si>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</si>
  <si>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</si>
  <si>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</si>
  <si>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</si>
  <si>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</si>
  <si>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</si>
  <si>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</si>
  <si>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</si>
  <si>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</si>
  <si>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</si>
  <si>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</si>
  <si>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</si>
  <si>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</si>
  <si>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</si>
  <si>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</si>
  <si>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</si>
  <si>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</si>
  <si>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</si>
  <si>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</si>
  <si>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</si>
  <si>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</si>
  <si>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</si>
  <si>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</si>
  <si>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</si>
  <si>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</si>
  <si>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</si>
  <si>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</si>
  <si>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</si>
  <si>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</si>
  <si>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</si>
  <si>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</si>
  <si>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</si>
  <si>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</si>
  <si>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</si>
  <si>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</si>
  <si>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</si>
  <si>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</si>
  <si>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</si>
  <si>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</si>
  <si>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</si>
  <si>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</si>
  <si>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</si>
  <si>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</si>
  <si>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</si>
  <si>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</si>
  <si>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</si>
  <si>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</si>
  <si>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</si>
  <si>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</si>
  <si>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</si>
  <si>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</si>
  <si>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</si>
  <si>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</si>
  <si>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</si>
  <si>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</si>
  <si>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</si>
  <si>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</si>
  <si>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</si>
  <si>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</si>
  <si>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</si>
  <si>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</si>
  <si>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</si>
  <si>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</si>
  <si>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</si>
  <si>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</si>
  <si>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</si>
  <si>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</si>
  <si>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</si>
  <si>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</si>
  <si>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</si>
  <si>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</si>
  <si>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</si>
  <si>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</si>
  <si>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</si>
  <si>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</si>
  <si>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</si>
  <si>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</si>
  <si>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</si>
  <si>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</si>
  <si>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</si>
  <si>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</si>
  <si>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</si>
  <si>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</si>
  <si>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</si>
  <si>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</si>
  <si>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</si>
  <si>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</si>
  <si>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</si>
  <si>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</si>
  <si>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</si>
  <si>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</si>
  <si>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</si>
  <si>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</si>
  <si>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</si>
  <si>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</si>
  <si>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</si>
  <si>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</si>
  <si>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</si>
  <si>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</si>
  <si>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</si>
  <si>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</si>
  <si>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</si>
  <si>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</si>
  <si>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</si>
  <si>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</si>
  <si>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</si>
  <si>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</si>
  <si>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</si>
  <si>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</si>
  <si>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</si>
  <si>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</si>
  <si>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</si>
  <si>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</si>
  <si>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</si>
  <si>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</si>
  <si>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</si>
  <si>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</si>
  <si>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</si>
  <si>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</si>
  <si>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</si>
  <si>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</si>
  <si>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</si>
  <si>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</si>
  <si>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</si>
  <si>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</si>
  <si>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</si>
  <si>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</si>
  <si>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</si>
  <si>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</si>
  <si>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</si>
  <si>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</si>
  <si>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</si>
  <si>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</si>
  <si>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</si>
  <si>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</si>
  <si>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</si>
  <si>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</si>
  <si>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</si>
  <si>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</si>
  <si>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</si>
  <si>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</si>
  <si>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</si>
  <si>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</si>
  <si>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</si>
  <si>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</si>
  <si>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</si>
  <si>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</si>
  <si>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</si>
  <si>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</si>
  <si>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</si>
  <si>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</si>
  <si>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</si>
  <si>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</si>
  <si>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</si>
  <si>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</si>
  <si>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</si>
  <si>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</si>
  <si>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</si>
  <si>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</si>
  <si>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</si>
  <si>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</si>
  <si>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</si>
  <si>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</si>
  <si>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</si>
  <si>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</si>
  <si>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</si>
  <si>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</si>
  <si>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</si>
  <si>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</si>
  <si>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</si>
  <si>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</si>
  <si>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</si>
  <si>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</si>
  <si>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</si>
  <si>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</si>
  <si>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</si>
  <si>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</si>
  <si>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</si>
  <si>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</si>
  <si>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</si>
  <si>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</si>
  <si>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</si>
  <si>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</si>
  <si>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</si>
  <si>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</si>
  <si>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</si>
  <si>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</si>
  <si>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</si>
  <si>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</si>
  <si>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</si>
  <si>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</si>
  <si>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</si>
  <si>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</si>
  <si>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</si>
  <si>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</si>
  <si>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</si>
  <si>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</si>
  <si>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Redding Placer Street LP</t>
  </si>
  <si>
    <t>Placer Street Apartments</t>
  </si>
  <si>
    <t>February</t>
  </si>
  <si>
    <t>Arcata</t>
  </si>
  <si>
    <t>Daniel J. Johnson</t>
  </si>
  <si>
    <t>Member</t>
  </si>
  <si>
    <t>Barry Tippin</t>
  </si>
  <si>
    <t>City of Redding</t>
  </si>
  <si>
    <t>530.225.4060</t>
  </si>
  <si>
    <t>btippin@cityofredding.org</t>
  </si>
  <si>
    <t>777 Cypress Avenue</t>
  </si>
  <si>
    <t>Redding</t>
  </si>
  <si>
    <t>3350 Placer Street</t>
  </si>
  <si>
    <t>104-900-001, 104-900-016 &amp; 104-900-017</t>
  </si>
  <si>
    <t>40%/60%</t>
  </si>
  <si>
    <t>5251 Ericson Way</t>
  </si>
  <si>
    <t>CA</t>
  </si>
  <si>
    <t>Hailey Del Grande</t>
  </si>
  <si>
    <t>hdelgrande@danco-group.com</t>
  </si>
  <si>
    <t>Redding Placer Street LLC</t>
  </si>
  <si>
    <t>Administrative GP</t>
  </si>
  <si>
    <t>Chris Dart</t>
  </si>
  <si>
    <t>cdart@danco-group.com</t>
  </si>
  <si>
    <t>Johnson &amp; Johnson Investments, LLC</t>
  </si>
  <si>
    <t>Community Revitalization and Development Corporation</t>
  </si>
  <si>
    <t xml:space="preserve">1918 West St. </t>
  </si>
  <si>
    <t>Managing GP</t>
  </si>
  <si>
    <t>David Rutledge</t>
  </si>
  <si>
    <t>David@crdc-housing.org</t>
  </si>
  <si>
    <t>Danco Communities</t>
  </si>
  <si>
    <t>Developer</t>
  </si>
  <si>
    <t>Arcata, CA 95521</t>
  </si>
  <si>
    <t>707-825-1531</t>
  </si>
  <si>
    <t>707-822-9596</t>
  </si>
  <si>
    <t xml:space="preserve">Odu &amp; Associates </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</si>
  <si>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</si>
  <si>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</si>
  <si>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</si>
  <si>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</si>
  <si>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</si>
  <si>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</si>
  <si>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</si>
  <si>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</si>
  <si>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</si>
  <si>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</si>
  <si>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</si>
  <si>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DG Group Architecture</t>
  </si>
  <si>
    <t>430 E. State St., Ste. 100</t>
  </si>
  <si>
    <t>Eagle, ID 83616</t>
  </si>
  <si>
    <t>Douglas L. Gibson</t>
  </si>
  <si>
    <t>209-908-4871</t>
  </si>
  <si>
    <t>208-392-1269</t>
  </si>
  <si>
    <t>douglasg@tpchousing.com</t>
  </si>
  <si>
    <t>Danco Builders Northwest</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</si>
  <si>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</si>
  <si>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</si>
  <si>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</si>
  <si>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</si>
  <si>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</si>
  <si>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</si>
  <si>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</si>
  <si>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</si>
  <si>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</si>
  <si>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</si>
  <si>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</si>
  <si>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</si>
  <si>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</si>
  <si>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</si>
  <si>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</si>
  <si>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</si>
  <si>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</si>
  <si>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</si>
  <si>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</si>
  <si>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</si>
  <si>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</si>
  <si>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</si>
  <si>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N/A Own the Site</t>
  </si>
  <si>
    <t>One or Two Story Garden</t>
  </si>
  <si>
    <t>RM-9-PD / RS-3</t>
  </si>
  <si>
    <t>IIG</t>
  </si>
  <si>
    <t>Citi bank Construction Loan</t>
  </si>
  <si>
    <t>Two Embarcadero Center, 17th Floor</t>
  </si>
  <si>
    <t>San Francisco, CA 94111</t>
  </si>
  <si>
    <t>Jacob St. Onge</t>
  </si>
  <si>
    <t>415-658-3118</t>
  </si>
  <si>
    <t>Construction Loan</t>
  </si>
  <si>
    <t>Citi Bank Perm Loan</t>
  </si>
  <si>
    <t>Boston Financial Solar Equity</t>
  </si>
  <si>
    <t>HCD IIG</t>
  </si>
  <si>
    <t>Perm Loan</t>
  </si>
  <si>
    <t xml:space="preserve">8335 Sunset Blvd, Ste 203 </t>
  </si>
  <si>
    <t>Equity</t>
  </si>
  <si>
    <t>2020 W. El Camino Avenue, Suite 670 P.O. Box 952054</t>
  </si>
  <si>
    <t>Sacramento, CA 94252-2054</t>
  </si>
  <si>
    <t>(916) 263-2771</t>
  </si>
  <si>
    <t>Soft</t>
  </si>
  <si>
    <t>Deferred Fee</t>
  </si>
  <si>
    <t>Developer Note</t>
  </si>
  <si>
    <t>TBD</t>
  </si>
  <si>
    <t>CUAC</t>
  </si>
  <si>
    <t>Project-based vouchers (PBVs)</t>
  </si>
  <si>
    <t>Inspection Fees</t>
  </si>
  <si>
    <t>Borrower's Attorney</t>
  </si>
  <si>
    <t>PG&amp;E Fees</t>
  </si>
  <si>
    <t xml:space="preserve">Holiday Market </t>
  </si>
  <si>
    <t xml:space="preserve">3315 Placer Street </t>
  </si>
  <si>
    <t>Redding, 96001</t>
  </si>
  <si>
    <t>Shay Fields</t>
  </si>
  <si>
    <t>530-242-0477</t>
  </si>
  <si>
    <t>0.2 Miles</t>
  </si>
  <si>
    <t>Magnolia Park</t>
  </si>
  <si>
    <t>1655 Orange Ave</t>
  </si>
  <si>
    <t>Redding 96001</t>
  </si>
  <si>
    <t>0.74 Miles</t>
  </si>
  <si>
    <t xml:space="preserve">CVS Pharmacy </t>
  </si>
  <si>
    <t xml:space="preserve">3375 Placer St, </t>
  </si>
  <si>
    <t xml:space="preserve">Christopher Knight </t>
  </si>
  <si>
    <t>(530) 241-7328</t>
  </si>
  <si>
    <t>cvs.com/store-locator/redding-ca-pharmacies/3375-placer-st-redding-ca-96001/storeid=9979?WT.mc_id=LS_GOOGLE_FS_9979</t>
  </si>
  <si>
    <t>0.13 Miles</t>
  </si>
  <si>
    <t xml:space="preserve">Shasta High School </t>
  </si>
  <si>
    <t>2500 Eureka Way</t>
  </si>
  <si>
    <t>Jim Cloney</t>
  </si>
  <si>
    <t>(530) 241-3261</t>
  </si>
  <si>
    <t>https://www.shastawolves.com</t>
  </si>
  <si>
    <t>0.91 Miles</t>
  </si>
  <si>
    <t>Placer St at San Francisco Bus Stop</t>
  </si>
  <si>
    <t>Placer and San Francisco Street</t>
  </si>
  <si>
    <t>John C. Andoh</t>
  </si>
  <si>
    <t>(530) 245-7116</t>
  </si>
  <si>
    <t>www.rabaride.com</t>
  </si>
  <si>
    <t>0.1 Miles</t>
  </si>
  <si>
    <t>1 bedroom</t>
  </si>
  <si>
    <t>2 bedroom</t>
  </si>
  <si>
    <t>3 bedroom</t>
  </si>
  <si>
    <t>4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</si>
</sst>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9" fontId="0" fillId="7" borderId="3"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8" t="s">
        <v>1872</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2157</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2301</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2308</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2309</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2018</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8" t="s">
        <v>2159</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2160</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2161</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1710</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1711</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7" t="s">
        <v>1822</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1823</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1824</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1819</v>
      </c>
    </row>
    <row r="366" spans="1:38" s="974" customFormat="1">
      <c r="A366"/>
      <c r="B366" s="3"/>
      <c r="C366"/>
      <c r="D366"/>
    </row>
    <row r="367" spans="1:38">
      <c r="B367" s="3"/>
      <c r="F367" s="972" t="s">
        <v>1820</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7" workbookViewId="0">
      <selection activeCell="S60" sqref="S6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27" t="s">
        <v>1864</v>
      </c>
      <c r="B1" s="1927"/>
      <c r="C1" s="1927"/>
      <c r="D1" s="1927"/>
      <c r="E1" s="1927"/>
      <c r="F1" s="1927"/>
      <c r="G1" s="1927"/>
      <c r="H1" s="1927"/>
      <c r="I1" s="1927"/>
      <c r="J1" s="1927"/>
      <c r="K1" s="1927"/>
      <c r="L1" s="1927"/>
      <c r="M1" s="1927"/>
      <c r="N1" s="1927"/>
      <c r="O1" s="1927"/>
      <c r="P1" s="1927"/>
      <c r="Q1" s="1927"/>
      <c r="R1" s="1927"/>
      <c r="S1" s="1927"/>
    </row>
    <row r="2" spans="1:19" ht="15" customHeight="1">
      <c r="A2" s="1927"/>
      <c r="B2" s="1927"/>
      <c r="C2" s="1927"/>
      <c r="D2" s="1927"/>
      <c r="E2" s="1927"/>
      <c r="F2" s="1927"/>
      <c r="G2" s="1927"/>
      <c r="H2" s="1927"/>
      <c r="I2" s="1927"/>
      <c r="J2" s="1927"/>
      <c r="K2" s="1927"/>
      <c r="L2" s="1927"/>
      <c r="M2" s="1927"/>
      <c r="N2" s="1927"/>
      <c r="O2" s="1927"/>
      <c r="P2" s="1927"/>
      <c r="Q2" s="1927"/>
      <c r="R2" s="1927"/>
      <c r="S2" s="192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1" t="s">
        <v>2122</v>
      </c>
      <c r="C4" s="1911"/>
      <c r="D4" s="1911"/>
      <c r="E4" s="1911"/>
      <c r="F4" s="1911"/>
      <c r="G4" s="1911"/>
      <c r="H4" s="1911"/>
      <c r="I4" s="1911"/>
      <c r="J4" s="1911"/>
      <c r="K4" s="1911"/>
      <c r="L4" s="1911"/>
      <c r="M4" s="1911"/>
      <c r="N4" s="1911"/>
      <c r="O4" s="1911"/>
      <c r="P4" s="1911"/>
      <c r="Q4" s="1911"/>
      <c r="R4" s="1911"/>
    </row>
    <row r="5" spans="1:19" ht="15" customHeight="1">
      <c r="A5" s="507"/>
      <c r="B5" s="1911"/>
      <c r="C5" s="1911"/>
      <c r="D5" s="1911"/>
      <c r="E5" s="1911"/>
      <c r="F5" s="1911"/>
      <c r="G5" s="1911"/>
      <c r="H5" s="1911"/>
      <c r="I5" s="1911"/>
      <c r="J5" s="1911"/>
      <c r="K5" s="1911"/>
      <c r="L5" s="1911"/>
      <c r="M5" s="1911"/>
      <c r="N5" s="1911"/>
      <c r="O5" s="1911"/>
      <c r="P5" s="1911"/>
      <c r="Q5" s="1911"/>
      <c r="R5" s="1911"/>
    </row>
    <row r="6" spans="1:19" ht="15" customHeight="1">
      <c r="A6" s="507"/>
      <c r="B6" s="1911"/>
      <c r="C6" s="1911"/>
      <c r="D6" s="1911"/>
      <c r="E6" s="1911"/>
      <c r="F6" s="1911"/>
      <c r="G6" s="1911"/>
      <c r="H6" s="1911"/>
      <c r="I6" s="1911"/>
      <c r="J6" s="1911"/>
      <c r="K6" s="1911"/>
      <c r="L6" s="1911"/>
      <c r="M6" s="1911"/>
      <c r="N6" s="1911"/>
      <c r="O6" s="1911"/>
      <c r="P6" s="1911"/>
      <c r="Q6" s="1911"/>
      <c r="R6" s="191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1" t="s">
        <v>2230</v>
      </c>
      <c r="C8" s="1911"/>
      <c r="D8" s="1911"/>
      <c r="E8" s="1911"/>
      <c r="F8" s="1911"/>
      <c r="G8" s="1911"/>
      <c r="H8" s="1911"/>
      <c r="I8" s="1911"/>
      <c r="J8" s="1911"/>
      <c r="K8" s="1911"/>
      <c r="L8" s="1911"/>
      <c r="M8" s="1911"/>
      <c r="N8" s="1911"/>
      <c r="O8" s="1911"/>
      <c r="P8" s="1911"/>
      <c r="Q8" s="1911"/>
      <c r="R8" s="191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1" t="s">
        <v>2208</v>
      </c>
      <c r="C10" s="1911"/>
      <c r="D10" s="1911"/>
      <c r="E10" s="1911"/>
      <c r="F10" s="1911"/>
      <c r="G10" s="1911"/>
      <c r="H10" s="1911"/>
      <c r="I10" s="1911"/>
      <c r="J10" s="1911"/>
      <c r="K10" s="1911"/>
      <c r="L10" s="1911"/>
      <c r="M10" s="1911"/>
      <c r="N10" s="1911"/>
      <c r="O10" s="1911"/>
      <c r="P10" s="1911"/>
      <c r="Q10" s="1911"/>
      <c r="R10" s="1911"/>
    </row>
    <row r="11" spans="1:19" ht="29.25" customHeight="1">
      <c r="A11" s="507"/>
      <c r="B11" s="1911"/>
      <c r="C11" s="1911"/>
      <c r="D11" s="1911"/>
      <c r="E11" s="1911"/>
      <c r="F11" s="1911"/>
      <c r="G11" s="1911"/>
      <c r="H11" s="1911"/>
      <c r="I11" s="1911"/>
      <c r="J11" s="1911"/>
      <c r="K11" s="1911"/>
      <c r="L11" s="1911"/>
      <c r="M11" s="1911"/>
      <c r="N11" s="1911"/>
      <c r="O11" s="1911"/>
      <c r="P11" s="1911"/>
      <c r="Q11" s="1911"/>
      <c r="R11" s="191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1" t="s">
        <v>2123</v>
      </c>
      <c r="C13" s="1911"/>
      <c r="D13" s="1911"/>
      <c r="E13" s="1911"/>
      <c r="F13" s="1911"/>
      <c r="G13" s="1911"/>
      <c r="H13" s="1911"/>
      <c r="I13" s="1911"/>
      <c r="J13" s="1911"/>
      <c r="K13" s="1911"/>
      <c r="L13" s="1911"/>
      <c r="M13" s="1911"/>
      <c r="N13" s="1911"/>
      <c r="O13" s="1911"/>
      <c r="P13" s="1911"/>
      <c r="Q13" s="1911"/>
      <c r="R13" s="1911"/>
    </row>
    <row r="14" spans="1:19" ht="15" customHeight="1">
      <c r="A14" s="507"/>
      <c r="B14" s="1911"/>
      <c r="C14" s="1911"/>
      <c r="D14" s="1911"/>
      <c r="E14" s="1911"/>
      <c r="F14" s="1911"/>
      <c r="G14" s="1911"/>
      <c r="H14" s="1911"/>
      <c r="I14" s="1911"/>
      <c r="J14" s="1911"/>
      <c r="K14" s="1911"/>
      <c r="L14" s="1911"/>
      <c r="M14" s="1911"/>
      <c r="N14" s="1911"/>
      <c r="O14" s="1911"/>
      <c r="P14" s="1911"/>
      <c r="Q14" s="1911"/>
      <c r="R14" s="1911"/>
    </row>
    <row r="15" spans="1:19" ht="15" customHeight="1">
      <c r="A15" s="507"/>
      <c r="B15" s="1911"/>
      <c r="C15" s="1911"/>
      <c r="D15" s="1911"/>
      <c r="E15" s="1911"/>
      <c r="F15" s="1911"/>
      <c r="G15" s="1911"/>
      <c r="H15" s="1911"/>
      <c r="I15" s="1911"/>
      <c r="J15" s="1911"/>
      <c r="K15" s="1911"/>
      <c r="L15" s="1911"/>
      <c r="M15" s="1911"/>
      <c r="N15" s="1911"/>
      <c r="O15" s="1911"/>
      <c r="P15" s="1911"/>
      <c r="Q15" s="1911"/>
      <c r="R15" s="1911"/>
    </row>
    <row r="16" spans="1:19" ht="15" customHeight="1">
      <c r="A16" s="507"/>
      <c r="B16" s="1911"/>
      <c r="C16" s="1911"/>
      <c r="D16" s="1911"/>
      <c r="E16" s="1911"/>
      <c r="F16" s="1911"/>
      <c r="G16" s="1911"/>
      <c r="H16" s="1911"/>
      <c r="I16" s="1911"/>
      <c r="J16" s="1911"/>
      <c r="K16" s="1911"/>
      <c r="L16" s="1911"/>
      <c r="M16" s="1911"/>
      <c r="N16" s="1911"/>
      <c r="O16" s="1911"/>
      <c r="P16" s="1911"/>
      <c r="Q16" s="1911"/>
      <c r="R16" s="1911"/>
    </row>
    <row r="17" spans="1:18" ht="15" customHeight="1">
      <c r="A17" s="507"/>
      <c r="B17" s="1911"/>
      <c r="C17" s="1911"/>
      <c r="D17" s="1911"/>
      <c r="E17" s="1911"/>
      <c r="F17" s="1911"/>
      <c r="G17" s="1911"/>
      <c r="H17" s="1911"/>
      <c r="I17" s="1911"/>
      <c r="J17" s="1911"/>
      <c r="K17" s="1911"/>
      <c r="L17" s="1911"/>
      <c r="M17" s="1911"/>
      <c r="N17" s="1911"/>
      <c r="O17" s="1911"/>
      <c r="P17" s="1911"/>
      <c r="Q17" s="1911"/>
      <c r="R17" s="191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1" t="s">
        <v>1803</v>
      </c>
      <c r="C19" s="1911"/>
      <c r="D19" s="1911"/>
      <c r="E19" s="1911"/>
      <c r="F19" s="1911"/>
      <c r="G19" s="1911"/>
      <c r="H19" s="1911"/>
      <c r="I19" s="1911"/>
      <c r="J19" s="1911"/>
      <c r="K19" s="1911"/>
      <c r="L19" s="1911"/>
      <c r="M19" s="1911"/>
      <c r="N19" s="1911"/>
      <c r="O19" s="1911"/>
      <c r="P19" s="1911"/>
      <c r="Q19" s="1911"/>
      <c r="R19" s="1911"/>
    </row>
    <row r="20" spans="1:18" ht="15" customHeight="1">
      <c r="A20" s="507"/>
      <c r="B20" s="1911"/>
      <c r="C20" s="1911"/>
      <c r="D20" s="1911"/>
      <c r="E20" s="1911"/>
      <c r="F20" s="1911"/>
      <c r="G20" s="1911"/>
      <c r="H20" s="1911"/>
      <c r="I20" s="1911"/>
      <c r="J20" s="1911"/>
      <c r="K20" s="1911"/>
      <c r="L20" s="1911"/>
      <c r="M20" s="1911"/>
      <c r="N20" s="1911"/>
      <c r="O20" s="1911"/>
      <c r="P20" s="1911"/>
      <c r="Q20" s="1911"/>
      <c r="R20" s="1911"/>
    </row>
    <row r="21" spans="1:18" ht="15" customHeight="1">
      <c r="A21" s="507"/>
      <c r="B21" s="1911"/>
      <c r="C21" s="1911"/>
      <c r="D21" s="1911"/>
      <c r="E21" s="1911"/>
      <c r="F21" s="1911"/>
      <c r="G21" s="1911"/>
      <c r="H21" s="1911"/>
      <c r="I21" s="1911"/>
      <c r="J21" s="1911"/>
      <c r="K21" s="1911"/>
      <c r="L21" s="1911"/>
      <c r="M21" s="1911"/>
      <c r="N21" s="1911"/>
      <c r="O21" s="1911"/>
      <c r="P21" s="1911"/>
      <c r="Q21" s="1911"/>
      <c r="R21" s="191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1" t="s">
        <v>1804</v>
      </c>
      <c r="C23" s="1911"/>
      <c r="D23" s="1911"/>
      <c r="E23" s="1911"/>
      <c r="F23" s="1911"/>
      <c r="G23" s="1911"/>
      <c r="H23" s="1911"/>
      <c r="I23" s="1911"/>
      <c r="J23" s="1911"/>
      <c r="K23" s="1911"/>
      <c r="L23" s="1911"/>
      <c r="M23" s="1911"/>
      <c r="N23" s="1911"/>
      <c r="O23" s="1911"/>
      <c r="P23" s="1911"/>
      <c r="Q23" s="1911"/>
      <c r="R23" s="1911"/>
    </row>
    <row r="24" spans="1:18" ht="15" customHeight="1">
      <c r="B24" s="1911"/>
      <c r="C24" s="1911"/>
      <c r="D24" s="1911"/>
      <c r="E24" s="1911"/>
      <c r="F24" s="1911"/>
      <c r="G24" s="1911"/>
      <c r="H24" s="1911"/>
      <c r="I24" s="1911"/>
      <c r="J24" s="1911"/>
      <c r="K24" s="1911"/>
      <c r="L24" s="1911"/>
      <c r="M24" s="1911"/>
      <c r="N24" s="1911"/>
      <c r="O24" s="1911"/>
      <c r="P24" s="1911"/>
      <c r="Q24" s="1911"/>
      <c r="R24" s="191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1" t="s">
        <v>1695</v>
      </c>
      <c r="C26" s="1911"/>
      <c r="D26" s="1911"/>
      <c r="E26" s="1911"/>
      <c r="F26" s="1911"/>
      <c r="G26" s="1911"/>
      <c r="H26" s="1911"/>
      <c r="I26" s="1911"/>
      <c r="J26" s="1911"/>
      <c r="K26" s="1911"/>
      <c r="L26" s="1911"/>
      <c r="M26" s="1911"/>
      <c r="N26" s="1911"/>
      <c r="O26" s="1911"/>
      <c r="P26" s="1911"/>
      <c r="Q26" s="1911"/>
      <c r="R26" s="191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19" t="s">
        <v>1608</v>
      </c>
      <c r="C29" s="1919"/>
      <c r="D29" s="1919"/>
      <c r="E29" s="1919"/>
      <c r="F29" s="1919"/>
      <c r="G29" s="1919"/>
      <c r="H29" s="376"/>
      <c r="I29" s="376"/>
      <c r="J29" s="376"/>
      <c r="K29" s="376"/>
      <c r="L29" s="376"/>
      <c r="M29" s="376"/>
      <c r="N29" s="376"/>
      <c r="O29" s="1917" t="s">
        <v>1617</v>
      </c>
    </row>
    <row r="30" spans="1:18" ht="15" customHeight="1">
      <c r="B30" s="1919"/>
      <c r="C30" s="1919"/>
      <c r="D30" s="1919"/>
      <c r="E30" s="1919"/>
      <c r="F30" s="1919"/>
      <c r="G30" s="1919"/>
      <c r="H30" s="376"/>
      <c r="I30" s="376"/>
      <c r="J30" s="376"/>
      <c r="K30" s="376"/>
      <c r="L30" s="376"/>
      <c r="M30" s="376"/>
      <c r="N30" s="376"/>
      <c r="O30" s="1917"/>
    </row>
    <row r="31" spans="1:18" ht="15" customHeight="1">
      <c r="B31" s="1919"/>
      <c r="C31" s="1919"/>
      <c r="D31" s="1919"/>
      <c r="E31" s="1919"/>
      <c r="F31" s="1919"/>
      <c r="G31" s="1919"/>
      <c r="H31" s="376"/>
      <c r="I31" s="376"/>
      <c r="J31" s="376"/>
      <c r="K31" s="376"/>
      <c r="L31" s="376"/>
      <c r="M31" s="376"/>
      <c r="N31" s="376"/>
      <c r="O31" s="1917"/>
    </row>
    <row r="32" spans="1:18" ht="15" customHeight="1">
      <c r="B32" s="1920"/>
      <c r="C32" s="1920"/>
      <c r="D32" s="1920"/>
      <c r="E32" s="1920"/>
      <c r="F32" s="1920"/>
      <c r="G32" s="1920"/>
      <c r="I32" s="1921" t="s">
        <v>139</v>
      </c>
      <c r="J32" s="1922" t="s">
        <v>992</v>
      </c>
      <c r="K32" s="1923">
        <v>1</v>
      </c>
      <c r="M32" s="509"/>
      <c r="O32" s="1918"/>
      <c r="P32" s="1922" t="s">
        <v>1943</v>
      </c>
    </row>
    <row r="33" spans="1:21" ht="15" customHeight="1">
      <c r="B33" s="1924" t="s">
        <v>1612</v>
      </c>
      <c r="C33" s="1924"/>
      <c r="D33" s="1924"/>
      <c r="E33" s="1924"/>
      <c r="F33" s="1924"/>
      <c r="G33" s="1924"/>
      <c r="I33" s="1921"/>
      <c r="J33" s="1922"/>
      <c r="K33" s="1923"/>
      <c r="M33" s="510"/>
      <c r="O33" s="1924"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8" t="s">
        <v>1602</v>
      </c>
      <c r="C37" s="1928"/>
      <c r="D37" s="1928"/>
      <c r="E37" s="1928"/>
      <c r="F37" s="516"/>
      <c r="G37" s="516"/>
      <c r="H37" s="517"/>
      <c r="I37" s="376"/>
      <c r="J37" s="376"/>
      <c r="L37" s="529"/>
      <c r="M37" s="529"/>
      <c r="N37" s="529"/>
      <c r="O37" s="529"/>
      <c r="P37" s="529"/>
      <c r="Q37" s="529"/>
      <c r="R37" s="529"/>
      <c r="S37" s="529"/>
    </row>
    <row r="38" spans="1:21" ht="15" customHeight="1">
      <c r="B38" s="1933" t="s">
        <v>1618</v>
      </c>
      <c r="C38" s="1933"/>
      <c r="D38" s="1933"/>
      <c r="E38" s="1933"/>
      <c r="F38" s="650"/>
      <c r="G38" s="518">
        <f>D110</f>
        <v>2216522.3006151775</v>
      </c>
      <c r="H38" s="384"/>
      <c r="I38" s="519"/>
      <c r="J38" s="384"/>
      <c r="K38" s="1940" t="s">
        <v>2227</v>
      </c>
      <c r="L38" s="1940"/>
      <c r="M38" s="1940"/>
      <c r="N38" s="1940"/>
      <c r="O38" s="1940"/>
      <c r="P38" s="1940"/>
      <c r="Q38" s="1940"/>
      <c r="R38" s="1940"/>
      <c r="S38" s="1940"/>
    </row>
    <row r="39" spans="1:21" ht="15" customHeight="1">
      <c r="B39" s="1934" t="s">
        <v>1283</v>
      </c>
      <c r="C39" s="1934"/>
      <c r="D39" s="1934"/>
      <c r="E39" s="1934"/>
      <c r="F39" s="650"/>
      <c r="G39" s="632"/>
      <c r="H39" s="384"/>
      <c r="I39" s="519"/>
      <c r="J39" s="384"/>
      <c r="K39" s="1940"/>
      <c r="L39" s="1940"/>
      <c r="M39" s="1940"/>
      <c r="N39" s="1940"/>
      <c r="O39" s="1940"/>
      <c r="P39" s="1940"/>
      <c r="Q39" s="1940"/>
      <c r="R39" s="1940"/>
      <c r="S39" s="1940"/>
    </row>
    <row r="40" spans="1:21" ht="15" customHeight="1">
      <c r="B40" s="1934" t="s">
        <v>1284</v>
      </c>
      <c r="C40" s="1934"/>
      <c r="D40" s="1934"/>
      <c r="E40" s="1934"/>
      <c r="F40" s="650"/>
      <c r="G40" s="632"/>
      <c r="H40" s="384"/>
      <c r="I40" s="519"/>
      <c r="J40" s="384"/>
      <c r="K40" s="1940"/>
      <c r="L40" s="1940"/>
      <c r="M40" s="1940"/>
      <c r="N40" s="1940"/>
      <c r="O40" s="1940"/>
      <c r="P40" s="1940"/>
      <c r="Q40" s="1940"/>
      <c r="R40" s="1940"/>
      <c r="S40" s="1940"/>
    </row>
    <row r="41" spans="1:21" ht="15" customHeight="1">
      <c r="B41" s="1935" t="s">
        <v>1613</v>
      </c>
      <c r="C41" s="1935"/>
      <c r="D41" s="1935"/>
      <c r="E41" s="1935"/>
      <c r="F41" s="650"/>
      <c r="G41" s="384"/>
      <c r="H41" s="384"/>
      <c r="I41" s="519"/>
      <c r="J41" s="384"/>
      <c r="K41" s="1939" t="s">
        <v>124</v>
      </c>
      <c r="L41" s="1939"/>
      <c r="M41" s="1939"/>
      <c r="N41" s="1939"/>
      <c r="O41" s="1939"/>
      <c r="P41" s="1939"/>
      <c r="Q41" s="1939"/>
      <c r="R41" s="1939"/>
      <c r="S41" s="1939"/>
    </row>
    <row r="42" spans="1:21" ht="15" customHeight="1">
      <c r="B42" s="634" t="s">
        <v>2399</v>
      </c>
      <c r="C42" s="634"/>
      <c r="D42" s="628"/>
      <c r="E42" s="652">
        <f>+Application!AO623</f>
        <v>3495300</v>
      </c>
      <c r="F42" s="650"/>
      <c r="G42" s="384"/>
      <c r="H42" s="384"/>
      <c r="I42" s="519"/>
      <c r="J42" s="384"/>
      <c r="K42" s="1938"/>
      <c r="L42" s="1938"/>
      <c r="M42" s="1938"/>
      <c r="N42" s="1938"/>
      <c r="O42" s="1938"/>
      <c r="Q42" s="1941"/>
      <c r="R42" s="1941"/>
      <c r="U42" s="754" t="s">
        <v>124</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41"/>
      <c r="R44" s="1941"/>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5" t="s">
        <v>1851</v>
      </c>
      <c r="L46" s="1915"/>
      <c r="M46" s="1915"/>
      <c r="N46" s="1915"/>
      <c r="O46" s="1915"/>
      <c r="Q46" s="1912"/>
      <c r="R46" s="1912"/>
    </row>
    <row r="47" spans="1:21" ht="15" customHeight="1">
      <c r="B47" s="634"/>
      <c r="C47" s="634"/>
      <c r="D47" s="504"/>
      <c r="E47" s="652"/>
      <c r="F47" s="650"/>
      <c r="G47" s="384"/>
      <c r="H47" s="384"/>
      <c r="I47" s="519"/>
      <c r="J47" s="384"/>
      <c r="K47" s="1916" t="s">
        <v>1852</v>
      </c>
      <c r="L47" s="1916"/>
      <c r="M47" s="1916"/>
      <c r="N47" s="1916"/>
      <c r="O47" s="1916"/>
      <c r="Q47" s="1914"/>
      <c r="R47" s="1914"/>
    </row>
    <row r="48" spans="1:21" ht="15" customHeight="1">
      <c r="B48" s="634"/>
      <c r="C48" s="634"/>
      <c r="D48" s="504"/>
      <c r="E48" s="652"/>
      <c r="F48" s="650"/>
      <c r="G48" s="384"/>
      <c r="H48" s="384"/>
      <c r="I48" s="519"/>
      <c r="J48" s="384"/>
      <c r="K48" s="1913" t="s">
        <v>1853</v>
      </c>
      <c r="L48" s="1913"/>
      <c r="M48" s="1913"/>
      <c r="N48" s="1913"/>
      <c r="O48" s="1913"/>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3" t="s">
        <v>1609</v>
      </c>
      <c r="C52" s="1933"/>
      <c r="D52" s="1933"/>
      <c r="E52" s="1933"/>
      <c r="F52" s="650"/>
      <c r="G52" s="518">
        <f>SUM(E42:E49)-ABS(E50)-ABS(E51)</f>
        <v>3495300</v>
      </c>
      <c r="H52" s="384"/>
      <c r="I52" s="519"/>
      <c r="J52" s="384"/>
    </row>
    <row r="53" spans="1:29" ht="15" customHeight="1">
      <c r="C53" s="523"/>
      <c r="D53" s="523" t="s">
        <v>875</v>
      </c>
      <c r="E53" s="523"/>
      <c r="F53" s="523"/>
      <c r="G53" s="524">
        <f>SUM(G38:G40)+G52</f>
        <v>5711822.3006151775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6" t="s">
        <v>1264</v>
      </c>
      <c r="C56" s="1936"/>
      <c r="D56" s="650"/>
      <c r="E56" s="650"/>
      <c r="F56" s="650"/>
      <c r="G56" s="650"/>
      <c r="H56" s="650"/>
      <c r="I56" s="650"/>
      <c r="J56" s="650"/>
      <c r="K56" s="650"/>
      <c r="L56" s="650"/>
      <c r="M56" s="650"/>
      <c r="N56" s="650"/>
      <c r="O56" s="650"/>
      <c r="P56" s="650"/>
      <c r="U56" s="952" t="s">
        <v>1798</v>
      </c>
      <c r="AC56" s="953">
        <v>0.2</v>
      </c>
    </row>
    <row r="57" spans="1:29" ht="15" customHeight="1">
      <c r="A57" s="521"/>
      <c r="B57" s="1937" t="s">
        <v>1604</v>
      </c>
      <c r="C57" s="1937"/>
      <c r="D57" s="1937"/>
      <c r="E57" s="1937"/>
      <c r="F57" s="1937"/>
      <c r="G57" s="1937"/>
      <c r="H57" s="1937"/>
      <c r="I57" s="1937"/>
      <c r="J57" s="1937"/>
      <c r="K57" s="1937"/>
      <c r="L57" s="1937"/>
      <c r="M57" s="1937"/>
      <c r="N57" s="1937"/>
      <c r="O57" s="1937"/>
      <c r="P57" s="650"/>
      <c r="U57" s="952" t="s">
        <v>1799</v>
      </c>
      <c r="AC57" s="953">
        <v>0.1</v>
      </c>
    </row>
    <row r="58" spans="1:29" ht="15" customHeight="1">
      <c r="B58" s="1928" t="s">
        <v>2225</v>
      </c>
      <c r="C58" s="1929"/>
      <c r="D58" s="1929"/>
      <c r="E58" s="1929"/>
      <c r="F58" s="526"/>
      <c r="G58" s="526"/>
      <c r="H58" s="516"/>
      <c r="I58" s="516"/>
      <c r="J58" s="1930">
        <f>('Sources and Uses Budget'!D104+Q47)/('Sources and Uses Budget'!B104+Q48)</f>
        <v>0</v>
      </c>
      <c r="K58" s="1931"/>
      <c r="L58" s="1931"/>
      <c r="M58" s="1931"/>
      <c r="N58" s="1932"/>
      <c r="O58" s="516"/>
      <c r="P58" s="516"/>
      <c r="U58" s="952" t="s">
        <v>1800</v>
      </c>
      <c r="AC58" s="953">
        <v>0.1</v>
      </c>
    </row>
    <row r="59" spans="1:29" ht="15" customHeight="1">
      <c r="B59" s="1911" t="s">
        <v>2124</v>
      </c>
      <c r="C59" s="1911"/>
      <c r="D59" s="1911"/>
      <c r="E59" s="1911"/>
      <c r="F59" s="1911"/>
      <c r="G59" s="1911"/>
      <c r="H59" s="1911"/>
      <c r="I59" s="1911"/>
      <c r="J59" s="1911"/>
      <c r="K59" s="1911"/>
      <c r="L59" s="1911"/>
      <c r="M59" s="1911"/>
      <c r="N59" s="1911"/>
      <c r="O59" s="1911"/>
      <c r="P59" s="516"/>
      <c r="U59" s="952" t="s">
        <v>1801</v>
      </c>
      <c r="AC59" s="953">
        <v>0.05</v>
      </c>
    </row>
    <row r="60" spans="1:29" ht="15" customHeight="1">
      <c r="B60" s="1911"/>
      <c r="C60" s="1911"/>
      <c r="D60" s="1911"/>
      <c r="E60" s="1911"/>
      <c r="F60" s="1911"/>
      <c r="G60" s="1911"/>
      <c r="H60" s="1911"/>
      <c r="I60" s="1911"/>
      <c r="J60" s="1911"/>
      <c r="K60" s="1911"/>
      <c r="L60" s="1911"/>
      <c r="M60" s="1911"/>
      <c r="N60" s="1911"/>
      <c r="O60" s="1911"/>
      <c r="P60" s="516"/>
      <c r="AC60" s="954"/>
    </row>
    <row r="61" spans="1:29" ht="15" customHeight="1">
      <c r="B61" s="193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7"/>
      <c r="D61" s="1937"/>
      <c r="E61" s="1937"/>
      <c r="F61" s="1937"/>
      <c r="G61" s="1937"/>
      <c r="H61" s="1937"/>
      <c r="I61" s="1937"/>
      <c r="J61" s="1937"/>
      <c r="K61" s="1937"/>
      <c r="L61" s="1937"/>
      <c r="M61" s="1937"/>
      <c r="N61" s="1937"/>
      <c r="O61" s="193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3" t="s">
        <v>2228</v>
      </c>
      <c r="K63" s="1944"/>
      <c r="L63" s="1944"/>
      <c r="M63" s="1944"/>
      <c r="N63" s="1944"/>
      <c r="O63" s="1944"/>
      <c r="P63" s="1944"/>
      <c r="Q63" s="1944"/>
      <c r="R63" s="1944"/>
    </row>
    <row r="64" spans="1:29" ht="15" customHeight="1" thickBot="1">
      <c r="B64" s="1936" t="s">
        <v>1614</v>
      </c>
      <c r="C64" s="1936"/>
      <c r="D64" s="376"/>
      <c r="F64" s="376"/>
      <c r="G64" s="523" t="s">
        <v>1854</v>
      </c>
      <c r="H64" s="376"/>
      <c r="I64" s="758"/>
      <c r="J64" s="1945"/>
      <c r="K64" s="1946"/>
      <c r="L64" s="1946"/>
      <c r="M64" s="1946"/>
      <c r="N64" s="1946"/>
      <c r="O64" s="1946"/>
      <c r="P64" s="1946"/>
      <c r="Q64" s="1946"/>
      <c r="R64" s="194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5"/>
      <c r="K65" s="1946"/>
      <c r="L65" s="1946"/>
      <c r="M65" s="1946"/>
      <c r="N65" s="1946"/>
      <c r="O65" s="1946"/>
      <c r="P65" s="1946"/>
      <c r="Q65" s="1946"/>
      <c r="R65" s="1946"/>
      <c r="U65" s="951">
        <f>IF(J67="Non-rural project, Census Tract is Highest Resource (20 percentage points)",AC56,0)</f>
        <v>0.2</v>
      </c>
    </row>
    <row r="66" spans="1:22" ht="15" customHeight="1" thickBot="1">
      <c r="B66" s="528" t="s">
        <v>1683</v>
      </c>
      <c r="C66" s="638">
        <f>Application!AG430-Application!AG431</f>
        <v>64</v>
      </c>
      <c r="D66" s="788"/>
      <c r="E66" s="528" t="s">
        <v>1857</v>
      </c>
      <c r="F66" s="788"/>
      <c r="G66" s="655"/>
      <c r="H66" s="529"/>
      <c r="I66" s="759"/>
      <c r="J66" s="1945"/>
      <c r="K66" s="1946"/>
      <c r="L66" s="1946"/>
      <c r="M66" s="1946"/>
      <c r="N66" s="1946"/>
      <c r="O66" s="1946"/>
      <c r="P66" s="1946"/>
      <c r="Q66" s="1946"/>
      <c r="R66" s="1946"/>
      <c r="U66" s="951">
        <f>IF(J67="Non-rural project, Census Tract is High Resource (10 percentage points)",AC57,0)</f>
        <v>0</v>
      </c>
    </row>
    <row r="67" spans="1:22" ht="15" customHeight="1" thickBot="1">
      <c r="B67" s="528" t="s">
        <v>1603</v>
      </c>
      <c r="C67" s="639">
        <f>MIN(IF(AND(C65="Yes",G67&gt;=50),(0.75+(G67/200)),1),1.5)</f>
        <v>1.07</v>
      </c>
      <c r="D67" s="529"/>
      <c r="E67" s="528" t="s">
        <v>1684</v>
      </c>
      <c r="G67" s="638">
        <f>C66+G66</f>
        <v>64</v>
      </c>
      <c r="H67" s="529"/>
      <c r="I67" s="759"/>
      <c r="J67" s="1942" t="s">
        <v>1798</v>
      </c>
      <c r="K67" s="1939"/>
      <c r="L67" s="1939"/>
      <c r="M67" s="1939"/>
      <c r="N67" s="1939"/>
      <c r="O67" s="1939"/>
      <c r="P67" s="1939"/>
      <c r="Q67" s="1939"/>
      <c r="R67" s="193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5">
        <f>SUM(U62:U68)</f>
        <v>0.2</v>
      </c>
    </row>
    <row r="70" spans="1:22" ht="15" customHeight="1" thickBot="1">
      <c r="B70" s="508" t="s">
        <v>1611</v>
      </c>
      <c r="C70" s="508"/>
      <c r="D70" s="508"/>
      <c r="E70" s="508"/>
      <c r="F70" s="508"/>
      <c r="G70" s="508"/>
      <c r="U70" s="1926"/>
      <c r="V70" s="373" t="s">
        <v>1802</v>
      </c>
    </row>
    <row r="71" spans="1:22" ht="15" customHeight="1">
      <c r="B71" s="1933" t="s">
        <v>1615</v>
      </c>
      <c r="C71" s="1933"/>
      <c r="D71" s="1933"/>
      <c r="E71" s="508"/>
      <c r="F71" s="508"/>
      <c r="G71" s="518">
        <f>G53*(1-J58)</f>
        <v>5711822.3006151775</v>
      </c>
      <c r="J71" s="530"/>
      <c r="K71" s="687" t="s">
        <v>1617</v>
      </c>
      <c r="L71" s="687"/>
      <c r="M71" s="687"/>
      <c r="N71" s="687"/>
      <c r="O71" s="687"/>
      <c r="Q71" s="1915">
        <f>'Basis &amp; Credits'!T23+'Basis &amp; Credits'!Y23+'Basis &amp; Credits'!AD23+'Basis &amp; Credits'!AI23</f>
        <v>27777776</v>
      </c>
      <c r="R71" s="1915"/>
    </row>
    <row r="72" spans="1:22" ht="15" customHeight="1">
      <c r="B72" s="1947" t="s">
        <v>1616</v>
      </c>
      <c r="C72" s="1947"/>
      <c r="D72" s="1947"/>
      <c r="E72" s="508"/>
      <c r="F72" s="508"/>
      <c r="G72" s="518">
        <f>G71*C67</f>
        <v>6111649.8616582407</v>
      </c>
      <c r="J72" s="530"/>
      <c r="K72" s="650"/>
      <c r="L72" s="650"/>
      <c r="M72" s="650"/>
      <c r="N72" s="650"/>
      <c r="O72" s="650"/>
      <c r="Q72" s="1941"/>
      <c r="R72" s="194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8">
        <f>$G$72</f>
        <v>6111649.8616582407</v>
      </c>
      <c r="C75" s="1949"/>
      <c r="D75" s="1949"/>
      <c r="E75" s="1949"/>
      <c r="F75" s="1949"/>
      <c r="G75" s="1949"/>
      <c r="H75" s="531"/>
      <c r="I75" s="1921" t="s">
        <v>139</v>
      </c>
      <c r="J75" s="1922" t="s">
        <v>992</v>
      </c>
      <c r="K75" s="1921">
        <v>1</v>
      </c>
      <c r="M75" s="395"/>
      <c r="N75" s="510"/>
      <c r="O75" s="657">
        <f>$Q$71</f>
        <v>27777776</v>
      </c>
      <c r="P75" s="1922" t="s">
        <v>1943</v>
      </c>
      <c r="Q75" s="1950" t="s">
        <v>138</v>
      </c>
      <c r="R75" s="1953">
        <f>((B75/B76)+((1-(O75/O76))/2))+U69</f>
        <v>0.45666084515537569</v>
      </c>
    </row>
    <row r="76" spans="1:22" ht="15" customHeight="1" thickBot="1">
      <c r="B76" s="1951">
        <f>'Sources and Uses Budget'!$C$104+$Q$46-($E$50+$E$51)*(1-$J$58)</f>
        <v>31960488</v>
      </c>
      <c r="C76" s="1952"/>
      <c r="D76" s="1952"/>
      <c r="E76" s="1952"/>
      <c r="F76" s="1952"/>
      <c r="G76" s="1951"/>
      <c r="I76" s="1921"/>
      <c r="J76" s="1922"/>
      <c r="K76" s="1921"/>
      <c r="M76" s="648"/>
      <c r="O76" s="656">
        <f>B76</f>
        <v>31960488</v>
      </c>
      <c r="P76" s="1922"/>
      <c r="Q76" s="1950"/>
      <c r="R76" s="195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2452</v>
      </c>
      <c r="C90" s="498">
        <v>3</v>
      </c>
      <c r="D90" s="499">
        <v>472</v>
      </c>
      <c r="E90" s="499">
        <v>1245</v>
      </c>
      <c r="F90" s="540"/>
      <c r="G90" s="384">
        <f>MAX(($E90-$D90)*$C90*12,0)</f>
        <v>27828</v>
      </c>
      <c r="I90" s="519"/>
      <c r="K90" s="756" t="s">
        <v>1626</v>
      </c>
      <c r="L90" s="684"/>
      <c r="M90" s="684"/>
      <c r="N90" s="684"/>
      <c r="O90" s="684"/>
      <c r="P90" s="684"/>
      <c r="Q90" s="1955"/>
      <c r="R90" s="1955"/>
    </row>
    <row r="91" spans="2:18" ht="15" customHeight="1">
      <c r="B91" s="497" t="s">
        <v>2453</v>
      </c>
      <c r="C91" s="498">
        <v>8</v>
      </c>
      <c r="D91" s="499">
        <v>567</v>
      </c>
      <c r="E91" s="499">
        <v>1636</v>
      </c>
      <c r="F91" s="540"/>
      <c r="G91" s="384">
        <f t="shared" ref="G91:G97" si="0">MAX(($E91-$D91)*$C91*12,0)</f>
        <v>102624</v>
      </c>
      <c r="I91" s="519"/>
      <c r="K91" s="756" t="s">
        <v>1629</v>
      </c>
      <c r="L91" s="684"/>
      <c r="M91" s="684"/>
      <c r="N91" s="684"/>
      <c r="O91" s="684"/>
      <c r="P91" s="684"/>
      <c r="Q91" s="1916">
        <f>IFERROR(Q89/Q90,0)</f>
        <v>0</v>
      </c>
      <c r="R91" s="1916"/>
    </row>
    <row r="92" spans="2:18" ht="15" customHeight="1">
      <c r="B92" s="497" t="s">
        <v>2454</v>
      </c>
      <c r="C92" s="498">
        <v>4</v>
      </c>
      <c r="D92" s="499">
        <v>655</v>
      </c>
      <c r="E92" s="499">
        <v>2388</v>
      </c>
      <c r="F92" s="540"/>
      <c r="G92" s="384">
        <f t="shared" si="0"/>
        <v>83184</v>
      </c>
      <c r="I92" s="519"/>
    </row>
    <row r="93" spans="2:18" ht="15" customHeight="1">
      <c r="B93" s="497" t="s">
        <v>2455</v>
      </c>
      <c r="C93" s="498">
        <v>1</v>
      </c>
      <c r="D93" s="499">
        <v>731</v>
      </c>
      <c r="E93" s="499">
        <v>2775</v>
      </c>
      <c r="F93" s="540"/>
      <c r="G93" s="384">
        <f t="shared" si="0"/>
        <v>24528</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238164</v>
      </c>
      <c r="I98" s="519"/>
    </row>
    <row r="99" spans="2:9" ht="15" customHeight="1">
      <c r="I99" s="519"/>
    </row>
    <row r="100" spans="2:9" ht="15" customHeight="1">
      <c r="B100" s="376" t="s">
        <v>1627</v>
      </c>
      <c r="D100" s="520">
        <f>G98+Q93</f>
        <v>238164</v>
      </c>
      <c r="I100" s="519"/>
    </row>
    <row r="101" spans="2:9" ht="15" customHeight="1">
      <c r="B101" s="376" t="s">
        <v>988</v>
      </c>
      <c r="D101" s="536">
        <v>0.05</v>
      </c>
      <c r="I101" s="519"/>
    </row>
    <row r="102" spans="2:9" ht="15" customHeight="1">
      <c r="B102" s="376" t="s">
        <v>1017</v>
      </c>
      <c r="D102" s="520">
        <f>D100-(D100*D101)</f>
        <v>226255.8</v>
      </c>
    </row>
    <row r="103" spans="2:9" ht="15" customHeight="1">
      <c r="B103" s="376" t="s">
        <v>1619</v>
      </c>
      <c r="D103" s="537"/>
    </row>
    <row r="104" spans="2:9" ht="15" customHeight="1">
      <c r="B104" s="376" t="s">
        <v>1628</v>
      </c>
      <c r="D104" s="520">
        <f>D102/D108</f>
        <v>196744.17391304349</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2216522.3006151775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workbookViewId="0">
      <selection activeCell="M24" sqref="M2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694764</v>
      </c>
      <c r="F4" s="384"/>
      <c r="G4" s="384">
        <f>E4*$C$4</f>
        <v>712133.1</v>
      </c>
      <c r="H4" s="384"/>
      <c r="I4" s="384">
        <f>G4*$C$4</f>
        <v>729936.42749999987</v>
      </c>
      <c r="J4" s="384"/>
      <c r="K4" s="384">
        <f>I4*$C$4</f>
        <v>748184.83818749979</v>
      </c>
      <c r="L4" s="384"/>
      <c r="M4" s="384">
        <f>K4*$C$4</f>
        <v>766889.45914218726</v>
      </c>
      <c r="N4" s="384"/>
      <c r="O4" s="384">
        <f>M4*$C$4</f>
        <v>786061.69562074193</v>
      </c>
      <c r="P4" s="384"/>
      <c r="Q4" s="384">
        <f>O4*$C$4</f>
        <v>805713.2380112604</v>
      </c>
      <c r="R4" s="384"/>
      <c r="S4" s="384">
        <f>Q4*$C$4</f>
        <v>825856.06896154187</v>
      </c>
      <c r="T4" s="384"/>
      <c r="U4" s="384">
        <f>S4*$C$4</f>
        <v>846502.4706855804</v>
      </c>
      <c r="V4" s="384"/>
      <c r="W4" s="384">
        <f>U4*$C$4</f>
        <v>867665.03245271987</v>
      </c>
      <c r="X4" s="384"/>
      <c r="Y4" s="384">
        <f>W4*$C$4</f>
        <v>889356.6582640378</v>
      </c>
      <c r="Z4" s="384"/>
      <c r="AA4" s="384">
        <f>Y4*$C$4</f>
        <v>911590.57472063869</v>
      </c>
      <c r="AB4" s="384"/>
      <c r="AC4" s="384">
        <f>AA4*$C$4</f>
        <v>934380.33908865461</v>
      </c>
      <c r="AD4" s="384"/>
      <c r="AE4" s="384">
        <f>AC4*$C$4</f>
        <v>957739.84756587085</v>
      </c>
      <c r="AF4" s="384"/>
      <c r="AG4" s="384">
        <f>AE4*$C$4</f>
        <v>981683.3437550175</v>
      </c>
      <c r="AH4" s="384"/>
    </row>
    <row r="5" spans="1:34" ht="14.25">
      <c r="A5" s="376"/>
      <c r="B5" s="376" t="s">
        <v>988</v>
      </c>
      <c r="C5" s="408">
        <f>IF(Application!$D$214="Special Needs",0.1,0.05)</f>
        <v>0.05</v>
      </c>
      <c r="D5" s="376"/>
      <c r="E5" s="386">
        <f>-E4*$C$5</f>
        <v>-34738.200000000004</v>
      </c>
      <c r="F5" s="386"/>
      <c r="G5" s="386">
        <f>-G4*$C$5</f>
        <v>-35606.654999999999</v>
      </c>
      <c r="H5" s="386"/>
      <c r="I5" s="386">
        <f>-I4*$C$5</f>
        <v>-36496.821374999992</v>
      </c>
      <c r="J5" s="386"/>
      <c r="K5" s="386">
        <f>-K4*$C$5</f>
        <v>-37409.241909374992</v>
      </c>
      <c r="L5" s="386"/>
      <c r="M5" s="386">
        <f>-M4*$C$5</f>
        <v>-38344.472957109363</v>
      </c>
      <c r="N5" s="386"/>
      <c r="O5" s="386">
        <f>-O4*$C$5</f>
        <v>-39303.084781037098</v>
      </c>
      <c r="P5" s="386"/>
      <c r="Q5" s="386">
        <f>-Q4*$C$5</f>
        <v>-40285.66190056302</v>
      </c>
      <c r="R5" s="386"/>
      <c r="S5" s="386">
        <f>-S4*$C$5</f>
        <v>-41292.803448077095</v>
      </c>
      <c r="T5" s="386"/>
      <c r="U5" s="386">
        <f>-U4*$C$5</f>
        <v>-42325.123534279024</v>
      </c>
      <c r="V5" s="386"/>
      <c r="W5" s="386">
        <f>-W4*$C$5</f>
        <v>-43383.251622635995</v>
      </c>
      <c r="X5" s="386"/>
      <c r="Y5" s="386">
        <f>-Y4*$C$5</f>
        <v>-44467.832913201892</v>
      </c>
      <c r="Z5" s="386"/>
      <c r="AA5" s="386">
        <f>-AA4*$C$5</f>
        <v>-45579.528736031934</v>
      </c>
      <c r="AB5" s="386"/>
      <c r="AC5" s="386">
        <f>-AC4*$C$5</f>
        <v>-46719.016954432736</v>
      </c>
      <c r="AD5" s="386"/>
      <c r="AE5" s="386">
        <f>-AE4*$C$5</f>
        <v>-47886.992378293544</v>
      </c>
      <c r="AF5" s="386"/>
      <c r="AG5" s="386">
        <f>-AG4*$C$5</f>
        <v>-49084.167187750878</v>
      </c>
      <c r="AH5" s="376"/>
    </row>
    <row r="6" spans="1:34" ht="14.25">
      <c r="A6" s="376" t="s">
        <v>1074</v>
      </c>
      <c r="B6" s="376"/>
      <c r="C6" s="407">
        <v>1.0249999999999999</v>
      </c>
      <c r="D6" s="376"/>
      <c r="E6" s="387">
        <f>Application!Z788</f>
        <v>240468</v>
      </c>
      <c r="F6" s="387"/>
      <c r="G6" s="387">
        <f>E6*$C$6</f>
        <v>246479.69999999998</v>
      </c>
      <c r="H6" s="387"/>
      <c r="I6" s="387">
        <f>G6*$C$6</f>
        <v>252641.69249999995</v>
      </c>
      <c r="J6" s="387"/>
      <c r="K6" s="387">
        <f>I6*$C$6</f>
        <v>258957.73481249993</v>
      </c>
      <c r="L6" s="387"/>
      <c r="M6" s="387">
        <f>K6*$C$6</f>
        <v>265431.67818281241</v>
      </c>
      <c r="N6" s="387"/>
      <c r="O6" s="387">
        <f>M6*$C$6</f>
        <v>272067.47013738268</v>
      </c>
      <c r="P6" s="387"/>
      <c r="Q6" s="387">
        <f>O6*$C$6</f>
        <v>278869.15689081722</v>
      </c>
      <c r="R6" s="387"/>
      <c r="S6" s="387">
        <f>Q6*$C$6</f>
        <v>285840.88581308763</v>
      </c>
      <c r="T6" s="387"/>
      <c r="U6" s="387">
        <f>S6*$C$6</f>
        <v>292986.90795841481</v>
      </c>
      <c r="V6" s="387"/>
      <c r="W6" s="387">
        <f>U6*$C$6</f>
        <v>300311.58065737516</v>
      </c>
      <c r="X6" s="387"/>
      <c r="Y6" s="387">
        <f>W6*$C$6</f>
        <v>307819.37017380953</v>
      </c>
      <c r="Z6" s="387"/>
      <c r="AA6" s="387">
        <f>Y6*$C$6</f>
        <v>315514.85442815477</v>
      </c>
      <c r="AB6" s="387"/>
      <c r="AC6" s="387">
        <f>AA6*$C$6</f>
        <v>323402.7257888586</v>
      </c>
      <c r="AD6" s="387"/>
      <c r="AE6" s="387">
        <f>AC6*$C$6</f>
        <v>331487.79393358005</v>
      </c>
      <c r="AF6" s="387"/>
      <c r="AG6" s="387">
        <f>AE6*$C$6</f>
        <v>339774.98878191953</v>
      </c>
      <c r="AH6" s="376"/>
    </row>
    <row r="7" spans="1:34" ht="14.25">
      <c r="A7" s="376"/>
      <c r="B7" s="376" t="s">
        <v>988</v>
      </c>
      <c r="C7" s="408">
        <f>IF(Application!$D$214="Special Needs",0.1,0.05)</f>
        <v>0.05</v>
      </c>
      <c r="D7" s="376"/>
      <c r="E7" s="386">
        <f>-E6*$C$7</f>
        <v>-12023.400000000001</v>
      </c>
      <c r="F7" s="386"/>
      <c r="G7" s="386">
        <f>-G6*$C$7</f>
        <v>-12323.985000000001</v>
      </c>
      <c r="H7" s="386"/>
      <c r="I7" s="386">
        <f>-I6*$C$7</f>
        <v>-12632.084624999998</v>
      </c>
      <c r="J7" s="386"/>
      <c r="K7" s="386">
        <f>-K6*$C$7</f>
        <v>-12947.886740624997</v>
      </c>
      <c r="L7" s="386"/>
      <c r="M7" s="386">
        <f>-M6*$C$7</f>
        <v>-13271.583909140621</v>
      </c>
      <c r="N7" s="386"/>
      <c r="O7" s="386">
        <f>-O6*$C$7</f>
        <v>-13603.373506869135</v>
      </c>
      <c r="P7" s="386"/>
      <c r="Q7" s="386">
        <f>-Q6*$C$7</f>
        <v>-13943.457844540862</v>
      </c>
      <c r="R7" s="386"/>
      <c r="S7" s="386">
        <f>-S6*$C$7</f>
        <v>-14292.044290654383</v>
      </c>
      <c r="T7" s="386"/>
      <c r="U7" s="386">
        <f>-U6*$C$7</f>
        <v>-14649.345397920741</v>
      </c>
      <c r="V7" s="386"/>
      <c r="W7" s="386">
        <f>-W6*$C$7</f>
        <v>-15015.579032868758</v>
      </c>
      <c r="X7" s="386"/>
      <c r="Y7" s="386">
        <f>-Y6*$C$7</f>
        <v>-15390.968508690477</v>
      </c>
      <c r="Z7" s="386"/>
      <c r="AA7" s="386">
        <f>-AA6*$C$7</f>
        <v>-15775.74272140774</v>
      </c>
      <c r="AB7" s="386"/>
      <c r="AC7" s="386">
        <f>-AC6*$C$7</f>
        <v>-16170.136289442931</v>
      </c>
      <c r="AD7" s="386"/>
      <c r="AE7" s="386">
        <f>-AE6*$C$7</f>
        <v>-16574.389696679002</v>
      </c>
      <c r="AF7" s="386"/>
      <c r="AG7" s="386">
        <f>-AG6*$C$7</f>
        <v>-16988.749439095976</v>
      </c>
      <c r="AH7" s="376"/>
    </row>
    <row r="8" spans="1:34" ht="14.25">
      <c r="A8" s="376" t="s">
        <v>261</v>
      </c>
      <c r="B8" s="376"/>
      <c r="C8" s="407">
        <v>1.0249999999999999</v>
      </c>
      <c r="D8" s="376"/>
      <c r="E8" s="387">
        <f>Application!Z796</f>
        <v>16488</v>
      </c>
      <c r="F8" s="387"/>
      <c r="G8" s="387">
        <f>E8*$C$8</f>
        <v>16900.199999999997</v>
      </c>
      <c r="H8" s="387"/>
      <c r="I8" s="387">
        <f>G8*$C$8</f>
        <v>17322.704999999994</v>
      </c>
      <c r="J8" s="387"/>
      <c r="K8" s="387">
        <f>I8*$C$8</f>
        <v>17755.772624999994</v>
      </c>
      <c r="L8" s="387"/>
      <c r="M8" s="387">
        <f>K8*$C$8</f>
        <v>18199.666940624993</v>
      </c>
      <c r="N8" s="387"/>
      <c r="O8" s="387">
        <f>M8*$C$8</f>
        <v>18654.658614140615</v>
      </c>
      <c r="P8" s="387"/>
      <c r="Q8" s="387">
        <f>O8*$C$8</f>
        <v>19121.025079494128</v>
      </c>
      <c r="R8" s="387"/>
      <c r="S8" s="387">
        <f>Q8*$C$8</f>
        <v>19599.050706481477</v>
      </c>
      <c r="T8" s="387"/>
      <c r="U8" s="387">
        <f>S8*$C$8</f>
        <v>20089.026974143511</v>
      </c>
      <c r="V8" s="387"/>
      <c r="W8" s="387">
        <f>U8*$C$8</f>
        <v>20591.252648497099</v>
      </c>
      <c r="X8" s="387"/>
      <c r="Y8" s="387">
        <f>W8*$C$8</f>
        <v>21106.033964709524</v>
      </c>
      <c r="Z8" s="387"/>
      <c r="AA8" s="387">
        <f>Y8*$C$8</f>
        <v>21633.684813827262</v>
      </c>
      <c r="AB8" s="387"/>
      <c r="AC8" s="387">
        <f>AA8*$C$8</f>
        <v>22174.52693417294</v>
      </c>
      <c r="AD8" s="387"/>
      <c r="AE8" s="387">
        <f>AC8*$C$8</f>
        <v>22728.890107527262</v>
      </c>
      <c r="AF8" s="387"/>
      <c r="AG8" s="387">
        <f>AE8*$C$8</f>
        <v>23297.11236021544</v>
      </c>
      <c r="AH8" s="376"/>
    </row>
    <row r="9" spans="1:34" ht="14.25">
      <c r="A9" s="376"/>
      <c r="B9" s="376" t="s">
        <v>988</v>
      </c>
      <c r="C9" s="408">
        <f>IF(Application!$D$214="Special Needs",0.1,0.05)</f>
        <v>0.05</v>
      </c>
      <c r="D9" s="376"/>
      <c r="E9" s="386">
        <f>-E8*$C$9</f>
        <v>-824.40000000000009</v>
      </c>
      <c r="F9" s="386"/>
      <c r="G9" s="386">
        <f>-G8*$C$9</f>
        <v>-845.00999999999988</v>
      </c>
      <c r="H9" s="386"/>
      <c r="I9" s="386">
        <f>-I8*$C$9</f>
        <v>-866.13524999999981</v>
      </c>
      <c r="J9" s="386"/>
      <c r="K9" s="386">
        <f>-K8*$C$9</f>
        <v>-887.78863124999975</v>
      </c>
      <c r="L9" s="386"/>
      <c r="M9" s="386">
        <f>-M8*$C$9</f>
        <v>-909.98334703124965</v>
      </c>
      <c r="N9" s="386"/>
      <c r="O9" s="386">
        <f>-O8*$C$9</f>
        <v>-932.73293070703085</v>
      </c>
      <c r="P9" s="386"/>
      <c r="Q9" s="386">
        <f>-Q8*$C$9</f>
        <v>-956.05125397470647</v>
      </c>
      <c r="R9" s="386"/>
      <c r="S9" s="386">
        <f>-S8*$C$9</f>
        <v>-979.95253532407389</v>
      </c>
      <c r="T9" s="386"/>
      <c r="U9" s="386">
        <f>-U8*$C$9</f>
        <v>-1004.4513487071756</v>
      </c>
      <c r="V9" s="386"/>
      <c r="W9" s="386">
        <f>-W8*$C$9</f>
        <v>-1029.5626324248549</v>
      </c>
      <c r="X9" s="386"/>
      <c r="Y9" s="386">
        <f>-Y8*$C$9</f>
        <v>-1055.3016982354764</v>
      </c>
      <c r="Z9" s="386"/>
      <c r="AA9" s="386">
        <f>-AA8*$C$9</f>
        <v>-1081.6842406913631</v>
      </c>
      <c r="AB9" s="386"/>
      <c r="AC9" s="386">
        <f>-AC8*$C$9</f>
        <v>-1108.726346708647</v>
      </c>
      <c r="AD9" s="386"/>
      <c r="AE9" s="386">
        <f>-AE8*$C$9</f>
        <v>-1136.4445053763632</v>
      </c>
      <c r="AF9" s="386"/>
      <c r="AG9" s="386">
        <f>-AG8*$C$9</f>
        <v>-1164.8556180107721</v>
      </c>
      <c r="AH9" s="376"/>
    </row>
    <row r="10" spans="1:34" ht="14.2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904134</v>
      </c>
      <c r="F11" s="388"/>
      <c r="G11" s="388">
        <f>SUM(G4:G10)</f>
        <v>926737.34999999986</v>
      </c>
      <c r="H11" s="388"/>
      <c r="I11" s="388">
        <f>SUM(I4:I10)</f>
        <v>949905.78374999971</v>
      </c>
      <c r="J11" s="388"/>
      <c r="K11" s="388">
        <f>SUM(K4:K10)</f>
        <v>973653.42834374972</v>
      </c>
      <c r="L11" s="388"/>
      <c r="M11" s="388">
        <f>SUM(M4:M10)</f>
        <v>997994.76405234332</v>
      </c>
      <c r="N11" s="388"/>
      <c r="O11" s="388">
        <f>SUM(O4:O10)</f>
        <v>1022944.633153652</v>
      </c>
      <c r="P11" s="388"/>
      <c r="Q11" s="388">
        <f>SUM(Q4:Q10)</f>
        <v>1048518.2489824933</v>
      </c>
      <c r="R11" s="388"/>
      <c r="S11" s="388">
        <f>SUM(S4:S10)</f>
        <v>1074731.2052070557</v>
      </c>
      <c r="T11" s="388"/>
      <c r="U11" s="388">
        <f>SUM(U4:U10)</f>
        <v>1101599.4853372318</v>
      </c>
      <c r="V11" s="388"/>
      <c r="W11" s="388">
        <f>SUM(W4:W10)</f>
        <v>1129139.4724706623</v>
      </c>
      <c r="X11" s="388"/>
      <c r="Y11" s="388">
        <f>SUM(Y4:Y10)</f>
        <v>1157367.9592824292</v>
      </c>
      <c r="Z11" s="388"/>
      <c r="AA11" s="388">
        <f>SUM(AA4:AA10)</f>
        <v>1186302.1582644898</v>
      </c>
      <c r="AB11" s="388"/>
      <c r="AC11" s="388">
        <f>SUM(AC4:AC10)</f>
        <v>1215959.7122211021</v>
      </c>
      <c r="AD11" s="388"/>
      <c r="AE11" s="388">
        <f>SUM(AE4:AE10)</f>
        <v>1246358.7050266294</v>
      </c>
      <c r="AF11" s="388"/>
      <c r="AG11" s="388">
        <f>SUM(AG4:AG10)</f>
        <v>1277517.6726522949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30000</v>
      </c>
      <c r="F15" s="384"/>
      <c r="G15" s="384">
        <f t="shared" ref="G15:G21" si="0">E15*$C$14</f>
        <v>31049.999999999996</v>
      </c>
      <c r="H15" s="384"/>
      <c r="I15" s="384">
        <f t="shared" ref="I15:I21" si="1">G15*$C$14</f>
        <v>32136.749999999993</v>
      </c>
      <c r="J15" s="384"/>
      <c r="K15" s="384">
        <f t="shared" ref="K15:K21" si="2">I15*$C$14</f>
        <v>33261.53624999999</v>
      </c>
      <c r="L15" s="384"/>
      <c r="M15" s="384">
        <f t="shared" ref="M15:M21" si="3">K15*$C$14</f>
        <v>34425.690018749985</v>
      </c>
      <c r="N15" s="384"/>
      <c r="O15" s="384">
        <f t="shared" ref="O15:O21" si="4">M15*$C$14</f>
        <v>35630.58916940623</v>
      </c>
      <c r="P15" s="384"/>
      <c r="Q15" s="384">
        <f t="shared" ref="Q15:Q21" si="5">O15*$C$14</f>
        <v>36877.659790335449</v>
      </c>
      <c r="R15" s="384"/>
      <c r="S15" s="384">
        <f t="shared" ref="S15:S21" si="6">Q15*$C$14</f>
        <v>38168.377882997185</v>
      </c>
      <c r="T15" s="384"/>
      <c r="U15" s="384">
        <f t="shared" ref="U15:U21" si="7">S15*$C$14</f>
        <v>39504.271108902081</v>
      </c>
      <c r="V15" s="384"/>
      <c r="W15" s="384">
        <f t="shared" ref="W15:W21" si="8">U15*$C$14</f>
        <v>40886.920597713652</v>
      </c>
      <c r="X15" s="384"/>
      <c r="Y15" s="384">
        <f t="shared" ref="Y15:Y21" si="9">W15*$C$14</f>
        <v>42317.962818633627</v>
      </c>
      <c r="Z15" s="384"/>
      <c r="AA15" s="384">
        <f t="shared" ref="AA15:AA21" si="10">Y15*$C$14</f>
        <v>43799.0915172858</v>
      </c>
      <c r="AB15" s="384"/>
      <c r="AC15" s="384">
        <f t="shared" ref="AC15:AC21" si="11">AA15*$C$14</f>
        <v>45332.059720390796</v>
      </c>
      <c r="AD15" s="384"/>
      <c r="AE15" s="384">
        <f t="shared" ref="AE15:AE21" si="12">AC15*$C$14</f>
        <v>46918.681810604474</v>
      </c>
      <c r="AF15" s="384"/>
      <c r="AG15" s="384">
        <f t="shared" ref="AG15:AG21" si="13">AE15*$C$14</f>
        <v>48560.835673975627</v>
      </c>
      <c r="AH15" s="384"/>
    </row>
    <row r="16" spans="1:34" ht="14.25">
      <c r="A16" s="376" t="s">
        <v>468</v>
      </c>
      <c r="B16" s="376"/>
      <c r="C16" s="398"/>
      <c r="D16" s="376"/>
      <c r="E16" s="387">
        <f>Application!W828</f>
        <v>48693</v>
      </c>
      <c r="F16" s="387"/>
      <c r="G16" s="387">
        <f t="shared" si="0"/>
        <v>50397.254999999997</v>
      </c>
      <c r="H16" s="387"/>
      <c r="I16" s="387">
        <f t="shared" si="1"/>
        <v>52161.158924999996</v>
      </c>
      <c r="J16" s="387"/>
      <c r="K16" s="387">
        <f t="shared" si="2"/>
        <v>53986.799487374992</v>
      </c>
      <c r="L16" s="387"/>
      <c r="M16" s="387">
        <f t="shared" si="3"/>
        <v>55876.337469433114</v>
      </c>
      <c r="N16" s="387"/>
      <c r="O16" s="387">
        <f t="shared" si="4"/>
        <v>57832.009280863269</v>
      </c>
      <c r="P16" s="387"/>
      <c r="Q16" s="387">
        <f t="shared" si="5"/>
        <v>59856.129605693481</v>
      </c>
      <c r="R16" s="387"/>
      <c r="S16" s="387">
        <f t="shared" si="6"/>
        <v>61951.094141892747</v>
      </c>
      <c r="T16" s="387"/>
      <c r="U16" s="387">
        <f t="shared" si="7"/>
        <v>64119.382436858985</v>
      </c>
      <c r="V16" s="387"/>
      <c r="W16" s="387">
        <f t="shared" si="8"/>
        <v>66363.56082214904</v>
      </c>
      <c r="X16" s="387"/>
      <c r="Y16" s="387">
        <f t="shared" si="9"/>
        <v>68686.285450924246</v>
      </c>
      <c r="Z16" s="387"/>
      <c r="AA16" s="387">
        <f t="shared" si="10"/>
        <v>71090.305441706587</v>
      </c>
      <c r="AB16" s="387"/>
      <c r="AC16" s="387">
        <f t="shared" si="11"/>
        <v>73578.466132166315</v>
      </c>
      <c r="AD16" s="387"/>
      <c r="AE16" s="387">
        <f t="shared" si="12"/>
        <v>76153.712446792124</v>
      </c>
      <c r="AF16" s="387"/>
      <c r="AG16" s="387">
        <f t="shared" si="13"/>
        <v>78819.092382429837</v>
      </c>
      <c r="AH16" s="376"/>
    </row>
    <row r="17" spans="1:34" ht="14.25">
      <c r="A17" s="376" t="s">
        <v>734</v>
      </c>
      <c r="B17" s="376"/>
      <c r="C17" s="398"/>
      <c r="D17" s="376"/>
      <c r="E17" s="387">
        <f>Application!W834</f>
        <v>113543</v>
      </c>
      <c r="F17" s="387"/>
      <c r="G17" s="387">
        <f t="shared" si="0"/>
        <v>117517.00499999999</v>
      </c>
      <c r="H17" s="387"/>
      <c r="I17" s="387">
        <f t="shared" si="1"/>
        <v>121630.10017499999</v>
      </c>
      <c r="J17" s="387"/>
      <c r="K17" s="387">
        <f t="shared" si="2"/>
        <v>125887.15368112497</v>
      </c>
      <c r="L17" s="387"/>
      <c r="M17" s="387">
        <f t="shared" si="3"/>
        <v>130293.20405996434</v>
      </c>
      <c r="N17" s="387"/>
      <c r="O17" s="387">
        <f t="shared" si="4"/>
        <v>134853.46620206308</v>
      </c>
      <c r="P17" s="387"/>
      <c r="Q17" s="387">
        <f t="shared" si="5"/>
        <v>139573.33751913527</v>
      </c>
      <c r="R17" s="387"/>
      <c r="S17" s="387">
        <f t="shared" si="6"/>
        <v>144458.40433230498</v>
      </c>
      <c r="T17" s="387"/>
      <c r="U17" s="387">
        <f t="shared" si="7"/>
        <v>149514.44848393564</v>
      </c>
      <c r="V17" s="387"/>
      <c r="W17" s="387">
        <f t="shared" si="8"/>
        <v>154747.45418087338</v>
      </c>
      <c r="X17" s="387"/>
      <c r="Y17" s="387">
        <f t="shared" si="9"/>
        <v>160163.61507720393</v>
      </c>
      <c r="Z17" s="387"/>
      <c r="AA17" s="387">
        <f t="shared" si="10"/>
        <v>165769.34160490605</v>
      </c>
      <c r="AB17" s="387"/>
      <c r="AC17" s="387">
        <f t="shared" si="11"/>
        <v>171571.26856107774</v>
      </c>
      <c r="AD17" s="387"/>
      <c r="AE17" s="387">
        <f t="shared" si="12"/>
        <v>177576.26296071545</v>
      </c>
      <c r="AF17" s="387"/>
      <c r="AG17" s="387">
        <f t="shared" si="13"/>
        <v>183791.43216434048</v>
      </c>
      <c r="AH17" s="376"/>
    </row>
    <row r="18" spans="1:34" ht="14.25">
      <c r="A18" s="376" t="s">
        <v>1079</v>
      </c>
      <c r="B18" s="376"/>
      <c r="C18" s="398"/>
      <c r="D18" s="376"/>
      <c r="E18" s="387">
        <f>Application!W841</f>
        <v>63561</v>
      </c>
      <c r="F18" s="387"/>
      <c r="G18" s="387">
        <f t="shared" si="0"/>
        <v>65785.634999999995</v>
      </c>
      <c r="H18" s="387"/>
      <c r="I18" s="387">
        <f t="shared" si="1"/>
        <v>68088.132224999994</v>
      </c>
      <c r="J18" s="387"/>
      <c r="K18" s="387">
        <f t="shared" si="2"/>
        <v>70471.21685287499</v>
      </c>
      <c r="L18" s="387"/>
      <c r="M18" s="387">
        <f t="shared" si="3"/>
        <v>72937.709442725609</v>
      </c>
      <c r="N18" s="387"/>
      <c r="O18" s="387">
        <f t="shared" si="4"/>
        <v>75490.529273220993</v>
      </c>
      <c r="P18" s="387"/>
      <c r="Q18" s="387">
        <f t="shared" si="5"/>
        <v>78132.697797783723</v>
      </c>
      <c r="R18" s="387"/>
      <c r="S18" s="387">
        <f t="shared" si="6"/>
        <v>80867.342220706152</v>
      </c>
      <c r="T18" s="387"/>
      <c r="U18" s="387">
        <f t="shared" si="7"/>
        <v>83697.699198430855</v>
      </c>
      <c r="V18" s="387"/>
      <c r="W18" s="387">
        <f t="shared" si="8"/>
        <v>86627.11867037593</v>
      </c>
      <c r="X18" s="387"/>
      <c r="Y18" s="387">
        <f t="shared" si="9"/>
        <v>89659.067823839083</v>
      </c>
      <c r="Z18" s="387"/>
      <c r="AA18" s="387">
        <f t="shared" si="10"/>
        <v>92797.135197673444</v>
      </c>
      <c r="AB18" s="387"/>
      <c r="AC18" s="387">
        <f t="shared" si="11"/>
        <v>96045.034929592002</v>
      </c>
      <c r="AD18" s="387"/>
      <c r="AE18" s="387">
        <f t="shared" si="12"/>
        <v>99406.61115212772</v>
      </c>
      <c r="AF18" s="387"/>
      <c r="AG18" s="387">
        <f t="shared" si="13"/>
        <v>102885.84254245218</v>
      </c>
    </row>
    <row r="19" spans="1:34" ht="14.25">
      <c r="A19" s="376" t="s">
        <v>931</v>
      </c>
      <c r="B19" s="376"/>
      <c r="C19" s="398"/>
      <c r="D19" s="376"/>
      <c r="E19" s="387">
        <f>Application!W842</f>
        <v>15000</v>
      </c>
      <c r="F19" s="387"/>
      <c r="G19" s="387">
        <f t="shared" si="0"/>
        <v>15524.999999999998</v>
      </c>
      <c r="H19" s="387"/>
      <c r="I19" s="387">
        <f t="shared" si="1"/>
        <v>16068.374999999996</v>
      </c>
      <c r="J19" s="387"/>
      <c r="K19" s="387">
        <f t="shared" si="2"/>
        <v>16630.768124999995</v>
      </c>
      <c r="L19" s="387"/>
      <c r="M19" s="387">
        <f t="shared" si="3"/>
        <v>17212.845009374993</v>
      </c>
      <c r="N19" s="387"/>
      <c r="O19" s="387">
        <f t="shared" si="4"/>
        <v>17815.294584703115</v>
      </c>
      <c r="P19" s="387"/>
      <c r="Q19" s="387">
        <f t="shared" si="5"/>
        <v>18438.829895167724</v>
      </c>
      <c r="R19" s="387"/>
      <c r="S19" s="387">
        <f t="shared" si="6"/>
        <v>19084.188941498593</v>
      </c>
      <c r="T19" s="387"/>
      <c r="U19" s="387">
        <f t="shared" si="7"/>
        <v>19752.135554451041</v>
      </c>
      <c r="V19" s="387"/>
      <c r="W19" s="387">
        <f t="shared" si="8"/>
        <v>20443.460298856826</v>
      </c>
      <c r="X19" s="387"/>
      <c r="Y19" s="387">
        <f t="shared" si="9"/>
        <v>21158.981409316813</v>
      </c>
      <c r="Z19" s="387"/>
      <c r="AA19" s="387">
        <f t="shared" si="10"/>
        <v>21899.5457586429</v>
      </c>
      <c r="AB19" s="387"/>
      <c r="AC19" s="387">
        <f t="shared" si="11"/>
        <v>22666.029860195398</v>
      </c>
      <c r="AD19" s="387"/>
      <c r="AE19" s="387">
        <f t="shared" si="12"/>
        <v>23459.340905302237</v>
      </c>
      <c r="AF19" s="387"/>
      <c r="AG19" s="387">
        <f t="shared" si="13"/>
        <v>24280.417836987814</v>
      </c>
    </row>
    <row r="20" spans="1:34" ht="14.25">
      <c r="A20" s="376" t="s">
        <v>55</v>
      </c>
      <c r="B20" s="376"/>
      <c r="C20" s="398"/>
      <c r="D20" s="376"/>
      <c r="E20" s="387">
        <f>Application!W851</f>
        <v>113852</v>
      </c>
      <c r="F20" s="387"/>
      <c r="G20" s="387">
        <f t="shared" si="0"/>
        <v>117836.81999999999</v>
      </c>
      <c r="H20" s="387"/>
      <c r="I20" s="387">
        <f t="shared" si="1"/>
        <v>121961.10869999998</v>
      </c>
      <c r="J20" s="387"/>
      <c r="K20" s="387">
        <f t="shared" si="2"/>
        <v>126229.74750449997</v>
      </c>
      <c r="L20" s="387"/>
      <c r="M20" s="387">
        <f t="shared" si="3"/>
        <v>130647.78866715747</v>
      </c>
      <c r="N20" s="387"/>
      <c r="O20" s="387">
        <f t="shared" si="4"/>
        <v>135220.46127050798</v>
      </c>
      <c r="P20" s="387"/>
      <c r="Q20" s="387">
        <f t="shared" si="5"/>
        <v>139953.17741497574</v>
      </c>
      <c r="R20" s="387"/>
      <c r="S20" s="387">
        <f t="shared" si="6"/>
        <v>144851.53862449987</v>
      </c>
      <c r="T20" s="387"/>
      <c r="U20" s="387">
        <f t="shared" si="7"/>
        <v>149921.34247635736</v>
      </c>
      <c r="V20" s="387"/>
      <c r="W20" s="387">
        <f t="shared" si="8"/>
        <v>155168.58946302984</v>
      </c>
      <c r="X20" s="387"/>
      <c r="Y20" s="387">
        <f t="shared" si="9"/>
        <v>160599.49009423587</v>
      </c>
      <c r="Z20" s="387"/>
      <c r="AA20" s="387">
        <f t="shared" si="10"/>
        <v>166220.47224753411</v>
      </c>
      <c r="AB20" s="387"/>
      <c r="AC20" s="387">
        <f t="shared" si="11"/>
        <v>172038.18877619779</v>
      </c>
      <c r="AD20" s="387"/>
      <c r="AE20" s="387">
        <f t="shared" si="12"/>
        <v>178059.5253833647</v>
      </c>
      <c r="AF20" s="387"/>
      <c r="AG20" s="387">
        <f t="shared" si="13"/>
        <v>184291.60877178246</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384649</v>
      </c>
      <c r="F22" s="388"/>
      <c r="G22" s="388">
        <f>SUM(G15:G21)</f>
        <v>398111.71499999997</v>
      </c>
      <c r="H22" s="388"/>
      <c r="I22" s="388">
        <f>SUM(I15:I21)</f>
        <v>412045.62502499996</v>
      </c>
      <c r="J22" s="388"/>
      <c r="K22" s="388">
        <f>SUM(K15:K21)</f>
        <v>426467.22190087492</v>
      </c>
      <c r="L22" s="388"/>
      <c r="M22" s="388">
        <f>SUM(M15:M21)</f>
        <v>441393.57466740551</v>
      </c>
      <c r="N22" s="388"/>
      <c r="O22" s="388">
        <f>SUM(O15:O21)</f>
        <v>456842.34978076466</v>
      </c>
      <c r="P22" s="388"/>
      <c r="Q22" s="388">
        <f>SUM(Q15:Q21)</f>
        <v>472831.83202309138</v>
      </c>
      <c r="R22" s="388"/>
      <c r="S22" s="388">
        <f>SUM(S15:S21)</f>
        <v>489380.94614389952</v>
      </c>
      <c r="T22" s="388"/>
      <c r="U22" s="388">
        <f>SUM(U15:U21)</f>
        <v>506509.27925893595</v>
      </c>
      <c r="V22" s="388"/>
      <c r="W22" s="388">
        <f>SUM(W15:W21)</f>
        <v>524237.10403299867</v>
      </c>
      <c r="X22" s="388"/>
      <c r="Y22" s="388">
        <f>SUM(Y15:Y21)</f>
        <v>542585.40267415356</v>
      </c>
      <c r="Z22" s="388"/>
      <c r="AA22" s="388">
        <f>SUM(AA15:AA21)</f>
        <v>561575.89176774886</v>
      </c>
      <c r="AB22" s="388"/>
      <c r="AC22" s="388">
        <f>SUM(AC15:AC21)</f>
        <v>581231.04797962005</v>
      </c>
      <c r="AD22" s="388"/>
      <c r="AE22" s="388">
        <f>SUM(AE15:AE21)</f>
        <v>601574.13465890673</v>
      </c>
      <c r="AF22" s="388"/>
      <c r="AG22" s="388">
        <f>SUM(AG15:AG21)</f>
        <v>622629.22937196842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25">
      <c r="A28" s="599" t="s">
        <v>1082</v>
      </c>
      <c r="B28" s="376"/>
      <c r="C28" s="407"/>
      <c r="D28" s="376"/>
      <c r="E28" s="387">
        <f>Application!AC868</f>
        <v>16000</v>
      </c>
      <c r="F28" s="387"/>
      <c r="G28" s="387">
        <f>$E$28</f>
        <v>16000</v>
      </c>
      <c r="H28" s="387"/>
      <c r="I28" s="387">
        <f>$E$28</f>
        <v>16000</v>
      </c>
      <c r="J28" s="387"/>
      <c r="K28" s="387">
        <f>$E$28</f>
        <v>16000</v>
      </c>
      <c r="L28" s="387"/>
      <c r="M28" s="387">
        <f>$E$28</f>
        <v>16000</v>
      </c>
      <c r="N28" s="387"/>
      <c r="O28" s="387">
        <f>$E$28</f>
        <v>16000</v>
      </c>
      <c r="P28" s="387"/>
      <c r="Q28" s="387">
        <f>$E$28</f>
        <v>16000</v>
      </c>
      <c r="R28" s="387"/>
      <c r="S28" s="387">
        <f>$E$28</f>
        <v>16000</v>
      </c>
      <c r="T28" s="387"/>
      <c r="U28" s="387">
        <f>$E$28</f>
        <v>16000</v>
      </c>
      <c r="V28" s="387"/>
      <c r="W28" s="387">
        <f>$E$28</f>
        <v>16000</v>
      </c>
      <c r="X28" s="387"/>
      <c r="Y28" s="387">
        <f>$E$28</f>
        <v>16000</v>
      </c>
      <c r="Z28" s="387"/>
      <c r="AA28" s="387">
        <f>$E$28</f>
        <v>16000</v>
      </c>
      <c r="AB28" s="387"/>
      <c r="AC28" s="387">
        <f>$E$28</f>
        <v>16000</v>
      </c>
      <c r="AD28" s="387"/>
      <c r="AE28" s="387">
        <f>$E$28</f>
        <v>16000</v>
      </c>
      <c r="AF28" s="387"/>
      <c r="AG28" s="387">
        <f>$E$28</f>
        <v>16000</v>
      </c>
    </row>
    <row r="29" spans="1:34" ht="14.25">
      <c r="A29" s="599" t="s">
        <v>1940</v>
      </c>
      <c r="B29" s="376"/>
      <c r="C29" s="407"/>
      <c r="D29" s="376"/>
      <c r="E29" s="387">
        <f>Application!AC869</f>
        <v>22800</v>
      </c>
      <c r="F29" s="387"/>
      <c r="G29" s="387">
        <f>$E$29</f>
        <v>22800</v>
      </c>
      <c r="H29" s="387"/>
      <c r="I29" s="387">
        <f>$E$29</f>
        <v>22800</v>
      </c>
      <c r="J29" s="387"/>
      <c r="K29" s="387">
        <f>$E$29</f>
        <v>22800</v>
      </c>
      <c r="L29" s="387"/>
      <c r="M29" s="387">
        <f>$E$29</f>
        <v>22800</v>
      </c>
      <c r="N29" s="387"/>
      <c r="O29" s="387">
        <f>$E$29</f>
        <v>22800</v>
      </c>
      <c r="P29" s="387"/>
      <c r="Q29" s="387">
        <f>$E$29</f>
        <v>22800</v>
      </c>
      <c r="R29" s="387"/>
      <c r="S29" s="387">
        <f>$E$29</f>
        <v>22800</v>
      </c>
      <c r="T29" s="387"/>
      <c r="U29" s="387">
        <f>$E$29</f>
        <v>22800</v>
      </c>
      <c r="V29" s="387"/>
      <c r="W29" s="387">
        <f>$E$29</f>
        <v>22800</v>
      </c>
      <c r="X29" s="387"/>
      <c r="Y29" s="387">
        <f>$E$29</f>
        <v>22800</v>
      </c>
      <c r="Z29" s="387"/>
      <c r="AA29" s="387">
        <f>$E$29</f>
        <v>22800</v>
      </c>
      <c r="AB29" s="387"/>
      <c r="AC29" s="387">
        <f>$E$29</f>
        <v>22800</v>
      </c>
      <c r="AD29" s="387"/>
      <c r="AE29" s="387">
        <f>$E$29</f>
        <v>22800</v>
      </c>
      <c r="AF29" s="387"/>
      <c r="AG29" s="387">
        <f>$E$29</f>
        <v>22800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423449</v>
      </c>
      <c r="F35" s="388"/>
      <c r="G35" s="388">
        <f>SUM(G22:G33)</f>
        <v>436911.71499999997</v>
      </c>
      <c r="H35" s="388"/>
      <c r="I35" s="388">
        <f>SUM(I22:I33)</f>
        <v>450845.62502499996</v>
      </c>
      <c r="J35" s="388"/>
      <c r="K35" s="388">
        <f>SUM(K22:K33)</f>
        <v>465267.22190087492</v>
      </c>
      <c r="L35" s="388"/>
      <c r="M35" s="388">
        <f>SUM(M22:M33)</f>
        <v>480193.57466740551</v>
      </c>
      <c r="N35" s="388"/>
      <c r="O35" s="388">
        <f>SUM(O22:O33)</f>
        <v>495642.34978076466</v>
      </c>
      <c r="P35" s="388"/>
      <c r="Q35" s="388">
        <f>SUM(Q22:Q33)</f>
        <v>511631.83202309138</v>
      </c>
      <c r="R35" s="388"/>
      <c r="S35" s="388">
        <f>SUM(S22:S33)</f>
        <v>528180.94614389958</v>
      </c>
      <c r="T35" s="388"/>
      <c r="U35" s="388">
        <f>SUM(U22:U33)</f>
        <v>545309.27925893595</v>
      </c>
      <c r="V35" s="388"/>
      <c r="W35" s="388">
        <f>SUM(W22:W33)</f>
        <v>563037.10403299867</v>
      </c>
      <c r="X35" s="388"/>
      <c r="Y35" s="388">
        <f>SUM(Y22:Y33)</f>
        <v>581385.40267415356</v>
      </c>
      <c r="Z35" s="388"/>
      <c r="AA35" s="388">
        <f>SUM(AA22:AA33)</f>
        <v>600375.89176774886</v>
      </c>
      <c r="AB35" s="388"/>
      <c r="AC35" s="388">
        <f>SUM(AC22:AC33)</f>
        <v>620031.04797962005</v>
      </c>
      <c r="AD35" s="388"/>
      <c r="AE35" s="388">
        <f>SUM(AE22:AE33)</f>
        <v>640374.13465890673</v>
      </c>
      <c r="AF35" s="388"/>
      <c r="AG35" s="388">
        <f>SUM(AG22:AG33)</f>
        <v>661429.22937196842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480685</v>
      </c>
      <c r="F37" s="388"/>
      <c r="G37" s="388">
        <f>G11-G35</f>
        <v>489825.63499999989</v>
      </c>
      <c r="H37" s="388"/>
      <c r="I37" s="388">
        <f>I11-I35</f>
        <v>499060.15872499975</v>
      </c>
      <c r="J37" s="388"/>
      <c r="K37" s="388">
        <f>K11-K35</f>
        <v>508386.2064428748</v>
      </c>
      <c r="L37" s="388"/>
      <c r="M37" s="388">
        <f>M11-M35</f>
        <v>517801.18938493781</v>
      </c>
      <c r="N37" s="388"/>
      <c r="O37" s="388">
        <f>O11-O35</f>
        <v>527302.28337288729</v>
      </c>
      <c r="P37" s="388"/>
      <c r="Q37" s="388">
        <f>Q11-Q35</f>
        <v>536886.41695940192</v>
      </c>
      <c r="R37" s="388"/>
      <c r="S37" s="388">
        <f>S11-S35</f>
        <v>546550.25906315609</v>
      </c>
      <c r="T37" s="388"/>
      <c r="U37" s="388">
        <f>U11-U35</f>
        <v>556290.20607829583</v>
      </c>
      <c r="V37" s="388"/>
      <c r="W37" s="388">
        <f>W11-W35</f>
        <v>566102.36843766365</v>
      </c>
      <c r="X37" s="388"/>
      <c r="Y37" s="388">
        <f>Y11-Y35</f>
        <v>575982.55660827563</v>
      </c>
      <c r="Z37" s="388"/>
      <c r="AA37" s="388">
        <f>AA11-AA35</f>
        <v>585926.26649674098</v>
      </c>
      <c r="AB37" s="388"/>
      <c r="AC37" s="388">
        <f>AC11-AC35</f>
        <v>595928.66424148204</v>
      </c>
      <c r="AD37" s="388"/>
      <c r="AE37" s="388">
        <f>AE11-AE35</f>
        <v>605984.57036772266</v>
      </c>
      <c r="AF37" s="388"/>
      <c r="AG37" s="388">
        <f>AG11-AG35</f>
        <v>616088.44328032644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 Bank Perm Loan</v>
      </c>
      <c r="B40" s="391"/>
      <c r="C40" s="385"/>
      <c r="D40" s="376"/>
      <c r="E40" s="384">
        <f>Application!AF621</f>
        <v>414661</v>
      </c>
      <c r="F40" s="384"/>
      <c r="G40" s="384">
        <f>$E$40</f>
        <v>414661</v>
      </c>
      <c r="H40" s="384"/>
      <c r="I40" s="384">
        <f>$E$40</f>
        <v>414661</v>
      </c>
      <c r="J40" s="384"/>
      <c r="K40" s="384">
        <f>$E$40</f>
        <v>414661</v>
      </c>
      <c r="L40" s="384"/>
      <c r="M40" s="384">
        <f>$E$40</f>
        <v>414661</v>
      </c>
      <c r="N40" s="384"/>
      <c r="O40" s="384">
        <f>$E$40</f>
        <v>414661</v>
      </c>
      <c r="P40" s="384"/>
      <c r="Q40" s="384">
        <f>$E$40</f>
        <v>414661</v>
      </c>
      <c r="R40" s="384"/>
      <c r="S40" s="384">
        <f>$E$40</f>
        <v>414661</v>
      </c>
      <c r="T40" s="384"/>
      <c r="U40" s="384">
        <f>$E$40</f>
        <v>414661</v>
      </c>
      <c r="V40" s="384"/>
      <c r="W40" s="384">
        <f>$E$40</f>
        <v>414661</v>
      </c>
      <c r="X40" s="384"/>
      <c r="Y40" s="384">
        <f>$E$40</f>
        <v>414661</v>
      </c>
      <c r="Z40" s="384"/>
      <c r="AA40" s="384">
        <f>$E$40</f>
        <v>414661</v>
      </c>
      <c r="AB40" s="384"/>
      <c r="AC40" s="384">
        <f>$E$40</f>
        <v>414661</v>
      </c>
      <c r="AD40" s="384"/>
      <c r="AE40" s="384">
        <f>$E$40</f>
        <v>414661</v>
      </c>
      <c r="AF40" s="384"/>
      <c r="AG40" s="384">
        <f>$E$40</f>
        <v>414661</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414661</v>
      </c>
      <c r="F43" s="388"/>
      <c r="G43" s="388">
        <f>SUM(G40:G42)</f>
        <v>414661</v>
      </c>
      <c r="H43" s="388"/>
      <c r="I43" s="388">
        <f>SUM(I40:I42)</f>
        <v>414661</v>
      </c>
      <c r="J43" s="388"/>
      <c r="K43" s="388">
        <f>SUM(K40:K42)</f>
        <v>414661</v>
      </c>
      <c r="L43" s="388"/>
      <c r="M43" s="388">
        <f>SUM(M40:M42)</f>
        <v>414661</v>
      </c>
      <c r="N43" s="388"/>
      <c r="O43" s="388">
        <f>SUM(O40:O42)</f>
        <v>414661</v>
      </c>
      <c r="P43" s="388"/>
      <c r="Q43" s="388">
        <f>SUM(Q40:Q42)</f>
        <v>414661</v>
      </c>
      <c r="R43" s="388"/>
      <c r="S43" s="388">
        <f>SUM(S40:S42)</f>
        <v>414661</v>
      </c>
      <c r="T43" s="388"/>
      <c r="U43" s="388">
        <f>SUM(U40:U42)</f>
        <v>414661</v>
      </c>
      <c r="V43" s="388"/>
      <c r="W43" s="388">
        <f>SUM(W40:W42)</f>
        <v>414661</v>
      </c>
      <c r="X43" s="388"/>
      <c r="Y43" s="388">
        <f>SUM(Y40:Y42)</f>
        <v>414661</v>
      </c>
      <c r="Z43" s="388"/>
      <c r="AA43" s="388">
        <f>SUM(AA40:AA42)</f>
        <v>414661</v>
      </c>
      <c r="AB43" s="388"/>
      <c r="AC43" s="388">
        <f>SUM(AC40:AC42)</f>
        <v>414661</v>
      </c>
      <c r="AD43" s="388"/>
      <c r="AE43" s="388">
        <f>SUM(AE40:AE42)</f>
        <v>414661</v>
      </c>
      <c r="AF43" s="388"/>
      <c r="AG43" s="388">
        <f>SUM(AG40:AG42)</f>
        <v>414661</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66024</v>
      </c>
      <c r="F45" s="388"/>
      <c r="G45" s="388">
        <f>G37-G43</f>
        <v>75164.634999999893</v>
      </c>
      <c r="H45" s="388"/>
      <c r="I45" s="388">
        <f>I37-I43</f>
        <v>84399.158724999754</v>
      </c>
      <c r="J45" s="388"/>
      <c r="K45" s="388">
        <f>K37-K43</f>
        <v>93725.206442874798</v>
      </c>
      <c r="L45" s="388"/>
      <c r="M45" s="388">
        <f>M37-M43</f>
        <v>103140.18938493781</v>
      </c>
      <c r="N45" s="388"/>
      <c r="O45" s="388">
        <f>O37-O43</f>
        <v>112641.28337288729</v>
      </c>
      <c r="P45" s="388"/>
      <c r="Q45" s="388">
        <f>Q37-Q43</f>
        <v>122225.41695940192</v>
      </c>
      <c r="R45" s="388"/>
      <c r="S45" s="388">
        <f>S37-S43</f>
        <v>131889.25906315609</v>
      </c>
      <c r="T45" s="388"/>
      <c r="U45" s="388">
        <f>U37-U43</f>
        <v>141629.20607829583</v>
      </c>
      <c r="V45" s="388"/>
      <c r="W45" s="388">
        <f>W37-W43</f>
        <v>151441.36843766365</v>
      </c>
      <c r="X45" s="388"/>
      <c r="Y45" s="388">
        <f>Y37-Y43</f>
        <v>161321.55660827563</v>
      </c>
      <c r="Z45" s="388"/>
      <c r="AA45" s="388">
        <f>AA37-AA43</f>
        <v>171265.26649674098</v>
      </c>
      <c r="AB45" s="388"/>
      <c r="AC45" s="388">
        <f>AC37-AC43</f>
        <v>181267.66424148204</v>
      </c>
      <c r="AD45" s="388"/>
      <c r="AE45" s="388">
        <f>AE37-AE43</f>
        <v>191323.57036772266</v>
      </c>
      <c r="AF45" s="388"/>
      <c r="AG45" s="388">
        <f>AG37-AG43</f>
        <v>201427.44328032644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6.9373345101500436E-2</v>
      </c>
      <c r="F47" s="392"/>
      <c r="G47" s="392">
        <f>G45/(G4+G6+G8)</f>
        <v>7.7051392446845821E-2</v>
      </c>
      <c r="H47" s="392"/>
      <c r="I47" s="392">
        <f>I45/(I4+I6+I8)</f>
        <v>8.4407529841771828E-2</v>
      </c>
      <c r="J47" s="392"/>
      <c r="K47" s="392">
        <f>K45/(K4+K6+K8)</f>
        <v>9.1448295182601391E-2</v>
      </c>
      <c r="L47" s="392"/>
      <c r="M47" s="392">
        <f>M45/(M4+M6+M8)</f>
        <v>9.818005408949404E-2</v>
      </c>
      <c r="N47" s="392"/>
      <c r="O47" s="392">
        <f>O45/(O4+O6+O8)</f>
        <v>0.1046090039832777</v>
      </c>
      <c r="P47" s="392"/>
      <c r="Q47" s="392">
        <f>Q45/(Q4+Q6+Q8)</f>
        <v>0.11074117806162338</v>
      </c>
      <c r="R47" s="392"/>
      <c r="S47" s="392">
        <f>S45/(S4+S6+S8)</f>
        <v>0.11658244917701002</v>
      </c>
      <c r="T47" s="392"/>
      <c r="U47" s="392">
        <f>U45/(U4+U6+U8)</f>
        <v>0.12213853361886062</v>
      </c>
      <c r="V47" s="392"/>
      <c r="W47" s="392">
        <f>W45/(W4+W6+W8)</f>
        <v>0.12741499480217536</v>
      </c>
      <c r="X47" s="392"/>
      <c r="Y47" s="392">
        <f>Y45/(Y4+Y6+Y8)</f>
        <v>0.13241724686493017</v>
      </c>
      <c r="Z47" s="392"/>
      <c r="AA47" s="392">
        <f>AA45/(AA4+AA6+AA8)</f>
        <v>0.13715055817645155</v>
      </c>
      <c r="AB47" s="392"/>
      <c r="AC47" s="392">
        <f>AC45/(AC4+AC6+AC8)</f>
        <v>0.14162005475893222</v>
      </c>
      <c r="AD47" s="392"/>
      <c r="AE47" s="392">
        <f>AE45/(AE4+AE6+AE8)</f>
        <v>0.14583072362418581</v>
      </c>
      <c r="AF47" s="392"/>
      <c r="AG47" s="392">
        <f>AG45/(AG4+AG6+AG8)</f>
        <v>0.14978741602770138</v>
      </c>
      <c r="AH47" s="392"/>
      <c r="AI47" s="392"/>
    </row>
    <row r="48" spans="1:35" ht="14.25">
      <c r="A48" s="392" t="s">
        <v>1089</v>
      </c>
      <c r="B48" s="392"/>
      <c r="C48" s="385"/>
      <c r="D48" s="392"/>
      <c r="E48" s="392">
        <f>E45/E43</f>
        <v>0.15922404084300187</v>
      </c>
      <c r="F48" s="392"/>
      <c r="G48" s="392">
        <f>G45/G43</f>
        <v>0.18126767407593164</v>
      </c>
      <c r="H48" s="392"/>
      <c r="I48" s="392">
        <f>I45/I43</f>
        <v>0.20353773015788743</v>
      </c>
      <c r="J48" s="392"/>
      <c r="K48" s="392">
        <f>K45/K43</f>
        <v>0.22602850628073246</v>
      </c>
      <c r="L48" s="392"/>
      <c r="M48" s="392">
        <f>M45/M43</f>
        <v>0.24873375934784756</v>
      </c>
      <c r="N48" s="392"/>
      <c r="O48" s="392">
        <f>O45/O43</f>
        <v>0.27164667854678232</v>
      </c>
      <c r="P48" s="392"/>
      <c r="Q48" s="392">
        <f>Q45/Q43</f>
        <v>0.29475985674901167</v>
      </c>
      <c r="R48" s="392"/>
      <c r="S48" s="392">
        <f>S45/S43</f>
        <v>0.31806526069043406</v>
      </c>
      <c r="T48" s="392"/>
      <c r="U48" s="392">
        <f>U45/U43</f>
        <v>0.34155419988447389</v>
      </c>
      <c r="V48" s="392"/>
      <c r="W48" s="392">
        <f>W45/W43</f>
        <v>0.36521729421783977</v>
      </c>
      <c r="X48" s="392"/>
      <c r="Y48" s="392">
        <f>Y45/Y43</f>
        <v>0.38904444017709799</v>
      </c>
      <c r="Z48" s="392"/>
      <c r="AA48" s="392">
        <f>AA45/AA43</f>
        <v>0.41302477565225804</v>
      </c>
      <c r="AB48" s="392"/>
      <c r="AC48" s="392">
        <f>AC45/AC43</f>
        <v>0.43714664326156072</v>
      </c>
      <c r="AD48" s="392"/>
      <c r="AE48" s="392">
        <f>AE45/AE43</f>
        <v>0.46139755213951311</v>
      </c>
      <c r="AF48" s="392"/>
      <c r="AG48" s="392">
        <f>AG45/AG43</f>
        <v>0.48576413812807673</v>
      </c>
      <c r="AH48" s="392"/>
      <c r="AI48" s="392"/>
    </row>
    <row r="49" spans="1:35" ht="14.25">
      <c r="A49" s="393" t="s">
        <v>1090</v>
      </c>
      <c r="B49" s="393"/>
      <c r="C49" s="394"/>
      <c r="D49" s="393"/>
      <c r="E49" s="393">
        <f>E37/E43</f>
        <v>1.1592240408430019</v>
      </c>
      <c r="F49" s="393"/>
      <c r="G49" s="393">
        <f>G37/G43</f>
        <v>1.1812676740759316</v>
      </c>
      <c r="H49" s="393"/>
      <c r="I49" s="393">
        <f>I37/I43</f>
        <v>1.2035377301578873</v>
      </c>
      <c r="J49" s="393"/>
      <c r="K49" s="393">
        <f>K37/K43</f>
        <v>1.2260285062807323</v>
      </c>
      <c r="L49" s="393"/>
      <c r="M49" s="393">
        <f>M37/M43</f>
        <v>1.2487337593478476</v>
      </c>
      <c r="N49" s="393"/>
      <c r="O49" s="393">
        <f>O37/O43</f>
        <v>1.2716466785467824</v>
      </c>
      <c r="P49" s="393"/>
      <c r="Q49" s="393">
        <f>Q37/Q43</f>
        <v>1.2947598567490117</v>
      </c>
      <c r="R49" s="393"/>
      <c r="S49" s="393">
        <f>S37/S43</f>
        <v>1.3180652606904342</v>
      </c>
      <c r="T49" s="393"/>
      <c r="U49" s="393">
        <f>U37/U43</f>
        <v>1.341554199884474</v>
      </c>
      <c r="V49" s="393"/>
      <c r="W49" s="393">
        <f>W37/W43</f>
        <v>1.3652172942178398</v>
      </c>
      <c r="X49" s="393"/>
      <c r="Y49" s="393">
        <f>Y37/Y43</f>
        <v>1.389044440177098</v>
      </c>
      <c r="Z49" s="393"/>
      <c r="AA49" s="393">
        <f>AA37/AA43</f>
        <v>1.413024775652258</v>
      </c>
      <c r="AB49" s="393"/>
      <c r="AC49" s="393">
        <f>AC37/AC43</f>
        <v>1.4371466432615607</v>
      </c>
      <c r="AD49" s="393"/>
      <c r="AE49" s="393">
        <f>AE37/AE43</f>
        <v>1.4613975521395131</v>
      </c>
      <c r="AF49" s="393"/>
      <c r="AG49" s="393">
        <f>AG37/AG43</f>
        <v>1.4857641381280768</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6400</v>
      </c>
      <c r="F53" s="374"/>
      <c r="G53" s="819">
        <f>E53*$C$53</f>
        <v>6400</v>
      </c>
      <c r="H53" s="819"/>
      <c r="I53" s="819">
        <f>G53*$C$53</f>
        <v>6400</v>
      </c>
      <c r="J53" s="819"/>
      <c r="K53" s="819">
        <f>I53*$C$53</f>
        <v>6400</v>
      </c>
      <c r="L53" s="819"/>
      <c r="M53" s="819">
        <f>K53*$C$53</f>
        <v>6400</v>
      </c>
      <c r="N53" s="819"/>
      <c r="O53" s="819">
        <f>M53*$C$53</f>
        <v>6400</v>
      </c>
      <c r="P53" s="819"/>
      <c r="Q53" s="819">
        <f>O53*$C$53</f>
        <v>6400</v>
      </c>
      <c r="R53" s="819"/>
      <c r="S53" s="819">
        <f>Q53*$C$53</f>
        <v>6400</v>
      </c>
      <c r="T53" s="819"/>
      <c r="U53" s="819">
        <f>S53*$C$53</f>
        <v>6400</v>
      </c>
      <c r="V53" s="819"/>
      <c r="W53" s="819">
        <f>U53*$C$53</f>
        <v>6400</v>
      </c>
      <c r="X53" s="819"/>
      <c r="Y53" s="819">
        <f>W53*$C$53</f>
        <v>6400</v>
      </c>
      <c r="Z53" s="819"/>
      <c r="AA53" s="819">
        <f>Y53*$C$53</f>
        <v>6400</v>
      </c>
      <c r="AB53" s="819"/>
      <c r="AC53" s="819">
        <f>AA53*$C$53</f>
        <v>6400</v>
      </c>
      <c r="AD53" s="819"/>
      <c r="AE53" s="819">
        <f>AC53*$C$53</f>
        <v>6400</v>
      </c>
      <c r="AF53" s="819"/>
      <c r="AG53" s="819">
        <f>AE53*$C$53</f>
        <v>6400</v>
      </c>
      <c r="AH53" s="374"/>
      <c r="AI53" s="374"/>
    </row>
    <row r="54" spans="1:35">
      <c r="A54" s="361" t="s">
        <v>1093</v>
      </c>
      <c r="B54" s="361"/>
      <c r="C54" s="409"/>
      <c r="D54" s="361"/>
      <c r="E54" s="402">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402">
        <v>6400</v>
      </c>
      <c r="F55" s="380"/>
      <c r="G55" s="818">
        <f t="shared" si="14"/>
        <v>6400</v>
      </c>
      <c r="H55" s="818"/>
      <c r="I55" s="818">
        <f t="shared" si="14"/>
        <v>6400</v>
      </c>
      <c r="J55" s="818"/>
      <c r="K55" s="818">
        <f t="shared" si="14"/>
        <v>6400</v>
      </c>
      <c r="L55" s="818"/>
      <c r="M55" s="818">
        <f t="shared" si="14"/>
        <v>6400</v>
      </c>
      <c r="N55" s="818"/>
      <c r="O55" s="818">
        <f t="shared" si="14"/>
        <v>6400</v>
      </c>
      <c r="P55" s="818"/>
      <c r="Q55" s="818">
        <f t="shared" si="14"/>
        <v>6400</v>
      </c>
      <c r="R55" s="818"/>
      <c r="S55" s="818">
        <f t="shared" si="14"/>
        <v>6400</v>
      </c>
      <c r="T55" s="818"/>
      <c r="U55" s="818">
        <f t="shared" si="14"/>
        <v>6400</v>
      </c>
      <c r="V55" s="818"/>
      <c r="W55" s="818">
        <f t="shared" si="14"/>
        <v>6400</v>
      </c>
      <c r="X55" s="818"/>
      <c r="Y55" s="818">
        <f t="shared" si="14"/>
        <v>6400</v>
      </c>
      <c r="Z55" s="818"/>
      <c r="AA55" s="818">
        <f t="shared" si="14"/>
        <v>6400</v>
      </c>
      <c r="AB55" s="818"/>
      <c r="AC55" s="818">
        <f t="shared" si="14"/>
        <v>6400</v>
      </c>
      <c r="AD55" s="818"/>
      <c r="AE55" s="818">
        <f t="shared" si="14"/>
        <v>6400</v>
      </c>
      <c r="AF55" s="818"/>
      <c r="AG55" s="818">
        <f t="shared" si="14"/>
        <v>6400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20300</v>
      </c>
      <c r="F58" s="380"/>
      <c r="G58" s="380">
        <f>SUM(G53:G57)</f>
        <v>20300</v>
      </c>
      <c r="H58" s="380"/>
      <c r="I58" s="380">
        <f>SUM(I53:I57)</f>
        <v>20300</v>
      </c>
      <c r="J58" s="380"/>
      <c r="K58" s="380">
        <f>SUM(K53:K57)</f>
        <v>20300</v>
      </c>
      <c r="L58" s="380"/>
      <c r="M58" s="380">
        <f>SUM(M53:M57)</f>
        <v>20300</v>
      </c>
      <c r="N58" s="380"/>
      <c r="O58" s="380">
        <f>SUM(O53:O57)</f>
        <v>20300</v>
      </c>
      <c r="P58" s="380"/>
      <c r="Q58" s="380">
        <f>SUM(Q53:Q57)</f>
        <v>20300</v>
      </c>
      <c r="R58" s="380"/>
      <c r="S58" s="380">
        <f>SUM(S53:S57)</f>
        <v>20300</v>
      </c>
      <c r="T58" s="380"/>
      <c r="U58" s="380">
        <f>SUM(U53:U57)</f>
        <v>20300</v>
      </c>
      <c r="V58" s="380"/>
      <c r="W58" s="380">
        <f>SUM(W53:W57)</f>
        <v>20300</v>
      </c>
      <c r="X58" s="380"/>
      <c r="Y58" s="380">
        <f>SUM(Y53:Y57)</f>
        <v>20300</v>
      </c>
      <c r="Z58" s="380"/>
      <c r="AA58" s="380">
        <f>SUM(AA53:AA57)</f>
        <v>20300</v>
      </c>
      <c r="AB58" s="380"/>
      <c r="AC58" s="380">
        <f>SUM(AC53:AC57)</f>
        <v>20300</v>
      </c>
      <c r="AD58" s="380"/>
      <c r="AE58" s="380">
        <f>SUM(AE53:AE57)</f>
        <v>20300</v>
      </c>
      <c r="AF58" s="380"/>
      <c r="AG58" s="380">
        <f>SUM(AG53:AG57)</f>
        <v>20300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45724</v>
      </c>
      <c r="F60" s="374"/>
      <c r="G60" s="374">
        <f>G45-G58</f>
        <v>54864.634999999893</v>
      </c>
      <c r="H60" s="374"/>
      <c r="I60" s="374">
        <f>I45-I58</f>
        <v>64099.158724999754</v>
      </c>
      <c r="J60" s="374"/>
      <c r="K60" s="374">
        <f>K45-K58</f>
        <v>73425.206442874798</v>
      </c>
      <c r="L60" s="374"/>
      <c r="M60" s="374">
        <f>M45-M58</f>
        <v>82840.18938493781</v>
      </c>
      <c r="N60" s="374"/>
      <c r="O60" s="374">
        <f>O45-O58</f>
        <v>92341.283372887294</v>
      </c>
      <c r="P60" s="374"/>
      <c r="Q60" s="374">
        <f>Q45-Q58</f>
        <v>101925.41695940192</v>
      </c>
      <c r="R60" s="374"/>
      <c r="S60" s="374">
        <f>S45-S58</f>
        <v>111589.25906315609</v>
      </c>
      <c r="T60" s="374"/>
      <c r="U60" s="374">
        <f>U45-U58</f>
        <v>121329.20607829583</v>
      </c>
      <c r="V60" s="374"/>
      <c r="W60" s="374">
        <f>W45-W58</f>
        <v>131141.36843766365</v>
      </c>
      <c r="X60" s="374"/>
      <c r="Y60" s="374">
        <f>Y45-Y58</f>
        <v>141021.55660827563</v>
      </c>
      <c r="Z60" s="374"/>
      <c r="AA60" s="374">
        <f>AA45-AA58</f>
        <v>150965.26649674098</v>
      </c>
      <c r="AB60" s="374"/>
      <c r="AC60" s="374">
        <f>AC45-AC58</f>
        <v>160967.66424148204</v>
      </c>
      <c r="AD60" s="374"/>
      <c r="AE60" s="374">
        <f>AE45-AE58</f>
        <v>171023.57036772266</v>
      </c>
      <c r="AF60" s="374"/>
      <c r="AG60" s="374">
        <f>AG45-AG58</f>
        <v>181127.44328032644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v>52368</v>
      </c>
      <c r="F62" s="374"/>
      <c r="G62" s="821">
        <f>G60*$C$62</f>
        <v>54864.634999999893</v>
      </c>
      <c r="H62" s="374"/>
      <c r="I62" s="821">
        <f>I60*$C$62</f>
        <v>64099.158724999754</v>
      </c>
      <c r="J62" s="374"/>
      <c r="K62" s="821">
        <f>211527-I62-G62-E62</f>
        <v>40195.206275000353</v>
      </c>
      <c r="L62" s="374"/>
      <c r="M62" s="821"/>
      <c r="N62" s="374"/>
      <c r="O62" s="821"/>
      <c r="P62" s="374"/>
      <c r="Q62" s="821"/>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-6644</v>
      </c>
      <c r="F72" s="380"/>
      <c r="G72" s="374">
        <f>G60-G62-G70</f>
        <v>0</v>
      </c>
      <c r="H72" s="380"/>
      <c r="I72" s="374">
        <f>I60-I62-I70</f>
        <v>0</v>
      </c>
      <c r="J72" s="380"/>
      <c r="K72" s="374">
        <f>K60-K62-K70</f>
        <v>33230.000167874445</v>
      </c>
      <c r="L72" s="380"/>
      <c r="M72" s="374">
        <f>M60-M62-M70</f>
        <v>82840.18938493781</v>
      </c>
      <c r="N72" s="380"/>
      <c r="O72" s="374">
        <f>O60-O62-O70</f>
        <v>92341.283372887294</v>
      </c>
      <c r="P72" s="380"/>
      <c r="Q72" s="374">
        <f>Q60-Q62-Q70</f>
        <v>101925.41695940192</v>
      </c>
      <c r="R72" s="380"/>
      <c r="S72" s="374">
        <f>S60-S62-S70</f>
        <v>111589.25906315609</v>
      </c>
      <c r="T72" s="380"/>
      <c r="U72" s="374">
        <f>U60-U62-U70</f>
        <v>121329.20607829583</v>
      </c>
      <c r="V72" s="380"/>
      <c r="W72" s="374">
        <f>W60-W62-W70</f>
        <v>131141.36843766365</v>
      </c>
      <c r="X72" s="380"/>
      <c r="Y72" s="374">
        <f>Y60-Y62-Y70</f>
        <v>141021.55660827563</v>
      </c>
      <c r="Z72" s="380"/>
      <c r="AA72" s="374">
        <f>AA60-AA62-AA70</f>
        <v>150965.26649674098</v>
      </c>
      <c r="AB72" s="380"/>
      <c r="AC72" s="374">
        <f>AC60-AC62-AC70</f>
        <v>160967.66424148204</v>
      </c>
      <c r="AD72" s="380"/>
      <c r="AE72" s="374">
        <f>AE60-AE62-AE70</f>
        <v>171023.57036772266</v>
      </c>
      <c r="AF72" s="380"/>
      <c r="AG72" s="374">
        <f>AG60-AG62-AG70</f>
        <v>181127.44328032644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1099</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17" sqref="E17"/>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7" t="s">
        <v>1170</v>
      </c>
      <c r="B1" s="1957"/>
      <c r="C1" s="1957"/>
      <c r="D1" s="1957"/>
      <c r="E1" s="1957"/>
      <c r="F1" s="1957"/>
      <c r="G1" s="1957"/>
      <c r="H1" s="1957"/>
      <c r="I1" s="1957"/>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3</v>
      </c>
      <c r="C4" s="602">
        <f>Application!$O695</f>
        <v>460</v>
      </c>
      <c r="D4" s="603"/>
      <c r="E4" s="942">
        <v>1245</v>
      </c>
      <c r="F4" s="602">
        <f>$E4*$B4</f>
        <v>3735</v>
      </c>
      <c r="G4" s="603"/>
      <c r="H4" s="602">
        <f>IF($E4=0,0,MAX($E4-$C4,0))</f>
        <v>785</v>
      </c>
      <c r="I4" s="602">
        <f>IF($H4=0,0,($H4*$B4))</f>
        <v>2355</v>
      </c>
    </row>
    <row r="5" spans="1:9">
      <c r="A5" s="602" t="str">
        <f>Application!$B696</f>
        <v>1 Bedroom</v>
      </c>
      <c r="B5" s="943">
        <f>Application!$G696</f>
        <v>2</v>
      </c>
      <c r="C5" s="602">
        <f>Application!$O696</f>
        <v>618</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v>
      </c>
      <c r="C6" s="602">
        <f>Application!$O697</f>
        <v>775</v>
      </c>
      <c r="D6" s="603"/>
      <c r="E6" s="942"/>
      <c r="F6" s="602">
        <f t="shared" si="0"/>
        <v>0</v>
      </c>
      <c r="G6" s="603"/>
      <c r="H6" s="602">
        <f t="shared" si="1"/>
        <v>0</v>
      </c>
      <c r="I6" s="602">
        <f t="shared" si="2"/>
        <v>0</v>
      </c>
    </row>
    <row r="7" spans="1:9">
      <c r="A7" s="602" t="str">
        <f>Application!$B698</f>
        <v>1 Bedroom</v>
      </c>
      <c r="B7" s="943">
        <f>Application!$G698</f>
        <v>6</v>
      </c>
      <c r="C7" s="602">
        <f>Application!$O698</f>
        <v>933</v>
      </c>
      <c r="D7" s="603"/>
      <c r="E7" s="942"/>
      <c r="F7" s="602">
        <f t="shared" si="0"/>
        <v>0</v>
      </c>
      <c r="G7" s="603"/>
      <c r="H7" s="602">
        <f t="shared" si="1"/>
        <v>0</v>
      </c>
      <c r="I7" s="602">
        <f t="shared" si="2"/>
        <v>0</v>
      </c>
    </row>
    <row r="8" spans="1:9">
      <c r="A8" s="602" t="str">
        <f>Application!$B699</f>
        <v>2 Bedrooms</v>
      </c>
      <c r="B8" s="943">
        <f>Application!$G699</f>
        <v>8</v>
      </c>
      <c r="C8" s="602">
        <f>Application!$O699</f>
        <v>555</v>
      </c>
      <c r="D8" s="603"/>
      <c r="E8" s="942">
        <v>1636</v>
      </c>
      <c r="F8" s="602">
        <f t="shared" si="0"/>
        <v>13088</v>
      </c>
      <c r="G8" s="603"/>
      <c r="H8" s="602">
        <f t="shared" si="1"/>
        <v>1081</v>
      </c>
      <c r="I8" s="602">
        <f t="shared" si="2"/>
        <v>8648</v>
      </c>
    </row>
    <row r="9" spans="1:9">
      <c r="A9" s="602" t="str">
        <f>Application!$B700</f>
        <v>2 Bedrooms</v>
      </c>
      <c r="B9" s="943">
        <f>Application!$G700</f>
        <v>4</v>
      </c>
      <c r="C9" s="602">
        <f>Application!$O700</f>
        <v>744</v>
      </c>
      <c r="D9" s="603"/>
      <c r="E9" s="942"/>
      <c r="F9" s="602">
        <f t="shared" si="0"/>
        <v>0</v>
      </c>
      <c r="G9" s="603"/>
      <c r="H9" s="602">
        <f t="shared" si="1"/>
        <v>0</v>
      </c>
      <c r="I9" s="602">
        <f t="shared" si="2"/>
        <v>0</v>
      </c>
    </row>
    <row r="10" spans="1:9">
      <c r="A10" s="602" t="str">
        <f>Application!$B701</f>
        <v>2 Bedrooms</v>
      </c>
      <c r="B10" s="943">
        <f>Application!$G701</f>
        <v>3</v>
      </c>
      <c r="C10" s="602">
        <f>Application!$O701</f>
        <v>933</v>
      </c>
      <c r="D10" s="603"/>
      <c r="E10" s="942"/>
      <c r="F10" s="602">
        <f t="shared" si="0"/>
        <v>0</v>
      </c>
      <c r="G10" s="603"/>
      <c r="H10" s="602">
        <f t="shared" si="1"/>
        <v>0</v>
      </c>
      <c r="I10" s="602">
        <f t="shared" si="2"/>
        <v>0</v>
      </c>
    </row>
    <row r="11" spans="1:9">
      <c r="A11" s="602" t="str">
        <f>Application!$B702</f>
        <v>2 Bedrooms</v>
      </c>
      <c r="B11" s="943">
        <f>Application!$G702</f>
        <v>17</v>
      </c>
      <c r="C11" s="602">
        <f>Application!$O702</f>
        <v>1122</v>
      </c>
      <c r="D11" s="603"/>
      <c r="E11" s="942"/>
      <c r="F11" s="602">
        <f t="shared" si="0"/>
        <v>0</v>
      </c>
      <c r="G11" s="603"/>
      <c r="H11" s="602">
        <f t="shared" si="1"/>
        <v>0</v>
      </c>
      <c r="I11" s="602">
        <f t="shared" si="2"/>
        <v>0</v>
      </c>
    </row>
    <row r="12" spans="1:9">
      <c r="A12" s="602" t="str">
        <f>Application!$B703</f>
        <v>3 Bedrooms</v>
      </c>
      <c r="B12" s="943">
        <f>Application!$G703</f>
        <v>4</v>
      </c>
      <c r="C12" s="602">
        <f>Application!$O703</f>
        <v>643</v>
      </c>
      <c r="D12" s="603"/>
      <c r="E12" s="942">
        <v>2388</v>
      </c>
      <c r="F12" s="602">
        <f t="shared" si="0"/>
        <v>9552</v>
      </c>
      <c r="G12" s="603"/>
      <c r="H12" s="602">
        <f t="shared" si="1"/>
        <v>1745</v>
      </c>
      <c r="I12" s="602">
        <f t="shared" si="2"/>
        <v>6980</v>
      </c>
    </row>
    <row r="13" spans="1:9">
      <c r="A13" s="602" t="str">
        <f>Application!$B704</f>
        <v>3 Bedrooms</v>
      </c>
      <c r="B13" s="943">
        <f>Application!$G704</f>
        <v>2</v>
      </c>
      <c r="C13" s="602">
        <f>Application!$O704</f>
        <v>862</v>
      </c>
      <c r="D13" s="603"/>
      <c r="E13" s="942"/>
      <c r="F13" s="602">
        <f t="shared" si="0"/>
        <v>0</v>
      </c>
      <c r="G13" s="603"/>
      <c r="H13" s="602">
        <f t="shared" si="1"/>
        <v>0</v>
      </c>
      <c r="I13" s="602">
        <f t="shared" si="2"/>
        <v>0</v>
      </c>
    </row>
    <row r="14" spans="1:9">
      <c r="A14" s="602" t="str">
        <f>Application!$B705</f>
        <v>3 Bedrooms</v>
      </c>
      <c r="B14" s="943">
        <f>Application!$G705</f>
        <v>1</v>
      </c>
      <c r="C14" s="602">
        <f>Application!$O705</f>
        <v>1080</v>
      </c>
      <c r="D14" s="603"/>
      <c r="E14" s="942"/>
      <c r="F14" s="602">
        <f t="shared" si="0"/>
        <v>0</v>
      </c>
      <c r="G14" s="603"/>
      <c r="H14" s="602">
        <f t="shared" si="1"/>
        <v>0</v>
      </c>
      <c r="I14" s="602">
        <f t="shared" si="2"/>
        <v>0</v>
      </c>
    </row>
    <row r="15" spans="1:9">
      <c r="A15" s="602" t="str">
        <f>Application!$B706</f>
        <v>3 Bedrooms</v>
      </c>
      <c r="B15" s="943">
        <f>Application!$G706</f>
        <v>8</v>
      </c>
      <c r="C15" s="602">
        <f>Application!$O706</f>
        <v>1299</v>
      </c>
      <c r="D15" s="603"/>
      <c r="E15" s="942"/>
      <c r="F15" s="602">
        <f t="shared" si="0"/>
        <v>0</v>
      </c>
      <c r="G15" s="603"/>
      <c r="H15" s="602">
        <f t="shared" si="1"/>
        <v>0</v>
      </c>
      <c r="I15" s="602">
        <f t="shared" si="2"/>
        <v>0</v>
      </c>
    </row>
    <row r="16" spans="1:9">
      <c r="A16" s="602" t="str">
        <f>Application!$B707</f>
        <v>4 Bedrooms</v>
      </c>
      <c r="B16" s="943">
        <f>Application!$G707</f>
        <v>1</v>
      </c>
      <c r="C16" s="602">
        <f>Application!$O707</f>
        <v>719</v>
      </c>
      <c r="D16" s="603"/>
      <c r="E16" s="942">
        <v>2775</v>
      </c>
      <c r="F16" s="602">
        <f t="shared" si="0"/>
        <v>2775</v>
      </c>
      <c r="G16" s="603"/>
      <c r="H16" s="602">
        <f t="shared" si="1"/>
        <v>2056</v>
      </c>
      <c r="I16" s="602">
        <f t="shared" si="2"/>
        <v>2056</v>
      </c>
    </row>
    <row r="17" spans="1:9">
      <c r="A17" s="602" t="str">
        <f>Application!$B708</f>
        <v>4 Bedrooms</v>
      </c>
      <c r="B17" s="943">
        <f>Application!$G708</f>
        <v>2</v>
      </c>
      <c r="C17" s="602">
        <f>Application!$O708</f>
        <v>963</v>
      </c>
      <c r="D17" s="603"/>
      <c r="E17" s="942"/>
      <c r="F17" s="602">
        <f t="shared" si="0"/>
        <v>0</v>
      </c>
      <c r="G17" s="603"/>
      <c r="H17" s="602">
        <f t="shared" si="1"/>
        <v>0</v>
      </c>
      <c r="I17" s="602">
        <f t="shared" si="2"/>
        <v>0</v>
      </c>
    </row>
    <row r="18" spans="1:9">
      <c r="A18" s="602" t="str">
        <f>Application!$B709</f>
        <v>4 Bedrooms</v>
      </c>
      <c r="B18" s="943">
        <f>Application!$G709</f>
        <v>1</v>
      </c>
      <c r="C18" s="602">
        <f>Application!$O709</f>
        <v>1206</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694764</v>
      </c>
      <c r="D40" s="603"/>
      <c r="E40" s="603"/>
      <c r="F40" s="606">
        <f>SUM(F4:F38)*12</f>
        <v>349800</v>
      </c>
      <c r="G40" s="607"/>
      <c r="H40" s="605"/>
      <c r="I40" s="606">
        <f>SUM(I4:I38)*12</f>
        <v>240468</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1606</v>
      </c>
      <c r="U7" s="1608"/>
      <c r="V7" s="1608"/>
      <c r="W7" s="1608"/>
      <c r="X7" s="1608"/>
      <c r="Y7" s="1608" t="s">
        <v>1749</v>
      </c>
      <c r="Z7" s="1608"/>
      <c r="AA7" s="1608"/>
      <c r="AB7" s="1608"/>
      <c r="AC7" s="1608"/>
      <c r="AD7" s="1608" t="s">
        <v>1360</v>
      </c>
      <c r="AE7" s="1608"/>
      <c r="AF7" s="1608"/>
      <c r="AG7" s="1608"/>
      <c r="AH7" s="1608"/>
      <c r="AI7" s="1608" t="s">
        <v>1750</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30124468</v>
      </c>
      <c r="U11" s="1609"/>
      <c r="V11" s="1609"/>
      <c r="W11" s="1609"/>
      <c r="X11" s="1609"/>
      <c r="Y11" s="1625">
        <f>IF('Sources and Basis Breakdown'!G105+'Sources and Basis Breakdown'!F105='Sources and Basis Breakdown'!E105,'Sources and Basis Breakdown'!G105,0)</f>
        <v>30124468</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5"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1713</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2346692</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-2346692</v>
      </c>
      <c r="AJ22" s="1603"/>
      <c r="AK22" s="1603"/>
      <c r="AL22" s="1603"/>
      <c r="AM22" s="1603"/>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30124468</v>
      </c>
      <c r="U23" s="1202"/>
      <c r="V23" s="1202"/>
      <c r="W23" s="1202"/>
      <c r="X23" s="1202"/>
      <c r="Y23" s="1601">
        <f>Y11+Y22</f>
        <v>30124468</v>
      </c>
      <c r="Z23" s="1202"/>
      <c r="AA23" s="1202"/>
      <c r="AB23" s="1202"/>
      <c r="AC23" s="1202"/>
      <c r="AD23" s="1601">
        <f>AD11+AD22</f>
        <v>0</v>
      </c>
      <c r="AE23" s="1202"/>
      <c r="AF23" s="1202"/>
      <c r="AG23" s="1202"/>
      <c r="AH23" s="1202"/>
      <c r="AI23" s="1601">
        <f>AI11+AI22</f>
        <v>-2346692</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1748</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30124468</v>
      </c>
      <c r="U26" s="1604"/>
      <c r="V26" s="1604"/>
      <c r="W26" s="1604"/>
      <c r="X26" s="1604"/>
      <c r="Y26" s="1226">
        <f>Y23*Y25</f>
        <v>30124468</v>
      </c>
      <c r="Z26" s="1604"/>
      <c r="AA26" s="1604"/>
      <c r="AB26" s="1604"/>
      <c r="AC26" s="1604"/>
      <c r="AD26" s="1226">
        <f>AD23*AD25</f>
        <v>0</v>
      </c>
      <c r="AE26" s="1604"/>
      <c r="AF26" s="1604"/>
      <c r="AG26" s="1604"/>
      <c r="AH26" s="1604"/>
      <c r="AI26" s="1226">
        <f>AI23*AI25</f>
        <v>-2346692</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30124468</v>
      </c>
      <c r="U28" s="1604"/>
      <c r="V28" s="1604"/>
      <c r="W28" s="1604"/>
      <c r="X28" s="1604"/>
      <c r="Y28" s="1226">
        <f>IF(ISERROR((Y26*Y27)),0,(Y26*Y27))</f>
        <v>30124468</v>
      </c>
      <c r="Z28" s="1604"/>
      <c r="AA28" s="1604"/>
      <c r="AB28" s="1604"/>
      <c r="AC28" s="1604"/>
      <c r="AD28" s="1226">
        <f>IF(ISERROR((AD26*AD27)),0,(AD26*AD27))</f>
        <v>0</v>
      </c>
      <c r="AE28" s="1604"/>
      <c r="AF28" s="1604"/>
      <c r="AG28" s="1604"/>
      <c r="AH28" s="1604"/>
      <c r="AI28" s="1226">
        <f>IF(ISERROR((AI26*AI27)),0,(AI26*AI27))</f>
        <v>-2346692</v>
      </c>
      <c r="AJ28" s="1604"/>
      <c r="AK28" s="1604"/>
      <c r="AL28" s="1604"/>
      <c r="AM28" s="1604"/>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57902244</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0" ht="12.95" customHeight="1">
      <c r="B36" s="204"/>
      <c r="X36" s="71"/>
      <c r="Y36" s="1608"/>
      <c r="Z36" s="1608"/>
      <c r="AA36" s="1608"/>
      <c r="AB36" s="1608"/>
      <c r="AC36" s="1608"/>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8">
        <v>0.09</v>
      </c>
      <c r="Z39" s="1958"/>
      <c r="AA39" s="1958"/>
      <c r="AB39" s="1958"/>
      <c r="AC39" s="1958"/>
      <c r="AD39" s="1639">
        <v>0.04</v>
      </c>
      <c r="AE39" s="1639"/>
      <c r="AF39" s="1639"/>
      <c r="AG39" s="1639"/>
      <c r="AH39" s="1639"/>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5"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31960488</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AB46-AB47</f>
        <v>31960488</v>
      </c>
      <c r="AC48" s="1194"/>
      <c r="AD48" s="1194"/>
      <c r="AE48" s="1194"/>
      <c r="AF48" s="1195"/>
    </row>
    <row r="49" spans="1:40" ht="12.95" customHeight="1">
      <c r="D49" s="3" t="s">
        <v>872</v>
      </c>
      <c r="AA49" s="34"/>
      <c r="AB49" s="1628"/>
      <c r="AC49" s="1629"/>
      <c r="AD49" s="1629"/>
      <c r="AE49" s="1629"/>
      <c r="AF49" s="1630"/>
    </row>
    <row r="50" spans="1:40" s="323" customFormat="1" ht="12.95"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561</v>
      </c>
      <c r="AB54" s="1193">
        <f>(AB53/10)</f>
        <v>0</v>
      </c>
      <c r="AC54" s="1194"/>
      <c r="AD54" s="1194"/>
      <c r="AE54" s="1194"/>
      <c r="AF54" s="1195"/>
    </row>
    <row r="55" spans="1:40" ht="12.95" customHeight="1">
      <c r="D55" s="3" t="s">
        <v>341</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31960488</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1751</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30124468</v>
      </c>
      <c r="Z63" s="1631"/>
      <c r="AA63" s="1631"/>
      <c r="AB63" s="1631"/>
      <c r="AC63" s="1631"/>
      <c r="AD63" s="1202">
        <f>AI28</f>
        <v>-2346692</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5" customHeight="1">
      <c r="C67" s="3"/>
      <c r="D67" s="3" t="s">
        <v>941</v>
      </c>
      <c r="Y67" s="1202">
        <f>ROUND(Y63*Y66,0)</f>
        <v>9037340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8"/>
      <c r="AC70" s="1629"/>
      <c r="AD70" s="1629"/>
      <c r="AE70" s="1629"/>
      <c r="AF70" s="1630"/>
    </row>
    <row r="71" spans="1:34" ht="12.95" customHeight="1">
      <c r="A71" s="3"/>
      <c r="C71" s="3"/>
      <c r="D71" s="3"/>
      <c r="E71" s="1632" t="s">
        <v>1746</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49">
        <f>IF((Y67+AD67&lt;AB75),Y67+AD67,AB75)</f>
        <v>0</v>
      </c>
      <c r="AC76" s="1550"/>
      <c r="AD76" s="1550"/>
      <c r="AE76" s="1550"/>
      <c r="AF76" s="1551"/>
    </row>
    <row r="77" spans="1:34" ht="12.95" customHeight="1">
      <c r="C77" s="3"/>
      <c r="D77" s="3" t="s">
        <v>942</v>
      </c>
      <c r="AB77" s="1626">
        <f>AB76*AB70</f>
        <v>0</v>
      </c>
      <c r="AC77" s="1626"/>
      <c r="AD77" s="1626"/>
      <c r="AE77" s="1626"/>
      <c r="AF77" s="1626"/>
    </row>
    <row r="78" spans="1:34" ht="12.95" customHeight="1">
      <c r="C78" s="3"/>
      <c r="D78" s="3"/>
      <c r="AB78" s="598"/>
      <c r="AC78" s="598"/>
      <c r="AD78" s="598"/>
      <c r="AE78" s="598"/>
      <c r="AF78" s="598"/>
    </row>
    <row r="79" spans="1:34" ht="12.95" customHeight="1">
      <c r="D79" s="3" t="s">
        <v>106</v>
      </c>
      <c r="AB79" s="1215">
        <f>AB48-(AB56+AB77)</f>
        <v>31960488</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1354</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1606</v>
      </c>
      <c r="U7" s="1608"/>
      <c r="V7" s="1608"/>
      <c r="W7" s="1608"/>
      <c r="X7" s="1608"/>
      <c r="Y7" s="1608" t="s">
        <v>1749</v>
      </c>
      <c r="Z7" s="1608"/>
      <c r="AA7" s="1608"/>
      <c r="AB7" s="1608"/>
      <c r="AC7" s="1608"/>
      <c r="AD7" s="1608" t="s">
        <v>1360</v>
      </c>
      <c r="AE7" s="1608"/>
      <c r="AF7" s="1608"/>
      <c r="AG7" s="1608"/>
      <c r="AH7" s="1608"/>
      <c r="AI7" s="1608" t="s">
        <v>1750</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30124468</v>
      </c>
      <c r="U11" s="1609"/>
      <c r="V11" s="1609"/>
      <c r="W11" s="1609"/>
      <c r="X11" s="1609"/>
      <c r="Y11" s="1625">
        <f>IF('Sources and Basis Breakdown'!G105+'Sources and Basis Breakdown'!F105='Sources and Basis Breakdown'!E105,'Sources and Basis Breakdown'!G105,0)</f>
        <v>30124468</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5"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1713</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f>'Basis &amp; Credits'!T21</f>
        <v>2346692</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-2346692</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27777776</v>
      </c>
      <c r="U23" s="1202"/>
      <c r="V23" s="1202"/>
      <c r="W23" s="1202"/>
      <c r="X23" s="1202"/>
      <c r="Y23" s="1601">
        <f>Y11+Y22</f>
        <v>30124468</v>
      </c>
      <c r="Z23" s="1202"/>
      <c r="AA23" s="1202"/>
      <c r="AB23" s="1202"/>
      <c r="AC23" s="1202"/>
      <c r="AD23" s="1601">
        <f>AD11+AD22</f>
        <v>0</v>
      </c>
      <c r="AE23" s="1202"/>
      <c r="AF23" s="1202"/>
      <c r="AG23" s="1202"/>
      <c r="AH23" s="1202"/>
      <c r="AI23" s="1601">
        <f>AI11+AI22</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1748</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27777776</v>
      </c>
      <c r="U26" s="1604"/>
      <c r="V26" s="1604"/>
      <c r="W26" s="1604"/>
      <c r="X26" s="1604"/>
      <c r="Y26" s="1226">
        <f>Y23*Y25</f>
        <v>30124468</v>
      </c>
      <c r="Z26" s="1604"/>
      <c r="AA26" s="1604"/>
      <c r="AB26" s="1604"/>
      <c r="AC26" s="1604"/>
      <c r="AD26" s="1226">
        <f>AD23*AD25</f>
        <v>0</v>
      </c>
      <c r="AE26" s="1604"/>
      <c r="AF26" s="1604"/>
      <c r="AG26" s="1604"/>
      <c r="AH26" s="1604"/>
      <c r="AI26" s="1226">
        <f>AI23*AI25</f>
        <v>0</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27777776</v>
      </c>
      <c r="U28" s="1604"/>
      <c r="V28" s="1604"/>
      <c r="W28" s="1604"/>
      <c r="X28" s="1604"/>
      <c r="Y28" s="1226">
        <f>IF(ISERROR((Y26*Y27)),0,(Y26*Y27))</f>
        <v>30124468</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57902244</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0" ht="12.95" customHeight="1">
      <c r="B36" s="204"/>
      <c r="X36" s="71"/>
      <c r="Y36" s="1608"/>
      <c r="Z36" s="1608"/>
      <c r="AA36" s="1608"/>
      <c r="AB36" s="1608"/>
      <c r="AC36" s="1608"/>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8">
        <v>0.09</v>
      </c>
      <c r="Z39" s="1958"/>
      <c r="AA39" s="1958"/>
      <c r="AB39" s="1958"/>
      <c r="AC39" s="1958"/>
      <c r="AD39" s="1958">
        <f>'Basis &amp; Credits'!AD39:AH39</f>
        <v>0.04</v>
      </c>
      <c r="AE39" s="1958"/>
      <c r="AF39" s="1958"/>
      <c r="AG39" s="1958"/>
      <c r="AH39" s="1958"/>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5"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31960488</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AB46-AB47</f>
        <v>31960488</v>
      </c>
      <c r="AC48" s="1194"/>
      <c r="AD48" s="1194"/>
      <c r="AE48" s="1194"/>
      <c r="AF48" s="1195"/>
    </row>
    <row r="49" spans="1:40" ht="12.95" customHeight="1">
      <c r="D49" s="3" t="s">
        <v>872</v>
      </c>
      <c r="AA49" s="34"/>
      <c r="AB49" s="1628"/>
      <c r="AC49" s="1629"/>
      <c r="AD49" s="1629"/>
      <c r="AE49" s="1629"/>
      <c r="AF49" s="1630"/>
    </row>
    <row r="50" spans="1:40" s="323" customFormat="1" ht="12.95"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561</v>
      </c>
      <c r="AB54" s="1193">
        <f>(AB53/10)</f>
        <v>0</v>
      </c>
      <c r="AC54" s="1194"/>
      <c r="AD54" s="1194"/>
      <c r="AE54" s="1194"/>
      <c r="AF54" s="1195"/>
    </row>
    <row r="55" spans="1:40" ht="12.95" customHeight="1">
      <c r="D55" s="3" t="s">
        <v>341</v>
      </c>
      <c r="AB55" s="1960">
        <f>(IF((Y41&lt;AB54),Y41,AB54))</f>
        <v>0</v>
      </c>
      <c r="AC55" s="1961"/>
      <c r="AD55" s="1961"/>
      <c r="AE55" s="1961"/>
      <c r="AF55" s="1962"/>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31960488</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1751</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30124468</v>
      </c>
      <c r="Z63" s="1631"/>
      <c r="AA63" s="1631"/>
      <c r="AB63" s="1631"/>
      <c r="AC63" s="1631"/>
      <c r="AD63" s="1202">
        <f>AI28</f>
        <v>0</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5" customHeight="1">
      <c r="C67" s="3"/>
      <c r="D67" s="3" t="s">
        <v>941</v>
      </c>
      <c r="Y67" s="1202">
        <f>ROUND(Y63*Y66,0)</f>
        <v>9037340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8"/>
      <c r="AC70" s="1629"/>
      <c r="AD70" s="1629"/>
      <c r="AE70" s="1629"/>
      <c r="AF70" s="1630"/>
    </row>
    <row r="71" spans="1:34" ht="12.95" customHeight="1">
      <c r="A71" s="3"/>
      <c r="C71" s="3"/>
      <c r="D71" s="3"/>
      <c r="E71" s="1632" t="s">
        <v>1746</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49">
        <f>IF((Y67+AD67&lt;AB75),Y67+AD67,AB75)</f>
        <v>0</v>
      </c>
      <c r="AC76" s="1550"/>
      <c r="AD76" s="1550"/>
      <c r="AE76" s="1550"/>
      <c r="AF76" s="1551"/>
    </row>
    <row r="77" spans="1:34" ht="12.95" customHeight="1">
      <c r="C77" s="3"/>
      <c r="D77" s="3" t="s">
        <v>942</v>
      </c>
      <c r="AB77" s="1626">
        <f>AB76*AB70</f>
        <v>0</v>
      </c>
      <c r="AC77" s="1626"/>
      <c r="AD77" s="1626"/>
      <c r="AE77" s="1626"/>
      <c r="AF77" s="1626"/>
    </row>
    <row r="78" spans="1:34" ht="12.95" customHeight="1">
      <c r="C78" s="3"/>
      <c r="D78" s="3"/>
      <c r="AB78" s="598"/>
      <c r="AC78" s="598"/>
      <c r="AD78" s="598"/>
      <c r="AE78" s="598"/>
      <c r="AF78" s="598"/>
    </row>
    <row r="79" spans="1:34" ht="12.95" customHeight="1">
      <c r="D79" s="3" t="s">
        <v>106</v>
      </c>
      <c r="AB79" s="1215">
        <f>AB48-(AB56+AB77)</f>
        <v>31960488</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749500</v>
      </c>
      <c r="C5" s="329">
        <f>'Sources and Uses Budget'!C4</f>
        <v>749500</v>
      </c>
      <c r="D5" s="329">
        <f>'Sources and Uses Budget'!C4</f>
        <v>749500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749500</v>
      </c>
      <c r="C9" s="331">
        <f>SUM(C5:C8)</f>
        <v>749500</v>
      </c>
      <c r="D9" s="331">
        <f>SUM(D5:D8)</f>
        <v>749500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749500</v>
      </c>
      <c r="C13" s="331">
        <f>SUM(C9+C12)</f>
        <v>749500</v>
      </c>
      <c r="D13" s="331">
        <f>SUM(D9+D12)</f>
        <v>749500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1500000</v>
      </c>
      <c r="C30" s="329">
        <f>'Sources and Uses Budget'!C29</f>
        <v>1500000</v>
      </c>
      <c r="D30" s="329">
        <f>'Sources and Uses Budget'!C29</f>
        <v>1500000</v>
      </c>
      <c r="E30" s="331">
        <f t="shared" si="0"/>
        <v>0</v>
      </c>
      <c r="F30" s="330"/>
      <c r="G30" s="330"/>
    </row>
    <row r="31" spans="1:7" s="568" customFormat="1" ht="12.75">
      <c r="A31" s="239" t="s">
        <v>911</v>
      </c>
      <c r="B31" s="329">
        <f>'Sources and Uses Budget'!C30</f>
        <v>16077283</v>
      </c>
      <c r="C31" s="329">
        <f>'Sources and Uses Budget'!C30</f>
        <v>16077283</v>
      </c>
      <c r="D31" s="329">
        <f>'Sources and Uses Budget'!C30</f>
        <v>16077283</v>
      </c>
      <c r="E31" s="331">
        <f t="shared" si="0"/>
        <v>0</v>
      </c>
      <c r="F31" s="330"/>
      <c r="G31" s="330"/>
    </row>
    <row r="32" spans="1:7" s="568" customFormat="1" ht="12.75">
      <c r="A32" s="239" t="s">
        <v>912</v>
      </c>
      <c r="B32" s="329">
        <f>'Sources and Uses Budget'!C31</f>
        <v>1054637</v>
      </c>
      <c r="C32" s="329">
        <f>'Sources and Uses Budget'!C31</f>
        <v>1054637</v>
      </c>
      <c r="D32" s="329">
        <f>'Sources and Uses Budget'!C31</f>
        <v>1054637</v>
      </c>
      <c r="E32" s="331">
        <f t="shared" si="0"/>
        <v>0</v>
      </c>
      <c r="F32" s="330"/>
      <c r="G32" s="330"/>
    </row>
    <row r="33" spans="1:7" s="568" customFormat="1" ht="12.75">
      <c r="A33" s="239" t="s">
        <v>913</v>
      </c>
      <c r="B33" s="329">
        <f>'Sources and Uses Budget'!C32</f>
        <v>372638</v>
      </c>
      <c r="C33" s="329">
        <f>'Sources and Uses Budget'!C32</f>
        <v>372638</v>
      </c>
      <c r="D33" s="329">
        <f>'Sources and Uses Budget'!C32</f>
        <v>372638</v>
      </c>
      <c r="E33" s="331">
        <f t="shared" si="0"/>
        <v>0</v>
      </c>
      <c r="F33" s="330"/>
      <c r="G33" s="330"/>
    </row>
    <row r="34" spans="1:7" s="568" customFormat="1" ht="12.75">
      <c r="A34" s="239" t="s">
        <v>914</v>
      </c>
      <c r="B34" s="329">
        <f>'Sources and Uses Budget'!C33</f>
        <v>1117915</v>
      </c>
      <c r="C34" s="329">
        <f>'Sources and Uses Budget'!C33</f>
        <v>1117915</v>
      </c>
      <c r="D34" s="329">
        <f>'Sources and Uses Budget'!C33</f>
        <v>1117915</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704287</v>
      </c>
      <c r="C36" s="329">
        <f>'Sources and Uses Budget'!C35</f>
        <v>704287</v>
      </c>
      <c r="D36" s="329">
        <f>'Sources and Uses Budget'!C35</f>
        <v>704287</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20826760</v>
      </c>
      <c r="C39" s="894">
        <f>'Sources and Uses Budget'!C38</f>
        <v>20826760</v>
      </c>
      <c r="D39" s="894">
        <f>'Sources and Uses Budget'!C38</f>
        <v>20826760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998897</v>
      </c>
      <c r="C41" s="329">
        <f>'Sources and Uses Budget'!C40</f>
        <v>998897</v>
      </c>
      <c r="D41" s="329">
        <f>'Sources and Uses Budget'!C40</f>
        <v>998897</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2283351</v>
      </c>
      <c r="C46" s="329">
        <f>'Sources and Uses Budget'!C45</f>
        <v>2283351</v>
      </c>
      <c r="D46" s="329">
        <f>'Sources and Uses Budget'!C45</f>
        <v>2283351</v>
      </c>
      <c r="E46" s="331">
        <f t="shared" si="0"/>
        <v>0</v>
      </c>
      <c r="F46" s="330"/>
      <c r="G46" s="330"/>
    </row>
    <row r="47" spans="1:7" s="568" customFormat="1" ht="12.75">
      <c r="A47" s="239" t="s">
        <v>927</v>
      </c>
      <c r="B47" s="329">
        <f>'Sources and Uses Budget'!C46</f>
        <v>344991</v>
      </c>
      <c r="C47" s="329">
        <f>'Sources and Uses Budget'!C46</f>
        <v>344991</v>
      </c>
      <c r="D47" s="329">
        <f>'Sources and Uses Budget'!C46</f>
        <v>344991</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14990</v>
      </c>
      <c r="C51" s="329">
        <f>'Sources and Uses Budget'!C50</f>
        <v>14990</v>
      </c>
      <c r="D51" s="329">
        <f>'Sources and Uses Budget'!C50</f>
        <v>14990</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2738332</v>
      </c>
      <c r="C54" s="894">
        <f>'Sources and Uses Budget'!C53</f>
        <v>2738332</v>
      </c>
      <c r="D54" s="894">
        <f>'Sources and Uses Budget'!C53</f>
        <v>2738332</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25428489</v>
      </c>
      <c r="C63" s="894">
        <f>'Sources and Uses Budget'!C62</f>
        <v>25428489</v>
      </c>
      <c r="D63" s="894">
        <f>'Sources and Uses Budget'!C62</f>
        <v>25428489</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80000</v>
      </c>
      <c r="C65" s="329">
        <f>'Sources and Uses Budget'!C64</f>
        <v>80000</v>
      </c>
      <c r="D65" s="329">
        <f>'Sources and Uses Budget'!C64</f>
        <v>80000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50000</v>
      </c>
      <c r="C69" s="329">
        <f>'Sources and Uses Budget'!C68</f>
        <v>50000</v>
      </c>
      <c r="D69" s="329">
        <f>'Sources and Uses Budget'!C68</f>
        <v>50000</v>
      </c>
      <c r="E69" s="331">
        <f t="shared" si="0"/>
        <v>0</v>
      </c>
      <c r="F69" s="330"/>
      <c r="G69" s="330"/>
    </row>
    <row r="70" spans="1:7" s="568" customFormat="1" ht="12.75">
      <c r="A70" s="243" t="s">
        <v>1960</v>
      </c>
      <c r="B70" s="894">
        <f>'Sources and Uses Budget'!C69</f>
        <v>130000</v>
      </c>
      <c r="C70" s="894">
        <f>'Sources and Uses Budget'!C69</f>
        <v>130000</v>
      </c>
      <c r="D70" s="894">
        <f>'Sources and Uses Budget'!C69</f>
        <v>130000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30000</v>
      </c>
      <c r="C72" s="329">
        <f>'Sources and Uses Budget'!C71</f>
        <v>30000</v>
      </c>
      <c r="D72" s="329">
        <f>'Sources and Uses Budget'!C71</f>
        <v>30000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209528</v>
      </c>
      <c r="C75" s="329">
        <f>'Sources and Uses Budget'!C74</f>
        <v>209528</v>
      </c>
      <c r="D75" s="329">
        <f>'Sources and Uses Budget'!C74</f>
        <v>209528</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239528</v>
      </c>
      <c r="C77" s="894">
        <f>'Sources and Uses Budget'!C76</f>
        <v>239528</v>
      </c>
      <c r="D77" s="894">
        <f>'Sources and Uses Budget'!C76</f>
        <v>239528</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1041338</v>
      </c>
      <c r="C79" s="329">
        <f>'Sources and Uses Budget'!C78</f>
        <v>1041338</v>
      </c>
      <c r="D79" s="329">
        <f>'Sources and Uses Budget'!C78</f>
        <v>1041338</v>
      </c>
      <c r="E79" s="331">
        <f t="shared" ref="E79:E105" si="2">C79-B79</f>
        <v>0</v>
      </c>
      <c r="F79" s="330"/>
      <c r="G79" s="330"/>
    </row>
    <row r="80" spans="1:7" s="568" customFormat="1" ht="12.75">
      <c r="A80" s="888" t="s">
        <v>538</v>
      </c>
      <c r="B80" s="329">
        <f>'Sources and Uses Budget'!C79</f>
        <v>200496</v>
      </c>
      <c r="C80" s="329">
        <f>'Sources and Uses Budget'!C79</f>
        <v>200496</v>
      </c>
      <c r="D80" s="329">
        <f>'Sources and Uses Budget'!C79</f>
        <v>200496</v>
      </c>
      <c r="E80" s="331">
        <f t="shared" si="2"/>
        <v>0</v>
      </c>
      <c r="F80" s="330"/>
      <c r="G80" s="330"/>
    </row>
    <row r="81" spans="1:7" s="568" customFormat="1" ht="12.75">
      <c r="A81" s="887" t="s">
        <v>1743</v>
      </c>
      <c r="B81" s="894">
        <f>'Sources and Uses Budget'!C80</f>
        <v>1241834</v>
      </c>
      <c r="C81" s="894">
        <f>'Sources and Uses Budget'!C80</f>
        <v>1241834</v>
      </c>
      <c r="D81" s="894">
        <f>'Sources and Uses Budget'!C80</f>
        <v>1241834</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148883</v>
      </c>
      <c r="C83" s="329">
        <f>'Sources and Uses Budget'!C82</f>
        <v>148883</v>
      </c>
      <c r="D83" s="329">
        <f>'Sources and Uses Budget'!C82</f>
        <v>148883</v>
      </c>
      <c r="E83" s="331">
        <f t="shared" si="2"/>
        <v>0</v>
      </c>
      <c r="F83" s="330"/>
      <c r="G83" s="330"/>
    </row>
    <row r="84" spans="1:7" s="568" customFormat="1" ht="12.75">
      <c r="A84" s="239" t="s">
        <v>516</v>
      </c>
      <c r="B84" s="329">
        <f>'Sources and Uses Budget'!C83</f>
        <v>50000</v>
      </c>
      <c r="C84" s="329">
        <f>'Sources and Uses Budget'!C83</f>
        <v>50000</v>
      </c>
      <c r="D84" s="329">
        <f>'Sources and Uses Budget'!C83</f>
        <v>50000</v>
      </c>
      <c r="E84" s="331">
        <f t="shared" si="2"/>
        <v>0</v>
      </c>
      <c r="F84" s="330"/>
      <c r="G84" s="330"/>
    </row>
    <row r="85" spans="1:7" s="568" customFormat="1" ht="12.75">
      <c r="A85" s="239" t="s">
        <v>517</v>
      </c>
      <c r="B85" s="329">
        <f>'Sources and Uses Budget'!C84</f>
        <v>1010546</v>
      </c>
      <c r="C85" s="329">
        <f>'Sources and Uses Budget'!C84</f>
        <v>1010546</v>
      </c>
      <c r="D85" s="329">
        <f>'Sources and Uses Budget'!C84</f>
        <v>1010546</v>
      </c>
      <c r="E85" s="331">
        <f t="shared" si="2"/>
        <v>0</v>
      </c>
      <c r="F85" s="330"/>
      <c r="G85" s="330"/>
    </row>
    <row r="86" spans="1:7" s="568" customFormat="1" ht="12.75">
      <c r="A86" s="239" t="s">
        <v>518</v>
      </c>
      <c r="B86" s="329">
        <f>'Sources and Uses Budget'!C85</f>
        <v>850000</v>
      </c>
      <c r="C86" s="329">
        <f>'Sources and Uses Budget'!C85</f>
        <v>850000</v>
      </c>
      <c r="D86" s="329">
        <f>'Sources and Uses Budget'!C85</f>
        <v>850000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54758</v>
      </c>
      <c r="C88" s="329">
        <f>'Sources and Uses Budget'!C87</f>
        <v>54758</v>
      </c>
      <c r="D88" s="329">
        <f>'Sources and Uses Budget'!C87</f>
        <v>54758</v>
      </c>
      <c r="E88" s="331">
        <f t="shared" si="2"/>
        <v>0</v>
      </c>
      <c r="F88" s="330"/>
      <c r="G88" s="330"/>
    </row>
    <row r="89" spans="1:7" s="568" customFormat="1" ht="12.75">
      <c r="A89" s="239" t="s">
        <v>521</v>
      </c>
      <c r="B89" s="329">
        <f>'Sources and Uses Budget'!C88</f>
        <v>65000</v>
      </c>
      <c r="C89" s="329">
        <f>'Sources and Uses Budget'!C88</f>
        <v>65000</v>
      </c>
      <c r="D89" s="329">
        <f>'Sources and Uses Budget'!C88</f>
        <v>65000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45000</v>
      </c>
      <c r="C91" s="329">
        <f>'Sources and Uses Budget'!C90</f>
        <v>45000</v>
      </c>
      <c r="D91" s="329">
        <f>'Sources and Uses Budget'!C90</f>
        <v>45000</v>
      </c>
      <c r="E91" s="331">
        <f t="shared" si="2"/>
        <v>0</v>
      </c>
      <c r="F91" s="330"/>
      <c r="G91" s="330"/>
    </row>
    <row r="92" spans="1:7" s="568" customFormat="1" ht="12.75">
      <c r="A92" s="250" t="s">
        <v>1741</v>
      </c>
      <c r="B92" s="329">
        <f>'Sources and Uses Budget'!C91</f>
        <v>11450</v>
      </c>
      <c r="C92" s="329">
        <f>'Sources and Uses Budget'!C91</f>
        <v>11450</v>
      </c>
      <c r="D92" s="329">
        <f>'Sources and Uses Budget'!C91</f>
        <v>11450</v>
      </c>
      <c r="E92" s="331">
        <f t="shared" si="2"/>
        <v>0</v>
      </c>
      <c r="F92" s="330"/>
      <c r="G92" s="330"/>
    </row>
    <row r="93" spans="1:7" s="568" customFormat="1" ht="12.75">
      <c r="A93" s="246" t="s">
        <v>533</v>
      </c>
      <c r="B93" s="329">
        <f>'Sources and Uses Budget'!C92</f>
        <v>175000</v>
      </c>
      <c r="C93" s="329">
        <f>'Sources and Uses Budget'!C92</f>
        <v>175000</v>
      </c>
      <c r="D93" s="329">
        <f>'Sources and Uses Budget'!C92</f>
        <v>175000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2420637</v>
      </c>
      <c r="C96" s="894">
        <f>'Sources and Uses Budget'!C95</f>
        <v>2420637</v>
      </c>
      <c r="D96" s="894">
        <f>'Sources and Uses Budget'!C95</f>
        <v>2420637</v>
      </c>
      <c r="E96" s="331">
        <f t="shared" si="2"/>
        <v>0</v>
      </c>
      <c r="F96" s="330"/>
      <c r="G96" s="330"/>
    </row>
    <row r="97" spans="1:7" s="568" customFormat="1" ht="12.75">
      <c r="A97" s="243" t="s">
        <v>524</v>
      </c>
      <c r="B97" s="894">
        <f>'Sources and Uses Budget'!C96</f>
        <v>29460488</v>
      </c>
      <c r="C97" s="894">
        <f>'Sources and Uses Budget'!C96</f>
        <v>29460488</v>
      </c>
      <c r="D97" s="894">
        <f>'Sources and Uses Budget'!C96</f>
        <v>29460488</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31960488</v>
      </c>
      <c r="C105" s="894">
        <f>'Sources and Uses Budget'!C104</f>
        <v>31960488</v>
      </c>
      <c r="D105" s="894">
        <f>'Sources and Uses Budget'!C104</f>
        <v>31960488</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2100</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2303</v>
      </c>
      <c r="B2" s="1039"/>
      <c r="C2" s="986"/>
      <c r="D2" s="986"/>
      <c r="E2" s="986"/>
      <c r="F2" s="986"/>
      <c r="G2" s="986"/>
      <c r="I2" t="s">
        <v>79</v>
      </c>
    </row>
    <row r="3" spans="1:9" ht="12.75">
      <c r="A3" s="190"/>
      <c r="B3" s="190"/>
      <c r="C3"/>
      <c r="D3"/>
      <c r="E3"/>
      <c r="F3"/>
      <c r="G3"/>
      <c r="I3" s="5" t="s">
        <v>1392</v>
      </c>
    </row>
    <row r="4" spans="1:9" ht="12.75">
      <c r="A4" s="1040" t="s">
        <v>2136</v>
      </c>
      <c r="B4" s="1040"/>
      <c r="C4" s="1041"/>
      <c r="D4" s="1041"/>
      <c r="E4" s="1041"/>
      <c r="F4" s="1041"/>
      <c r="G4" s="1041"/>
      <c r="I4" s="5" t="s">
        <v>1376</v>
      </c>
    </row>
    <row r="5" spans="1:9" ht="12.75">
      <c r="A5" s="1040" t="s">
        <v>1041</v>
      </c>
      <c r="B5" s="1040"/>
      <c r="C5" s="1041"/>
      <c r="D5" s="1041"/>
      <c r="E5" s="1041"/>
      <c r="F5" s="1041"/>
      <c r="G5" s="1041"/>
      <c r="I5" t="s">
        <v>124</v>
      </c>
    </row>
    <row r="6" spans="1:9" ht="13.7" customHeight="1"/>
    <row r="7" spans="1:9" ht="12.75">
      <c r="A7" s="1043" t="s">
        <v>2314</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1544</v>
      </c>
      <c r="B10" s="1029"/>
      <c r="C10" s="1029"/>
      <c r="D10" s="1029"/>
      <c r="E10" s="1029"/>
      <c r="F10" s="1029"/>
      <c r="G10" s="1029"/>
    </row>
    <row r="11" spans="1:9" ht="12.75">
      <c r="A11" s="190"/>
      <c r="B11" s="190"/>
    </row>
    <row r="12" spans="1:9" ht="13.7" customHeight="1">
      <c r="C12" s="190"/>
      <c r="D12" s="1042" t="s">
        <v>1543</v>
      </c>
      <c r="E12" s="1042"/>
      <c r="F12" s="1042"/>
      <c r="G12" s="610"/>
    </row>
    <row r="13" spans="1:9" ht="12.75">
      <c r="C13" s="190"/>
      <c r="D13" s="1042"/>
      <c r="E13" s="1042"/>
      <c r="F13" s="1042"/>
      <c r="G13" s="610"/>
    </row>
    <row r="14" spans="1:9" ht="12.75">
      <c r="A14" s="191"/>
      <c r="B14" s="191"/>
      <c r="C14" s="191"/>
      <c r="D14" s="995" t="s">
        <v>1414</v>
      </c>
      <c r="E14" s="995"/>
      <c r="F14" s="995"/>
    </row>
    <row r="15" spans="1:9" ht="12.75">
      <c r="A15" s="191"/>
      <c r="B15" s="191"/>
      <c r="C15" s="191"/>
    </row>
    <row r="16" spans="1:9" ht="14.45" customHeight="1">
      <c r="A16" s="271"/>
      <c r="B16" s="609" t="s">
        <v>79</v>
      </c>
      <c r="C16" s="191"/>
      <c r="D16" s="968" t="s">
        <v>2065</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2066</v>
      </c>
      <c r="F19" s="24"/>
      <c r="G19" s="354"/>
    </row>
    <row r="20" spans="1:7" ht="12.75">
      <c r="A20" s="191"/>
      <c r="B20" s="191"/>
      <c r="C20" s="191"/>
    </row>
    <row r="21" spans="1:7" ht="14.25">
      <c r="A21" s="271"/>
      <c r="B21" s="609" t="s">
        <v>79</v>
      </c>
      <c r="D21" s="968" t="s">
        <v>2067</v>
      </c>
      <c r="E21" s="975"/>
      <c r="F21" s="975"/>
    </row>
    <row r="22" spans="1:7" ht="12.75">
      <c r="D22" s="975"/>
      <c r="E22" s="975"/>
      <c r="F22" s="975"/>
    </row>
    <row r="23" spans="1:7" ht="12.75">
      <c r="D23" s="102"/>
      <c r="E23" s="104" t="s">
        <v>2068</v>
      </c>
      <c r="F23" s="102"/>
    </row>
    <row r="24" spans="1:7" ht="14.25">
      <c r="A24" s="271"/>
      <c r="B24" s="271"/>
      <c r="D24" s="44"/>
    </row>
    <row r="25" spans="1:7" ht="14.25">
      <c r="A25" s="271"/>
      <c r="B25" s="609" t="s">
        <v>79</v>
      </c>
      <c r="D25" s="975" t="s">
        <v>1408</v>
      </c>
      <c r="E25" s="975"/>
      <c r="F25" s="975"/>
    </row>
    <row r="26" spans="1:7" ht="14.25">
      <c r="A26" s="271"/>
      <c r="B26" s="271"/>
      <c r="D26" s="975"/>
      <c r="E26" s="975"/>
      <c r="F26" s="975"/>
    </row>
    <row r="27" spans="1:7" ht="14.25">
      <c r="A27" s="271"/>
      <c r="B27" s="271"/>
      <c r="D27" s="44"/>
    </row>
    <row r="28" spans="1:7" ht="14.25" customHeight="1">
      <c r="A28" s="271"/>
      <c r="B28" s="609" t="s">
        <v>79</v>
      </c>
      <c r="D28" s="968" t="s">
        <v>2137</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79</v>
      </c>
      <c r="D34" s="975" t="s">
        <v>2138</v>
      </c>
      <c r="E34" s="975"/>
      <c r="F34" s="975"/>
    </row>
    <row r="35" spans="1:6" ht="14.25">
      <c r="A35" s="271"/>
      <c r="B35" s="271"/>
      <c r="D35" s="975"/>
      <c r="E35" s="975"/>
      <c r="F35" s="975"/>
    </row>
    <row r="36" spans="1:6" ht="14.25">
      <c r="A36" s="271"/>
      <c r="B36" s="271"/>
      <c r="D36" s="209"/>
      <c r="E36" s="209"/>
      <c r="F36" s="209"/>
    </row>
    <row r="37" spans="1:6" ht="14.25">
      <c r="A37" s="271"/>
      <c r="B37" s="609" t="s">
        <v>79</v>
      </c>
      <c r="D37" s="968" t="s">
        <v>1754</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79</v>
      </c>
      <c r="D46" s="975" t="s">
        <v>1441</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79</v>
      </c>
      <c r="D52" s="968" t="s">
        <v>1886</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79</v>
      </c>
      <c r="D59" s="968" t="s">
        <v>1928</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79</v>
      </c>
      <c r="D64" s="975" t="s">
        <v>2139</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79</v>
      </c>
      <c r="D68" s="968" t="s">
        <v>2069</v>
      </c>
      <c r="E68" s="975"/>
      <c r="F68" s="975"/>
    </row>
    <row r="69" spans="1:6" ht="12.75">
      <c r="D69" s="975"/>
      <c r="E69" s="975"/>
      <c r="F69" s="975"/>
    </row>
    <row r="70" spans="1:6" ht="12.75">
      <c r="D70" s="975"/>
      <c r="E70" s="975"/>
      <c r="F70" s="975"/>
    </row>
    <row r="71" spans="1:6" ht="14.25">
      <c r="A71" s="271"/>
      <c r="B71" s="271"/>
      <c r="D71" s="209"/>
      <c r="E71" s="128" t="s">
        <v>2066</v>
      </c>
      <c r="F71" s="209"/>
    </row>
    <row r="72" spans="1:6" ht="14.25">
      <c r="A72" s="271"/>
      <c r="B72" s="271"/>
    </row>
    <row r="73" spans="1:6" ht="14.25">
      <c r="A73" s="271"/>
      <c r="B73" s="609" t="s">
        <v>79</v>
      </c>
      <c r="D73" s="975" t="s">
        <v>1542</v>
      </c>
      <c r="E73" s="975"/>
      <c r="F73" s="975"/>
    </row>
    <row r="74" spans="1:6" ht="12.75">
      <c r="D74" s="975"/>
      <c r="E74" s="975"/>
      <c r="F74" s="975"/>
    </row>
    <row r="75" spans="1:6" ht="12.75">
      <c r="D75" s="975"/>
      <c r="E75" s="975"/>
      <c r="F75" s="975"/>
    </row>
    <row r="76" spans="1:6" ht="12.75"/>
    <row r="77" spans="1:6" ht="14.25">
      <c r="A77" s="271" t="s">
        <v>229</v>
      </c>
      <c r="B77" s="609" t="s">
        <v>79</v>
      </c>
      <c r="D77" s="975" t="s">
        <v>1444</v>
      </c>
      <c r="E77" s="975"/>
      <c r="F77" s="975"/>
    </row>
    <row r="78" spans="1:6" ht="12.75">
      <c r="D78" s="975"/>
      <c r="E78" s="975"/>
      <c r="F78" s="975"/>
    </row>
    <row r="79" spans="1:6" ht="12.75"/>
    <row r="80" spans="1:6" ht="14.25">
      <c r="A80" s="271" t="s">
        <v>229</v>
      </c>
      <c r="B80" s="609" t="s">
        <v>79</v>
      </c>
      <c r="D80" s="975" t="s">
        <v>1445</v>
      </c>
      <c r="E80" s="975"/>
      <c r="F80" s="975"/>
    </row>
    <row r="81" spans="1:7" ht="12.75">
      <c r="D81" s="975"/>
      <c r="E81" s="975"/>
      <c r="F81" s="975"/>
    </row>
    <row r="82" spans="1:7" ht="12.75">
      <c r="D82" s="975"/>
      <c r="E82" s="975"/>
      <c r="F82" s="975"/>
    </row>
    <row r="83" spans="1:7" ht="12.75">
      <c r="D83" s="44"/>
    </row>
    <row r="84" spans="1:7" ht="14.25">
      <c r="A84" s="271" t="s">
        <v>229</v>
      </c>
      <c r="B84" s="609" t="s">
        <v>79</v>
      </c>
      <c r="D84" s="975" t="s">
        <v>1446</v>
      </c>
      <c r="E84" s="975"/>
      <c r="F84" s="975"/>
    </row>
    <row r="85" spans="1:7" ht="12.75">
      <c r="D85" s="975"/>
      <c r="E85" s="975"/>
      <c r="F85" s="975"/>
    </row>
    <row r="86" spans="1:7" ht="12.75"/>
    <row r="87" spans="1:7" ht="12.75">
      <c r="A87" s="1029" t="s">
        <v>1380</v>
      </c>
      <c r="B87" s="1029"/>
      <c r="C87" s="1029"/>
      <c r="D87" s="1029"/>
      <c r="E87" s="1029"/>
      <c r="F87" s="1029"/>
      <c r="G87" s="1029"/>
    </row>
    <row r="88" spans="1:7" ht="12.75">
      <c r="E88"/>
      <c r="F88"/>
      <c r="G88"/>
    </row>
    <row r="89" spans="1:7" ht="13.7" customHeight="1">
      <c r="C89" s="590"/>
      <c r="D89" s="1002" t="s">
        <v>1381</v>
      </c>
      <c r="E89" s="1002"/>
      <c r="F89" s="1002"/>
      <c r="G89"/>
    </row>
    <row r="90" spans="1:7" ht="13.7" customHeight="1">
      <c r="A90" s="44"/>
      <c r="B90" s="44"/>
      <c r="D90" s="975" t="s">
        <v>1545</v>
      </c>
      <c r="E90" s="975"/>
      <c r="F90" s="975"/>
      <c r="G90"/>
    </row>
    <row r="91" spans="1:7" ht="12.75">
      <c r="A91" s="44"/>
      <c r="B91" s="44"/>
      <c r="E91"/>
      <c r="F91"/>
      <c r="G91"/>
    </row>
    <row r="92" spans="1:7" ht="14.25" customHeight="1">
      <c r="A92" s="271"/>
      <c r="B92" s="609" t="s">
        <v>79</v>
      </c>
      <c r="D92" s="968" t="s">
        <v>1859</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79</v>
      </c>
      <c r="D101" s="1022" t="s">
        <v>1860</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79</v>
      </c>
      <c r="D114" s="975" t="s">
        <v>1546</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79</v>
      </c>
      <c r="D122" s="975" t="s">
        <v>1547</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79</v>
      </c>
      <c r="D128" s="975" t="s">
        <v>1548</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79</v>
      </c>
      <c r="D141" s="968" t="s">
        <v>1731</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1732</v>
      </c>
      <c r="E159" s="1024"/>
      <c r="F159" s="1024"/>
      <c r="G159"/>
    </row>
    <row r="160" spans="1:7" ht="13.9" customHeight="1">
      <c r="A160" s="18"/>
      <c r="B160" s="18"/>
      <c r="D160" s="44"/>
      <c r="G160"/>
    </row>
    <row r="161" spans="1:7" ht="13.9" customHeight="1">
      <c r="A161" s="271"/>
      <c r="B161" s="609" t="s">
        <v>79</v>
      </c>
      <c r="D161" s="1022" t="s">
        <v>2300</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79</v>
      </c>
      <c r="D167" s="1023" t="s">
        <v>1549</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79</v>
      </c>
      <c r="C172" s="370"/>
      <c r="D172" s="1026" t="s">
        <v>2140</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1383</v>
      </c>
      <c r="B176" s="1029"/>
      <c r="C176" s="1029"/>
      <c r="D176" s="1029"/>
      <c r="E176" s="1029"/>
      <c r="F176" s="1029"/>
      <c r="G176" s="1029"/>
    </row>
    <row r="177" spans="1:6" ht="12.75">
      <c r="D177" s="44"/>
    </row>
    <row r="178" spans="1:6" ht="12.75">
      <c r="C178" s="590"/>
      <c r="D178" s="1025" t="s">
        <v>1382</v>
      </c>
      <c r="E178" s="1025"/>
      <c r="F178" s="1025"/>
    </row>
    <row r="179" spans="1:6" ht="12.75">
      <c r="A179" s="190"/>
      <c r="B179" s="190"/>
      <c r="C179" s="190"/>
      <c r="D179" s="1027" t="s">
        <v>1415</v>
      </c>
      <c r="E179" s="1027"/>
      <c r="F179" s="1027"/>
    </row>
    <row r="180" spans="1:6" ht="12.75">
      <c r="A180" s="191"/>
      <c r="B180" s="191"/>
      <c r="C180" s="191"/>
    </row>
    <row r="181" spans="1:6" ht="14.25">
      <c r="A181" s="271"/>
      <c r="B181" s="609" t="s">
        <v>79</v>
      </c>
      <c r="D181" s="1028" t="s">
        <v>1734</v>
      </c>
      <c r="E181" s="1005"/>
      <c r="F181" s="1005"/>
    </row>
    <row r="182" spans="1:6" ht="14.25">
      <c r="A182" s="271"/>
      <c r="D182" s="312"/>
      <c r="E182" s="102"/>
      <c r="F182" s="102"/>
    </row>
    <row r="183" spans="1:6" ht="14.25">
      <c r="A183" s="271"/>
      <c r="B183" s="609" t="s">
        <v>79</v>
      </c>
      <c r="D183" s="1005" t="s">
        <v>1550</v>
      </c>
      <c r="E183" s="1005"/>
      <c r="F183" s="1005"/>
    </row>
    <row r="184" spans="1:6" ht="14.25">
      <c r="A184" s="271"/>
      <c r="D184" s="102"/>
      <c r="E184" s="102"/>
      <c r="F184" s="102"/>
    </row>
    <row r="185" spans="1:6" ht="14.25">
      <c r="A185" s="271"/>
      <c r="B185" s="609" t="s">
        <v>79</v>
      </c>
      <c r="D185" s="1030" t="s">
        <v>1812</v>
      </c>
      <c r="E185" s="1030"/>
      <c r="F185" s="1030"/>
    </row>
    <row r="186" spans="1:6" ht="13.7" customHeight="1">
      <c r="A186" s="271"/>
      <c r="D186" s="41" t="s">
        <v>900</v>
      </c>
      <c r="E186" s="968" t="s">
        <v>2135</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901</v>
      </c>
      <c r="E190" s="968" t="s">
        <v>1813</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79</v>
      </c>
      <c r="D198" s="968" t="s">
        <v>2304</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2306</v>
      </c>
      <c r="E202" s="1024"/>
      <c r="F202" s="1024"/>
    </row>
    <row r="203" spans="1:7" ht="12.75">
      <c r="D203" s="625"/>
      <c r="E203" s="625"/>
      <c r="F203" s="625"/>
    </row>
    <row r="204" spans="1:7" ht="14.25">
      <c r="A204" s="271"/>
      <c r="B204" s="609" t="s">
        <v>79</v>
      </c>
      <c r="D204" s="997" t="s">
        <v>2307</v>
      </c>
      <c r="E204" s="995"/>
      <c r="F204" s="995"/>
    </row>
    <row r="205" spans="1:7" ht="12.75"/>
    <row r="206" spans="1:7" ht="12.75">
      <c r="A206" s="1029" t="s">
        <v>1385</v>
      </c>
      <c r="B206" s="1029"/>
      <c r="C206" s="1029"/>
      <c r="D206" s="1029"/>
      <c r="E206" s="1029"/>
      <c r="F206" s="1029"/>
      <c r="G206" s="1029"/>
    </row>
    <row r="207" spans="1:7" ht="12.75"/>
    <row r="208" spans="1:7" ht="12.75">
      <c r="C208" s="591"/>
      <c r="D208" s="1025" t="s">
        <v>1384</v>
      </c>
      <c r="E208" s="1025"/>
      <c r="F208" s="1025"/>
    </row>
    <row r="209" spans="1:6" ht="12.75">
      <c r="A209" s="592"/>
      <c r="B209" s="592"/>
      <c r="C209" s="591"/>
      <c r="D209" s="1025" t="s">
        <v>697</v>
      </c>
      <c r="E209" s="1025"/>
      <c r="F209" s="1025"/>
    </row>
    <row r="210" spans="1:6" ht="12.75">
      <c r="A210" s="190"/>
      <c r="B210" s="190"/>
      <c r="C210" s="190"/>
      <c r="D210" s="1005" t="s">
        <v>1416</v>
      </c>
      <c r="E210" s="1005"/>
      <c r="F210" s="1005"/>
    </row>
    <row r="211" spans="1:6" ht="12.75">
      <c r="A211" s="190"/>
      <c r="B211" s="190"/>
      <c r="C211" s="190"/>
    </row>
    <row r="212" spans="1:6" ht="12.75">
      <c r="A212" s="190"/>
      <c r="B212" s="190"/>
      <c r="C212" s="190"/>
      <c r="D212" s="975" t="s">
        <v>1426</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2141</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79</v>
      </c>
      <c r="C224" s="191"/>
      <c r="D224" s="995" t="s">
        <v>292</v>
      </c>
      <c r="E224" s="995"/>
      <c r="F224" s="995"/>
    </row>
    <row r="225" spans="1:6" ht="14.25">
      <c r="A225" s="271"/>
      <c r="C225" s="191"/>
      <c r="D225" s="1005" t="s">
        <v>1111</v>
      </c>
      <c r="E225" s="1005"/>
      <c r="F225" s="1005"/>
    </row>
    <row r="226" spans="1:6" ht="14.25">
      <c r="A226" s="271"/>
      <c r="B226" s="271"/>
      <c r="C226" s="191"/>
      <c r="D226" s="104" t="s">
        <v>1430</v>
      </c>
      <c r="E226" s="1035" t="s">
        <v>2070</v>
      </c>
      <c r="F226" s="1035"/>
    </row>
    <row r="227" spans="1:6" ht="12.75">
      <c r="D227" s="1028" t="s">
        <v>1409</v>
      </c>
      <c r="E227" s="1005"/>
      <c r="F227" s="1005"/>
    </row>
    <row r="228" spans="1:6" ht="12.75"/>
    <row r="229" spans="1:6" ht="14.25">
      <c r="A229" s="271"/>
      <c r="B229" s="609" t="s">
        <v>79</v>
      </c>
      <c r="D229" s="1005" t="s">
        <v>293</v>
      </c>
      <c r="E229" s="1005"/>
      <c r="F229" s="1005"/>
    </row>
    <row r="230" spans="1:6" ht="14.25">
      <c r="A230" s="271"/>
      <c r="D230" s="995" t="s">
        <v>1111</v>
      </c>
      <c r="E230" s="995"/>
      <c r="F230" s="995"/>
    </row>
    <row r="231" spans="1:6" ht="14.25">
      <c r="A231" s="271"/>
      <c r="B231" s="271"/>
      <c r="D231" s="63" t="s">
        <v>1431</v>
      </c>
      <c r="E231" s="1035" t="s">
        <v>2071</v>
      </c>
      <c r="F231" s="1035"/>
    </row>
    <row r="232" spans="1:6" ht="12.75">
      <c r="D232" s="1005" t="s">
        <v>1410</v>
      </c>
      <c r="E232" s="1005"/>
      <c r="F232" s="1005"/>
    </row>
    <row r="233" spans="1:6" ht="12.75"/>
    <row r="234" spans="1:6" ht="14.25">
      <c r="A234" s="271"/>
      <c r="B234" s="609" t="s">
        <v>79</v>
      </c>
      <c r="D234" s="1005" t="s">
        <v>641</v>
      </c>
      <c r="E234" s="1005"/>
      <c r="F234" s="1005"/>
    </row>
    <row r="235" spans="1:6" ht="14.25">
      <c r="A235" s="271"/>
      <c r="D235" s="44" t="s">
        <v>1111</v>
      </c>
    </row>
    <row r="236" spans="1:6" ht="14.25">
      <c r="A236" s="271"/>
      <c r="B236" s="271"/>
      <c r="D236" s="63" t="s">
        <v>1430</v>
      </c>
      <c r="E236" s="1035" t="s">
        <v>2072</v>
      </c>
      <c r="F236" s="1035"/>
    </row>
    <row r="237" spans="1:6" ht="14.25">
      <c r="A237" s="271"/>
      <c r="B237" s="271"/>
      <c r="D237" s="975" t="s">
        <v>1433</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1411</v>
      </c>
      <c r="E242" s="975"/>
      <c r="F242" s="975"/>
    </row>
    <row r="243" spans="1:6" ht="12.75">
      <c r="D243" s="44"/>
    </row>
    <row r="244" spans="1:6" ht="14.25">
      <c r="A244" s="271"/>
      <c r="B244" s="609" t="s">
        <v>79</v>
      </c>
      <c r="D244" s="1005" t="s">
        <v>642</v>
      </c>
      <c r="E244" s="1005"/>
      <c r="F244" s="1005"/>
    </row>
    <row r="245" spans="1:6" ht="14.25">
      <c r="A245" s="271"/>
      <c r="D245" s="1005" t="s">
        <v>1111</v>
      </c>
      <c r="E245" s="1005"/>
      <c r="F245" s="1005"/>
    </row>
    <row r="246" spans="1:6" ht="14.25">
      <c r="A246" s="271"/>
      <c r="B246" s="271"/>
      <c r="D246" s="63" t="s">
        <v>1430</v>
      </c>
      <c r="E246" s="1035" t="s">
        <v>2073</v>
      </c>
      <c r="F246" s="1035"/>
    </row>
    <row r="247" spans="1:6" ht="12.75">
      <c r="D247" s="1028" t="s">
        <v>1932</v>
      </c>
      <c r="E247" s="1005"/>
      <c r="F247" s="1005"/>
    </row>
    <row r="248" spans="1:6" ht="12.75">
      <c r="D248" s="102"/>
      <c r="E248" s="102"/>
      <c r="F248" s="102"/>
    </row>
    <row r="249" spans="1:6" ht="14.25">
      <c r="A249" s="271"/>
      <c r="B249" s="609" t="s">
        <v>79</v>
      </c>
      <c r="D249" s="1028" t="s">
        <v>1931</v>
      </c>
      <c r="E249" s="1005"/>
      <c r="F249" s="1005"/>
    </row>
    <row r="250" spans="1:6" ht="14.25">
      <c r="A250" s="271"/>
      <c r="D250" s="1005" t="s">
        <v>1111</v>
      </c>
      <c r="E250" s="1005"/>
      <c r="F250" s="1005"/>
    </row>
    <row r="251" spans="1:6" ht="14.25">
      <c r="A251" s="271"/>
      <c r="B251" s="271"/>
      <c r="D251" s="63" t="s">
        <v>1430</v>
      </c>
      <c r="E251" s="1035" t="s">
        <v>2074</v>
      </c>
      <c r="F251" s="1035"/>
    </row>
    <row r="252" spans="1:6" ht="12.75">
      <c r="D252" s="1028" t="s">
        <v>1933</v>
      </c>
      <c r="E252" s="1005"/>
      <c r="F252" s="1005"/>
    </row>
    <row r="253" spans="1:6" ht="12.75">
      <c r="D253" s="44"/>
    </row>
    <row r="254" spans="1:6" ht="14.25">
      <c r="A254" s="271"/>
      <c r="B254" s="609" t="s">
        <v>79</v>
      </c>
      <c r="D254" s="102" t="s">
        <v>1453</v>
      </c>
      <c r="E254" s="102"/>
      <c r="F254" s="102"/>
    </row>
    <row r="255" spans="1:6" ht="14.25">
      <c r="A255" s="271"/>
      <c r="B255"/>
      <c r="D255" s="968" t="s">
        <v>1755</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79</v>
      </c>
      <c r="D259" s="1005" t="s">
        <v>1022</v>
      </c>
      <c r="E259" s="1005"/>
      <c r="F259" s="1005"/>
    </row>
    <row r="260" spans="1:7" ht="14.25">
      <c r="A260" s="271"/>
      <c r="D260" s="102"/>
      <c r="E260" s="102"/>
      <c r="F260" s="102"/>
    </row>
    <row r="261" spans="1:7" ht="12.75">
      <c r="A261" s="1029" t="s">
        <v>1387</v>
      </c>
      <c r="B261" s="1029"/>
      <c r="C261" s="1029"/>
      <c r="D261" s="1029"/>
      <c r="E261" s="1029"/>
      <c r="F261" s="1029"/>
      <c r="G261" s="1029"/>
    </row>
    <row r="262" spans="1:7" ht="12.75">
      <c r="D262" s="44"/>
    </row>
    <row r="263" spans="1:7" ht="12.75">
      <c r="C263" s="590"/>
      <c r="D263" s="996" t="s">
        <v>1386</v>
      </c>
      <c r="E263" s="996"/>
      <c r="F263" s="996"/>
    </row>
    <row r="264" spans="1:7" ht="12.75">
      <c r="A264" s="190"/>
      <c r="B264" s="190"/>
      <c r="C264" s="190"/>
      <c r="D264" s="995" t="s">
        <v>1417</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79</v>
      </c>
      <c r="C267" s="880"/>
      <c r="D267" s="1016" t="s">
        <v>2010</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79</v>
      </c>
      <c r="C272" s="880"/>
      <c r="D272" s="1016" t="s">
        <v>2011</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1559</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79</v>
      </c>
      <c r="C284" s="798"/>
      <c r="D284" s="1018" t="s">
        <v>1926</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79</v>
      </c>
      <c r="D289" s="995" t="s">
        <v>1112</v>
      </c>
      <c r="E289" s="995"/>
      <c r="F289" s="995"/>
      <c r="G289"/>
    </row>
    <row r="290" spans="1:7" ht="14.25">
      <c r="A290" s="271"/>
      <c r="B290" s="271"/>
      <c r="D290" s="995" t="s">
        <v>1560</v>
      </c>
      <c r="E290" s="995"/>
      <c r="F290" s="995"/>
      <c r="G290"/>
    </row>
    <row r="291" spans="1:7" ht="14.25">
      <c r="A291" s="271"/>
      <c r="B291" s="271"/>
      <c r="D291" s="3" t="s">
        <v>1042</v>
      </c>
      <c r="E291" s="927" t="s">
        <v>2076</v>
      </c>
      <c r="F291" s="3"/>
    </row>
    <row r="292" spans="1:7" ht="12.75">
      <c r="D292" s="28"/>
    </row>
    <row r="293" spans="1:7" ht="14.25">
      <c r="A293" s="271"/>
      <c r="B293" s="609" t="s">
        <v>79</v>
      </c>
      <c r="D293" s="975" t="s">
        <v>1561</v>
      </c>
      <c r="E293" s="975"/>
      <c r="F293" s="975"/>
    </row>
    <row r="294" spans="1:7" ht="14.25">
      <c r="A294" s="271"/>
      <c r="B294" s="271"/>
      <c r="D294" s="975"/>
      <c r="E294" s="975"/>
      <c r="F294" s="975"/>
    </row>
    <row r="295" spans="1:7" ht="12.75">
      <c r="D295" s="28"/>
    </row>
    <row r="296" spans="1:7" ht="12.75">
      <c r="A296" s="1029" t="s">
        <v>1389</v>
      </c>
      <c r="B296" s="1029"/>
      <c r="C296" s="1029"/>
      <c r="D296" s="1029"/>
      <c r="E296" s="1029"/>
      <c r="F296" s="1029"/>
      <c r="G296" s="1029"/>
    </row>
    <row r="297" spans="1:7" ht="12.75">
      <c r="D297" s="28"/>
    </row>
    <row r="298" spans="1:7" ht="12.75">
      <c r="C298" s="590"/>
      <c r="D298" s="996" t="s">
        <v>1388</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79</v>
      </c>
      <c r="D301" s="968" t="s">
        <v>1883</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79</v>
      </c>
      <c r="C305" s="798"/>
      <c r="D305" s="1018" t="s">
        <v>1927</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2077</v>
      </c>
      <c r="F308" s="373"/>
      <c r="G308" s="799"/>
    </row>
    <row r="309" spans="1:7" ht="12.75">
      <c r="D309" s="212"/>
    </row>
    <row r="310" spans="1:7" ht="12.75">
      <c r="A310" s="1029" t="s">
        <v>1390</v>
      </c>
      <c r="B310" s="1029"/>
      <c r="C310" s="1029"/>
      <c r="D310" s="1029"/>
      <c r="E310" s="1029"/>
      <c r="F310" s="1029"/>
      <c r="G310" s="1029"/>
    </row>
    <row r="311" spans="1:7" ht="12.75">
      <c r="D311" s="212"/>
    </row>
    <row r="312" spans="1:7" ht="12.75">
      <c r="C312" s="190"/>
      <c r="D312" s="1002" t="s">
        <v>1562</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1563</v>
      </c>
      <c r="E316" s="1020"/>
      <c r="F316" s="1020"/>
    </row>
    <row r="317" spans="1:7" ht="12" customHeight="1"/>
    <row r="318" spans="1:7" ht="14.45" customHeight="1">
      <c r="A318" s="271"/>
      <c r="B318" s="609" t="s">
        <v>79</v>
      </c>
      <c r="D318" s="975" t="s">
        <v>1564</v>
      </c>
      <c r="E318" s="975"/>
      <c r="F318" s="975"/>
    </row>
    <row r="319" spans="1:7" ht="14.25">
      <c r="A319" s="271"/>
      <c r="B319" s="271"/>
      <c r="D319" s="975"/>
      <c r="E319" s="975"/>
      <c r="F319" s="975"/>
    </row>
    <row r="320" spans="1:7" ht="12.75"/>
    <row r="321" spans="1:7" ht="14.45" customHeight="1">
      <c r="A321" s="271"/>
      <c r="B321" s="609" t="s">
        <v>79</v>
      </c>
      <c r="D321" s="975" t="s">
        <v>1565</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79</v>
      </c>
      <c r="D325" s="975" t="s">
        <v>1566</v>
      </c>
      <c r="E325" s="975"/>
      <c r="F325" s="975"/>
    </row>
    <row r="326" spans="1:7" ht="14.25">
      <c r="A326" s="271"/>
      <c r="B326" s="271"/>
      <c r="D326" s="975"/>
      <c r="E326" s="975"/>
      <c r="F326" s="975"/>
    </row>
    <row r="327" spans="1:7" ht="12.75">
      <c r="A327" s="18"/>
      <c r="B327" s="18"/>
      <c r="D327" s="44"/>
    </row>
    <row r="328" spans="1:7" ht="12.75">
      <c r="A328" s="1029" t="s">
        <v>1377</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1418</v>
      </c>
      <c r="E331" s="995"/>
      <c r="F331" s="995"/>
      <c r="G331"/>
    </row>
    <row r="332" spans="1:7" ht="12.75">
      <c r="C332" s="18"/>
      <c r="D332" s="182"/>
      <c r="G332"/>
    </row>
    <row r="333" spans="1:7" ht="12.75">
      <c r="B333" s="609" t="s">
        <v>79</v>
      </c>
      <c r="D333" s="995" t="s">
        <v>1567</v>
      </c>
      <c r="E333" s="995"/>
      <c r="F333" s="995"/>
      <c r="G333"/>
    </row>
    <row r="334" spans="1:7" ht="14.25">
      <c r="A334" s="271"/>
      <c r="B334" s="271"/>
      <c r="D334" s="420"/>
      <c r="G334"/>
    </row>
    <row r="335" spans="1:7" ht="14.25">
      <c r="A335" s="271"/>
      <c r="B335" s="609" t="s">
        <v>79</v>
      </c>
      <c r="D335" s="995" t="s">
        <v>1568</v>
      </c>
      <c r="E335" s="995"/>
      <c r="F335" s="995"/>
      <c r="G335"/>
    </row>
    <row r="336" spans="1:7" ht="12.75">
      <c r="G336"/>
    </row>
    <row r="337" spans="1:7" ht="14.45" customHeight="1">
      <c r="A337" s="271"/>
      <c r="B337" s="609" t="s">
        <v>79</v>
      </c>
      <c r="D337" s="975" t="s">
        <v>1574</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79</v>
      </c>
      <c r="D353" s="975" t="s">
        <v>1569</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79</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44" t="s">
        <v>1266</v>
      </c>
      <c r="E370" s="1044"/>
      <c r="F370" s="1044"/>
    </row>
    <row r="371" spans="1:6" ht="13.5" thickTop="1">
      <c r="D371" s="1045" t="s">
        <v>1570</v>
      </c>
      <c r="E371" s="1045"/>
      <c r="F371" s="1045"/>
    </row>
    <row r="372" spans="1:6" ht="12.75">
      <c r="D372" s="44"/>
    </row>
    <row r="373" spans="1:6" ht="14.25">
      <c r="A373" s="271"/>
      <c r="B373" s="609" t="s">
        <v>79</v>
      </c>
      <c r="C373" s="361"/>
      <c r="D373" s="1012" t="s">
        <v>2142</v>
      </c>
      <c r="E373" s="1012"/>
      <c r="F373" s="1012"/>
    </row>
    <row r="374" spans="1:6" ht="14.25">
      <c r="A374" s="271"/>
      <c r="B374" s="271"/>
      <c r="C374" s="361"/>
      <c r="D374" s="420"/>
    </row>
    <row r="375" spans="1:6" ht="14.25">
      <c r="A375" s="271"/>
      <c r="B375" s="609" t="s">
        <v>79</v>
      </c>
      <c r="C375" s="361"/>
      <c r="D375" s="982" t="s">
        <v>2143</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79</v>
      </c>
      <c r="C386" s="361"/>
      <c r="D386" s="1032" t="s">
        <v>1571</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1572</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1575</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79</v>
      </c>
      <c r="C419" s="361"/>
      <c r="D419" s="1032" t="s">
        <v>1573</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79</v>
      </c>
      <c r="C422" s="361"/>
      <c r="D422" s="1022" t="s">
        <v>1880</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79</v>
      </c>
      <c r="C428" s="361"/>
      <c r="D428" s="1022" t="s">
        <v>1861</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1876</v>
      </c>
      <c r="E432" s="1051"/>
      <c r="F432" s="1051"/>
    </row>
    <row r="433" spans="1:6" ht="12.75">
      <c r="D433" s="44"/>
    </row>
    <row r="434" spans="1:6" ht="14.45" customHeight="1">
      <c r="A434" s="271"/>
      <c r="B434" s="609" t="s">
        <v>79</v>
      </c>
      <c r="C434" s="207"/>
      <c r="D434" s="975" t="s">
        <v>2144</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79</v>
      </c>
      <c r="C466" s="207"/>
      <c r="D466" s="997" t="s">
        <v>2081</v>
      </c>
      <c r="E466" s="995"/>
      <c r="F466" s="995"/>
    </row>
    <row r="467" spans="1:6" ht="12.75">
      <c r="D467"/>
      <c r="E467" s="928" t="s">
        <v>2080</v>
      </c>
      <c r="F467" s="928"/>
    </row>
    <row r="468" spans="1:6" ht="13.7" customHeight="1">
      <c r="D468" s="968" t="s">
        <v>1858</v>
      </c>
      <c r="E468" s="975"/>
      <c r="F468" s="975"/>
    </row>
    <row r="469" spans="1:6" ht="13.7" customHeight="1">
      <c r="D469" s="975"/>
      <c r="E469" s="975"/>
      <c r="F469" s="975"/>
    </row>
    <row r="470" spans="1:6" ht="12.75">
      <c r="D470" s="44"/>
    </row>
    <row r="471" spans="1:6" ht="14.45" customHeight="1">
      <c r="A471" s="271"/>
      <c r="B471" s="609" t="s">
        <v>79</v>
      </c>
      <c r="C471" s="207"/>
      <c r="D471" s="975" t="s">
        <v>1576</v>
      </c>
      <c r="E471" s="975"/>
      <c r="F471" s="975"/>
    </row>
    <row r="472" spans="1:6" ht="12.75">
      <c r="D472" s="975"/>
      <c r="E472" s="975"/>
      <c r="F472" s="975"/>
    </row>
    <row r="473" spans="1:6" ht="12.75">
      <c r="D473" s="975"/>
      <c r="E473" s="975"/>
      <c r="F473" s="975"/>
    </row>
    <row r="474" spans="1:6" ht="12.75">
      <c r="D474" s="24"/>
      <c r="E474" s="24"/>
      <c r="F474" s="24"/>
    </row>
    <row r="475" spans="1:6" ht="14.25">
      <c r="B475" s="609" t="s">
        <v>79</v>
      </c>
      <c r="C475" s="271"/>
      <c r="D475" s="968" t="s">
        <v>1719</v>
      </c>
      <c r="E475" s="975"/>
      <c r="F475" s="975"/>
    </row>
    <row r="476" spans="1:6" ht="12.75">
      <c r="D476" s="975"/>
      <c r="E476" s="975"/>
      <c r="F476" s="975"/>
    </row>
    <row r="477" spans="1:6" ht="12.75">
      <c r="D477" s="44"/>
      <c r="E477" s="44"/>
    </row>
    <row r="478" spans="1:6" ht="14.25">
      <c r="B478" s="609" t="s">
        <v>79</v>
      </c>
      <c r="C478" s="271"/>
      <c r="D478" s="975" t="s">
        <v>1577</v>
      </c>
      <c r="E478" s="975"/>
      <c r="F478" s="975"/>
    </row>
    <row r="479" spans="1:6" ht="12.75">
      <c r="D479" s="975"/>
      <c r="E479" s="975"/>
      <c r="F479" s="975"/>
    </row>
    <row r="480" spans="1:6" ht="12.75">
      <c r="D480" s="975"/>
      <c r="E480" s="975"/>
      <c r="F480" s="975"/>
    </row>
    <row r="481" spans="2:6" ht="12.75">
      <c r="D481" s="975"/>
      <c r="E481" s="975"/>
      <c r="F481" s="975"/>
    </row>
    <row r="482" spans="2:6" ht="12.75">
      <c r="B482" s="609" t="s">
        <v>79</v>
      </c>
      <c r="D482" s="975"/>
      <c r="E482" s="975"/>
      <c r="F482" s="975"/>
    </row>
    <row r="483" spans="2:6" ht="12.75">
      <c r="D483" s="975"/>
      <c r="E483" s="975"/>
      <c r="F483" s="975"/>
    </row>
    <row r="484" spans="2:6" ht="12.75">
      <c r="D484" s="975"/>
      <c r="E484" s="975"/>
      <c r="F484" s="975"/>
    </row>
    <row r="485" spans="2:6" ht="12.75">
      <c r="B485" s="609" t="s">
        <v>79</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79</v>
      </c>
      <c r="D489" s="975"/>
      <c r="E489" s="975"/>
      <c r="F489" s="975"/>
    </row>
    <row r="490" spans="2:6" ht="12.75">
      <c r="D490" s="975"/>
      <c r="E490" s="975"/>
      <c r="F490" s="975"/>
    </row>
    <row r="491" spans="2:6" ht="12.75">
      <c r="B491" s="609" t="s">
        <v>79</v>
      </c>
      <c r="D491" s="975"/>
      <c r="E491" s="975"/>
      <c r="F491" s="975"/>
    </row>
    <row r="492" spans="2:6" ht="12.75">
      <c r="D492" s="975"/>
      <c r="E492" s="975"/>
      <c r="F492" s="975"/>
    </row>
    <row r="493" spans="2:6" ht="13.7" customHeight="1">
      <c r="B493" s="609" t="s">
        <v>79</v>
      </c>
      <c r="D493" s="975" t="s">
        <v>1578</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79</v>
      </c>
      <c r="D499" s="995" t="s">
        <v>1419</v>
      </c>
      <c r="E499" s="995"/>
      <c r="F499" s="995"/>
    </row>
    <row r="500" spans="1:7" ht="12.75">
      <c r="A500" s="44"/>
      <c r="B500" s="44"/>
    </row>
    <row r="501" spans="1:7" ht="12.75">
      <c r="A501" s="1029" t="s">
        <v>1378</v>
      </c>
      <c r="B501" s="1029"/>
      <c r="C501" s="1029"/>
      <c r="D501" s="1029"/>
      <c r="E501" s="1029"/>
      <c r="F501" s="1029"/>
      <c r="G501" s="1029"/>
    </row>
    <row r="502" spans="1:7" ht="12.75">
      <c r="A502" s="44"/>
      <c r="B502" s="44"/>
    </row>
    <row r="503" spans="1:7" ht="12.75">
      <c r="D503" s="1046" t="s">
        <v>1118</v>
      </c>
      <c r="E503" s="1046"/>
      <c r="F503" s="1046"/>
    </row>
    <row r="504" spans="1:7" ht="12.75">
      <c r="D504" s="1012" t="s">
        <v>1412</v>
      </c>
      <c r="E504" s="1012"/>
      <c r="F504" s="1012"/>
    </row>
    <row r="505" spans="1:7" ht="14.25">
      <c r="A505" s="271"/>
      <c r="B505" s="271"/>
      <c r="D505" s="420"/>
    </row>
    <row r="506" spans="1:7" ht="14.25">
      <c r="A506" s="271"/>
      <c r="B506" s="609" t="s">
        <v>79</v>
      </c>
      <c r="D506" s="1032" t="s">
        <v>1579</v>
      </c>
      <c r="E506" s="1032"/>
      <c r="F506" s="1032"/>
    </row>
    <row r="507" spans="1:7" ht="14.25">
      <c r="A507" s="271"/>
      <c r="B507" s="271"/>
      <c r="D507" s="1032"/>
      <c r="E507" s="1032"/>
      <c r="F507" s="1032"/>
    </row>
    <row r="508" spans="1:7" ht="14.25">
      <c r="A508" s="271"/>
      <c r="B508" s="271"/>
      <c r="D508" s="44"/>
    </row>
    <row r="509" spans="1:7" ht="14.25">
      <c r="A509" s="271"/>
      <c r="B509" s="609" t="s">
        <v>79</v>
      </c>
      <c r="D509" s="1047" t="s">
        <v>1877</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79</v>
      </c>
      <c r="D514" s="995" t="s">
        <v>1581</v>
      </c>
      <c r="E514" s="995"/>
      <c r="F514" s="995"/>
      <c r="G514"/>
    </row>
    <row r="515" spans="1:7" ht="12.75">
      <c r="D515" s="44"/>
      <c r="G515"/>
    </row>
    <row r="516" spans="1:7" ht="14.25">
      <c r="A516" s="271"/>
      <c r="B516" s="609" t="s">
        <v>79</v>
      </c>
      <c r="D516" s="975" t="s">
        <v>1582</v>
      </c>
      <c r="E516" s="975"/>
      <c r="F516" s="975"/>
      <c r="G516"/>
    </row>
    <row r="517" spans="1:7" ht="12.75">
      <c r="D517" s="975"/>
      <c r="E517" s="975"/>
      <c r="F517" s="975"/>
      <c r="G517"/>
    </row>
    <row r="518" spans="1:7" ht="12.75">
      <c r="D518" s="420"/>
      <c r="G518"/>
    </row>
    <row r="519" spans="1:7" ht="14.25">
      <c r="A519" s="271"/>
      <c r="B519" s="609" t="s">
        <v>79</v>
      </c>
      <c r="D519" s="995" t="s">
        <v>1580</v>
      </c>
      <c r="E519" s="995"/>
      <c r="F519" s="995"/>
    </row>
    <row r="520" spans="1:7" ht="14.25">
      <c r="A520" s="271"/>
      <c r="B520" s="271"/>
      <c r="D520" s="44"/>
    </row>
    <row r="521" spans="1:7" ht="12.75">
      <c r="A521" s="1029" t="s">
        <v>1379</v>
      </c>
      <c r="B521" s="1029"/>
      <c r="C521" s="1029"/>
      <c r="D521" s="1029"/>
      <c r="E521" s="1029"/>
      <c r="F521" s="1029"/>
      <c r="G521" s="1029"/>
    </row>
    <row r="522" spans="1:7" ht="12" customHeight="1">
      <c r="A522" s="271"/>
      <c r="B522" s="271"/>
      <c r="D522" s="44"/>
    </row>
    <row r="523" spans="1:7" ht="12.75">
      <c r="B523" s="609" t="s">
        <v>79</v>
      </c>
      <c r="C523" s="190"/>
      <c r="D523" s="1003" t="s">
        <v>1525</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79</v>
      </c>
      <c r="C528" s="207"/>
      <c r="D528" s="975" t="s">
        <v>2145</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79</v>
      </c>
      <c r="C531" s="191"/>
      <c r="D531" s="929" t="s">
        <v>2082</v>
      </c>
      <c r="E531" s="930"/>
      <c r="G531"/>
    </row>
    <row r="532" spans="1:7" ht="12.75">
      <c r="A532" s="191"/>
      <c r="B532" s="191"/>
      <c r="C532" s="191"/>
      <c r="D532" s="930"/>
      <c r="E532" s="104" t="s">
        <v>2083</v>
      </c>
      <c r="G532"/>
    </row>
    <row r="533" spans="1:7" ht="14.25">
      <c r="A533" s="271"/>
      <c r="B533"/>
      <c r="D533" s="1032" t="s">
        <v>2146</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1391</v>
      </c>
      <c r="B537" s="1029"/>
      <c r="C537" s="1029"/>
      <c r="D537" s="1029"/>
      <c r="E537" s="1029"/>
      <c r="F537" s="1029"/>
      <c r="G537" s="1029"/>
    </row>
    <row r="538" spans="1:7" ht="12" customHeight="1">
      <c r="A538" s="44"/>
      <c r="B538" s="44"/>
      <c r="C538" s="207"/>
      <c r="E538" s="44"/>
    </row>
    <row r="539" spans="1:7" ht="12.75">
      <c r="C539" s="207"/>
      <c r="D539" s="996" t="s">
        <v>1420</v>
      </c>
      <c r="E539" s="996"/>
      <c r="F539" s="996"/>
    </row>
    <row r="540" spans="1:7" ht="12.75"/>
    <row r="541" spans="1:7" ht="12.75">
      <c r="B541" s="609" t="s">
        <v>79</v>
      </c>
      <c r="D541" s="975" t="s">
        <v>1551</v>
      </c>
      <c r="E541" s="975"/>
      <c r="F541" s="975"/>
    </row>
    <row r="542" spans="1:7" ht="12.75">
      <c r="D542" s="975"/>
      <c r="E542" s="975"/>
      <c r="F542" s="975"/>
    </row>
    <row r="543" spans="1:7" ht="12" customHeight="1">
      <c r="A543" s="207"/>
      <c r="B543" s="207"/>
      <c r="C543" s="207"/>
      <c r="D543" s="44"/>
    </row>
    <row r="544" spans="1:7" ht="14.25">
      <c r="A544" s="271"/>
      <c r="B544" s="609" t="s">
        <v>79</v>
      </c>
      <c r="C544" s="207"/>
      <c r="D544" s="975" t="s">
        <v>1552</v>
      </c>
      <c r="E544" s="975"/>
      <c r="F544" s="975"/>
    </row>
    <row r="545" spans="1:7" ht="12.75">
      <c r="A545" s="207"/>
      <c r="B545" s="207"/>
      <c r="C545" s="207"/>
      <c r="D545" s="975"/>
      <c r="E545" s="975"/>
      <c r="F545" s="975"/>
    </row>
    <row r="546" spans="1:7" ht="12" customHeight="1">
      <c r="A546" s="207"/>
      <c r="B546" s="207"/>
      <c r="C546" s="207"/>
      <c r="D546" s="44"/>
    </row>
    <row r="547" spans="1:7" ht="12.75">
      <c r="A547" s="1007" t="s">
        <v>1427</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1534</v>
      </c>
      <c r="E550" s="995"/>
      <c r="F550" s="995"/>
    </row>
    <row r="551" spans="1:7" ht="12.75">
      <c r="C551" s="207"/>
      <c r="D551" s="44"/>
      <c r="E551" s="44"/>
      <c r="F551" s="44"/>
    </row>
    <row r="552" spans="1:7" ht="14.25">
      <c r="A552" s="271"/>
      <c r="B552" s="609" t="s">
        <v>79</v>
      </c>
      <c r="C552" s="207"/>
      <c r="D552" s="995" t="s">
        <v>1113</v>
      </c>
      <c r="E552" s="995"/>
      <c r="F552" s="995"/>
    </row>
    <row r="553" spans="1:7" ht="12" customHeight="1">
      <c r="A553" s="207"/>
      <c r="B553" s="207"/>
      <c r="C553" s="207"/>
      <c r="D553" s="44"/>
      <c r="E553"/>
      <c r="F553"/>
      <c r="G553"/>
    </row>
    <row r="554" spans="1:7" ht="14.45" customHeight="1">
      <c r="A554" s="271"/>
      <c r="B554" s="609" t="s">
        <v>79</v>
      </c>
      <c r="C554" s="207"/>
      <c r="D554" s="975" t="s">
        <v>1533</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79</v>
      </c>
      <c r="C557" s="207"/>
      <c r="D557" s="975" t="s">
        <v>1535</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79</v>
      </c>
      <c r="C560" s="207"/>
      <c r="D560" s="975" t="s">
        <v>1536</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79</v>
      </c>
      <c r="C563" s="207"/>
      <c r="D563" s="975" t="s">
        <v>1537</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79</v>
      </c>
      <c r="C567" s="207"/>
      <c r="D567" s="968" t="s">
        <v>1631</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79</v>
      </c>
      <c r="C570" s="207"/>
      <c r="D570" s="975" t="s">
        <v>1538</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79</v>
      </c>
      <c r="C573" s="207"/>
      <c r="D573" s="995" t="s">
        <v>1539</v>
      </c>
      <c r="E573" s="995"/>
      <c r="F573" s="995"/>
      <c r="G573"/>
    </row>
    <row r="574" spans="1:7" ht="14.25">
      <c r="A574" s="271"/>
      <c r="B574" s="271"/>
      <c r="C574" s="207"/>
      <c r="D574" s="1036" t="s">
        <v>2084</v>
      </c>
      <c r="E574" s="1036"/>
      <c r="F574" s="1036"/>
      <c r="G574"/>
    </row>
    <row r="575" spans="1:7" ht="12.75">
      <c r="A575" s="18"/>
      <c r="B575" s="18"/>
      <c r="C575" s="207"/>
      <c r="D575" s="931"/>
      <c r="E575" s="104" t="s">
        <v>2085</v>
      </c>
      <c r="F575" s="932"/>
      <c r="G575"/>
    </row>
    <row r="576" spans="1:7" ht="15" customHeight="1">
      <c r="A576" s="18"/>
      <c r="B576" s="18"/>
      <c r="C576" s="207"/>
      <c r="D576" s="968" t="s">
        <v>1753</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79</v>
      </c>
      <c r="C586" s="207"/>
      <c r="D586" s="995" t="s">
        <v>1540</v>
      </c>
      <c r="E586" s="995"/>
      <c r="F586" s="995"/>
      <c r="G586"/>
    </row>
    <row r="587" spans="1:7" ht="13.7" customHeight="1">
      <c r="C587" s="207"/>
      <c r="D587" s="975" t="s">
        <v>1541</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79</v>
      </c>
      <c r="C591" s="207"/>
      <c r="D591" s="975" t="s">
        <v>2147</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79</v>
      </c>
      <c r="C596" s="191"/>
      <c r="D596" s="1028" t="s">
        <v>1815</v>
      </c>
      <c r="E596" s="1005"/>
      <c r="F596" s="1005"/>
    </row>
    <row r="597" spans="1:7" ht="12.75">
      <c r="A597" s="191"/>
      <c r="B597" s="191"/>
      <c r="C597" s="191"/>
    </row>
    <row r="598" spans="1:7" ht="12.75">
      <c r="A598" s="207"/>
      <c r="B598" s="207"/>
      <c r="C598" s="207"/>
      <c r="D598" s="24"/>
      <c r="E598" s="24"/>
      <c r="F598" s="24"/>
    </row>
    <row r="599" spans="1:7" ht="12.75">
      <c r="A599" s="1029" t="s">
        <v>1393</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1442</v>
      </c>
      <c r="E602" s="998"/>
      <c r="F602" s="998"/>
    </row>
    <row r="603" spans="1:7" ht="12.75">
      <c r="C603" s="190"/>
      <c r="D603" s="371"/>
    </row>
    <row r="604" spans="1:7" ht="14.25">
      <c r="A604" s="271"/>
      <c r="B604" s="609" t="s">
        <v>79</v>
      </c>
      <c r="D604" s="998" t="s">
        <v>1114</v>
      </c>
      <c r="E604" s="998"/>
      <c r="F604" s="998"/>
    </row>
    <row r="605" spans="1:7" ht="12.75">
      <c r="A605" s="18"/>
      <c r="B605" s="18"/>
      <c r="D605" s="361"/>
    </row>
    <row r="606" spans="1:7" ht="14.45" customHeight="1">
      <c r="A606" s="271"/>
      <c r="B606" s="609" t="s">
        <v>79</v>
      </c>
      <c r="D606" s="998" t="s">
        <v>2148</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79</v>
      </c>
      <c r="D610" s="998" t="s">
        <v>1443</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79</v>
      </c>
      <c r="D615" s="998" t="s">
        <v>2149</v>
      </c>
      <c r="E615" s="998"/>
      <c r="F615" s="998"/>
    </row>
    <row r="616" spans="1:7" ht="14.25">
      <c r="A616" s="271"/>
      <c r="B616" s="271"/>
      <c r="D616" s="998"/>
      <c r="E616" s="998"/>
      <c r="F616" s="998"/>
    </row>
    <row r="617" spans="1:7" ht="14.25">
      <c r="A617" s="271"/>
      <c r="B617" s="271"/>
      <c r="D617" s="371"/>
    </row>
    <row r="618" spans="1:7" ht="14.45" customHeight="1">
      <c r="A618" s="271"/>
      <c r="B618" s="609" t="s">
        <v>79</v>
      </c>
      <c r="D618" s="998" t="s">
        <v>1447</v>
      </c>
      <c r="E618" s="998"/>
      <c r="F618" s="998"/>
    </row>
    <row r="619" spans="1:7" ht="14.25">
      <c r="A619" s="271"/>
      <c r="B619" s="271"/>
      <c r="D619" s="998"/>
      <c r="E619" s="998"/>
      <c r="F619" s="998"/>
    </row>
    <row r="620" spans="1:7" ht="14.25">
      <c r="A620" s="271"/>
      <c r="B620" s="271"/>
      <c r="D620" s="371"/>
    </row>
    <row r="621" spans="1:7" ht="14.25">
      <c r="A621" s="271"/>
      <c r="B621" s="609" t="s">
        <v>79</v>
      </c>
      <c r="D621" s="998" t="s">
        <v>1115</v>
      </c>
      <c r="E621" s="998"/>
      <c r="F621" s="998"/>
    </row>
    <row r="622" spans="1:7" ht="12.75">
      <c r="A622" s="18"/>
      <c r="B622" s="18"/>
    </row>
    <row r="623" spans="1:7" ht="12.75">
      <c r="A623" s="1029" t="s">
        <v>1395</v>
      </c>
      <c r="B623" s="1029"/>
      <c r="C623" s="1029"/>
      <c r="D623" s="1029"/>
      <c r="E623" s="1029"/>
      <c r="F623" s="1029"/>
      <c r="G623" s="1029"/>
    </row>
    <row r="624" spans="1:7" ht="12.75">
      <c r="A624" s="63"/>
      <c r="B624" s="63"/>
    </row>
    <row r="625" spans="1:7" ht="12.75">
      <c r="C625" s="191"/>
      <c r="D625" s="1025" t="s">
        <v>1394</v>
      </c>
      <c r="E625" s="1025"/>
      <c r="F625" s="1025"/>
    </row>
    <row r="626" spans="1:7" ht="12.75">
      <c r="C626" s="191"/>
      <c r="D626" s="1005" t="s">
        <v>1421</v>
      </c>
      <c r="E626" s="1005"/>
      <c r="F626" s="1005"/>
    </row>
    <row r="627" spans="1:7" ht="12.75">
      <c r="C627" s="191"/>
      <c r="D627" s="102"/>
      <c r="E627" s="102"/>
      <c r="F627" s="102"/>
    </row>
    <row r="628" spans="1:7" ht="14.25" customHeight="1">
      <c r="A628" s="271"/>
      <c r="B628" s="609" t="s">
        <v>79</v>
      </c>
      <c r="D628" s="1048" t="s">
        <v>2087</v>
      </c>
      <c r="E628" s="1049"/>
      <c r="F628" s="1049"/>
    </row>
    <row r="629" spans="1:7" ht="12.75">
      <c r="D629" s="1049"/>
      <c r="E629" s="1049"/>
      <c r="F629" s="1049"/>
    </row>
    <row r="630" spans="1:7" ht="12.75">
      <c r="D630" s="933"/>
      <c r="E630" s="927" t="s">
        <v>2086</v>
      </c>
      <c r="F630" s="933"/>
    </row>
    <row r="631" spans="1:7" ht="12.75">
      <c r="A631" s="63"/>
      <c r="B631" s="63"/>
    </row>
    <row r="632" spans="1:7" ht="12" customHeight="1">
      <c r="A632" s="1029" t="s">
        <v>1397</v>
      </c>
      <c r="B632" s="1029"/>
      <c r="C632" s="1029"/>
      <c r="D632" s="1029"/>
      <c r="E632" s="1029"/>
      <c r="F632" s="1029"/>
      <c r="G632" s="1029"/>
    </row>
    <row r="633" spans="1:7" ht="12.75">
      <c r="A633" s="44"/>
      <c r="B633" s="44"/>
    </row>
    <row r="634" spans="1:7" ht="12.75">
      <c r="C634" s="190"/>
      <c r="D634" s="996" t="s">
        <v>1396</v>
      </c>
      <c r="E634" s="996"/>
      <c r="F634" s="996"/>
    </row>
    <row r="635" spans="1:7" ht="12.75">
      <c r="A635" s="191"/>
      <c r="B635" s="191"/>
      <c r="C635" s="191"/>
      <c r="D635" s="995" t="s">
        <v>1553</v>
      </c>
      <c r="E635" s="995"/>
      <c r="F635" s="995"/>
    </row>
    <row r="636" spans="1:7" ht="12.75">
      <c r="A636" s="191"/>
      <c r="B636" s="191"/>
      <c r="C636" s="191"/>
    </row>
    <row r="637" spans="1:7" ht="14.25">
      <c r="A637" s="271"/>
      <c r="B637" s="271"/>
      <c r="D637" s="1025" t="s">
        <v>870</v>
      </c>
      <c r="E637" s="1025"/>
      <c r="F637" s="1025"/>
    </row>
    <row r="638" spans="1:7" ht="14.25">
      <c r="A638" s="271"/>
      <c r="B638" s="609" t="s">
        <v>79</v>
      </c>
      <c r="D638" s="1005" t="s">
        <v>1554</v>
      </c>
      <c r="E638" s="1005"/>
      <c r="F638" s="1005"/>
    </row>
    <row r="639" spans="1:7" ht="14.25">
      <c r="A639" s="271"/>
      <c r="B639" s="271"/>
      <c r="D639" s="44"/>
    </row>
    <row r="640" spans="1:7" ht="14.25">
      <c r="A640" s="271"/>
      <c r="B640" s="609" t="s">
        <v>79</v>
      </c>
      <c r="D640" s="975" t="s">
        <v>1555</v>
      </c>
      <c r="E640" s="975"/>
      <c r="F640" s="975"/>
    </row>
    <row r="641" spans="1:7" ht="14.25">
      <c r="A641" s="271"/>
      <c r="B641" s="271"/>
      <c r="D641" s="975"/>
      <c r="E641" s="975"/>
      <c r="F641" s="975"/>
    </row>
    <row r="642" spans="1:7" ht="14.25">
      <c r="A642" s="271"/>
      <c r="B642" s="271"/>
      <c r="D642" s="44"/>
    </row>
    <row r="643" spans="1:7" ht="14.25">
      <c r="A643" s="271"/>
      <c r="B643" s="609" t="s">
        <v>79</v>
      </c>
      <c r="D643" s="968" t="s">
        <v>1923</v>
      </c>
      <c r="E643" s="968"/>
      <c r="F643" s="968"/>
    </row>
    <row r="644" spans="1:7" ht="13.7" customHeight="1">
      <c r="D644" s="968"/>
      <c r="E644" s="968"/>
      <c r="F644" s="968"/>
    </row>
    <row r="645" spans="1:7" ht="12.75"/>
    <row r="646" spans="1:7" ht="14.25">
      <c r="A646" s="271"/>
      <c r="B646" s="609" t="s">
        <v>79</v>
      </c>
      <c r="D646" s="1005" t="s">
        <v>1556</v>
      </c>
      <c r="E646" s="1005"/>
      <c r="F646" s="1005"/>
    </row>
    <row r="647" spans="1:7" ht="12.75">
      <c r="A647" s="190"/>
      <c r="B647" s="190"/>
      <c r="C647" s="190"/>
    </row>
    <row r="648" spans="1:7" ht="12.75">
      <c r="A648" s="1029" t="s">
        <v>1398</v>
      </c>
      <c r="B648" s="1029"/>
      <c r="C648" s="1029"/>
      <c r="D648" s="1029"/>
      <c r="E648" s="1029"/>
      <c r="F648" s="1029"/>
      <c r="G648" s="1029"/>
    </row>
    <row r="649" spans="1:7" ht="12.75">
      <c r="A649" s="190"/>
      <c r="B649" s="190"/>
      <c r="C649" s="190"/>
    </row>
    <row r="650" spans="1:7" ht="12.75">
      <c r="C650" s="18"/>
      <c r="D650" s="1013" t="s">
        <v>1422</v>
      </c>
      <c r="E650" s="1013"/>
      <c r="F650" s="1013"/>
    </row>
    <row r="651" spans="1:7" ht="12.75">
      <c r="A651" s="18"/>
      <c r="B651" s="18"/>
      <c r="D651" s="3"/>
    </row>
    <row r="652" spans="1:7" ht="14.25" customHeight="1">
      <c r="A652" s="271"/>
      <c r="B652" s="609" t="s">
        <v>79</v>
      </c>
      <c r="D652" s="1048" t="s">
        <v>2150</v>
      </c>
      <c r="E652" s="1048"/>
      <c r="F652" s="1048"/>
    </row>
    <row r="653" spans="1:7" ht="14.25">
      <c r="A653" s="271"/>
      <c r="B653" s="271"/>
      <c r="D653" s="1048"/>
      <c r="E653" s="1048"/>
      <c r="F653" s="1048"/>
    </row>
    <row r="654" spans="1:7" ht="12.75">
      <c r="D654" s="933"/>
      <c r="E654" s="927" t="s">
        <v>2089</v>
      </c>
      <c r="F654" s="933"/>
    </row>
    <row r="655" spans="1:7" ht="12.75">
      <c r="D655" s="972" t="s">
        <v>2088</v>
      </c>
      <c r="E655" s="972"/>
      <c r="F655" s="972"/>
    </row>
    <row r="656" spans="1:7" ht="12.75" customHeight="1">
      <c r="D656" s="972"/>
      <c r="E656" s="972"/>
      <c r="F656" s="972"/>
    </row>
    <row r="657" spans="1:9" ht="12.75">
      <c r="B657"/>
      <c r="D657" s="972"/>
      <c r="E657" s="972"/>
      <c r="F657" s="972"/>
    </row>
    <row r="658" spans="1:9" ht="12.75"/>
    <row r="659" spans="1:9" ht="14.25">
      <c r="A659" s="303"/>
      <c r="B659" s="609" t="s">
        <v>79</v>
      </c>
      <c r="D659" s="1014" t="s">
        <v>1557</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79</v>
      </c>
      <c r="D662" s="1016" t="s">
        <v>1816</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79</v>
      </c>
      <c r="C665" s="207"/>
      <c r="D665" s="1015" t="s">
        <v>1558</v>
      </c>
      <c r="E665" s="1015"/>
      <c r="F665" s="1015"/>
      <c r="G665" s="44"/>
    </row>
    <row r="666" spans="1:9" ht="12.75">
      <c r="A666" s="44"/>
      <c r="B666" s="44"/>
      <c r="C666" s="207"/>
      <c r="D666" s="44"/>
      <c r="E666" s="44"/>
      <c r="F666" s="44"/>
      <c r="G666" s="44"/>
      <c r="H666" s="267"/>
      <c r="I666" s="267"/>
    </row>
    <row r="667" spans="1:9" ht="12.75">
      <c r="A667" s="1029" t="s">
        <v>1400</v>
      </c>
      <c r="B667" s="1029"/>
      <c r="C667" s="1029"/>
      <c r="D667" s="1029"/>
      <c r="E667" s="1029"/>
      <c r="F667" s="1029"/>
      <c r="G667" s="1029"/>
    </row>
    <row r="668" spans="1:9" ht="12.75">
      <c r="A668" s="44"/>
      <c r="B668" s="44"/>
      <c r="C668" s="207"/>
      <c r="D668" s="44"/>
      <c r="E668" s="44"/>
      <c r="F668" s="44"/>
      <c r="G668" s="44"/>
    </row>
    <row r="669" spans="1:9" ht="12.75">
      <c r="C669" s="190"/>
      <c r="D669" s="996" t="s">
        <v>1399</v>
      </c>
      <c r="E669" s="996"/>
      <c r="F669" s="996"/>
      <c r="G669" s="44"/>
    </row>
    <row r="670" spans="1:9" ht="12.75">
      <c r="A670" s="191"/>
      <c r="B670" s="191"/>
      <c r="C670" s="191"/>
      <c r="D670" s="995" t="s">
        <v>1423</v>
      </c>
      <c r="E670" s="995"/>
      <c r="F670" s="995"/>
      <c r="G670" s="44"/>
    </row>
    <row r="671" spans="1:9" ht="12.75">
      <c r="A671" s="191"/>
      <c r="B671" s="191"/>
      <c r="C671" s="191"/>
      <c r="D671" s="44"/>
      <c r="E671" s="44"/>
      <c r="F671" s="44"/>
      <c r="G671" s="44"/>
    </row>
    <row r="672" spans="1:9" ht="14.45" customHeight="1">
      <c r="A672" s="271"/>
      <c r="B672" s="609" t="s">
        <v>79</v>
      </c>
      <c r="C672" s="207"/>
      <c r="D672" s="968" t="s">
        <v>1879</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1440</v>
      </c>
      <c r="E679" s="999"/>
      <c r="F679" s="999"/>
      <c r="G679" s="44"/>
    </row>
    <row r="680" spans="1:7" ht="14.25" hidden="1">
      <c r="A680" s="271"/>
      <c r="B680" s="271"/>
      <c r="C680" s="207"/>
      <c r="D680" s="993" t="s">
        <v>2151</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1878</v>
      </c>
      <c r="E685" s="1017"/>
      <c r="F685" s="1017"/>
      <c r="G685" s="44"/>
    </row>
    <row r="686" spans="1:7" ht="12.75">
      <c r="A686" s="44"/>
      <c r="B686" s="44"/>
      <c r="C686" s="207"/>
      <c r="D686" s="44"/>
      <c r="E686" s="44"/>
      <c r="F686" s="44"/>
      <c r="G686" s="44"/>
    </row>
    <row r="687" spans="1:7" ht="12.75">
      <c r="A687" s="1029" t="s">
        <v>1401</v>
      </c>
      <c r="B687" s="1029"/>
      <c r="C687" s="1029"/>
      <c r="D687" s="1029"/>
      <c r="E687" s="1029"/>
      <c r="F687" s="1029"/>
      <c r="G687" s="1029"/>
    </row>
    <row r="688" spans="1:7" ht="12.75">
      <c r="A688" s="44"/>
      <c r="B688" s="44"/>
      <c r="C688" s="207"/>
      <c r="D688" s="44"/>
      <c r="E688" s="44"/>
      <c r="F688" s="44"/>
      <c r="G688" s="44"/>
    </row>
    <row r="689" spans="1:7" ht="12.75">
      <c r="C689" s="190"/>
      <c r="D689" s="996" t="s">
        <v>783</v>
      </c>
      <c r="E689" s="996"/>
      <c r="F689" s="996"/>
      <c r="G689" s="44"/>
    </row>
    <row r="690" spans="1:7" ht="12.75">
      <c r="A690" s="190"/>
      <c r="B690" s="190"/>
      <c r="C690" s="190"/>
      <c r="D690" s="996" t="s">
        <v>871</v>
      </c>
      <c r="E690" s="996"/>
      <c r="F690" s="996"/>
      <c r="G690" s="44"/>
    </row>
    <row r="691" spans="1:7" ht="12.75">
      <c r="A691" s="191"/>
      <c r="B691" s="191"/>
      <c r="C691" s="191"/>
      <c r="D691" s="995" t="s">
        <v>1524</v>
      </c>
      <c r="E691" s="995"/>
      <c r="F691" s="995"/>
    </row>
    <row r="692" spans="1:7" ht="14.25" customHeight="1">
      <c r="A692" s="191"/>
      <c r="B692" s="191"/>
      <c r="C692" s="191"/>
    </row>
    <row r="693" spans="1:7" ht="14.25">
      <c r="A693" s="271"/>
      <c r="B693" s="609" t="s">
        <v>79</v>
      </c>
      <c r="C693" s="191"/>
      <c r="D693" s="995" t="s">
        <v>1116</v>
      </c>
      <c r="E693" s="995"/>
      <c r="F693" s="995"/>
    </row>
    <row r="694" spans="1:7" ht="12.75">
      <c r="A694" s="191"/>
      <c r="B694" s="191"/>
      <c r="C694" s="191"/>
      <c r="D694" s="995" t="s">
        <v>1133</v>
      </c>
      <c r="E694" s="995"/>
      <c r="F694" s="995"/>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79</v>
      </c>
      <c r="C698" s="191"/>
      <c r="D698" s="975" t="s">
        <v>2152</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79</v>
      </c>
      <c r="C702" s="191"/>
      <c r="D702" s="995" t="s">
        <v>1174</v>
      </c>
      <c r="E702" s="995"/>
      <c r="F702" s="995"/>
    </row>
    <row r="703" spans="1:7" ht="14.25">
      <c r="A703" s="271"/>
      <c r="B703" s="271"/>
      <c r="C703" s="191"/>
      <c r="D703" s="995" t="s">
        <v>1133</v>
      </c>
      <c r="E703" s="995"/>
      <c r="F703" s="995"/>
    </row>
    <row r="704" spans="1:7" ht="12.75">
      <c r="A704" s="191"/>
      <c r="B704" s="191"/>
      <c r="C704" s="191"/>
      <c r="E704" s="1020" t="s">
        <v>2092</v>
      </c>
      <c r="F704" s="1020"/>
    </row>
    <row r="705" spans="1:6" ht="12.75">
      <c r="A705" s="191"/>
      <c r="B705" s="191"/>
      <c r="C705" s="191"/>
      <c r="D705" s="3"/>
    </row>
    <row r="706" spans="1:6" ht="14.25">
      <c r="A706" s="271"/>
      <c r="B706" s="609" t="s">
        <v>79</v>
      </c>
      <c r="C706" s="191"/>
      <c r="D706" s="975" t="s">
        <v>1526</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79</v>
      </c>
      <c r="C713" s="191"/>
      <c r="D713" s="968" t="s">
        <v>1733</v>
      </c>
      <c r="E713" s="975"/>
      <c r="F713" s="975"/>
    </row>
    <row r="714" spans="1:6" ht="12.75">
      <c r="A714" s="191"/>
      <c r="B714" s="191"/>
      <c r="C714" s="191"/>
      <c r="D714" s="975"/>
      <c r="E714" s="975"/>
      <c r="F714" s="975"/>
    </row>
    <row r="715" spans="1:6" ht="12.75">
      <c r="A715" s="191"/>
      <c r="B715" s="191"/>
      <c r="C715" s="191"/>
    </row>
    <row r="716" spans="1:6" ht="14.45" customHeight="1">
      <c r="A716" s="271"/>
      <c r="B716" s="609" t="s">
        <v>79</v>
      </c>
      <c r="C716" s="191"/>
      <c r="D716" s="975" t="s">
        <v>1527</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79</v>
      </c>
      <c r="C729" s="191"/>
      <c r="D729" s="975" t="s">
        <v>1531</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79</v>
      </c>
      <c r="C732" s="191"/>
      <c r="D732" s="975" t="s">
        <v>1532</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79</v>
      </c>
      <c r="C736" s="191"/>
      <c r="D736" s="968" t="s">
        <v>1924</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79</v>
      </c>
      <c r="C740" s="191"/>
      <c r="D740" s="975" t="s">
        <v>1528</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79</v>
      </c>
      <c r="C744" s="191"/>
      <c r="D744" s="975" t="s">
        <v>1530</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79</v>
      </c>
      <c r="C749" s="191"/>
      <c r="D749" s="968" t="s">
        <v>2218</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1529</v>
      </c>
      <c r="E756" s="1019"/>
      <c r="F756" s="1019"/>
      <c r="H756" s="267"/>
      <c r="I756" s="267"/>
    </row>
    <row r="757" spans="1:9" ht="12.75">
      <c r="A757" s="191"/>
      <c r="B757" s="191"/>
      <c r="C757" s="191"/>
      <c r="D757" s="560"/>
      <c r="H757" s="267"/>
      <c r="I757" s="267"/>
    </row>
    <row r="758" spans="1:9" ht="12.75">
      <c r="A758" s="1007" t="s">
        <v>1428</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1448</v>
      </c>
      <c r="E760" s="1002"/>
      <c r="F760" s="1002"/>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79</v>
      </c>
      <c r="D763" s="975" t="s">
        <v>1449</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79</v>
      </c>
      <c r="D770" s="1016" t="s">
        <v>1865</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79</v>
      </c>
      <c r="C775" s="433"/>
      <c r="D775" s="1018" t="s">
        <v>1866</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79</v>
      </c>
      <c r="D779" s="975" t="s">
        <v>1450</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79</v>
      </c>
      <c r="D782" s="968" t="s">
        <v>1756</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1592</v>
      </c>
      <c r="B786" s="1007"/>
      <c r="C786" s="1007"/>
      <c r="D786" s="1007"/>
      <c r="E786" s="1007"/>
      <c r="F786" s="1007"/>
      <c r="G786" s="1007"/>
      <c r="H786" s="267"/>
      <c r="I786" s="267"/>
    </row>
    <row r="787" spans="1:9" ht="12.75">
      <c r="A787" s="63"/>
      <c r="B787" s="63"/>
      <c r="H787" s="267"/>
      <c r="I787" s="267"/>
    </row>
    <row r="788" spans="1:9" ht="13.7" customHeight="1">
      <c r="A788" s="63"/>
      <c r="B788" s="63"/>
      <c r="D788" s="1011" t="s">
        <v>1593</v>
      </c>
      <c r="E788" s="1011"/>
      <c r="F788" s="1011"/>
      <c r="H788" s="267"/>
      <c r="I788" s="267"/>
    </row>
    <row r="789" spans="1:9" ht="12.75">
      <c r="A789" s="63"/>
      <c r="B789" s="63"/>
      <c r="D789" s="1012" t="s">
        <v>1594</v>
      </c>
      <c r="E789" s="1012"/>
      <c r="F789" s="1012"/>
      <c r="H789" s="267"/>
      <c r="I789" s="267"/>
    </row>
    <row r="790" spans="1:9" ht="12.75">
      <c r="A790" s="63"/>
      <c r="B790" s="63"/>
      <c r="D790" s="420"/>
      <c r="E790" s="420"/>
      <c r="F790" s="420"/>
      <c r="H790" s="267"/>
      <c r="I790" s="267"/>
    </row>
    <row r="791" spans="1:9" ht="12.75">
      <c r="A791" s="63"/>
      <c r="B791" s="609" t="s">
        <v>79</v>
      </c>
      <c r="D791" s="993" t="s">
        <v>1595</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79</v>
      </c>
      <c r="C795" s="190"/>
      <c r="D795" s="1018" t="s">
        <v>2213</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79</v>
      </c>
      <c r="C799" s="207"/>
      <c r="D799" s="1018" t="s">
        <v>1697</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79</v>
      </c>
      <c r="C803" s="207"/>
      <c r="D803" s="993" t="s">
        <v>1596</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2012</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79</v>
      </c>
      <c r="C812" s="207"/>
      <c r="D812" s="993" t="s">
        <v>1598</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79</v>
      </c>
      <c r="C819" s="207"/>
      <c r="D819" s="1018" t="s">
        <v>1867</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79</v>
      </c>
      <c r="C825" s="207"/>
      <c r="D825" s="993" t="s">
        <v>1597</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79</v>
      </c>
      <c r="C830" s="207"/>
      <c r="D830" s="1001" t="s">
        <v>1600</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79</v>
      </c>
      <c r="C837" s="207"/>
      <c r="D837" s="993" t="s">
        <v>1599</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79</v>
      </c>
      <c r="C840" s="207"/>
      <c r="D840" s="1001" t="s">
        <v>1601</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1884</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1517</v>
      </c>
      <c r="E845" s="1002"/>
      <c r="F845" s="1002"/>
      <c r="H845" s="267"/>
      <c r="I845" s="267"/>
    </row>
    <row r="846" spans="1:9" ht="14.25">
      <c r="A846" s="271"/>
      <c r="B846" s="271"/>
      <c r="D846" s="968" t="s">
        <v>1881</v>
      </c>
      <c r="E846" s="968"/>
      <c r="F846" s="968"/>
      <c r="H846" s="267"/>
      <c r="I846" s="267"/>
    </row>
    <row r="847" spans="1:9" ht="14.25">
      <c r="A847" s="271"/>
      <c r="B847" s="271"/>
      <c r="D847" s="24"/>
      <c r="E847" s="210"/>
      <c r="F847" s="210"/>
      <c r="H847" s="267"/>
      <c r="I847" s="267"/>
    </row>
    <row r="848" spans="1:9" ht="12.75">
      <c r="B848" s="609" t="s">
        <v>79</v>
      </c>
      <c r="C848" s="207"/>
      <c r="D848" s="975" t="s">
        <v>1454</v>
      </c>
      <c r="E848" s="975"/>
      <c r="F848" s="975"/>
      <c r="H848" s="267"/>
      <c r="I848" s="267"/>
    </row>
    <row r="849" spans="1:9" ht="12.75">
      <c r="A849" s="18"/>
      <c r="B849" s="18"/>
      <c r="C849" s="207"/>
      <c r="D849" s="3" t="s">
        <v>1431</v>
      </c>
      <c r="E849" s="976" t="s">
        <v>2075</v>
      </c>
      <c r="F849" s="976"/>
      <c r="H849" s="267"/>
      <c r="I849" s="267"/>
    </row>
    <row r="850" spans="1:9" ht="12.75">
      <c r="A850" s="18"/>
      <c r="B850" s="18"/>
      <c r="C850" s="207"/>
      <c r="D850" s="213"/>
      <c r="H850" s="267"/>
      <c r="I850" s="267"/>
    </row>
    <row r="851" spans="1:9" ht="12.75">
      <c r="A851" s="18"/>
      <c r="B851" s="609" t="s">
        <v>79</v>
      </c>
      <c r="C851" s="207"/>
      <c r="D851" s="1021" t="s">
        <v>1678</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79</v>
      </c>
      <c r="C861" s="207"/>
      <c r="D861" s="975" t="s">
        <v>1455</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79</v>
      </c>
      <c r="C865" s="207"/>
      <c r="D865" s="1002" t="s">
        <v>1456</v>
      </c>
      <c r="E865" s="1002"/>
      <c r="F865" s="1002"/>
      <c r="H865" s="267"/>
      <c r="I865" s="267"/>
    </row>
    <row r="866" spans="1:9" ht="12.75">
      <c r="B866" s="419"/>
      <c r="C866" s="207"/>
      <c r="D866" s="1002"/>
      <c r="E866" s="1002"/>
      <c r="F866" s="1002"/>
      <c r="H866" s="267"/>
      <c r="I866" s="267"/>
    </row>
    <row r="867" spans="1:9" ht="14.25" customHeight="1">
      <c r="A867" s="271"/>
      <c r="C867" s="207"/>
      <c r="D867" s="975" t="s">
        <v>2153</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79</v>
      </c>
      <c r="C874" s="207"/>
      <c r="D874" s="975" t="s">
        <v>1175</v>
      </c>
      <c r="E874" s="975"/>
      <c r="F874" s="975"/>
      <c r="H874" s="267"/>
      <c r="I874" s="267"/>
    </row>
    <row r="875" spans="1:9" ht="14.25">
      <c r="A875" s="271"/>
      <c r="B875" s="271"/>
      <c r="C875" s="207"/>
      <c r="D875" s="975" t="s">
        <v>1176</v>
      </c>
      <c r="E875" s="975"/>
      <c r="F875" s="975"/>
      <c r="H875" s="267"/>
      <c r="I875" s="267"/>
    </row>
    <row r="876" spans="1:9" ht="14.25">
      <c r="A876" s="271"/>
      <c r="B876" s="271"/>
      <c r="C876" s="207"/>
      <c r="D876" s="3" t="s">
        <v>1430</v>
      </c>
      <c r="E876" s="976" t="s">
        <v>2077</v>
      </c>
      <c r="F876" s="976"/>
      <c r="H876" s="267"/>
      <c r="I876" s="267"/>
    </row>
    <row r="877" spans="1:9" ht="14.25">
      <c r="A877" s="271"/>
      <c r="B877" s="271"/>
      <c r="C877" s="207"/>
      <c r="D877" s="44"/>
      <c r="H877" s="267"/>
      <c r="I877" s="267"/>
    </row>
    <row r="878" spans="1:9" ht="14.25">
      <c r="A878" s="271"/>
      <c r="B878" s="609" t="s">
        <v>79</v>
      </c>
      <c r="C878" s="207"/>
      <c r="D878" s="975" t="s">
        <v>1457</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6" t="s">
        <v>1516</v>
      </c>
      <c r="E885" s="996"/>
      <c r="F885" s="996"/>
      <c r="G885" s="188"/>
      <c r="H885" s="267"/>
      <c r="I885" s="267"/>
    </row>
    <row r="886" spans="1:9" ht="12.75">
      <c r="C886" s="191"/>
      <c r="D886" s="1009" t="s">
        <v>1882</v>
      </c>
      <c r="E886" s="1010"/>
      <c r="F886" s="1010"/>
      <c r="G886" s="188"/>
      <c r="H886" s="267"/>
      <c r="I886" s="267"/>
    </row>
    <row r="887" spans="1:9" ht="12.75">
      <c r="C887" s="191"/>
      <c r="D887" s="640"/>
      <c r="E887" s="640"/>
      <c r="F887" s="640"/>
      <c r="G887" s="188"/>
      <c r="H887" s="267"/>
      <c r="I887" s="267"/>
    </row>
    <row r="888" spans="1:9" ht="14.25">
      <c r="A888" s="271"/>
      <c r="B888" s="609" t="s">
        <v>79</v>
      </c>
      <c r="D888" s="995" t="s">
        <v>1476</v>
      </c>
      <c r="E888" s="995"/>
      <c r="F888" s="995"/>
      <c r="G888" s="188"/>
      <c r="H888" s="267"/>
      <c r="I888" s="267"/>
    </row>
    <row r="889" spans="1:9" ht="12.75">
      <c r="D889" s="3" t="s">
        <v>1430</v>
      </c>
      <c r="E889" s="1008" t="s">
        <v>2077</v>
      </c>
      <c r="F889" s="1008"/>
      <c r="G889" s="188"/>
    </row>
    <row r="890" spans="1:9" ht="12.75">
      <c r="D890" s="44"/>
      <c r="E890" s="188"/>
      <c r="F890" s="188"/>
      <c r="G890" s="188"/>
      <c r="H890" s="267"/>
      <c r="I890" s="267"/>
    </row>
    <row r="891" spans="1:9" ht="14.25">
      <c r="A891" s="271"/>
      <c r="B891" s="609" t="s">
        <v>79</v>
      </c>
      <c r="D891" s="968" t="s">
        <v>1885</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79</v>
      </c>
      <c r="D894" s="1004" t="s">
        <v>1680</v>
      </c>
      <c r="E894" s="1004"/>
      <c r="F894" s="1004"/>
      <c r="G894" s="188"/>
      <c r="H894" s="267"/>
      <c r="I894" s="267"/>
    </row>
    <row r="895" spans="1:9" ht="29.45" customHeight="1">
      <c r="B895" s="565"/>
      <c r="D895" s="1004"/>
      <c r="E895" s="1004"/>
      <c r="F895" s="1004"/>
      <c r="G895" s="188"/>
      <c r="H895" s="267"/>
      <c r="I895" s="267"/>
    </row>
    <row r="896" spans="1:9" ht="14.25">
      <c r="A896" s="271"/>
      <c r="B896"/>
      <c r="D896" s="975" t="s">
        <v>2153</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79</v>
      </c>
      <c r="D903" s="1005" t="s">
        <v>1175</v>
      </c>
      <c r="E903" s="1005"/>
      <c r="F903" s="1005"/>
      <c r="G903" s="188"/>
      <c r="H903" s="267"/>
      <c r="I903" s="267"/>
    </row>
    <row r="904" spans="1:9" ht="14.25">
      <c r="A904" s="271"/>
      <c r="B904" s="271"/>
      <c r="D904" s="1005" t="s">
        <v>1176</v>
      </c>
      <c r="E904" s="1005"/>
      <c r="F904" s="1005"/>
      <c r="G904" s="188"/>
      <c r="H904" s="267"/>
      <c r="I904" s="267"/>
    </row>
    <row r="905" spans="1:9" ht="14.25">
      <c r="A905" s="271"/>
      <c r="B905" s="271"/>
      <c r="D905" s="3" t="s">
        <v>1477</v>
      </c>
      <c r="E905" s="1006" t="s">
        <v>2077</v>
      </c>
      <c r="F905" s="1006"/>
      <c r="G905" s="188"/>
      <c r="H905" s="267"/>
      <c r="I905" s="267"/>
    </row>
    <row r="906" spans="1:9" ht="14.25">
      <c r="A906" s="271"/>
      <c r="B906" s="271"/>
      <c r="D906" s="44"/>
      <c r="E906" s="188"/>
      <c r="F906" s="188"/>
      <c r="G906" s="188"/>
      <c r="H906" s="267"/>
      <c r="I906" s="267"/>
    </row>
    <row r="907" spans="1:9" ht="14.25">
      <c r="A907" s="271"/>
      <c r="B907" s="609" t="s">
        <v>79</v>
      </c>
      <c r="D907" s="975" t="s">
        <v>1457</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1403</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1634</v>
      </c>
      <c r="E914" s="999"/>
      <c r="F914" s="999"/>
      <c r="G914" s="188"/>
      <c r="H914" s="267"/>
      <c r="I914" s="267"/>
    </row>
    <row r="915" spans="1:9" ht="12.75">
      <c r="A915" s="190"/>
      <c r="B915" s="190"/>
      <c r="C915" s="190"/>
      <c r="D915" s="995" t="s">
        <v>1475</v>
      </c>
      <c r="E915" s="995"/>
      <c r="F915" s="995"/>
      <c r="G915" s="188"/>
      <c r="H915" s="267"/>
      <c r="I915" s="267"/>
    </row>
    <row r="916" spans="1:9" ht="12.75">
      <c r="A916" s="190"/>
      <c r="B916" s="190"/>
      <c r="C916" s="190"/>
      <c r="F916" s="188"/>
      <c r="G916" s="188"/>
      <c r="H916" s="267"/>
      <c r="I916" s="267"/>
    </row>
    <row r="917" spans="1:9" ht="13.7" customHeight="1">
      <c r="A917" s="190"/>
      <c r="B917" s="609" t="s">
        <v>79</v>
      </c>
      <c r="C917" s="190"/>
      <c r="D917" s="1002" t="s">
        <v>1644</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79</v>
      </c>
      <c r="C923" s="191"/>
      <c r="D923" s="976" t="s">
        <v>1729</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6" t="s">
        <v>1730</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76" t="s">
        <v>1646</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79</v>
      </c>
      <c r="D957" s="975" t="s">
        <v>1648</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998" t="s">
        <v>1636</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998" t="s">
        <v>1635</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79</v>
      </c>
      <c r="C975" s="207"/>
      <c r="D975" s="998" t="s">
        <v>1638</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998" t="s">
        <v>1639</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79</v>
      </c>
      <c r="C985" s="207"/>
      <c r="D985" s="998" t="s">
        <v>1640</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79</v>
      </c>
      <c r="C988" s="207"/>
      <c r="D988" s="975" t="s">
        <v>1641</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79</v>
      </c>
      <c r="C991" s="207"/>
      <c r="D991" s="1000" t="s">
        <v>1771</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79</v>
      </c>
      <c r="C996" s="207"/>
      <c r="D996" s="995" t="s">
        <v>2154</v>
      </c>
      <c r="E996" s="995"/>
      <c r="F996" s="995"/>
      <c r="G996" s="188"/>
      <c r="H996" s="267"/>
      <c r="I996" s="267"/>
    </row>
    <row r="997" spans="1:9" ht="12.75">
      <c r="A997" s="207"/>
      <c r="B997" s="207"/>
      <c r="C997" s="207"/>
      <c r="D997" s="44"/>
      <c r="E997" s="188"/>
      <c r="F997" s="188"/>
      <c r="G997" s="188"/>
      <c r="H997" s="267"/>
      <c r="I997" s="267"/>
    </row>
    <row r="998" spans="1:9" ht="12.75">
      <c r="A998" s="207"/>
      <c r="B998" s="609" t="s">
        <v>79</v>
      </c>
      <c r="C998" s="207"/>
      <c r="D998" s="995" t="s">
        <v>2155</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1478</v>
      </c>
      <c r="E1000" s="996"/>
      <c r="F1000" s="996"/>
      <c r="G1000" s="188"/>
      <c r="H1000" s="267"/>
      <c r="I1000" s="267"/>
    </row>
    <row r="1001" spans="1:9" ht="12.75">
      <c r="A1001" s="207"/>
      <c r="C1001" s="207"/>
      <c r="D1001" s="192"/>
      <c r="E1001" s="188"/>
      <c r="F1001" s="188"/>
      <c r="G1001" s="188"/>
      <c r="H1001" s="267"/>
      <c r="I1001" s="267"/>
    </row>
    <row r="1002" spans="1:9" ht="14.25">
      <c r="A1002" s="271"/>
      <c r="B1002" s="609" t="s">
        <v>79</v>
      </c>
      <c r="C1002" s="207"/>
      <c r="D1002" s="975" t="s">
        <v>1642</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79</v>
      </c>
      <c r="C1008" s="207"/>
      <c r="D1008" s="975" t="s">
        <v>1643</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1479</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75" t="s">
        <v>1649</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79</v>
      </c>
      <c r="C1020" s="207"/>
      <c r="D1020" s="975" t="s">
        <v>1650</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1480</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75" t="s">
        <v>1652</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5" t="s">
        <v>1651</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3" t="s">
        <v>1653</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5" t="s">
        <v>1654</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75" t="s">
        <v>1655</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75" t="s">
        <v>1481</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75" t="s">
        <v>1482</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37" t="s">
        <v>1125</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68" t="s">
        <v>2205</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68" t="s">
        <v>2206</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79</v>
      </c>
      <c r="C1078" s="207"/>
      <c r="D1078" s="1001" t="s">
        <v>1656</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79</v>
      </c>
      <c r="C1082" s="429"/>
      <c r="D1082" s="1031" t="s">
        <v>2156</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1484</v>
      </c>
      <c r="E1086" s="996"/>
      <c r="F1086" s="996"/>
      <c r="G1086" s="188"/>
    </row>
    <row r="1087" spans="1:9" ht="12.75">
      <c r="C1087" s="207"/>
      <c r="D1087" s="192"/>
      <c r="E1087" s="188"/>
      <c r="F1087" s="188"/>
      <c r="G1087" s="188"/>
    </row>
    <row r="1088" spans="1:9" ht="12.75">
      <c r="A1088" s="207"/>
      <c r="B1088" s="609" t="s">
        <v>79</v>
      </c>
      <c r="C1088" s="207"/>
      <c r="D1088" s="975" t="s">
        <v>1657</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79</v>
      </c>
      <c r="C1092" s="207"/>
      <c r="D1092" s="975" t="s">
        <v>1658</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1117</v>
      </c>
      <c r="E1096" s="996"/>
      <c r="F1096" s="996"/>
      <c r="G1096" s="188"/>
    </row>
    <row r="1097" spans="1:7" ht="12.75">
      <c r="A1097" s="207"/>
      <c r="B1097" s="207"/>
      <c r="C1097" s="207"/>
      <c r="D1097" s="995" t="s">
        <v>1485</v>
      </c>
      <c r="E1097" s="995"/>
      <c r="F1097" s="995"/>
      <c r="G1097" s="188"/>
    </row>
    <row r="1098" spans="1:7" ht="12.75">
      <c r="A1098" s="207"/>
      <c r="B1098" s="207"/>
      <c r="C1098" s="207"/>
      <c r="D1098" s="419"/>
      <c r="E1098" s="188"/>
      <c r="F1098" s="188"/>
      <c r="G1098" s="188"/>
    </row>
    <row r="1099" spans="1:7" ht="14.25">
      <c r="A1099" s="271"/>
      <c r="B1099" s="609" t="s">
        <v>79</v>
      </c>
      <c r="C1099" s="207"/>
      <c r="D1099" s="975" t="s">
        <v>1659</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79</v>
      </c>
      <c r="C1102" s="207"/>
      <c r="D1102" s="975" t="s">
        <v>1660</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1486</v>
      </c>
      <c r="E1105" s="996"/>
      <c r="F1105" s="996"/>
      <c r="G1105" s="188"/>
    </row>
    <row r="1106" spans="1:7" ht="12.75">
      <c r="A1106" s="207"/>
      <c r="B1106" s="207"/>
      <c r="C1106" s="207"/>
      <c r="D1106" s="192"/>
      <c r="E1106" s="188"/>
      <c r="F1106" s="188"/>
      <c r="G1106" s="188"/>
    </row>
    <row r="1107" spans="1:7" ht="14.25">
      <c r="A1107" s="271"/>
      <c r="B1107" s="609" t="s">
        <v>79</v>
      </c>
      <c r="C1107" s="207"/>
      <c r="D1107" s="975" t="s">
        <v>1661</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79</v>
      </c>
      <c r="C1115" s="207"/>
      <c r="D1115" s="975" t="s">
        <v>1662</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79</v>
      </c>
      <c r="C1123" s="207"/>
      <c r="D1123" s="1000" t="s">
        <v>1772</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1487</v>
      </c>
      <c r="E1127" s="996"/>
      <c r="F1127" s="996"/>
    </row>
    <row r="1128" spans="1:7" ht="12.75">
      <c r="D1128" s="192"/>
    </row>
    <row r="1129" spans="1:7" ht="14.25">
      <c r="A1129" s="271"/>
      <c r="B1129" s="609" t="s">
        <v>79</v>
      </c>
      <c r="D1129" s="975" t="s">
        <v>1663</v>
      </c>
      <c r="E1129" s="975"/>
      <c r="F1129" s="975"/>
    </row>
    <row r="1130" spans="1:7" ht="12.75">
      <c r="D1130" s="975"/>
      <c r="E1130" s="975"/>
      <c r="F1130" s="975"/>
    </row>
    <row r="1131" spans="1:7" ht="12.75"/>
    <row r="1132" spans="1:7" ht="14.25">
      <c r="A1132" s="271"/>
      <c r="B1132" s="609" t="s">
        <v>79</v>
      </c>
      <c r="D1132" s="975" t="s">
        <v>1664</v>
      </c>
      <c r="E1132" s="975"/>
      <c r="F1132" s="975"/>
    </row>
    <row r="1133" spans="1:7" ht="12.75">
      <c r="D1133" s="975"/>
      <c r="E1133" s="975"/>
      <c r="F1133" s="975"/>
    </row>
    <row r="1134" spans="1:7" ht="12.75"/>
    <row r="1135" spans="1:7" ht="12.75">
      <c r="D1135" s="996" t="s">
        <v>1488</v>
      </c>
      <c r="E1135" s="996"/>
      <c r="F1135" s="996"/>
    </row>
    <row r="1136" spans="1:7" ht="12.75">
      <c r="D1136" s="192"/>
    </row>
    <row r="1137" spans="1:7" ht="14.25">
      <c r="A1137" s="271"/>
      <c r="B1137" s="609" t="s">
        <v>79</v>
      </c>
      <c r="D1137" s="995" t="s">
        <v>1665</v>
      </c>
      <c r="E1137" s="995"/>
      <c r="F1137" s="995"/>
    </row>
    <row r="1138" spans="1:7" ht="12.75"/>
    <row r="1139" spans="1:7" ht="14.25">
      <c r="A1139" s="271"/>
      <c r="B1139" s="609" t="s">
        <v>79</v>
      </c>
      <c r="D1139" s="975" t="s">
        <v>1666</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1676</v>
      </c>
      <c r="E1142" s="996"/>
      <c r="F1142" s="996"/>
      <c r="G1142"/>
    </row>
    <row r="1143" spans="1:7" ht="12.75">
      <c r="D1143" s="192"/>
      <c r="G1143"/>
    </row>
    <row r="1144" spans="1:7" ht="14.45" customHeight="1">
      <c r="A1144" s="271"/>
      <c r="B1144" s="609" t="s">
        <v>79</v>
      </c>
      <c r="D1144" s="968" t="s">
        <v>2207</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1404</v>
      </c>
      <c r="B1159" s="1029"/>
      <c r="C1159" s="1029"/>
      <c r="D1159" s="1029"/>
      <c r="E1159" s="1029"/>
      <c r="F1159" s="1029"/>
      <c r="G1159" s="1029"/>
    </row>
    <row r="1160" spans="1:7" ht="12.75">
      <c r="A1160" s="44"/>
      <c r="B1160" s="44"/>
    </row>
    <row r="1161" spans="1:7" ht="12.75">
      <c r="C1161" s="207"/>
      <c r="D1161" s="996" t="s">
        <v>1667</v>
      </c>
      <c r="E1161" s="996"/>
      <c r="F1161" s="996"/>
    </row>
    <row r="1162" spans="1:7" ht="12.75">
      <c r="A1162" s="190"/>
      <c r="B1162" s="190"/>
      <c r="C1162" s="190"/>
      <c r="D1162" s="997" t="s">
        <v>1492</v>
      </c>
      <c r="E1162" s="995"/>
      <c r="F1162" s="995"/>
    </row>
    <row r="1163" spans="1:7" ht="12.75">
      <c r="A1163" s="190"/>
      <c r="B1163" s="190"/>
      <c r="C1163" s="190"/>
      <c r="F1163" s="188"/>
      <c r="G1163"/>
    </row>
    <row r="1164" spans="1:7" ht="13.7" customHeight="1">
      <c r="B1164" s="609" t="s">
        <v>79</v>
      </c>
      <c r="D1164" s="1050" t="s">
        <v>2094</v>
      </c>
      <c r="E1164" s="1050"/>
      <c r="F1164" s="1050"/>
      <c r="G1164"/>
    </row>
    <row r="1165" spans="1:7" ht="12.75">
      <c r="D1165" s="1050"/>
      <c r="E1165" s="1050"/>
      <c r="F1165" s="1050"/>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79</v>
      </c>
      <c r="C1172" s="191"/>
      <c r="D1172" s="975" t="s">
        <v>1677</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79</v>
      </c>
      <c r="C1177" s="191"/>
      <c r="D1177" s="968" t="s">
        <v>1757</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79</v>
      </c>
      <c r="D1180" s="995" t="s">
        <v>1668</v>
      </c>
      <c r="E1180" s="995"/>
      <c r="F1180" s="995"/>
      <c r="G1180"/>
    </row>
    <row r="1181" spans="1:7" ht="12.75">
      <c r="G1181"/>
    </row>
    <row r="1182" spans="1:7" ht="14.25">
      <c r="A1182" s="271"/>
      <c r="B1182" s="609" t="s">
        <v>79</v>
      </c>
      <c r="D1182" s="995" t="s">
        <v>1669</v>
      </c>
      <c r="E1182" s="995"/>
      <c r="F1182" s="995"/>
      <c r="G1182"/>
    </row>
    <row r="1183" spans="1:7" ht="12.75">
      <c r="D1183" s="44"/>
      <c r="G1183"/>
    </row>
    <row r="1184" spans="1:7" ht="14.25">
      <c r="A1184" s="271"/>
      <c r="B1184" s="609" t="s">
        <v>79</v>
      </c>
      <c r="D1184" s="995" t="s">
        <v>1670</v>
      </c>
      <c r="E1184" s="995"/>
      <c r="F1184" s="995"/>
      <c r="G1184"/>
    </row>
    <row r="1185" spans="1:7" ht="12.75">
      <c r="D1185" s="44"/>
      <c r="G1185"/>
    </row>
    <row r="1186" spans="1:7" ht="14.25">
      <c r="A1186" s="271"/>
      <c r="B1186" s="609" t="s">
        <v>79</v>
      </c>
      <c r="D1186" s="975" t="s">
        <v>1671</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79</v>
      </c>
      <c r="C1189" s="290"/>
      <c r="D1189" s="993" t="s">
        <v>1672</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79</v>
      </c>
      <c r="C1192" s="290"/>
      <c r="D1192" s="994" t="s">
        <v>1673</v>
      </c>
      <c r="E1192" s="994"/>
      <c r="F1192" s="994"/>
      <c r="G1192" s="292"/>
    </row>
    <row r="1193" spans="1:7" s="448" customFormat="1" ht="12.75">
      <c r="A1193" s="290"/>
      <c r="B1193" s="290"/>
      <c r="C1193" s="290"/>
      <c r="D1193" s="291"/>
      <c r="E1193" s="292"/>
      <c r="F1193" s="292"/>
      <c r="G1193" s="292"/>
    </row>
    <row r="1194" spans="1:7" ht="14.25">
      <c r="A1194" s="271"/>
      <c r="B1194" s="609" t="s">
        <v>79</v>
      </c>
      <c r="D1194" s="995" t="s">
        <v>1674</v>
      </c>
      <c r="E1194" s="995"/>
      <c r="F1194" s="995"/>
    </row>
    <row r="1195" spans="1:7" ht="14.25">
      <c r="A1195" s="271"/>
      <c r="B1195" s="271"/>
      <c r="D1195" s="44"/>
    </row>
    <row r="1196" spans="1:7" ht="14.25">
      <c r="A1196" s="271"/>
      <c r="B1196" s="609" t="s">
        <v>79</v>
      </c>
      <c r="D1196" s="975" t="s">
        <v>1675</v>
      </c>
      <c r="E1196" s="975"/>
      <c r="F1196" s="975"/>
    </row>
    <row r="1197" spans="1:7" ht="14.25">
      <c r="A1197" s="271"/>
      <c r="B1197" s="271"/>
      <c r="D1197" s="975"/>
      <c r="E1197" s="975"/>
      <c r="F1197" s="975"/>
    </row>
    <row r="1198" spans="1:7" ht="12.75"/>
    <row r="1199" spans="1:7" ht="12.75">
      <c r="A1199" s="1029" t="s">
        <v>2013</v>
      </c>
      <c r="B1199" s="1029"/>
      <c r="C1199" s="1029"/>
      <c r="D1199" s="1029"/>
      <c r="E1199" s="1029"/>
      <c r="F1199" s="1029"/>
      <c r="G1199" s="1029"/>
    </row>
    <row r="1200" spans="1:7" ht="12.75"/>
    <row r="1201" spans="1:7" ht="12.75">
      <c r="A1201" s="1029" t="s">
        <v>1405</v>
      </c>
      <c r="B1201" s="1029"/>
      <c r="C1201" s="1029"/>
      <c r="D1201" s="1029"/>
      <c r="E1201" s="1029"/>
      <c r="F1201" s="1029"/>
      <c r="G1201" s="1029"/>
    </row>
    <row r="1202" spans="1:7" ht="12.75"/>
    <row r="1203" spans="1:7" ht="12.75">
      <c r="D1203" s="999" t="s">
        <v>1511</v>
      </c>
      <c r="E1203" s="999"/>
      <c r="F1203" s="999"/>
    </row>
    <row r="1204" spans="1:7" ht="12.75">
      <c r="D1204" s="1034" t="s">
        <v>1918</v>
      </c>
      <c r="E1204" s="1034"/>
      <c r="F1204" s="1034"/>
    </row>
    <row r="1205" spans="1:7" ht="12.75">
      <c r="A1205" s="190"/>
      <c r="B1205" s="190"/>
      <c r="C1205" s="190"/>
    </row>
    <row r="1206" spans="1:7" ht="14.25">
      <c r="A1206" s="271"/>
      <c r="B1206" s="271"/>
      <c r="C1206" s="191"/>
      <c r="D1206" s="999" t="s">
        <v>1512</v>
      </c>
      <c r="E1206" s="999"/>
      <c r="F1206" s="999"/>
    </row>
    <row r="1207" spans="1:7" ht="12.75">
      <c r="B1207" s="609" t="s">
        <v>79</v>
      </c>
      <c r="D1207" s="994" t="s">
        <v>1513</v>
      </c>
      <c r="E1207" s="994"/>
      <c r="F1207" s="994"/>
    </row>
    <row r="1208" spans="1:7" ht="12.75">
      <c r="D1208" s="1034" t="s">
        <v>1919</v>
      </c>
      <c r="E1208" s="1034"/>
      <c r="F1208" s="1034"/>
    </row>
    <row r="1209" spans="1:7" ht="12.75">
      <c r="G1209"/>
    </row>
    <row r="1210" spans="1:7" ht="12.75" customHeight="1">
      <c r="B1210" s="609" t="s">
        <v>79</v>
      </c>
      <c r="D1210" s="1018" t="s">
        <v>1836</v>
      </c>
      <c r="E1210" s="1018"/>
      <c r="F1210" s="1018"/>
      <c r="G1210"/>
    </row>
    <row r="1211" spans="1:7" ht="12.75">
      <c r="D1211" s="1018"/>
      <c r="E1211" s="1018"/>
      <c r="F1211" s="1018"/>
      <c r="G1211"/>
    </row>
    <row r="1212" spans="1:7" ht="12.75">
      <c r="G1212"/>
    </row>
    <row r="1213" spans="1:7" ht="12.75" customHeight="1"/>
    <row r="1214" spans="1:7" ht="12.75">
      <c r="A1214" s="1029" t="s">
        <v>1407</v>
      </c>
      <c r="B1214" s="1029"/>
      <c r="C1214" s="1029"/>
      <c r="D1214" s="1029"/>
      <c r="E1214" s="1029"/>
      <c r="F1214" s="1029"/>
      <c r="G1214" s="1029"/>
    </row>
    <row r="1215" spans="1:7" ht="12.7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25">
      <c r="A1219" s="271"/>
      <c r="B1219" s="609" t="s">
        <v>79</v>
      </c>
      <c r="D1219" s="1005" t="s">
        <v>1013</v>
      </c>
      <c r="E1219" s="1005"/>
      <c r="F1219" s="1005"/>
    </row>
    <row r="1220" spans="1:7" ht="12.75">
      <c r="D1220" s="995" t="s">
        <v>1133</v>
      </c>
      <c r="E1220" s="995"/>
      <c r="F1220" s="995"/>
    </row>
    <row r="1221" spans="1:7" ht="12.75">
      <c r="E1221" s="1020" t="s">
        <v>2096</v>
      </c>
      <c r="F1221" s="1020"/>
    </row>
    <row r="1222" spans="1:7" ht="12.75">
      <c r="D1222" s="3"/>
    </row>
    <row r="1223" spans="1:7" ht="12.75">
      <c r="D1223" s="1033" t="s">
        <v>1273</v>
      </c>
      <c r="E1223" s="1033"/>
      <c r="F1223" s="1033"/>
    </row>
    <row r="1224" spans="1:7" ht="12.75">
      <c r="B1224" s="609" t="s">
        <v>79</v>
      </c>
      <c r="D1224" s="968" t="s">
        <v>2097</v>
      </c>
      <c r="E1224" s="975"/>
      <c r="F1224" s="975"/>
      <c r="G1224"/>
    </row>
    <row r="1225" spans="1:7" ht="12.75">
      <c r="D1225" s="975"/>
      <c r="E1225" s="975"/>
      <c r="F1225" s="975"/>
      <c r="G1225"/>
    </row>
    <row r="1226" spans="1:7" ht="12.75">
      <c r="D1226" s="501" t="s">
        <v>1276</v>
      </c>
      <c r="E1226"/>
      <c r="F1226"/>
      <c r="G1226"/>
    </row>
    <row r="1227" spans="1:7" ht="13.7" customHeight="1">
      <c r="D1227" s="968" t="s">
        <v>2098</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1016</v>
      </c>
      <c r="E1231" s="1020"/>
      <c r="F1231" s="1020"/>
      <c r="G1231"/>
    </row>
    <row r="1232" spans="1:7" ht="12.75">
      <c r="B1232" s="609" t="s">
        <v>79</v>
      </c>
      <c r="D1232" s="1005" t="s">
        <v>1274</v>
      </c>
      <c r="E1232" s="1005"/>
      <c r="F1232" s="1005"/>
      <c r="G1232"/>
    </row>
    <row r="1233" spans="1:7" ht="12.75">
      <c r="E1233"/>
      <c r="F1233"/>
      <c r="G1233"/>
    </row>
    <row r="1234" spans="1:7" ht="12.75">
      <c r="D1234" s="1035" t="s">
        <v>1275</v>
      </c>
      <c r="E1234" s="1035"/>
      <c r="F1234" s="1035"/>
      <c r="G1234"/>
    </row>
    <row r="1235" spans="1:7" ht="12.75">
      <c r="D1235" s="3" t="s">
        <v>1014</v>
      </c>
      <c r="E1235"/>
      <c r="F1235"/>
      <c r="G1235"/>
    </row>
    <row r="1236" spans="1:7" ht="14.45" customHeight="1">
      <c r="A1236" s="271"/>
      <c r="B1236" s="609" t="s">
        <v>79</v>
      </c>
      <c r="D1236" s="975" t="s">
        <v>1514</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75" t="s">
        <v>1515</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1438</v>
      </c>
      <c r="B1247" s="1029"/>
      <c r="C1247" s="1029"/>
      <c r="D1247" s="1029"/>
      <c r="E1247" s="1029"/>
      <c r="F1247" s="1029"/>
      <c r="G1247" s="1029"/>
    </row>
    <row r="1248" spans="1:7" ht="12.75">
      <c r="A1248" s="44"/>
      <c r="B1248" s="44"/>
    </row>
    <row r="1249" spans="1:7" ht="12.75">
      <c r="A1249" s="44"/>
      <c r="B1249" s="44"/>
      <c r="D1249" s="1025" t="s">
        <v>1439</v>
      </c>
      <c r="E1249" s="1025"/>
      <c r="F1249" s="1025"/>
    </row>
    <row r="1250" spans="1:7" ht="12.75">
      <c r="A1250" s="268"/>
      <c r="B1250" s="268"/>
      <c r="C1250" s="268"/>
      <c r="D1250" s="1005" t="s">
        <v>1452</v>
      </c>
      <c r="E1250" s="1005"/>
      <c r="F1250" s="1005"/>
      <c r="G1250" s="269"/>
    </row>
    <row r="1251" spans="1:7" ht="10.5" customHeight="1"/>
    <row r="1252" spans="1:7" ht="14.25">
      <c r="A1252" s="271"/>
      <c r="B1252" s="609" t="s">
        <v>79</v>
      </c>
      <c r="D1252" s="1005" t="s">
        <v>1134</v>
      </c>
      <c r="E1252" s="1005"/>
      <c r="F1252" s="1005"/>
    </row>
    <row r="1253" spans="1:7" ht="12.75">
      <c r="E1253" s="1020" t="s">
        <v>2099</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17" zoomScaleNormal="100" workbookViewId="0">
      <selection activeCell="AF854" sqref="AF854"/>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2" t="s">
        <v>792</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5" customHeight="1">
      <c r="A10" s="1573" t="s">
        <v>2305</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5" customHeight="1">
      <c r="A11" s="1574" t="s">
        <v>2319</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5" customHeight="1">
      <c r="A12" s="978" t="s">
        <v>1875</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98" t="s">
        <v>2320</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2.95" customHeight="1"/>
    <row r="17" spans="1:46" ht="12.95" customHeight="1">
      <c r="A17" s="63" t="s">
        <v>793</v>
      </c>
      <c r="C17" s="5"/>
      <c r="D17" s="5"/>
      <c r="E17" s="5"/>
      <c r="F17" s="5"/>
      <c r="G17" s="5"/>
      <c r="H17" s="1103" t="s">
        <v>2321</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1" t="s">
        <v>1352</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5">
        <f>ROUND('Basis &amp; Credits'!AB55,0)</f>
        <v>2500000</v>
      </c>
      <c r="N25" s="1405"/>
      <c r="O25" s="1405"/>
      <c r="P25" s="1405"/>
      <c r="Q25" s="140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5">
        <f>'Basis &amp; Credits'!AB76</f>
        <v>0</v>
      </c>
      <c r="N27" s="1405"/>
      <c r="O27" s="1405"/>
      <c r="P27" s="1405"/>
      <c r="Q27" s="1405"/>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098" t="s">
        <v>482</v>
      </c>
      <c r="P33" s="1098"/>
      <c r="Q33" s="1575" t="s">
        <v>2256</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2260</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2262</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2265</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2268</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2269</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2273</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6" t="s">
        <v>2274</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5"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2275</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1">
        <v>12</v>
      </c>
      <c r="H115" s="1101"/>
      <c r="I115" s="41" t="s">
        <v>412</v>
      </c>
      <c r="J115" s="41"/>
      <c r="L115" s="1399" t="s">
        <v>2322</v>
      </c>
      <c r="M115" s="1400"/>
      <c r="N115" s="1400"/>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99" t="s">
        <v>2323</v>
      </c>
      <c r="D117" s="1400"/>
      <c r="E117" s="1400"/>
      <c r="F117" s="1400"/>
      <c r="G117" s="1400"/>
      <c r="H117" s="1400"/>
      <c r="I117" s="1400"/>
      <c r="J117" s="1400"/>
      <c r="K117" s="1400"/>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2324</v>
      </c>
      <c r="Z118" s="1391"/>
      <c r="AA118" s="1391"/>
      <c r="AB118" s="1391"/>
      <c r="AC118" s="1391"/>
      <c r="AD118" s="1391"/>
      <c r="AE118" s="1391"/>
      <c r="AF118" s="1391"/>
      <c r="AG118" s="1391"/>
      <c r="AH118" s="1391"/>
      <c r="AI118" s="1391"/>
      <c r="AJ118" s="1391"/>
      <c r="AK118" s="1391"/>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2325</v>
      </c>
      <c r="Z121" s="1391"/>
      <c r="AA121" s="1391"/>
      <c r="AB121" s="1391"/>
      <c r="AC121" s="1391"/>
      <c r="AD121" s="1391"/>
      <c r="AE121" s="1391"/>
      <c r="AF121" s="1391"/>
      <c r="AG121" s="1391"/>
      <c r="AH121" s="1391"/>
      <c r="AI121" s="1391"/>
      <c r="AJ121" s="1391"/>
      <c r="AK121" s="1391"/>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3" t="s">
        <v>2327</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2.95" customHeight="1">
      <c r="D157" s="339" t="s">
        <v>543</v>
      </c>
      <c r="O157" s="1265" t="s">
        <v>2326</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5" customHeight="1">
      <c r="D158" s="12" t="s">
        <v>544</v>
      </c>
      <c r="F158" s="12"/>
      <c r="G158" s="12"/>
      <c r="H158" s="12"/>
      <c r="I158" s="12"/>
      <c r="J158" s="12"/>
      <c r="K158" s="12"/>
      <c r="L158" s="12"/>
      <c r="M158" s="12"/>
      <c r="N158" s="12"/>
      <c r="O158" s="1474" t="s">
        <v>545</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423</v>
      </c>
      <c r="BT158" t="s">
        <v>29</v>
      </c>
    </row>
    <row r="159" spans="1:72" ht="12.95" customHeight="1">
      <c r="D159" t="s">
        <v>647</v>
      </c>
      <c r="O159" s="1103" t="s">
        <v>2330</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5" customHeight="1">
      <c r="D160" t="s">
        <v>648</v>
      </c>
      <c r="O160" s="1103" t="s">
        <v>2331</v>
      </c>
      <c r="P160" s="1391"/>
      <c r="Q160" s="1391"/>
      <c r="R160" s="1391"/>
      <c r="S160" s="1391"/>
      <c r="T160" s="1391"/>
      <c r="U160" s="1391"/>
      <c r="V160" s="1391"/>
      <c r="W160" s="1391"/>
      <c r="X160" s="1391"/>
      <c r="Y160" s="12"/>
      <c r="Z160" s="12"/>
      <c r="AA160" s="12"/>
      <c r="AB160" s="12"/>
      <c r="AC160" s="12"/>
      <c r="AD160" s="12"/>
      <c r="AE160" s="12"/>
      <c r="AF160" s="12"/>
      <c r="BN160" s="30" t="s">
        <v>75</v>
      </c>
      <c r="BT160" t="s">
        <v>385</v>
      </c>
    </row>
    <row r="161" spans="1:72" ht="12.95" customHeight="1">
      <c r="D161" t="s">
        <v>649</v>
      </c>
      <c r="O161" s="1476">
        <v>96001</v>
      </c>
      <c r="P161" s="1476"/>
      <c r="Q161" s="1476"/>
      <c r="R161" s="1476"/>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78" t="s">
        <v>2328</v>
      </c>
      <c r="P162" s="1479"/>
      <c r="Q162" s="1479"/>
      <c r="R162" s="1479"/>
      <c r="S162" s="1479"/>
      <c r="T162" s="1479"/>
      <c r="V162" s="179" t="s">
        <v>12</v>
      </c>
      <c r="W162" s="1477"/>
      <c r="X162" s="1477"/>
      <c r="Y162" s="14"/>
      <c r="Z162" s="14"/>
      <c r="AA162" s="14"/>
      <c r="AB162" s="14"/>
      <c r="AC162" s="14"/>
      <c r="AD162" s="14"/>
      <c r="AE162" s="14"/>
      <c r="AF162" s="14"/>
      <c r="BJ162" t="s">
        <v>108</v>
      </c>
      <c r="BN162" s="30" t="s">
        <v>77</v>
      </c>
      <c r="BT162" t="s">
        <v>387</v>
      </c>
    </row>
    <row r="163" spans="1:72" ht="12.95" customHeight="1">
      <c r="D163" t="s">
        <v>651</v>
      </c>
      <c r="O163" s="1479"/>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5" customHeight="1">
      <c r="D164" t="s">
        <v>652</v>
      </c>
      <c r="O164" s="1472" t="s">
        <v>2329</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8" t="s">
        <v>2310</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2" t="s">
        <v>505</v>
      </c>
      <c r="K173" s="1392"/>
      <c r="L173" s="1392"/>
      <c r="M173" s="1392"/>
      <c r="N173" s="1392"/>
      <c r="O173" s="1392"/>
      <c r="P173" s="1392"/>
      <c r="Q173" s="1392"/>
      <c r="R173" s="1392"/>
      <c r="S173" s="1392"/>
      <c r="U173" s="32"/>
      <c r="X173" s="32"/>
      <c r="BN173" s="30" t="s">
        <v>491</v>
      </c>
      <c r="BT173" t="s">
        <v>398</v>
      </c>
    </row>
    <row r="174" spans="1:72" ht="12.95" customHeight="1">
      <c r="C174" s="31"/>
      <c r="D174" t="s">
        <v>438</v>
      </c>
      <c r="U174" s="1098"/>
      <c r="V174" s="1098"/>
      <c r="BN174" s="30" t="s">
        <v>594</v>
      </c>
      <c r="BT174" t="s">
        <v>399</v>
      </c>
    </row>
    <row r="175" spans="1:72" ht="12.95" customHeight="1">
      <c r="C175" s="12"/>
      <c r="D175" s="33"/>
      <c r="E175" t="s">
        <v>230</v>
      </c>
      <c r="O175" s="34"/>
      <c r="P175" t="s">
        <v>2107</v>
      </c>
      <c r="T175" s="34" t="s">
        <v>231</v>
      </c>
      <c r="U175" s="1282"/>
      <c r="V175" s="1282"/>
      <c r="W175" s="1" t="s">
        <v>232</v>
      </c>
      <c r="X175" s="1475"/>
      <c r="Y175" s="1475"/>
      <c r="BN175" s="30" t="s">
        <v>595</v>
      </c>
      <c r="BT175" t="s">
        <v>400</v>
      </c>
    </row>
    <row r="176" spans="1:72" ht="12.95" customHeight="1">
      <c r="C176" s="31"/>
      <c r="D176" t="s">
        <v>279</v>
      </c>
      <c r="U176" s="1098"/>
      <c r="V176" s="1098"/>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482"/>
      <c r="K178" s="1482"/>
      <c r="L178" s="370" t="s">
        <v>232</v>
      </c>
      <c r="M178" s="1331"/>
      <c r="N178" s="1331"/>
      <c r="O178" s="361"/>
      <c r="P178" s="361"/>
      <c r="Q178" s="361"/>
      <c r="R178" s="361"/>
      <c r="U178" s="361" t="s">
        <v>1233</v>
      </c>
      <c r="V178" s="361"/>
      <c r="W178" s="361"/>
      <c r="X178" s="361"/>
      <c r="Y178" s="361"/>
      <c r="Z178" s="361"/>
      <c r="AA178" s="361"/>
      <c r="AB178" s="361"/>
      <c r="AD178" s="1483"/>
      <c r="AE178" s="1483"/>
      <c r="AF178" s="1483"/>
      <c r="AG178" s="1483"/>
      <c r="AH178" s="1483"/>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098"/>
      <c r="Z180" s="1457"/>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0" t="str">
        <f>H17</f>
        <v>Placer Street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5" customHeight="1">
      <c r="C185" s="29"/>
      <c r="D185" t="s">
        <v>429</v>
      </c>
      <c r="I185" s="1265" t="s">
        <v>2332</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5" customHeight="1">
      <c r="C186" s="29"/>
      <c r="E186" t="s">
        <v>62</v>
      </c>
      <c r="BN186" s="30" t="s">
        <v>576</v>
      </c>
      <c r="BT186" t="s">
        <v>840</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2.95" customHeight="1">
      <c r="C189" s="29"/>
      <c r="D189" t="s">
        <v>430</v>
      </c>
      <c r="I189" s="1103" t="s">
        <v>2331</v>
      </c>
      <c r="J189" s="1107"/>
      <c r="K189" s="1107"/>
      <c r="L189" s="1107"/>
      <c r="M189" s="1107"/>
      <c r="N189" s="1107"/>
      <c r="O189" s="1107"/>
      <c r="P189" s="1107"/>
      <c r="Q189" t="s">
        <v>432</v>
      </c>
      <c r="T189" s="1107" t="s">
        <v>806</v>
      </c>
      <c r="U189" s="1107"/>
      <c r="V189" s="1107"/>
      <c r="W189" s="1107"/>
      <c r="X189" s="1107"/>
      <c r="Y189" s="1107"/>
      <c r="Z189" s="1107"/>
      <c r="AA189" s="1107"/>
      <c r="AB189" s="1107"/>
      <c r="AC189" s="1107"/>
      <c r="AD189" s="1107"/>
      <c r="AE189" s="1107"/>
      <c r="BC189" t="s">
        <v>79</v>
      </c>
      <c r="BH189" s="41" t="s">
        <v>124</v>
      </c>
      <c r="BN189" s="30" t="s">
        <v>580</v>
      </c>
      <c r="BT189" t="s">
        <v>109</v>
      </c>
    </row>
    <row r="190" spans="1:72" ht="12.95" customHeight="1">
      <c r="C190" s="29"/>
      <c r="D190" t="s">
        <v>433</v>
      </c>
      <c r="I190" s="1258">
        <v>96001</v>
      </c>
      <c r="J190" s="1258"/>
      <c r="K190" s="1258"/>
      <c r="L190" s="1258"/>
      <c r="M190" s="1258"/>
      <c r="N190" s="1258"/>
      <c r="O190" t="s">
        <v>435</v>
      </c>
      <c r="T190" s="1480">
        <v>106.02</v>
      </c>
      <c r="U190" s="1480"/>
      <c r="V190" s="1480"/>
      <c r="W190" s="1480"/>
      <c r="X190" s="1480"/>
      <c r="Y190" s="1480"/>
      <c r="Z190" s="1480"/>
      <c r="AA190" s="1480"/>
      <c r="AB190" s="1480"/>
      <c r="AC190" s="1480"/>
      <c r="AD190" s="1480"/>
      <c r="AE190" s="1480"/>
      <c r="BC190" t="s">
        <v>663</v>
      </c>
      <c r="BH190" t="s">
        <v>663</v>
      </c>
      <c r="BN190" s="30" t="s">
        <v>421</v>
      </c>
      <c r="BT190" t="s">
        <v>110</v>
      </c>
    </row>
    <row r="191" spans="1:72" ht="12.95" customHeight="1">
      <c r="C191" s="29"/>
      <c r="D191" t="s">
        <v>81</v>
      </c>
      <c r="N191" s="1404" t="s">
        <v>2333</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2.95" customHeight="1">
      <c r="C193" s="29"/>
      <c r="D193" t="s">
        <v>436</v>
      </c>
      <c r="T193" s="1098" t="s">
        <v>482</v>
      </c>
      <c r="U193" s="1098"/>
      <c r="W193" s="41" t="s">
        <v>1888</v>
      </c>
      <c r="AA193" s="1486"/>
      <c r="AB193" s="1486"/>
      <c r="AC193" s="1486"/>
      <c r="BC193" t="s">
        <v>564</v>
      </c>
      <c r="BH193" s="5" t="s">
        <v>1429</v>
      </c>
      <c r="BN193" s="30" t="s">
        <v>584</v>
      </c>
      <c r="BT193" t="s">
        <v>113</v>
      </c>
    </row>
    <row r="194" spans="1:73" ht="12.95" customHeight="1">
      <c r="C194" s="29"/>
      <c r="D194" t="s">
        <v>118</v>
      </c>
      <c r="T194" s="1056" t="s">
        <v>482</v>
      </c>
      <c r="U194" s="1056"/>
      <c r="W194" t="s">
        <v>63</v>
      </c>
      <c r="AI194" s="1098" t="s">
        <v>482</v>
      </c>
      <c r="AJ194" s="1098"/>
      <c r="AX194" s="5" t="s">
        <v>124</v>
      </c>
      <c r="BC194" t="s">
        <v>615</v>
      </c>
      <c r="BN194" s="30" t="s">
        <v>753</v>
      </c>
      <c r="BT194" t="s">
        <v>114</v>
      </c>
    </row>
    <row r="195" spans="1:73" ht="12.95" customHeight="1">
      <c r="C195" s="29"/>
      <c r="D195" s="41" t="s">
        <v>1735</v>
      </c>
      <c r="T195" s="1056" t="s">
        <v>482</v>
      </c>
      <c r="U195" s="1056"/>
      <c r="X195" s="797" t="s">
        <v>2109</v>
      </c>
      <c r="AX195" s="5" t="s">
        <v>1150</v>
      </c>
      <c r="BN195" s="30" t="s">
        <v>754</v>
      </c>
      <c r="BT195" t="s">
        <v>115</v>
      </c>
    </row>
    <row r="196" spans="1:73" ht="12.95" customHeight="1">
      <c r="C196" s="29"/>
      <c r="D196" s="5" t="s">
        <v>1155</v>
      </c>
      <c r="T196" s="1056" t="s">
        <v>482</v>
      </c>
      <c r="U196" s="1056"/>
      <c r="AK196" s="1485"/>
      <c r="AL196" s="1485"/>
      <c r="AX196" s="41" t="s">
        <v>2202</v>
      </c>
      <c r="BN196" s="30" t="s">
        <v>755</v>
      </c>
      <c r="BT196" t="s">
        <v>116</v>
      </c>
    </row>
    <row r="197" spans="1:73" ht="12.95" customHeight="1">
      <c r="C197" s="29"/>
      <c r="D197" s="41" t="s">
        <v>1889</v>
      </c>
      <c r="T197" s="1098" t="s">
        <v>482</v>
      </c>
      <c r="U197" s="1098"/>
      <c r="AX197" s="5" t="s">
        <v>1151</v>
      </c>
      <c r="BC197" t="s">
        <v>79</v>
      </c>
      <c r="BN197" s="30" t="s">
        <v>756</v>
      </c>
      <c r="BT197" t="s">
        <v>117</v>
      </c>
    </row>
    <row r="198" spans="1:73" ht="12.95" customHeight="1">
      <c r="C198" s="29"/>
      <c r="D198" s="41" t="s">
        <v>1917</v>
      </c>
      <c r="W198" s="1395" t="s">
        <v>482</v>
      </c>
      <c r="X198" s="1098"/>
      <c r="AX198" s="5" t="s">
        <v>1152</v>
      </c>
      <c r="BC198" t="s">
        <v>1103</v>
      </c>
      <c r="BN198" s="30" t="s">
        <v>757</v>
      </c>
      <c r="BT198" t="s">
        <v>803</v>
      </c>
    </row>
    <row r="199" spans="1:73" ht="12.95" customHeight="1">
      <c r="C199" s="29"/>
      <c r="L199" s="309"/>
      <c r="M199" s="309"/>
      <c r="N199" s="309"/>
      <c r="O199" s="309"/>
      <c r="P199" s="309"/>
      <c r="Q199" s="922" t="s">
        <v>2110</v>
      </c>
      <c r="R199" s="1103" t="s">
        <v>79</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2294</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0" t="str">
        <f>IF(AND(M25&gt;0,M27&gt;0),"Federal and State","Federal Only")</f>
        <v>Federal Only</v>
      </c>
      <c r="E203" s="1260"/>
      <c r="F203" s="1260"/>
      <c r="G203" s="1260"/>
      <c r="H203" s="1260"/>
      <c r="I203" s="1260"/>
      <c r="J203" s="1260"/>
      <c r="K203" s="1260"/>
      <c r="L203" s="1260"/>
      <c r="M203" s="1260"/>
      <c r="P203" s="1489">
        <f>M25</f>
        <v>2500000</v>
      </c>
      <c r="Q203" s="1489"/>
      <c r="R203" s="1489"/>
      <c r="S203" s="1489"/>
      <c r="T203" s="1489"/>
      <c r="U203" s="1489"/>
      <c r="W203" s="1489">
        <f>M27</f>
        <v>0</v>
      </c>
      <c r="X203" s="1489"/>
      <c r="Y203" s="1489"/>
      <c r="Z203" s="1489"/>
      <c r="AA203" s="1489"/>
      <c r="AB203" s="1489"/>
      <c r="AV203" t="s">
        <v>124</v>
      </c>
      <c r="AX203" s="5" t="s">
        <v>564</v>
      </c>
      <c r="BC203" t="s">
        <v>1434</v>
      </c>
      <c r="BN203" s="30" t="s">
        <v>661</v>
      </c>
      <c r="BT203" s="40" t="s">
        <v>808</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5" customHeight="1">
      <c r="C208" s="29"/>
      <c r="D208" s="1391" t="s">
        <v>2334</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3" t="s">
        <v>124</v>
      </c>
      <c r="E211" s="1391"/>
      <c r="F211" s="1391"/>
      <c r="G211" s="1391"/>
      <c r="H211" s="1391"/>
      <c r="I211" s="1391"/>
      <c r="J211" s="1391"/>
      <c r="K211" s="1391"/>
      <c r="L211" s="1391"/>
      <c r="M211" s="1391"/>
      <c r="N211" s="1391"/>
      <c r="O211" s="1391"/>
      <c r="P211" s="1391"/>
      <c r="X211" s="803"/>
      <c r="Y211" s="1481" t="s">
        <v>482</v>
      </c>
      <c r="Z211" s="148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391" t="s">
        <v>663</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2022</v>
      </c>
      <c r="BC214" t="s">
        <v>630</v>
      </c>
      <c r="BN214" s="30" t="s">
        <v>443</v>
      </c>
      <c r="BT214" s="40" t="s">
        <v>817</v>
      </c>
    </row>
    <row r="215" spans="1:72" ht="12.95" customHeight="1">
      <c r="D215" s="35"/>
      <c r="E215" s="41" t="s">
        <v>2105</v>
      </c>
      <c r="AC215" s="1487"/>
      <c r="AD215" s="1487"/>
      <c r="AF215" s="1484">
        <f>IFERROR(AC215/AG433,"")</f>
        <v>0</v>
      </c>
      <c r="AG215" s="1484"/>
      <c r="AX215" t="s">
        <v>2023</v>
      </c>
      <c r="BC215" t="s">
        <v>627</v>
      </c>
    </row>
    <row r="216" spans="1:72" ht="12.95" customHeight="1">
      <c r="D216" s="35"/>
      <c r="E216" s="938" t="s">
        <v>1432</v>
      </c>
      <c r="AX216" t="s">
        <v>2024</v>
      </c>
      <c r="BC216" t="s">
        <v>744</v>
      </c>
    </row>
    <row r="217" spans="1:72" ht="12.95" customHeight="1">
      <c r="E217" s="1403" t="s">
        <v>124</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AX217" s="41" t="s">
        <v>2026</v>
      </c>
      <c r="BC217" t="s">
        <v>628</v>
      </c>
    </row>
    <row r="218" spans="1:72" ht="12.95" customHeight="1">
      <c r="E218" s="41" t="s">
        <v>1962</v>
      </c>
      <c r="AA218" s="49"/>
      <c r="AC218" s="1361"/>
      <c r="AD218" s="1361"/>
      <c r="AE218" s="1361"/>
      <c r="AF218" s="1361"/>
      <c r="AG218" s="1361"/>
      <c r="AH218" s="1361"/>
      <c r="AI218" s="1361"/>
      <c r="AJ218" s="1361"/>
      <c r="AK218" s="1361"/>
      <c r="AL218" s="1361"/>
      <c r="AM218" s="1361"/>
      <c r="BC218" t="s">
        <v>629</v>
      </c>
      <c r="BI218" s="39"/>
    </row>
    <row r="219" spans="1:72" ht="12.95" customHeight="1">
      <c r="E219" s="41" t="s">
        <v>1963</v>
      </c>
      <c r="AA219" s="49"/>
      <c r="AC219" s="1361"/>
      <c r="AD219" s="1361"/>
      <c r="AE219" s="1361"/>
      <c r="AF219" s="1361"/>
      <c r="AG219" s="1361"/>
      <c r="AH219" s="1361"/>
      <c r="AI219" s="1361"/>
      <c r="AJ219" s="1361"/>
      <c r="AK219" s="1361"/>
      <c r="AL219" s="1361"/>
      <c r="AM219" s="13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1435</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557</v>
      </c>
      <c r="O225" s="1098">
        <v>1</v>
      </c>
      <c r="P225" s="1098"/>
    </row>
    <row r="226" spans="1:59" ht="12.95" customHeight="1">
      <c r="D226" t="s">
        <v>558</v>
      </c>
      <c r="O226" s="1098">
        <v>1</v>
      </c>
      <c r="P226" s="1098"/>
      <c r="BB226" s="5" t="s">
        <v>638</v>
      </c>
      <c r="BG226" s="410">
        <f>IF(AND(AND($M$251="for profit",$M$259="for profit",$M$267="nonprofit")),2,0)</f>
        <v>0</v>
      </c>
    </row>
    <row r="227" spans="1:59" ht="12.95" customHeight="1">
      <c r="D227" t="s">
        <v>559</v>
      </c>
      <c r="O227" s="1098">
        <v>1</v>
      </c>
      <c r="P227" s="109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6" t="str">
        <f>H15</f>
        <v>Redding Placer Street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D236" s="5" t="s">
        <v>372</v>
      </c>
      <c r="E236" s="5"/>
      <c r="F236" s="5"/>
      <c r="G236" s="5"/>
      <c r="H236" s="5"/>
      <c r="I236" s="5"/>
      <c r="J236" s="5"/>
      <c r="K236" s="5"/>
      <c r="M236" s="1391" t="s">
        <v>2335</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637</v>
      </c>
      <c r="BG236" s="410">
        <f>IF(AND(AND($M$251="nonprofit",$M$259="nonprofit",$M$267="nonprofit")),1,0)</f>
        <v>0</v>
      </c>
    </row>
    <row r="237" spans="1:59" ht="12.95" customHeight="1">
      <c r="D237" s="5" t="s">
        <v>430</v>
      </c>
      <c r="E237" s="5"/>
      <c r="M237" s="1391" t="s">
        <v>2323</v>
      </c>
      <c r="N237" s="1391"/>
      <c r="O237" s="1391"/>
      <c r="P237" s="1391"/>
      <c r="Q237" s="1391"/>
      <c r="R237" s="1391"/>
      <c r="S237" s="1391"/>
      <c r="T237" s="1391"/>
      <c r="V237" s="42" t="s">
        <v>373</v>
      </c>
      <c r="W237" s="1259" t="s">
        <v>2336</v>
      </c>
      <c r="X237" s="1259"/>
      <c r="Y237" s="5" t="s">
        <v>433</v>
      </c>
      <c r="AC237" s="1391">
        <v>95521</v>
      </c>
      <c r="AD237" s="1391"/>
      <c r="AE237" s="1391"/>
      <c r="AN237" s="41"/>
      <c r="BB237" t="s">
        <v>637</v>
      </c>
      <c r="BG237" s="410">
        <f>IF(AND(AND($M$251="nonprofit",$M$259="nonprofit",$M$267="(select one)")),1,0)</f>
        <v>0</v>
      </c>
    </row>
    <row r="238" spans="1:59" ht="12.95" customHeight="1">
      <c r="D238" s="5" t="s">
        <v>374</v>
      </c>
      <c r="E238" s="5"/>
      <c r="F238" s="5"/>
      <c r="G238" s="5"/>
      <c r="H238" s="5"/>
      <c r="I238" s="5"/>
      <c r="J238" s="5"/>
      <c r="K238" s="28"/>
      <c r="M238" s="1391" t="s">
        <v>2337</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637</v>
      </c>
      <c r="BG238" s="410">
        <f>IF(AND(AND($M$251="nonprofit",$M$259="(select one)",$M$267="(select one)")),1,0)</f>
        <v>0</v>
      </c>
    </row>
    <row r="239" spans="1:59" ht="12.95" customHeight="1">
      <c r="D239" s="5" t="s">
        <v>375</v>
      </c>
      <c r="E239" s="5"/>
      <c r="F239" s="5"/>
      <c r="M239" s="1264">
        <v>7078229000</v>
      </c>
      <c r="N239" s="1264"/>
      <c r="O239" s="1264"/>
      <c r="P239" s="1264"/>
      <c r="Q239" s="1264"/>
      <c r="R239" s="1264"/>
      <c r="S239" s="5" t="s">
        <v>818</v>
      </c>
      <c r="T239" s="5"/>
      <c r="U239" s="1259"/>
      <c r="V239" s="1259"/>
      <c r="W239" s="1259"/>
      <c r="X239" s="5" t="s">
        <v>376</v>
      </c>
      <c r="Z239" s="1264">
        <v>7078229596</v>
      </c>
      <c r="AA239" s="1264"/>
      <c r="AB239" s="1264"/>
      <c r="AC239" s="1264"/>
      <c r="AD239" s="1264"/>
      <c r="AE239" s="1264"/>
      <c r="AM239" s="41"/>
      <c r="AN239" s="41"/>
      <c r="BB239" t="s">
        <v>1009</v>
      </c>
      <c r="BG239" s="410">
        <f>IF(AND(AND($M$251="for profit",$M$259="for profit",$M$267="for profit")),3,0)</f>
        <v>0</v>
      </c>
    </row>
    <row r="240" spans="1:59" ht="12.95" customHeight="1">
      <c r="D240" s="5" t="s">
        <v>377</v>
      </c>
      <c r="E240" s="5"/>
      <c r="F240" s="5"/>
      <c r="M240" s="1472" t="s">
        <v>2338</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8" t="s">
        <v>628</v>
      </c>
      <c r="N241" s="1258"/>
      <c r="O241" s="1258"/>
      <c r="P241" s="1258"/>
      <c r="Q241" s="1258"/>
      <c r="R241" s="1258"/>
      <c r="S241" s="1258"/>
      <c r="T241" s="1258"/>
      <c r="U241" s="5" t="s">
        <v>1144</v>
      </c>
      <c r="AA241" s="1402"/>
      <c r="AB241" s="1402"/>
      <c r="AC241" s="1402"/>
      <c r="AD241" s="1402"/>
      <c r="AE241" s="1402"/>
      <c r="AF241" s="1402"/>
      <c r="AG241" s="1402"/>
      <c r="AH241" s="1402"/>
      <c r="AI241" s="1402"/>
      <c r="AJ241" s="1402"/>
      <c r="AK241" s="1402"/>
      <c r="AL241" s="41"/>
      <c r="AM241" s="5"/>
      <c r="AN241" s="41"/>
      <c r="AO241" s="41"/>
      <c r="BB241" t="s">
        <v>1009</v>
      </c>
      <c r="BG241" s="411">
        <f>IF(AND(AND($M$251="for profit",$M$259="(select one)",$M$267="(select one)")),3,0)</f>
        <v>0</v>
      </c>
    </row>
    <row r="242" spans="1:67" ht="12.95"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98" t="s">
        <v>2339</v>
      </c>
      <c r="N245" s="1398"/>
      <c r="O245" s="1398"/>
      <c r="P245" s="1398"/>
      <c r="Q245" s="1398"/>
      <c r="R245" s="1398"/>
      <c r="S245" s="1398"/>
      <c r="T245" s="1398"/>
      <c r="U245" s="1398"/>
      <c r="V245" s="1398"/>
      <c r="W245" s="1398"/>
      <c r="X245" s="1398"/>
      <c r="Y245" s="1398"/>
      <c r="Z245" s="1398"/>
      <c r="AA245" s="1398"/>
      <c r="AB245" s="1398"/>
      <c r="AC245" s="1398"/>
      <c r="AD245" s="1398"/>
      <c r="AE245" s="1398"/>
      <c r="AF245" s="1471" t="s">
        <v>2340</v>
      </c>
      <c r="AG245" s="1471"/>
      <c r="AH245" s="1471"/>
      <c r="AI245" s="1471"/>
      <c r="AJ245" s="1471"/>
      <c r="AK245" s="1471"/>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391" t="s">
        <v>2335</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454</v>
      </c>
      <c r="BH246">
        <v>3</v>
      </c>
      <c r="BI246" t="s">
        <v>636</v>
      </c>
    </row>
    <row r="247" spans="1:67" ht="12.95" customHeight="1">
      <c r="A247" s="28"/>
      <c r="B247" s="5"/>
      <c r="C247" s="5"/>
      <c r="D247" s="5" t="s">
        <v>430</v>
      </c>
      <c r="E247" s="5"/>
      <c r="M247" s="1391" t="s">
        <v>2323</v>
      </c>
      <c r="N247" s="1391"/>
      <c r="O247" s="1391"/>
      <c r="P247" s="1391"/>
      <c r="Q247" s="1391"/>
      <c r="R247" s="1391"/>
      <c r="S247" s="1391"/>
      <c r="T247" s="1391"/>
      <c r="V247" s="42" t="s">
        <v>373</v>
      </c>
      <c r="W247" s="1265" t="s">
        <v>2336</v>
      </c>
      <c r="X247" s="1259"/>
      <c r="Y247" s="5" t="s">
        <v>433</v>
      </c>
      <c r="AC247" s="1391">
        <v>95521</v>
      </c>
      <c r="AD247" s="1391"/>
      <c r="AE247" s="1391"/>
      <c r="AN247" s="41"/>
    </row>
    <row r="248" spans="1:67" ht="12.95" customHeight="1">
      <c r="A248" s="28"/>
      <c r="B248" s="5"/>
      <c r="C248" s="5"/>
      <c r="D248" s="5" t="s">
        <v>374</v>
      </c>
      <c r="E248" s="5"/>
      <c r="F248" s="5"/>
      <c r="G248" s="5"/>
      <c r="H248" s="5"/>
      <c r="I248" s="5"/>
      <c r="J248" s="5"/>
      <c r="K248" s="5"/>
      <c r="L248" s="28"/>
      <c r="M248" s="1391" t="s">
        <v>2341</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375</v>
      </c>
      <c r="E249" s="5"/>
      <c r="F249" s="5"/>
      <c r="M249" s="1264">
        <v>7078229000</v>
      </c>
      <c r="N249" s="1264"/>
      <c r="O249" s="1264"/>
      <c r="P249" s="1264"/>
      <c r="Q249" s="1264"/>
      <c r="R249" s="1264"/>
      <c r="S249" s="5" t="s">
        <v>818</v>
      </c>
      <c r="T249" s="5"/>
      <c r="U249" s="1259"/>
      <c r="V249" s="1259"/>
      <c r="W249" s="1259"/>
      <c r="X249" s="5" t="s">
        <v>376</v>
      </c>
      <c r="Z249" s="1264">
        <v>7078229596</v>
      </c>
      <c r="AA249" s="1264"/>
      <c r="AB249" s="1264"/>
      <c r="AC249" s="1264"/>
      <c r="AD249" s="1264"/>
      <c r="AE249" s="1264"/>
      <c r="AM249" s="5"/>
      <c r="AN249" s="41"/>
    </row>
    <row r="250" spans="1:67" ht="12.95" customHeight="1">
      <c r="A250" s="28"/>
      <c r="B250" s="5"/>
      <c r="C250" s="5"/>
      <c r="D250" s="5" t="s">
        <v>377</v>
      </c>
      <c r="E250" s="5"/>
      <c r="F250" s="5"/>
      <c r="M250" s="1472" t="s">
        <v>2342</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5"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02" t="s">
        <v>2343</v>
      </c>
      <c r="AB251" s="1402"/>
      <c r="AC251" s="1402"/>
      <c r="AD251" s="1402"/>
      <c r="AE251" s="1402"/>
      <c r="AF251" s="1402"/>
      <c r="AG251" s="1402"/>
      <c r="AH251" s="1402"/>
      <c r="AI251" s="1402"/>
      <c r="AJ251" s="1402"/>
      <c r="AK251" s="140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98" t="s">
        <v>2344</v>
      </c>
      <c r="N253" s="1398"/>
      <c r="O253" s="1398"/>
      <c r="P253" s="1398"/>
      <c r="Q253" s="1398"/>
      <c r="R253" s="1398"/>
      <c r="S253" s="1398"/>
      <c r="T253" s="1398"/>
      <c r="U253" s="1398"/>
      <c r="V253" s="1398"/>
      <c r="W253" s="1398"/>
      <c r="X253" s="1398"/>
      <c r="Y253" s="1398"/>
      <c r="Z253" s="1398"/>
      <c r="AA253" s="1398"/>
      <c r="AB253" s="1398"/>
      <c r="AC253" s="1398"/>
      <c r="AD253" s="1398"/>
      <c r="AE253" s="1398"/>
      <c r="AF253" s="1471" t="s">
        <v>2346</v>
      </c>
      <c r="AG253" s="1471"/>
      <c r="AH253" s="1471"/>
      <c r="AI253" s="1471"/>
      <c r="AJ253" s="1471"/>
      <c r="AK253" s="1471"/>
      <c r="AM253" s="5"/>
    </row>
    <row r="254" spans="1:67" ht="12.95" customHeight="1">
      <c r="A254" s="28"/>
      <c r="B254" s="5"/>
      <c r="C254" s="5"/>
      <c r="D254" s="5" t="s">
        <v>372</v>
      </c>
      <c r="E254" s="5"/>
      <c r="F254" s="5"/>
      <c r="G254" s="5"/>
      <c r="H254" s="5"/>
      <c r="I254" s="5"/>
      <c r="J254" s="5"/>
      <c r="K254" s="5"/>
      <c r="L254" s="5"/>
      <c r="M254" s="1391" t="s">
        <v>2345</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430</v>
      </c>
      <c r="E255" s="5"/>
      <c r="M255" s="1391" t="s">
        <v>2331</v>
      </c>
      <c r="N255" s="1391"/>
      <c r="O255" s="1391"/>
      <c r="P255" s="1391"/>
      <c r="Q255" s="1391"/>
      <c r="R255" s="1391"/>
      <c r="S255" s="1391"/>
      <c r="T255" s="1391"/>
      <c r="V255" s="42" t="s">
        <v>373</v>
      </c>
      <c r="W255" s="1265" t="s">
        <v>2336</v>
      </c>
      <c r="X255" s="1259"/>
      <c r="Y255" s="5" t="s">
        <v>433</v>
      </c>
      <c r="AC255" s="1391">
        <v>96001</v>
      </c>
      <c r="AD255" s="1391"/>
      <c r="AE255" s="1391"/>
    </row>
    <row r="256" spans="1:67" ht="12.95" customHeight="1">
      <c r="A256" s="28"/>
      <c r="B256" s="5"/>
      <c r="C256" s="5"/>
      <c r="D256" s="5" t="s">
        <v>374</v>
      </c>
      <c r="E256" s="5"/>
      <c r="F256" s="5"/>
      <c r="G256" s="5"/>
      <c r="H256" s="5"/>
      <c r="I256" s="5"/>
      <c r="J256" s="5"/>
      <c r="K256" s="5"/>
      <c r="L256" s="28"/>
      <c r="M256" s="1391" t="s">
        <v>2347</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375</v>
      </c>
      <c r="E257" s="5"/>
      <c r="F257" s="5"/>
      <c r="M257" s="1264">
        <v>5302416960</v>
      </c>
      <c r="N257" s="1264"/>
      <c r="O257" s="1264"/>
      <c r="P257" s="1264"/>
      <c r="Q257" s="1264"/>
      <c r="R257" s="1264"/>
      <c r="S257" s="5" t="s">
        <v>818</v>
      </c>
      <c r="T257" s="5"/>
      <c r="U257" s="1259"/>
      <c r="V257" s="1259"/>
      <c r="W257" s="1259"/>
      <c r="X257" s="5" t="s">
        <v>376</v>
      </c>
      <c r="Z257" s="1264"/>
      <c r="AA257" s="1264"/>
      <c r="AB257" s="1264"/>
      <c r="AC257" s="1264"/>
      <c r="AD257" s="1264"/>
      <c r="AE257" s="1264"/>
      <c r="BA257" s="43"/>
    </row>
    <row r="258" spans="1:53" ht="12.95" customHeight="1">
      <c r="A258" s="28"/>
      <c r="B258" s="5"/>
      <c r="C258" s="5"/>
      <c r="D258" s="5" t="s">
        <v>377</v>
      </c>
      <c r="E258" s="5"/>
      <c r="F258" s="5"/>
      <c r="M258" s="1472" t="s">
        <v>2348</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5"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2"/>
      <c r="AB259" s="1402"/>
      <c r="AC259" s="1402"/>
      <c r="AD259" s="1402"/>
      <c r="AE259" s="1402"/>
      <c r="AF259" s="1402"/>
      <c r="AG259" s="1402"/>
      <c r="AH259" s="1402"/>
      <c r="AI259" s="1402"/>
      <c r="AJ259" s="1402"/>
      <c r="AK259" s="140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2.95" customHeight="1">
      <c r="A262" s="18"/>
      <c r="B262" s="5"/>
      <c r="C262" s="5"/>
      <c r="D262" s="5" t="s">
        <v>372</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430</v>
      </c>
      <c r="E263" s="5"/>
      <c r="M263" s="1391"/>
      <c r="N263" s="1391"/>
      <c r="O263" s="1391"/>
      <c r="P263" s="1391"/>
      <c r="Q263" s="1391"/>
      <c r="R263" s="1391"/>
      <c r="S263" s="1391"/>
      <c r="T263" s="1391"/>
      <c r="V263" s="42" t="s">
        <v>373</v>
      </c>
      <c r="W263" s="1259"/>
      <c r="X263" s="1259"/>
      <c r="Y263" s="5" t="s">
        <v>433</v>
      </c>
      <c r="AC263" s="1391"/>
      <c r="AD263" s="1391"/>
      <c r="AE263" s="1391"/>
      <c r="AL263" s="41"/>
      <c r="BA263" s="43"/>
    </row>
    <row r="264" spans="1:53" ht="12.95" customHeight="1">
      <c r="A264" s="18"/>
      <c r="B264" s="5"/>
      <c r="C264" s="5"/>
      <c r="D264" s="5" t="s">
        <v>374</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375</v>
      </c>
      <c r="E265" s="5"/>
      <c r="F265" s="5"/>
      <c r="M265" s="1264"/>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2.95" customHeight="1">
      <c r="A266" s="18"/>
      <c r="B266" s="5"/>
      <c r="C266" s="5"/>
      <c r="D266" s="5" t="s">
        <v>377</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2"/>
      <c r="AB267" s="1402"/>
      <c r="AC267" s="1402"/>
      <c r="AD267" s="1402"/>
      <c r="AE267" s="1402"/>
      <c r="AF267" s="1402"/>
      <c r="AG267" s="1402"/>
      <c r="AH267" s="1402"/>
      <c r="AI267" s="1402"/>
      <c r="AJ267" s="1402"/>
      <c r="AK267" s="1402"/>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7" t="str">
        <f>BO245</f>
        <v>Joint Venture</v>
      </c>
      <c r="U269" s="1577"/>
      <c r="V269" s="1577"/>
      <c r="W269" s="1577"/>
      <c r="X269" s="1577"/>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1" t="s">
        <v>892</v>
      </c>
      <c r="E272" s="1391"/>
      <c r="F272" s="1391"/>
      <c r="G272" s="1391"/>
      <c r="H272" s="1391"/>
      <c r="J272" t="s">
        <v>891</v>
      </c>
      <c r="X272" s="1473">
        <v>44749</v>
      </c>
      <c r="Y272" s="1473"/>
      <c r="Z272" s="1473"/>
      <c r="AA272" s="1473"/>
      <c r="AB272" s="1473"/>
      <c r="AC272" s="1473"/>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1" t="s">
        <v>2349</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372</v>
      </c>
      <c r="E277" s="5"/>
      <c r="F277" s="5"/>
      <c r="G277" s="5"/>
      <c r="H277" s="5"/>
      <c r="I277" s="5"/>
      <c r="J277" s="5"/>
      <c r="K277" s="5"/>
      <c r="L277" s="1391" t="s">
        <v>2335</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430</v>
      </c>
      <c r="E278" s="5"/>
      <c r="L278" s="1391" t="s">
        <v>2323</v>
      </c>
      <c r="M278" s="1391"/>
      <c r="N278" s="1391"/>
      <c r="O278" s="1391"/>
      <c r="P278" s="1391"/>
      <c r="Q278" s="1391"/>
      <c r="R278" s="1391"/>
      <c r="S278" s="1391"/>
      <c r="U278" s="42" t="s">
        <v>373</v>
      </c>
      <c r="V278" s="1265" t="s">
        <v>2336</v>
      </c>
      <c r="W278" s="1259"/>
      <c r="X278" s="5" t="s">
        <v>433</v>
      </c>
      <c r="AB278" s="1391">
        <v>95521</v>
      </c>
      <c r="AC278" s="1391"/>
      <c r="AD278" s="1391"/>
      <c r="AK278" s="41"/>
      <c r="AL278" s="41"/>
      <c r="BA278" s="43"/>
    </row>
    <row r="279" spans="1:53" ht="12.95" customHeight="1">
      <c r="D279" s="5" t="s">
        <v>374</v>
      </c>
      <c r="E279" s="5"/>
      <c r="F279" s="5"/>
      <c r="G279" s="5"/>
      <c r="H279" s="5"/>
      <c r="I279" s="5"/>
      <c r="J279" s="5"/>
      <c r="K279" s="28"/>
      <c r="L279" s="1391" t="s">
        <v>2337</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375</v>
      </c>
      <c r="E280" s="5"/>
      <c r="F280" s="5"/>
      <c r="L280" s="1264">
        <v>7078229000</v>
      </c>
      <c r="M280" s="1264"/>
      <c r="N280" s="1264"/>
      <c r="O280" s="1264"/>
      <c r="P280" s="1264"/>
      <c r="Q280" s="1264"/>
      <c r="R280" s="5" t="s">
        <v>818</v>
      </c>
      <c r="S280" s="5"/>
      <c r="T280" s="1259"/>
      <c r="U280" s="1259"/>
      <c r="V280" s="1259"/>
      <c r="W280" s="5" t="s">
        <v>376</v>
      </c>
      <c r="Y280" s="1264">
        <v>7078229596</v>
      </c>
      <c r="Z280" s="1264"/>
      <c r="AA280" s="1264"/>
      <c r="AB280" s="1264"/>
      <c r="AC280" s="1264"/>
      <c r="AD280" s="1264"/>
      <c r="BA280" s="43"/>
    </row>
    <row r="281" spans="1:53" ht="12.95" customHeight="1">
      <c r="D281" s="5" t="s">
        <v>377</v>
      </c>
      <c r="E281" s="5"/>
      <c r="F281" s="5"/>
      <c r="L281" s="1472" t="s">
        <v>2338</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5" customHeight="1">
      <c r="D282" s="41" t="s">
        <v>186</v>
      </c>
      <c r="E282" s="41"/>
      <c r="F282" s="41"/>
      <c r="G282" s="41"/>
      <c r="H282" s="41"/>
      <c r="I282" s="41"/>
      <c r="L282" s="1265" t="s">
        <v>2350</v>
      </c>
      <c r="M282" s="1265"/>
      <c r="N282" s="1265"/>
      <c r="O282" s="1265"/>
      <c r="P282" s="1265"/>
      <c r="Q282" s="1265"/>
      <c r="R282" s="1265"/>
      <c r="S282" s="1265"/>
      <c r="T282" s="1265"/>
      <c r="U282" s="1265"/>
      <c r="V282" s="1265"/>
      <c r="W282" s="1265"/>
      <c r="X282" s="1265"/>
      <c r="Y282" s="1265"/>
      <c r="Z282" s="1265"/>
      <c r="AA282" s="1265"/>
      <c r="AB282" s="1265"/>
      <c r="AC282" s="1265"/>
      <c r="AD282" s="1265"/>
      <c r="AK282" s="41"/>
      <c r="AL282" s="41"/>
      <c r="BA282" s="43"/>
    </row>
    <row r="283" spans="1:53" ht="12.95" customHeight="1">
      <c r="L283" s="4" t="s">
        <v>187</v>
      </c>
      <c r="BA283" s="43"/>
    </row>
    <row r="284" spans="1:53" ht="12.9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2349</v>
      </c>
      <c r="I289" s="1107"/>
      <c r="J289" s="1107"/>
      <c r="K289" s="1107"/>
      <c r="L289" s="1107"/>
      <c r="M289" s="1107"/>
      <c r="N289" s="1107"/>
      <c r="O289" s="1107"/>
      <c r="P289" s="1107"/>
      <c r="Q289" s="1107"/>
      <c r="R289" s="1107"/>
      <c r="T289" s="41" t="s">
        <v>745</v>
      </c>
      <c r="V289" s="41"/>
      <c r="W289" s="41"/>
      <c r="X289" s="41"/>
      <c r="Y289" s="41"/>
      <c r="AA289" s="1107" t="s">
        <v>2366</v>
      </c>
      <c r="AB289" s="1107"/>
      <c r="AC289" s="1107"/>
      <c r="AD289" s="1107"/>
      <c r="AE289" s="1107"/>
      <c r="AF289" s="1107"/>
      <c r="AG289" s="1107"/>
      <c r="AH289" s="1107"/>
      <c r="AI289" s="1107"/>
      <c r="AJ289" s="1107"/>
      <c r="AK289" s="1107"/>
      <c r="BA289" s="43"/>
    </row>
    <row r="290" spans="2:53" ht="12.95" customHeight="1">
      <c r="B290" s="41" t="s">
        <v>699</v>
      </c>
      <c r="C290" s="41"/>
      <c r="D290" s="41"/>
      <c r="E290" s="41"/>
      <c r="F290" s="41"/>
      <c r="H290" s="1258" t="s">
        <v>2335</v>
      </c>
      <c r="I290" s="1258"/>
      <c r="J290" s="1258"/>
      <c r="K290" s="1258"/>
      <c r="L290" s="1258"/>
      <c r="M290" s="1258"/>
      <c r="N290" s="1258"/>
      <c r="O290" s="1258"/>
      <c r="P290" s="1258"/>
      <c r="Q290" s="1258"/>
      <c r="R290" s="1258"/>
      <c r="T290" s="41" t="s">
        <v>699</v>
      </c>
      <c r="V290" s="41"/>
      <c r="W290" s="41"/>
      <c r="X290" s="41"/>
      <c r="Y290" s="41"/>
      <c r="AA290" s="1258" t="s">
        <v>2367</v>
      </c>
      <c r="AB290" s="1258"/>
      <c r="AC290" s="1258"/>
      <c r="AD290" s="1258"/>
      <c r="AE290" s="1258"/>
      <c r="AF290" s="1258"/>
      <c r="AG290" s="1258"/>
      <c r="AH290" s="1258"/>
      <c r="AI290" s="1258"/>
      <c r="AJ290" s="1258"/>
      <c r="AK290" s="1258"/>
      <c r="BA290" s="43"/>
    </row>
    <row r="291" spans="2:53" ht="12.95" customHeight="1">
      <c r="B291" s="41" t="s">
        <v>701</v>
      </c>
      <c r="C291" s="41"/>
      <c r="D291" s="41"/>
      <c r="E291" s="41"/>
      <c r="F291" s="41"/>
      <c r="H291" s="1258" t="s">
        <v>2351</v>
      </c>
      <c r="I291" s="1258"/>
      <c r="J291" s="1258"/>
      <c r="K291" s="1258"/>
      <c r="L291" s="1258"/>
      <c r="M291" s="1258"/>
      <c r="N291" s="1258"/>
      <c r="O291" s="1258"/>
      <c r="P291" s="1258"/>
      <c r="Q291" s="1258"/>
      <c r="R291" s="1258"/>
      <c r="T291" s="41" t="s">
        <v>700</v>
      </c>
      <c r="V291" s="41"/>
      <c r="W291" s="41"/>
      <c r="X291" s="41"/>
      <c r="Y291" s="41"/>
      <c r="AA291" s="1258" t="s">
        <v>2368</v>
      </c>
      <c r="AB291" s="1258"/>
      <c r="AC291" s="1258"/>
      <c r="AD291" s="1258"/>
      <c r="AE291" s="1258"/>
      <c r="AF291" s="1258"/>
      <c r="AG291" s="1258"/>
      <c r="AH291" s="1258"/>
      <c r="AI291" s="1258"/>
      <c r="AJ291" s="1258"/>
      <c r="AK291" s="1258"/>
      <c r="BA291" s="43"/>
    </row>
    <row r="292" spans="2:53" ht="12.95" customHeight="1">
      <c r="B292" s="41" t="s">
        <v>374</v>
      </c>
      <c r="C292" s="41"/>
      <c r="D292" s="41"/>
      <c r="E292" s="41"/>
      <c r="F292" s="41"/>
      <c r="H292" s="1258" t="s">
        <v>2341</v>
      </c>
      <c r="I292" s="1258"/>
      <c r="J292" s="1258"/>
      <c r="K292" s="1258"/>
      <c r="L292" s="1258"/>
      <c r="M292" s="1258"/>
      <c r="N292" s="1258"/>
      <c r="O292" s="1258"/>
      <c r="P292" s="1258"/>
      <c r="Q292" s="1258"/>
      <c r="R292" s="1258"/>
      <c r="T292" s="41" t="s">
        <v>374</v>
      </c>
      <c r="V292" s="41"/>
      <c r="W292" s="41"/>
      <c r="X292" s="41"/>
      <c r="Y292" s="41"/>
      <c r="AA292" s="1258" t="s">
        <v>2369</v>
      </c>
      <c r="AB292" s="1258"/>
      <c r="AC292" s="1258"/>
      <c r="AD292" s="1258"/>
      <c r="AE292" s="1258"/>
      <c r="AF292" s="1258"/>
      <c r="AG292" s="1258"/>
      <c r="AH292" s="1258"/>
      <c r="AI292" s="1258"/>
      <c r="AJ292" s="1258"/>
      <c r="AK292" s="1258"/>
      <c r="BA292" s="43"/>
    </row>
    <row r="293" spans="2:53" ht="12.95" customHeight="1">
      <c r="B293" s="41" t="s">
        <v>375</v>
      </c>
      <c r="C293" s="41"/>
      <c r="D293" s="41"/>
      <c r="E293" s="41"/>
      <c r="F293" s="41"/>
      <c r="G293" s="41"/>
      <c r="H293" s="1402" t="s">
        <v>2352</v>
      </c>
      <c r="I293" s="1402"/>
      <c r="J293" s="1402"/>
      <c r="K293" s="1402"/>
      <c r="L293" s="1402"/>
      <c r="M293" s="1402"/>
      <c r="N293" s="5" t="s">
        <v>818</v>
      </c>
      <c r="O293" s="5"/>
      <c r="P293" s="1391"/>
      <c r="Q293" s="1391"/>
      <c r="R293" s="1391"/>
      <c r="S293" s="41"/>
      <c r="T293" s="41" t="s">
        <v>375</v>
      </c>
      <c r="V293" s="41"/>
      <c r="W293" s="41"/>
      <c r="X293" s="41"/>
      <c r="Y293" s="41"/>
      <c r="AA293" s="1402" t="s">
        <v>2370</v>
      </c>
      <c r="AB293" s="1402"/>
      <c r="AC293" s="1402"/>
      <c r="AD293" s="1402"/>
      <c r="AE293" s="1402"/>
      <c r="AF293" s="1402"/>
      <c r="AG293" s="5" t="s">
        <v>818</v>
      </c>
      <c r="AH293" s="5"/>
      <c r="AI293" s="1391"/>
      <c r="AJ293" s="1391"/>
      <c r="AK293" s="1391"/>
      <c r="BA293" s="43"/>
    </row>
    <row r="294" spans="2:53" ht="12.95" customHeight="1">
      <c r="B294" s="41" t="s">
        <v>376</v>
      </c>
      <c r="C294" s="41"/>
      <c r="D294" s="41"/>
      <c r="E294" s="41"/>
      <c r="F294" s="41"/>
      <c r="G294" s="41"/>
      <c r="H294" s="1264" t="s">
        <v>2353</v>
      </c>
      <c r="I294" s="1264"/>
      <c r="J294" s="1264"/>
      <c r="K294" s="1264"/>
      <c r="L294" s="1264"/>
      <c r="M294" s="1264"/>
      <c r="N294" s="5"/>
      <c r="O294" s="5"/>
      <c r="P294" s="44"/>
      <c r="Q294" s="44"/>
      <c r="R294" s="44"/>
      <c r="S294" s="41"/>
      <c r="T294" s="41" t="s">
        <v>376</v>
      </c>
      <c r="V294" s="41"/>
      <c r="W294" s="41"/>
      <c r="X294" s="41"/>
      <c r="Y294" s="41"/>
      <c r="AA294" s="1264" t="s">
        <v>2371</v>
      </c>
      <c r="AB294" s="1264"/>
      <c r="AC294" s="1264"/>
      <c r="AD294" s="1264"/>
      <c r="AE294" s="1264"/>
      <c r="AF294" s="1264"/>
      <c r="AG294" s="5"/>
      <c r="AH294" s="5"/>
      <c r="AI294" s="44"/>
      <c r="AJ294" s="44"/>
      <c r="AK294" s="44"/>
      <c r="BA294" s="43"/>
    </row>
    <row r="295" spans="2:53" ht="12.95" customHeight="1">
      <c r="B295" s="41" t="s">
        <v>702</v>
      </c>
      <c r="C295" s="41"/>
      <c r="D295" s="41"/>
      <c r="E295" s="41"/>
      <c r="F295" s="41"/>
      <c r="G295" s="41"/>
      <c r="H295" s="1258" t="s">
        <v>2342</v>
      </c>
      <c r="I295" s="1258"/>
      <c r="J295" s="1258"/>
      <c r="K295" s="1258"/>
      <c r="L295" s="1258"/>
      <c r="M295" s="1258"/>
      <c r="N295" s="1107"/>
      <c r="O295" s="1107"/>
      <c r="P295" s="1107"/>
      <c r="Q295" s="1107"/>
      <c r="R295" s="1107"/>
      <c r="S295" s="41"/>
      <c r="T295" s="41" t="s">
        <v>702</v>
      </c>
      <c r="V295" s="41"/>
      <c r="W295" s="41"/>
      <c r="X295" s="41"/>
      <c r="Y295" s="41"/>
      <c r="AA295" s="1258" t="s">
        <v>2372</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7" t="s">
        <v>2354</v>
      </c>
      <c r="I297" s="1107"/>
      <c r="J297" s="1107"/>
      <c r="K297" s="1107"/>
      <c r="L297" s="1107"/>
      <c r="M297" s="1107"/>
      <c r="N297" s="1107"/>
      <c r="O297" s="1107"/>
      <c r="P297" s="1107"/>
      <c r="Q297" s="1107"/>
      <c r="R297" s="1107"/>
      <c r="T297" s="41" t="s">
        <v>35</v>
      </c>
      <c r="V297" s="41"/>
      <c r="W297" s="41"/>
      <c r="X297" s="41"/>
      <c r="Y297" s="41"/>
      <c r="AA297" s="1107" t="s">
        <v>2373</v>
      </c>
      <c r="AB297" s="1107"/>
      <c r="AC297" s="1107"/>
      <c r="AD297" s="1107"/>
      <c r="AE297" s="1107"/>
      <c r="AF297" s="1107"/>
      <c r="AG297" s="1107"/>
      <c r="AH297" s="1107"/>
      <c r="AI297" s="1107"/>
      <c r="AJ297" s="1107"/>
      <c r="AK297" s="1107"/>
      <c r="BA297" s="43"/>
    </row>
    <row r="298" spans="2:53" ht="12.95" customHeight="1">
      <c r="B298" s="41" t="s">
        <v>699</v>
      </c>
      <c r="C298" s="41"/>
      <c r="D298" s="41"/>
      <c r="E298" s="41"/>
      <c r="F298" s="41"/>
      <c r="H298" s="1258" t="s">
        <v>2355</v>
      </c>
      <c r="I298" s="1258"/>
      <c r="J298" s="1258"/>
      <c r="K298" s="1258"/>
      <c r="L298" s="1258"/>
      <c r="M298" s="1258"/>
      <c r="N298" s="1258"/>
      <c r="O298" s="1258"/>
      <c r="P298" s="1258"/>
      <c r="Q298" s="1258"/>
      <c r="R298" s="1258"/>
      <c r="T298" s="41" t="s">
        <v>699</v>
      </c>
      <c r="V298" s="41"/>
      <c r="W298" s="41"/>
      <c r="X298" s="41"/>
      <c r="Y298" s="41"/>
      <c r="AA298" s="1258" t="s">
        <v>2335</v>
      </c>
      <c r="AB298" s="1258"/>
      <c r="AC298" s="1258"/>
      <c r="AD298" s="1258"/>
      <c r="AE298" s="1258"/>
      <c r="AF298" s="1258"/>
      <c r="AG298" s="1258"/>
      <c r="AH298" s="1258"/>
      <c r="AI298" s="1258"/>
      <c r="AJ298" s="1258"/>
      <c r="AK298" s="1258"/>
      <c r="BA298" s="43"/>
    </row>
    <row r="299" spans="2:53" ht="12.95" customHeight="1">
      <c r="B299" s="41" t="s">
        <v>701</v>
      </c>
      <c r="C299" s="41"/>
      <c r="D299" s="41"/>
      <c r="E299" s="41"/>
      <c r="F299" s="41"/>
      <c r="H299" s="1258" t="s">
        <v>2356</v>
      </c>
      <c r="I299" s="1258"/>
      <c r="J299" s="1258"/>
      <c r="K299" s="1258"/>
      <c r="L299" s="1258"/>
      <c r="M299" s="1258"/>
      <c r="N299" s="1258"/>
      <c r="O299" s="1258"/>
      <c r="P299" s="1258"/>
      <c r="Q299" s="1258"/>
      <c r="R299" s="1258"/>
      <c r="T299" s="41" t="s">
        <v>700</v>
      </c>
      <c r="V299" s="41"/>
      <c r="W299" s="41"/>
      <c r="X299" s="41"/>
      <c r="Y299" s="41"/>
      <c r="AA299" s="1258" t="s">
        <v>2351</v>
      </c>
      <c r="AB299" s="1258"/>
      <c r="AC299" s="1258"/>
      <c r="AD299" s="1258"/>
      <c r="AE299" s="1258"/>
      <c r="AF299" s="1258"/>
      <c r="AG299" s="1258"/>
      <c r="AH299" s="1258"/>
      <c r="AI299" s="1258"/>
      <c r="AJ299" s="1258"/>
      <c r="AK299" s="1258"/>
      <c r="BA299" s="43"/>
    </row>
    <row r="300" spans="2:53" ht="12.95" customHeight="1">
      <c r="B300" s="41" t="s">
        <v>374</v>
      </c>
      <c r="C300" s="41"/>
      <c r="D300" s="41"/>
      <c r="E300" s="41"/>
      <c r="F300" s="41"/>
      <c r="H300" s="1258" t="s">
        <v>2357</v>
      </c>
      <c r="I300" s="1258"/>
      <c r="J300" s="1258"/>
      <c r="K300" s="1258"/>
      <c r="L300" s="1258"/>
      <c r="M300" s="1258"/>
      <c r="N300" s="1258"/>
      <c r="O300" s="1258"/>
      <c r="P300" s="1258"/>
      <c r="Q300" s="1258"/>
      <c r="R300" s="1258"/>
      <c r="T300" s="41" t="s">
        <v>374</v>
      </c>
      <c r="V300" s="41"/>
      <c r="W300" s="41"/>
      <c r="X300" s="41"/>
      <c r="Y300" s="41"/>
      <c r="AA300" s="1258" t="s">
        <v>2341</v>
      </c>
      <c r="AB300" s="1258"/>
      <c r="AC300" s="1258"/>
      <c r="AD300" s="1258"/>
      <c r="AE300" s="1258"/>
      <c r="AF300" s="1258"/>
      <c r="AG300" s="1258"/>
      <c r="AH300" s="1258"/>
      <c r="AI300" s="1258"/>
      <c r="AJ300" s="1258"/>
      <c r="AK300" s="1258"/>
      <c r="BA300" s="43"/>
    </row>
    <row r="301" spans="2:53" ht="12.95" customHeight="1">
      <c r="B301" s="41" t="s">
        <v>375</v>
      </c>
      <c r="C301" s="41"/>
      <c r="D301" s="41"/>
      <c r="E301" s="41"/>
      <c r="F301" s="41"/>
      <c r="G301" s="41"/>
      <c r="H301" s="1402" t="s">
        <v>2358</v>
      </c>
      <c r="I301" s="1402"/>
      <c r="J301" s="1402"/>
      <c r="K301" s="1402"/>
      <c r="L301" s="1402"/>
      <c r="M301" s="1402"/>
      <c r="N301" s="5" t="s">
        <v>818</v>
      </c>
      <c r="O301" s="5"/>
      <c r="P301" s="1391"/>
      <c r="Q301" s="1391"/>
      <c r="R301" s="1391"/>
      <c r="S301" s="41"/>
      <c r="T301" s="41" t="s">
        <v>375</v>
      </c>
      <c r="V301" s="41"/>
      <c r="W301" s="41"/>
      <c r="X301" s="41"/>
      <c r="Y301" s="41"/>
      <c r="AA301" s="1402" t="s">
        <v>2352</v>
      </c>
      <c r="AB301" s="1402"/>
      <c r="AC301" s="1402"/>
      <c r="AD301" s="1402"/>
      <c r="AE301" s="1402"/>
      <c r="AF301" s="1402"/>
      <c r="AG301" s="5" t="s">
        <v>818</v>
      </c>
      <c r="AH301" s="5"/>
      <c r="AI301" s="1391"/>
      <c r="AJ301" s="1391"/>
      <c r="AK301" s="1391"/>
      <c r="BA301" s="43"/>
    </row>
    <row r="302" spans="2:53" ht="12.95"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t="s">
        <v>2353</v>
      </c>
      <c r="AB302" s="1264"/>
      <c r="AC302" s="1264"/>
      <c r="AD302" s="1264"/>
      <c r="AE302" s="1264"/>
      <c r="AF302" s="1264"/>
      <c r="AG302" s="5"/>
      <c r="AH302" s="5"/>
      <c r="AI302" s="44"/>
      <c r="AJ302" s="44"/>
      <c r="AK302" s="44"/>
      <c r="BA302" s="43"/>
    </row>
    <row r="303" spans="2:53" ht="12.95" customHeight="1">
      <c r="B303" s="41" t="s">
        <v>702</v>
      </c>
      <c r="C303" s="41"/>
      <c r="D303" s="41"/>
      <c r="E303" s="41"/>
      <c r="F303" s="41"/>
      <c r="G303" s="41"/>
      <c r="H303" s="1258" t="s">
        <v>2359</v>
      </c>
      <c r="I303" s="1258"/>
      <c r="J303" s="1258"/>
      <c r="K303" s="1258"/>
      <c r="L303" s="1258"/>
      <c r="M303" s="1258"/>
      <c r="N303" s="1107"/>
      <c r="O303" s="1107"/>
      <c r="P303" s="1107"/>
      <c r="Q303" s="1107"/>
      <c r="R303" s="1107"/>
      <c r="S303" s="41"/>
      <c r="T303" s="41" t="s">
        <v>702</v>
      </c>
      <c r="V303" s="41"/>
      <c r="W303" s="41"/>
      <c r="X303" s="41"/>
      <c r="Y303" s="41"/>
      <c r="AA303" s="1258" t="s">
        <v>2342</v>
      </c>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703</v>
      </c>
      <c r="C305" s="41"/>
      <c r="D305" s="41"/>
      <c r="E305" s="41"/>
      <c r="F305" s="41"/>
      <c r="H305" s="1107" t="s">
        <v>2360</v>
      </c>
      <c r="I305" s="1107"/>
      <c r="J305" s="1107"/>
      <c r="K305" s="1107"/>
      <c r="L305" s="1107"/>
      <c r="M305" s="1107"/>
      <c r="N305" s="1107"/>
      <c r="O305" s="1107"/>
      <c r="P305" s="1107"/>
      <c r="Q305" s="1107"/>
      <c r="R305" s="1107"/>
      <c r="T305" s="5" t="s">
        <v>1105</v>
      </c>
      <c r="V305" s="41"/>
      <c r="W305" s="41"/>
      <c r="X305" s="41"/>
      <c r="Y305" s="41"/>
      <c r="AA305" s="1107" t="s">
        <v>2374</v>
      </c>
      <c r="AB305" s="1107"/>
      <c r="AC305" s="1107"/>
      <c r="AD305" s="1107"/>
      <c r="AE305" s="1107"/>
      <c r="AF305" s="1107"/>
      <c r="AG305" s="1107"/>
      <c r="AH305" s="1107"/>
      <c r="AI305" s="1107"/>
      <c r="AJ305" s="1107"/>
      <c r="AK305" s="1107"/>
      <c r="BA305" s="43"/>
    </row>
    <row r="306" spans="2:53" ht="12.95" customHeight="1">
      <c r="B306" s="41" t="s">
        <v>699</v>
      </c>
      <c r="C306" s="41"/>
      <c r="D306" s="41"/>
      <c r="E306" s="41"/>
      <c r="F306" s="41"/>
      <c r="H306" s="1258" t="s">
        <v>2361</v>
      </c>
      <c r="I306" s="1258"/>
      <c r="J306" s="1258"/>
      <c r="K306" s="1258"/>
      <c r="L306" s="1258"/>
      <c r="M306" s="1258"/>
      <c r="N306" s="1258"/>
      <c r="O306" s="1258"/>
      <c r="P306" s="1258"/>
      <c r="Q306" s="1258"/>
      <c r="R306" s="1258"/>
      <c r="T306" s="41" t="s">
        <v>699</v>
      </c>
      <c r="V306" s="41"/>
      <c r="W306" s="41"/>
      <c r="X306" s="41"/>
      <c r="Y306" s="41"/>
      <c r="AA306" s="1258" t="s">
        <v>2375</v>
      </c>
      <c r="AB306" s="1258"/>
      <c r="AC306" s="1258"/>
      <c r="AD306" s="1258"/>
      <c r="AE306" s="1258"/>
      <c r="AF306" s="1258"/>
      <c r="AG306" s="1258"/>
      <c r="AH306" s="1258"/>
      <c r="AI306" s="1258"/>
      <c r="AJ306" s="1258"/>
      <c r="AK306" s="1258"/>
      <c r="BA306" s="43"/>
    </row>
    <row r="307" spans="2:53" ht="12.95" customHeight="1">
      <c r="B307" s="41" t="s">
        <v>701</v>
      </c>
      <c r="C307" s="41"/>
      <c r="D307" s="41"/>
      <c r="E307" s="41"/>
      <c r="F307" s="41"/>
      <c r="H307" s="1258" t="s">
        <v>2362</v>
      </c>
      <c r="I307" s="1258"/>
      <c r="J307" s="1258"/>
      <c r="K307" s="1258"/>
      <c r="L307" s="1258"/>
      <c r="M307" s="1258"/>
      <c r="N307" s="1258"/>
      <c r="O307" s="1258"/>
      <c r="P307" s="1258"/>
      <c r="Q307" s="1258"/>
      <c r="R307" s="1258"/>
      <c r="T307" s="41" t="s">
        <v>700</v>
      </c>
      <c r="V307" s="41"/>
      <c r="W307" s="41"/>
      <c r="X307" s="41"/>
      <c r="Y307" s="41"/>
      <c r="AA307" s="1258" t="s">
        <v>2351</v>
      </c>
      <c r="AB307" s="1258"/>
      <c r="AC307" s="1258"/>
      <c r="AD307" s="1258"/>
      <c r="AE307" s="1258"/>
      <c r="AF307" s="1258"/>
      <c r="AG307" s="1258"/>
      <c r="AH307" s="1258"/>
      <c r="AI307" s="1258"/>
      <c r="AJ307" s="1258"/>
      <c r="AK307" s="1258"/>
      <c r="BA307" s="43"/>
    </row>
    <row r="308" spans="2:53" ht="12.95" customHeight="1">
      <c r="B308" s="41" t="s">
        <v>374</v>
      </c>
      <c r="C308" s="41"/>
      <c r="D308" s="41"/>
      <c r="E308" s="41"/>
      <c r="F308" s="41"/>
      <c r="H308" s="1258" t="s">
        <v>2363</v>
      </c>
      <c r="I308" s="1258"/>
      <c r="J308" s="1258"/>
      <c r="K308" s="1258"/>
      <c r="L308" s="1258"/>
      <c r="M308" s="1258"/>
      <c r="N308" s="1258"/>
      <c r="O308" s="1258"/>
      <c r="P308" s="1258"/>
      <c r="Q308" s="1258"/>
      <c r="R308" s="1258"/>
      <c r="T308" s="41" t="s">
        <v>374</v>
      </c>
      <c r="V308" s="41"/>
      <c r="W308" s="41"/>
      <c r="X308" s="41"/>
      <c r="Y308" s="41"/>
      <c r="AA308" s="1258" t="s">
        <v>2376</v>
      </c>
      <c r="AB308" s="1258"/>
      <c r="AC308" s="1258"/>
      <c r="AD308" s="1258"/>
      <c r="AE308" s="1258"/>
      <c r="AF308" s="1258"/>
      <c r="AG308" s="1258"/>
      <c r="AH308" s="1258"/>
      <c r="AI308" s="1258"/>
      <c r="AJ308" s="1258"/>
      <c r="AK308" s="1258"/>
      <c r="BA308" s="43"/>
    </row>
    <row r="309" spans="2:53" ht="12.95" customHeight="1">
      <c r="B309" s="41" t="s">
        <v>375</v>
      </c>
      <c r="C309" s="41"/>
      <c r="D309" s="41"/>
      <c r="E309" s="41"/>
      <c r="F309" s="41"/>
      <c r="G309" s="41"/>
      <c r="H309" s="1402" t="s">
        <v>2364</v>
      </c>
      <c r="I309" s="1402"/>
      <c r="J309" s="1402"/>
      <c r="K309" s="1402"/>
      <c r="L309" s="1402"/>
      <c r="M309" s="1402"/>
      <c r="N309" s="5" t="s">
        <v>818</v>
      </c>
      <c r="O309" s="5"/>
      <c r="P309" s="1391"/>
      <c r="Q309" s="1391"/>
      <c r="R309" s="1391"/>
      <c r="S309" s="41"/>
      <c r="T309" s="41" t="s">
        <v>375</v>
      </c>
      <c r="V309" s="41"/>
      <c r="W309" s="41"/>
      <c r="X309" s="41"/>
      <c r="Y309" s="41"/>
      <c r="AA309" s="1402" t="s">
        <v>2377</v>
      </c>
      <c r="AB309" s="1402"/>
      <c r="AC309" s="1402"/>
      <c r="AD309" s="1402"/>
      <c r="AE309" s="1402"/>
      <c r="AF309" s="1402"/>
      <c r="AG309" s="5" t="s">
        <v>818</v>
      </c>
      <c r="AH309" s="5"/>
      <c r="AI309" s="1391"/>
      <c r="AJ309" s="1391"/>
      <c r="AK309" s="1391"/>
      <c r="BA309" s="43"/>
    </row>
    <row r="310" spans="2:53" ht="12.95"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5" customHeight="1">
      <c r="B311" s="41" t="s">
        <v>702</v>
      </c>
      <c r="C311" s="41"/>
      <c r="D311" s="41"/>
      <c r="E311" s="41"/>
      <c r="F311" s="41"/>
      <c r="G311" s="41"/>
      <c r="H311" s="1258" t="s">
        <v>2365</v>
      </c>
      <c r="I311" s="1258"/>
      <c r="J311" s="1258"/>
      <c r="K311" s="1258"/>
      <c r="L311" s="1258"/>
      <c r="M311" s="1258"/>
      <c r="N311" s="1107"/>
      <c r="O311" s="1107"/>
      <c r="P311" s="1107"/>
      <c r="Q311" s="1107"/>
      <c r="R311" s="1107"/>
      <c r="S311" s="41"/>
      <c r="T311" s="41" t="s">
        <v>702</v>
      </c>
      <c r="V311" s="41"/>
      <c r="W311" s="41"/>
      <c r="X311" s="41"/>
      <c r="Y311" s="41"/>
      <c r="AA311" s="1258" t="s">
        <v>2378</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1146</v>
      </c>
      <c r="C313" s="41"/>
      <c r="D313" s="41"/>
      <c r="E313" s="41"/>
      <c r="F313" s="41"/>
      <c r="H313" s="1107"/>
      <c r="I313" s="1107"/>
      <c r="J313" s="1107"/>
      <c r="K313" s="1107"/>
      <c r="L313" s="1107"/>
      <c r="M313" s="1107"/>
      <c r="N313" s="1107"/>
      <c r="O313" s="1107"/>
      <c r="P313" s="1107"/>
      <c r="Q313" s="1107"/>
      <c r="R313" s="1107"/>
      <c r="T313" s="41" t="s">
        <v>36</v>
      </c>
      <c r="V313" s="41"/>
      <c r="W313" s="41"/>
      <c r="X313" s="41"/>
      <c r="Y313" s="41"/>
      <c r="AA313" s="1107" t="s">
        <v>2379</v>
      </c>
      <c r="AB313" s="1107"/>
      <c r="AC313" s="1107"/>
      <c r="AD313" s="1107"/>
      <c r="AE313" s="1107"/>
      <c r="AF313" s="1107"/>
      <c r="AG313" s="1107"/>
      <c r="AH313" s="1107"/>
      <c r="AI313" s="1107"/>
      <c r="AJ313" s="1107"/>
      <c r="AK313" s="1107"/>
      <c r="BA313" s="43"/>
    </row>
    <row r="314" spans="2:53" ht="12.95" customHeight="1">
      <c r="B314" s="41" t="s">
        <v>699</v>
      </c>
      <c r="C314" s="41"/>
      <c r="D314" s="41"/>
      <c r="E314" s="41"/>
      <c r="F314" s="41"/>
      <c r="H314" s="1258"/>
      <c r="I314" s="1258"/>
      <c r="J314" s="1258"/>
      <c r="K314" s="1258"/>
      <c r="L314" s="1258"/>
      <c r="M314" s="1258"/>
      <c r="N314" s="1258"/>
      <c r="O314" s="1258"/>
      <c r="P314" s="1258"/>
      <c r="Q314" s="1258"/>
      <c r="R314" s="1258"/>
      <c r="T314" s="41" t="s">
        <v>699</v>
      </c>
      <c r="V314" s="41"/>
      <c r="W314" s="41"/>
      <c r="X314" s="41"/>
      <c r="Y314" s="41"/>
      <c r="AA314" s="1258" t="s">
        <v>2380</v>
      </c>
      <c r="AB314" s="1258"/>
      <c r="AC314" s="1258"/>
      <c r="AD314" s="1258"/>
      <c r="AE314" s="1258"/>
      <c r="AF314" s="1258"/>
      <c r="AG314" s="1258"/>
      <c r="AH314" s="1258"/>
      <c r="AI314" s="1258"/>
      <c r="AJ314" s="1258"/>
      <c r="AK314" s="1258"/>
      <c r="BA314" s="43"/>
    </row>
    <row r="315" spans="2:53" ht="12.95" customHeight="1">
      <c r="B315" s="41" t="s">
        <v>701</v>
      </c>
      <c r="C315" s="41"/>
      <c r="D315" s="41"/>
      <c r="E315" s="41"/>
      <c r="F315" s="41"/>
      <c r="H315" s="1258"/>
      <c r="I315" s="1258"/>
      <c r="J315" s="1258"/>
      <c r="K315" s="1258"/>
      <c r="L315" s="1258"/>
      <c r="M315" s="1258"/>
      <c r="N315" s="1258"/>
      <c r="O315" s="1258"/>
      <c r="P315" s="1258"/>
      <c r="Q315" s="1258"/>
      <c r="R315" s="1258"/>
      <c r="T315" s="41" t="s">
        <v>700</v>
      </c>
      <c r="V315" s="41"/>
      <c r="W315" s="41"/>
      <c r="X315" s="41"/>
      <c r="Y315" s="41"/>
      <c r="AA315" s="1258" t="s">
        <v>2381</v>
      </c>
      <c r="AB315" s="1258"/>
      <c r="AC315" s="1258"/>
      <c r="AD315" s="1258"/>
      <c r="AE315" s="1258"/>
      <c r="AF315" s="1258"/>
      <c r="AG315" s="1258"/>
      <c r="AH315" s="1258"/>
      <c r="AI315" s="1258"/>
      <c r="AJ315" s="1258"/>
      <c r="AK315" s="1258"/>
      <c r="BA315" s="43"/>
    </row>
    <row r="316" spans="2:53" ht="12.95" customHeight="1">
      <c r="B316" s="41" t="s">
        <v>374</v>
      </c>
      <c r="C316" s="41"/>
      <c r="D316" s="41"/>
      <c r="E316" s="41"/>
      <c r="F316" s="41"/>
      <c r="H316" s="1258"/>
      <c r="I316" s="1258"/>
      <c r="J316" s="1258"/>
      <c r="K316" s="1258"/>
      <c r="L316" s="1258"/>
      <c r="M316" s="1258"/>
      <c r="N316" s="1258"/>
      <c r="O316" s="1258"/>
      <c r="P316" s="1258"/>
      <c r="Q316" s="1258"/>
      <c r="R316" s="1258"/>
      <c r="T316" s="41" t="s">
        <v>374</v>
      </c>
      <c r="V316" s="41"/>
      <c r="W316" s="41"/>
      <c r="X316" s="41"/>
      <c r="Y316" s="41"/>
      <c r="AA316" s="1258" t="s">
        <v>2382</v>
      </c>
      <c r="AB316" s="1258"/>
      <c r="AC316" s="1258"/>
      <c r="AD316" s="1258"/>
      <c r="AE316" s="1258"/>
      <c r="AF316" s="1258"/>
      <c r="AG316" s="1258"/>
      <c r="AH316" s="1258"/>
      <c r="AI316" s="1258"/>
      <c r="AJ316" s="1258"/>
      <c r="AK316" s="1258"/>
      <c r="BA316" s="43"/>
    </row>
    <row r="317" spans="2:53" ht="12.95" customHeight="1">
      <c r="B317" s="41" t="s">
        <v>375</v>
      </c>
      <c r="C317" s="41"/>
      <c r="D317" s="41"/>
      <c r="E317" s="41"/>
      <c r="F317" s="41"/>
      <c r="G317" s="41"/>
      <c r="H317" s="1402"/>
      <c r="I317" s="1402"/>
      <c r="J317" s="1402"/>
      <c r="K317" s="1402"/>
      <c r="L317" s="1402"/>
      <c r="M317" s="1402"/>
      <c r="N317" s="5" t="s">
        <v>818</v>
      </c>
      <c r="O317" s="5"/>
      <c r="P317" s="1391"/>
      <c r="Q317" s="1391"/>
      <c r="R317" s="1391"/>
      <c r="S317" s="41"/>
      <c r="T317" s="41" t="s">
        <v>375</v>
      </c>
      <c r="V317" s="41"/>
      <c r="W317" s="41"/>
      <c r="X317" s="41"/>
      <c r="Y317" s="41"/>
      <c r="AA317" s="1402" t="s">
        <v>2383</v>
      </c>
      <c r="AB317" s="1402"/>
      <c r="AC317" s="1402"/>
      <c r="AD317" s="1402"/>
      <c r="AE317" s="1402"/>
      <c r="AF317" s="1402"/>
      <c r="AG317" s="5" t="s">
        <v>818</v>
      </c>
      <c r="AH317" s="5"/>
      <c r="AI317" s="1391"/>
      <c r="AJ317" s="1391"/>
      <c r="AK317" s="1391"/>
      <c r="BA317" s="43"/>
    </row>
    <row r="318" spans="2:53" ht="12.95"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5" customHeight="1">
      <c r="B319" s="41" t="s">
        <v>702</v>
      </c>
      <c r="C319" s="41"/>
      <c r="D319" s="41"/>
      <c r="E319" s="41"/>
      <c r="F319" s="41"/>
      <c r="G319" s="41"/>
      <c r="H319" s="1258"/>
      <c r="I319" s="1258"/>
      <c r="J319" s="1258"/>
      <c r="K319" s="1258"/>
      <c r="L319" s="1258"/>
      <c r="M319" s="1258"/>
      <c r="N319" s="1107"/>
      <c r="O319" s="1107"/>
      <c r="P319" s="1107"/>
      <c r="Q319" s="1107"/>
      <c r="R319" s="1107"/>
      <c r="S319" s="41"/>
      <c r="T319" s="41" t="s">
        <v>702</v>
      </c>
      <c r="V319" s="41"/>
      <c r="W319" s="41"/>
      <c r="X319" s="41"/>
      <c r="Y319" s="41"/>
      <c r="AA319" s="1258" t="s">
        <v>2384</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2385</v>
      </c>
      <c r="AB321" s="1107"/>
      <c r="AC321" s="1107"/>
      <c r="AD321" s="1107"/>
      <c r="AE321" s="1107"/>
      <c r="AF321" s="1107"/>
      <c r="AG321" s="1107"/>
      <c r="AH321" s="1107"/>
      <c r="AI321" s="1107"/>
      <c r="AJ321" s="1107"/>
      <c r="AK321" s="1107"/>
      <c r="BA321" s="43"/>
    </row>
    <row r="322" spans="2:53" ht="12.95" customHeight="1">
      <c r="B322" s="41" t="s">
        <v>699</v>
      </c>
      <c r="C322" s="41"/>
      <c r="D322" s="41"/>
      <c r="E322" s="41"/>
      <c r="F322" s="41"/>
      <c r="H322" s="1258"/>
      <c r="I322" s="1258"/>
      <c r="J322" s="1258"/>
      <c r="K322" s="1258"/>
      <c r="L322" s="1258"/>
      <c r="M322" s="1258"/>
      <c r="N322" s="1258"/>
      <c r="O322" s="1258"/>
      <c r="P322" s="1258"/>
      <c r="Q322" s="1258"/>
      <c r="R322" s="1258"/>
      <c r="T322" s="41" t="s">
        <v>699</v>
      </c>
      <c r="V322" s="41"/>
      <c r="W322" s="41"/>
      <c r="X322" s="41"/>
      <c r="Y322" s="41"/>
      <c r="AA322" s="1258" t="s">
        <v>2386</v>
      </c>
      <c r="AB322" s="1258"/>
      <c r="AC322" s="1258"/>
      <c r="AD322" s="1258"/>
      <c r="AE322" s="1258"/>
      <c r="AF322" s="1258"/>
      <c r="AG322" s="1258"/>
      <c r="AH322" s="1258"/>
      <c r="AI322" s="1258"/>
      <c r="AJ322" s="1258"/>
      <c r="AK322" s="1258"/>
      <c r="BA322" s="43"/>
    </row>
    <row r="323" spans="2:53" ht="12.95" customHeight="1">
      <c r="B323" s="41" t="s">
        <v>701</v>
      </c>
      <c r="C323" s="41"/>
      <c r="D323" s="41"/>
      <c r="E323" s="41"/>
      <c r="F323" s="41"/>
      <c r="H323" s="1258"/>
      <c r="I323" s="1258"/>
      <c r="J323" s="1258"/>
      <c r="K323" s="1258"/>
      <c r="L323" s="1258"/>
      <c r="M323" s="1258"/>
      <c r="N323" s="1258"/>
      <c r="O323" s="1258"/>
      <c r="P323" s="1258"/>
      <c r="Q323" s="1258"/>
      <c r="R323" s="1258"/>
      <c r="T323" s="41" t="s">
        <v>700</v>
      </c>
      <c r="V323" s="41"/>
      <c r="W323" s="41"/>
      <c r="X323" s="41"/>
      <c r="Y323" s="41"/>
      <c r="AA323" s="1258" t="s">
        <v>2387</v>
      </c>
      <c r="AB323" s="1258"/>
      <c r="AC323" s="1258"/>
      <c r="AD323" s="1258"/>
      <c r="AE323" s="1258"/>
      <c r="AF323" s="1258"/>
      <c r="AG323" s="1258"/>
      <c r="AH323" s="1258"/>
      <c r="AI323" s="1258"/>
      <c r="AJ323" s="1258"/>
      <c r="AK323" s="1258"/>
      <c r="BA323" s="43"/>
    </row>
    <row r="324" spans="2:53" ht="12.95" customHeight="1">
      <c r="B324" s="41" t="s">
        <v>374</v>
      </c>
      <c r="C324" s="41"/>
      <c r="D324" s="41"/>
      <c r="E324" s="41"/>
      <c r="F324" s="41"/>
      <c r="H324" s="1258"/>
      <c r="I324" s="1258"/>
      <c r="J324" s="1258"/>
      <c r="K324" s="1258"/>
      <c r="L324" s="1258"/>
      <c r="M324" s="1258"/>
      <c r="N324" s="1258"/>
      <c r="O324" s="1258"/>
      <c r="P324" s="1258"/>
      <c r="Q324" s="1258"/>
      <c r="R324" s="1258"/>
      <c r="T324" s="41" t="s">
        <v>374</v>
      </c>
      <c r="V324" s="41"/>
      <c r="W324" s="41"/>
      <c r="X324" s="41"/>
      <c r="Y324" s="41"/>
      <c r="AA324" s="1258" t="s">
        <v>2388</v>
      </c>
      <c r="AB324" s="1258"/>
      <c r="AC324" s="1258"/>
      <c r="AD324" s="1258"/>
      <c r="AE324" s="1258"/>
      <c r="AF324" s="1258"/>
      <c r="AG324" s="1258"/>
      <c r="AH324" s="1258"/>
      <c r="AI324" s="1258"/>
      <c r="AJ324" s="1258"/>
      <c r="AK324" s="1258"/>
      <c r="BA324" s="43"/>
    </row>
    <row r="325" spans="2:53" ht="12.95" customHeight="1">
      <c r="B325" s="41" t="s">
        <v>375</v>
      </c>
      <c r="C325" s="41"/>
      <c r="D325" s="41"/>
      <c r="E325" s="41"/>
      <c r="F325" s="41"/>
      <c r="G325" s="41"/>
      <c r="H325" s="1402"/>
      <c r="I325" s="1402"/>
      <c r="J325" s="1402"/>
      <c r="K325" s="1402"/>
      <c r="L325" s="1402"/>
      <c r="M325" s="1402"/>
      <c r="N325" s="5" t="s">
        <v>818</v>
      </c>
      <c r="O325" s="5"/>
      <c r="P325" s="1391"/>
      <c r="Q325" s="1391"/>
      <c r="R325" s="1391"/>
      <c r="S325" s="41"/>
      <c r="T325" s="41" t="s">
        <v>375</v>
      </c>
      <c r="V325" s="41"/>
      <c r="W325" s="41"/>
      <c r="X325" s="41"/>
      <c r="Y325" s="41"/>
      <c r="AA325" s="1402" t="s">
        <v>2389</v>
      </c>
      <c r="AB325" s="1402"/>
      <c r="AC325" s="1402"/>
      <c r="AD325" s="1402"/>
      <c r="AE325" s="1402"/>
      <c r="AF325" s="1402"/>
      <c r="AG325" s="5" t="s">
        <v>818</v>
      </c>
      <c r="AH325" s="5"/>
      <c r="AI325" s="1391"/>
      <c r="AJ325" s="1391"/>
      <c r="AK325" s="1391"/>
      <c r="BA325" s="43"/>
    </row>
    <row r="326" spans="2:53" ht="12.95"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t="s">
        <v>2390</v>
      </c>
      <c r="AB326" s="1264"/>
      <c r="AC326" s="1264"/>
      <c r="AD326" s="1264"/>
      <c r="AE326" s="1264"/>
      <c r="AF326" s="1264"/>
      <c r="AG326" s="5"/>
      <c r="AH326" s="5"/>
      <c r="AI326" s="44"/>
      <c r="AJ326" s="44"/>
      <c r="AK326" s="44"/>
      <c r="BA326" s="43"/>
    </row>
    <row r="327" spans="2:53" ht="12.95" customHeight="1">
      <c r="B327" s="41" t="s">
        <v>702</v>
      </c>
      <c r="C327" s="41"/>
      <c r="D327" s="41"/>
      <c r="E327" s="41"/>
      <c r="F327" s="41"/>
      <c r="G327" s="41"/>
      <c r="H327" s="1258"/>
      <c r="I327" s="1258"/>
      <c r="J327" s="1258"/>
      <c r="K327" s="1258"/>
      <c r="L327" s="1258"/>
      <c r="M327" s="1258"/>
      <c r="N327" s="1107"/>
      <c r="O327" s="1107"/>
      <c r="P327" s="1107"/>
      <c r="Q327" s="1107"/>
      <c r="R327" s="1107"/>
      <c r="S327" s="41"/>
      <c r="T327" s="41" t="s">
        <v>702</v>
      </c>
      <c r="V327" s="41"/>
      <c r="W327" s="41"/>
      <c r="X327" s="41"/>
      <c r="Y327" s="41"/>
      <c r="AA327" s="1258" t="s">
        <v>2391</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c r="I329" s="1107"/>
      <c r="J329" s="1107"/>
      <c r="K329" s="1107"/>
      <c r="L329" s="1107"/>
      <c r="M329" s="1107"/>
      <c r="N329" s="1107"/>
      <c r="O329" s="1107"/>
      <c r="P329" s="1107"/>
      <c r="Q329" s="1107"/>
      <c r="R329" s="1107"/>
      <c r="T329" s="5" t="s">
        <v>1106</v>
      </c>
      <c r="V329" s="41"/>
      <c r="W329" s="41"/>
      <c r="X329" s="41"/>
      <c r="Y329" s="41"/>
      <c r="AA329" s="1107" t="s">
        <v>2392</v>
      </c>
      <c r="AB329" s="1107"/>
      <c r="AC329" s="1107"/>
      <c r="AD329" s="1107"/>
      <c r="AE329" s="1107"/>
      <c r="AF329" s="1107"/>
      <c r="AG329" s="1107"/>
      <c r="AH329" s="1107"/>
      <c r="AI329" s="1107"/>
      <c r="AJ329" s="1107"/>
      <c r="AK329" s="1107"/>
      <c r="BA329" s="43"/>
    </row>
    <row r="330" spans="2:53" ht="12.95" customHeight="1">
      <c r="B330" s="41" t="s">
        <v>699</v>
      </c>
      <c r="C330" s="41"/>
      <c r="D330" s="41"/>
      <c r="E330" s="41"/>
      <c r="F330" s="41"/>
      <c r="H330" s="1258"/>
      <c r="I330" s="1258"/>
      <c r="J330" s="1258"/>
      <c r="K330" s="1258"/>
      <c r="L330" s="1258"/>
      <c r="M330" s="1258"/>
      <c r="N330" s="1258"/>
      <c r="O330" s="1258"/>
      <c r="P330" s="1258"/>
      <c r="Q330" s="1258"/>
      <c r="R330" s="1258"/>
      <c r="T330" s="41" t="s">
        <v>699</v>
      </c>
      <c r="V330" s="41"/>
      <c r="W330" s="41"/>
      <c r="X330" s="41"/>
      <c r="Y330" s="41"/>
      <c r="AA330" s="1258" t="s">
        <v>2335</v>
      </c>
      <c r="AB330" s="1258"/>
      <c r="AC330" s="1258"/>
      <c r="AD330" s="1258"/>
      <c r="AE330" s="1258"/>
      <c r="AF330" s="1258"/>
      <c r="AG330" s="1258"/>
      <c r="AH330" s="1258"/>
      <c r="AI330" s="1258"/>
      <c r="AJ330" s="1258"/>
      <c r="AK330" s="1258"/>
      <c r="BA330" s="43"/>
    </row>
    <row r="331" spans="2:53" ht="12.95" customHeight="1">
      <c r="B331" s="41" t="s">
        <v>701</v>
      </c>
      <c r="C331" s="41"/>
      <c r="D331" s="41"/>
      <c r="E331" s="41"/>
      <c r="F331" s="41"/>
      <c r="G331" s="41"/>
      <c r="H331" s="1258"/>
      <c r="I331" s="1258"/>
      <c r="J331" s="1258"/>
      <c r="K331" s="1258"/>
      <c r="L331" s="1258"/>
      <c r="M331" s="1258"/>
      <c r="N331" s="1258"/>
      <c r="O331" s="1258"/>
      <c r="P331" s="1258"/>
      <c r="Q331" s="1258"/>
      <c r="R331" s="1258"/>
      <c r="T331" s="41" t="s">
        <v>700</v>
      </c>
      <c r="V331" s="41"/>
      <c r="W331" s="41"/>
      <c r="X331" s="41"/>
      <c r="Y331" s="41"/>
      <c r="AA331" s="1258" t="s">
        <v>2351</v>
      </c>
      <c r="AB331" s="1258"/>
      <c r="AC331" s="1258"/>
      <c r="AD331" s="1258"/>
      <c r="AE331" s="1258"/>
      <c r="AF331" s="1258"/>
      <c r="AG331" s="1258"/>
      <c r="AH331" s="1258"/>
      <c r="AI331" s="1258"/>
      <c r="AJ331" s="1258"/>
      <c r="AK331" s="1258"/>
      <c r="BA331" s="43"/>
    </row>
    <row r="332" spans="2:53" ht="12.95" customHeight="1">
      <c r="B332" s="41" t="s">
        <v>374</v>
      </c>
      <c r="C332" s="41"/>
      <c r="D332" s="41"/>
      <c r="E332" s="41"/>
      <c r="F332" s="41"/>
      <c r="H332" s="1258"/>
      <c r="I332" s="1258"/>
      <c r="J332" s="1258"/>
      <c r="K332" s="1258"/>
      <c r="L332" s="1258"/>
      <c r="M332" s="1258"/>
      <c r="N332" s="1258"/>
      <c r="O332" s="1258"/>
      <c r="P332" s="1258"/>
      <c r="Q332" s="1258"/>
      <c r="R332" s="1258"/>
      <c r="T332" s="41" t="s">
        <v>374</v>
      </c>
      <c r="V332" s="41"/>
      <c r="W332" s="41"/>
      <c r="X332" s="41"/>
      <c r="Y332" s="41"/>
      <c r="AA332" s="1258" t="s">
        <v>2393</v>
      </c>
      <c r="AB332" s="1258"/>
      <c r="AC332" s="1258"/>
      <c r="AD332" s="1258"/>
      <c r="AE332" s="1258"/>
      <c r="AF332" s="1258"/>
      <c r="AG332" s="1258"/>
      <c r="AH332" s="1258"/>
      <c r="AI332" s="1258"/>
      <c r="AJ332" s="1258"/>
      <c r="AK332" s="1258"/>
      <c r="BA332" s="43"/>
    </row>
    <row r="333" spans="2:53" ht="12.95" customHeight="1">
      <c r="B333" s="41" t="s">
        <v>375</v>
      </c>
      <c r="C333" s="41"/>
      <c r="D333" s="41"/>
      <c r="E333" s="41"/>
      <c r="F333" s="41"/>
      <c r="G333" s="41"/>
      <c r="H333" s="1402"/>
      <c r="I333" s="1402"/>
      <c r="J333" s="1402"/>
      <c r="K333" s="1402"/>
      <c r="L333" s="1402"/>
      <c r="M333" s="1402"/>
      <c r="N333" s="5" t="s">
        <v>818</v>
      </c>
      <c r="O333" s="5"/>
      <c r="P333" s="1391"/>
      <c r="Q333" s="1391"/>
      <c r="R333" s="1391"/>
      <c r="T333" s="41" t="s">
        <v>375</v>
      </c>
      <c r="V333" s="41"/>
      <c r="W333" s="41"/>
      <c r="X333" s="41"/>
      <c r="Y333" s="41"/>
      <c r="AA333" s="1402" t="s">
        <v>2394</v>
      </c>
      <c r="AB333" s="1402"/>
      <c r="AC333" s="1402"/>
      <c r="AD333" s="1402"/>
      <c r="AE333" s="1402"/>
      <c r="AF333" s="1402"/>
      <c r="AG333" s="5" t="s">
        <v>818</v>
      </c>
      <c r="AH333" s="5"/>
      <c r="AI333" s="1391"/>
      <c r="AJ333" s="1391"/>
      <c r="AK333" s="1391"/>
      <c r="BA333" s="43"/>
    </row>
    <row r="334" spans="2:53" ht="12.95"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t="s">
        <v>2353</v>
      </c>
      <c r="AB334" s="1264"/>
      <c r="AC334" s="1264"/>
      <c r="AD334" s="1264"/>
      <c r="AE334" s="1264"/>
      <c r="AF334" s="1264"/>
      <c r="AG334" s="5"/>
      <c r="AH334" s="5"/>
      <c r="AI334" s="44"/>
      <c r="AJ334" s="44"/>
      <c r="AK334" s="44"/>
      <c r="BA334" s="43"/>
    </row>
    <row r="335" spans="2:53" ht="12.95" customHeight="1">
      <c r="B335" s="41" t="s">
        <v>702</v>
      </c>
      <c r="C335" s="41"/>
      <c r="D335" s="41"/>
      <c r="E335" s="41"/>
      <c r="F335" s="41"/>
      <c r="G335" s="41"/>
      <c r="H335" s="1258"/>
      <c r="I335" s="1258"/>
      <c r="J335" s="1258"/>
      <c r="K335" s="1258"/>
      <c r="L335" s="1258"/>
      <c r="M335" s="1258"/>
      <c r="N335" s="1107"/>
      <c r="O335" s="1107"/>
      <c r="P335" s="1107"/>
      <c r="Q335" s="1107"/>
      <c r="R335" s="1107"/>
      <c r="T335" s="41" t="s">
        <v>702</v>
      </c>
      <c r="V335" s="41"/>
      <c r="W335" s="41"/>
      <c r="X335" s="41"/>
      <c r="Y335" s="41"/>
      <c r="AA335" s="1258" t="s">
        <v>2395</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5"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5"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5"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5" customHeight="1">
      <c r="B341" s="361" t="s">
        <v>375</v>
      </c>
      <c r="C341" s="361"/>
      <c r="D341" s="361"/>
      <c r="E341" s="361"/>
      <c r="F341" s="361"/>
      <c r="G341" s="361"/>
      <c r="H341" s="1402"/>
      <c r="I341" s="1402"/>
      <c r="J341" s="1402"/>
      <c r="K341" s="1402"/>
      <c r="L341" s="1402"/>
      <c r="M341" s="1402"/>
      <c r="N341" s="5" t="s">
        <v>818</v>
      </c>
      <c r="O341" s="5"/>
      <c r="P341" s="1391"/>
      <c r="Q341" s="1391"/>
      <c r="R341" s="1391"/>
      <c r="T341" s="41" t="s">
        <v>375</v>
      </c>
      <c r="AA341" s="1402"/>
      <c r="AB341" s="1402"/>
      <c r="AC341" s="1402"/>
      <c r="AD341" s="1402"/>
      <c r="AE341" s="1402"/>
      <c r="AF341" s="1402"/>
      <c r="AG341" s="5" t="s">
        <v>818</v>
      </c>
      <c r="AH341" s="5"/>
      <c r="AI341" s="1391"/>
      <c r="AJ341" s="1391"/>
      <c r="AK341" s="1391"/>
    </row>
    <row r="342" spans="1:53" ht="12.95"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5"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8" t="s">
        <v>108</v>
      </c>
      <c r="N349" s="1098"/>
      <c r="P349" t="s">
        <v>1964</v>
      </c>
      <c r="AJ349" s="1098" t="s">
        <v>482</v>
      </c>
      <c r="AK349" s="1098"/>
    </row>
    <row r="350" spans="1:53" ht="12.95" customHeight="1">
      <c r="D350" s="41" t="s">
        <v>1890</v>
      </c>
      <c r="M350" s="1098" t="s">
        <v>124</v>
      </c>
      <c r="N350" s="1098"/>
      <c r="P350" s="41" t="s">
        <v>1965</v>
      </c>
      <c r="AJ350" s="1328"/>
      <c r="AK350" s="1328"/>
    </row>
    <row r="351" spans="1:53" ht="12.95" customHeight="1">
      <c r="D351" t="s">
        <v>313</v>
      </c>
      <c r="M351" s="1098" t="s">
        <v>124</v>
      </c>
      <c r="N351" s="1098"/>
      <c r="P351" t="s">
        <v>1966</v>
      </c>
      <c r="AJ351" s="1098" t="s">
        <v>482</v>
      </c>
      <c r="AK351" s="1098"/>
    </row>
    <row r="352" spans="1:53" ht="12.95" customHeight="1">
      <c r="D352" t="s">
        <v>314</v>
      </c>
      <c r="M352" s="1098" t="s">
        <v>124</v>
      </c>
      <c r="N352" s="109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733</v>
      </c>
      <c r="Y358" s="1098" t="s">
        <v>124</v>
      </c>
      <c r="Z358" s="109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5"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5"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5"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07"/>
      <c r="T370" s="1307"/>
      <c r="U370" s="370" t="s">
        <v>232</v>
      </c>
      <c r="V370" s="1307"/>
      <c r="W370" s="1307"/>
      <c r="X370" s="361"/>
      <c r="Z370" s="361"/>
      <c r="AA370" s="940" t="s">
        <v>2107</v>
      </c>
      <c r="AB370" s="361" t="s">
        <v>231</v>
      </c>
      <c r="AC370" s="361"/>
      <c r="AD370" s="1307"/>
      <c r="AE370" s="1307"/>
      <c r="AF370" s="370" t="s">
        <v>232</v>
      </c>
      <c r="AG370" s="1307"/>
      <c r="AH370" s="1307"/>
    </row>
    <row r="371" spans="1:36" ht="12.95"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2396</v>
      </c>
      <c r="K378" s="1107"/>
      <c r="L378" s="1107"/>
      <c r="M378" s="1107"/>
      <c r="N378" s="1107"/>
      <c r="O378" s="1107"/>
      <c r="P378" s="1107"/>
      <c r="Q378" s="1107"/>
      <c r="R378" s="1107"/>
      <c r="S378" s="1107"/>
      <c r="T378" s="1107"/>
      <c r="U378" s="1107"/>
      <c r="V378" s="12" t="s">
        <v>710</v>
      </c>
      <c r="W378" s="12"/>
      <c r="X378" s="12"/>
      <c r="Y378" s="12"/>
      <c r="Z378" s="12"/>
      <c r="AA378" s="12"/>
      <c r="AB378" s="12"/>
      <c r="AC378" s="1107"/>
      <c r="AD378" s="1107"/>
      <c r="AE378" s="1107"/>
      <c r="AF378" s="1107"/>
      <c r="AG378" s="1107"/>
      <c r="AH378" s="1107"/>
      <c r="AI378" s="1107"/>
      <c r="AJ378" s="1107"/>
    </row>
    <row r="379" spans="1:36" ht="12.95" customHeight="1">
      <c r="D379" s="41" t="s">
        <v>1967</v>
      </c>
      <c r="J379" s="1258"/>
      <c r="K379" s="1258"/>
      <c r="L379" s="1258"/>
      <c r="M379" s="1258"/>
      <c r="N379" s="1258"/>
      <c r="O379" s="1258"/>
      <c r="P379" s="1258"/>
      <c r="Q379" s="1258"/>
      <c r="R379" s="1258"/>
      <c r="S379" s="1258"/>
      <c r="T379" s="1258"/>
      <c r="U379" s="1258"/>
      <c r="V379" s="41" t="s">
        <v>1967</v>
      </c>
      <c r="W379" s="12"/>
      <c r="X379" s="12"/>
      <c r="Y379" s="12"/>
      <c r="Z379" s="12"/>
      <c r="AA379" s="12"/>
      <c r="AB379" s="12"/>
      <c r="AC379" s="1107"/>
      <c r="AD379" s="1107"/>
      <c r="AE379" s="1107"/>
      <c r="AF379" s="1107"/>
      <c r="AG379" s="1107"/>
      <c r="AH379" s="1107"/>
      <c r="AI379" s="1107"/>
      <c r="AJ379" s="1107"/>
    </row>
    <row r="380" spans="1:36" ht="12.95" customHeight="1">
      <c r="D380" s="41" t="s">
        <v>544</v>
      </c>
      <c r="J380" s="1258"/>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2.95" customHeight="1">
      <c r="D381" t="s">
        <v>1968</v>
      </c>
      <c r="J381" s="1056"/>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554</v>
      </c>
      <c r="Q382" s="1363">
        <v>45310</v>
      </c>
      <c r="R382" s="1363"/>
      <c r="S382" s="1363"/>
      <c r="T382" s="1363"/>
      <c r="U382" s="1363"/>
      <c r="V382" t="s">
        <v>168</v>
      </c>
      <c r="AI382" s="1098" t="s">
        <v>482</v>
      </c>
      <c r="AJ382" s="1098"/>
    </row>
    <row r="383" spans="1:36" ht="12.95" customHeight="1">
      <c r="D383" t="s">
        <v>555</v>
      </c>
      <c r="Q383" s="1376"/>
      <c r="R383" s="1186"/>
      <c r="S383" s="1186"/>
      <c r="T383" s="1186"/>
      <c r="U383" s="1186"/>
      <c r="W383" s="29" t="s">
        <v>20</v>
      </c>
      <c r="AG383" s="1353"/>
      <c r="AH383" s="1353"/>
      <c r="AI383" s="1353"/>
      <c r="AJ383" s="1353"/>
    </row>
    <row r="384" spans="1:36" ht="12.95" customHeight="1">
      <c r="D384" t="s">
        <v>274</v>
      </c>
      <c r="Q384" s="1448">
        <v>749500</v>
      </c>
      <c r="R384" s="1448"/>
      <c r="S384" s="1448"/>
      <c r="T384" s="1448"/>
      <c r="U384" s="1448"/>
      <c r="V384" s="41" t="s">
        <v>1969</v>
      </c>
      <c r="AG384" s="1505"/>
      <c r="AH384" s="1505"/>
      <c r="AI384" s="1505"/>
      <c r="AJ384" s="1505"/>
    </row>
    <row r="385" spans="4:36" ht="12.95" customHeight="1">
      <c r="D385" t="s">
        <v>375</v>
      </c>
      <c r="I385" s="1478"/>
      <c r="J385" s="1478"/>
      <c r="K385" s="1478"/>
      <c r="L385" s="1478"/>
      <c r="M385" s="1478"/>
      <c r="N385" s="1478"/>
      <c r="Q385" s="41" t="s">
        <v>818</v>
      </c>
      <c r="S385" s="1524"/>
      <c r="T385" s="1524"/>
      <c r="U385" s="1524"/>
      <c r="V385" t="s">
        <v>19</v>
      </c>
      <c r="AI385" s="1098" t="s">
        <v>482</v>
      </c>
      <c r="AJ385" s="1098"/>
    </row>
    <row r="386" spans="4:36" ht="12.95" customHeight="1">
      <c r="D386" t="s">
        <v>169</v>
      </c>
      <c r="Q386" s="1059"/>
      <c r="R386" s="1059"/>
      <c r="S386" s="1059"/>
      <c r="T386" s="1059"/>
      <c r="U386" s="1059"/>
      <c r="V386" t="s">
        <v>170</v>
      </c>
      <c r="AG386" s="1353"/>
      <c r="AH386" s="1353"/>
      <c r="AI386" s="1353"/>
      <c r="AJ386" s="1353"/>
    </row>
    <row r="387" spans="4:36" ht="12.95" customHeight="1">
      <c r="D387" t="s">
        <v>25</v>
      </c>
      <c r="Q387" s="1409"/>
      <c r="R387" s="1409"/>
      <c r="S387" s="1409"/>
      <c r="T387" s="1409"/>
      <c r="U387" s="1409"/>
      <c r="V387" t="s">
        <v>1682</v>
      </c>
      <c r="AG387" s="1353"/>
      <c r="AH387" s="1353"/>
      <c r="AI387" s="1353"/>
      <c r="AJ387" s="1353"/>
    </row>
    <row r="388" spans="4:36" ht="12.95" customHeight="1">
      <c r="D388" t="s">
        <v>1970</v>
      </c>
      <c r="AG388" s="1353"/>
      <c r="AH388" s="1353"/>
      <c r="AI388" s="1353"/>
      <c r="AJ388" s="1353"/>
    </row>
    <row r="389" spans="4:36" ht="12.95" customHeight="1">
      <c r="AG389" s="832"/>
      <c r="AH389" s="832"/>
      <c r="AI389" s="832"/>
      <c r="AJ389" s="832"/>
    </row>
    <row r="390" spans="4:36" ht="12.95" customHeight="1">
      <c r="D390" s="41" t="s">
        <v>2209</v>
      </c>
      <c r="AG390" s="832"/>
      <c r="AH390" s="832"/>
      <c r="AI390" s="1098" t="s">
        <v>482</v>
      </c>
      <c r="AJ390" s="1098"/>
    </row>
    <row r="391" spans="4:36" ht="12.95" customHeight="1">
      <c r="D391" s="41" t="s">
        <v>1971</v>
      </c>
      <c r="T391" s="1295"/>
      <c r="U391" s="1295"/>
      <c r="V391" s="1295"/>
      <c r="W391" s="1295"/>
      <c r="X391" s="1295"/>
      <c r="Y391" s="1295"/>
      <c r="Z391" s="1295"/>
      <c r="AA391" s="1295"/>
      <c r="AB391" s="1295"/>
      <c r="AC391" s="1295"/>
      <c r="AD391" s="1295"/>
      <c r="AE391" s="1295"/>
      <c r="AF391" s="1295"/>
      <c r="AG391" s="1295"/>
      <c r="AH391" s="1295"/>
      <c r="AI391" s="1295"/>
      <c r="AJ391" s="1295"/>
    </row>
    <row r="392" spans="4:36" ht="12.95" customHeight="1">
      <c r="D392" s="41" t="s">
        <v>1972</v>
      </c>
      <c r="T392" s="1295"/>
      <c r="U392" s="1295"/>
      <c r="V392" s="1295"/>
      <c r="W392" s="1295"/>
      <c r="X392" s="1295"/>
      <c r="Y392" s="1295"/>
      <c r="Z392" s="1295"/>
      <c r="AA392" s="1295"/>
      <c r="AB392" s="1295"/>
      <c r="AC392" s="1295"/>
      <c r="AD392" s="1295"/>
      <c r="AE392" s="1295"/>
      <c r="AF392" s="1295"/>
      <c r="AG392" s="1295"/>
      <c r="AH392" s="1295"/>
      <c r="AI392" s="1295"/>
      <c r="AJ392" s="1295"/>
    </row>
    <row r="393" spans="4:36" ht="12.95" customHeight="1">
      <c r="AG393" s="832"/>
      <c r="AH393" s="832"/>
      <c r="AI393" s="832"/>
      <c r="AJ393" s="832"/>
    </row>
    <row r="394" spans="4:36" ht="12.95" customHeight="1">
      <c r="D394" s="41" t="s">
        <v>1973</v>
      </c>
      <c r="S394" s="1295" t="s">
        <v>482</v>
      </c>
      <c r="T394" s="1295"/>
      <c r="U394" s="1295"/>
      <c r="V394" t="s">
        <v>1974</v>
      </c>
      <c r="AG394" s="1362"/>
      <c r="AH394" s="1362"/>
      <c r="AI394" s="1362"/>
      <c r="AJ394" s="1362"/>
    </row>
    <row r="395" spans="4:36" ht="12.95" customHeight="1">
      <c r="D395" s="41" t="s">
        <v>1975</v>
      </c>
      <c r="S395" s="1295" t="s">
        <v>124</v>
      </c>
      <c r="T395" s="1295"/>
      <c r="U395" s="1295"/>
      <c r="V395" t="s">
        <v>1976</v>
      </c>
      <c r="AE395" s="1564"/>
      <c r="AF395" s="1564"/>
      <c r="AG395" s="1564"/>
      <c r="AH395" s="1564"/>
      <c r="AI395" s="1564"/>
      <c r="AJ395" s="1564"/>
    </row>
    <row r="396" spans="4:36" ht="12.95" customHeight="1">
      <c r="D396" s="41" t="s">
        <v>1977</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1978</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1979</v>
      </c>
      <c r="E398" s="813"/>
      <c r="F398" s="813"/>
      <c r="G398" s="813"/>
      <c r="H398" s="813"/>
      <c r="I398" s="813"/>
      <c r="J398" s="813"/>
      <c r="K398" s="813"/>
      <c r="L398" s="813"/>
      <c r="M398" s="813"/>
      <c r="N398" s="813"/>
      <c r="O398" s="813"/>
      <c r="P398" s="813"/>
      <c r="Q398" s="813"/>
      <c r="R398" s="813"/>
      <c r="S398" s="1364" t="s">
        <v>1980</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1981</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899</v>
      </c>
    </row>
    <row r="403" spans="1:36" ht="12.95" customHeight="1">
      <c r="D403" s="3" t="s">
        <v>1736</v>
      </c>
      <c r="I403" s="1103" t="s">
        <v>2397</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855</v>
      </c>
      <c r="R404" s="1098" t="s">
        <v>124</v>
      </c>
      <c r="S404" s="1098"/>
      <c r="T404" t="s">
        <v>291</v>
      </c>
      <c r="AD404" s="1101">
        <v>0</v>
      </c>
      <c r="AE404" s="1101"/>
    </row>
    <row r="405" spans="1:36" ht="12.95" customHeight="1">
      <c r="E405" t="s">
        <v>856</v>
      </c>
      <c r="R405" s="1098" t="s">
        <v>124</v>
      </c>
      <c r="S405" s="1098"/>
      <c r="T405" t="s">
        <v>291</v>
      </c>
      <c r="AD405" s="1101"/>
      <c r="AE405" s="1101"/>
    </row>
    <row r="406" spans="1:36" ht="12.95" customHeight="1">
      <c r="E406" t="s">
        <v>857</v>
      </c>
      <c r="S406" s="1098" t="s">
        <v>124</v>
      </c>
      <c r="T406" s="1098"/>
    </row>
    <row r="407" spans="1:36" ht="12.95"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902</v>
      </c>
      <c r="AE410" s="5"/>
      <c r="AF410" s="3" t="s">
        <v>1214</v>
      </c>
    </row>
    <row r="411" spans="1:36" ht="12.95" customHeight="1">
      <c r="E411" s="1310"/>
      <c r="F411" s="1310"/>
      <c r="G411" s="1310"/>
      <c r="H411" s="18" t="s">
        <v>903</v>
      </c>
      <c r="I411" s="1310"/>
      <c r="J411" s="1310"/>
      <c r="K411" s="1310"/>
      <c r="L411" t="s">
        <v>904</v>
      </c>
      <c r="N411" s="34" t="s">
        <v>851</v>
      </c>
      <c r="P411" s="1396">
        <v>4.5</v>
      </c>
      <c r="Q411" s="1396"/>
      <c r="R411" s="1396"/>
      <c r="S411" t="s">
        <v>905</v>
      </c>
      <c r="W411" s="1397">
        <f>IF(E411&gt;0,(E411*I411),(P411*43560))</f>
        <v>196020</v>
      </c>
      <c r="X411" s="1397"/>
      <c r="Y411" s="1397"/>
      <c r="Z411" t="s">
        <v>906</v>
      </c>
      <c r="AF411" s="1311" cm="1">
        <f t="array" ref="AF411">_xlfn.IFS(P411&gt;0,(AG430/P411),W411&gt;0,(AG430/(W411/43560)),TRUE,0)</f>
        <v>14.222222222222221</v>
      </c>
      <c r="AG411" s="1311"/>
      <c r="AH411" s="1311"/>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1982</v>
      </c>
      <c r="F414" s="29"/>
      <c r="G414" s="29"/>
      <c r="H414" s="29"/>
      <c r="I414" s="1356">
        <v>4.5</v>
      </c>
      <c r="J414" s="1356"/>
      <c r="K414" s="1356"/>
      <c r="L414" s="29"/>
      <c r="M414" s="270"/>
      <c r="N414" s="29"/>
      <c r="O414" s="29"/>
      <c r="P414" s="1309">
        <f>(CQ628+CS633+CQ647)/I414</f>
        <v>30.666666666666668</v>
      </c>
      <c r="Q414" s="1309"/>
      <c r="R414" s="1309"/>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98">
        <v>7</v>
      </c>
      <c r="Q417" s="1098"/>
      <c r="S417" t="s">
        <v>134</v>
      </c>
      <c r="AE417" s="1098">
        <v>6</v>
      </c>
      <c r="AF417" s="1098"/>
    </row>
    <row r="418" spans="1:36" ht="12.95" customHeight="1">
      <c r="E418" t="s">
        <v>135</v>
      </c>
      <c r="P418" s="1098">
        <v>1</v>
      </c>
      <c r="Q418" s="1098"/>
      <c r="S418" t="s">
        <v>726</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858</v>
      </c>
      <c r="P422" s="1"/>
      <c r="Q422" s="1098" t="s">
        <v>108</v>
      </c>
      <c r="R422" s="1098"/>
      <c r="AE422" s="1"/>
      <c r="AF422" s="1"/>
    </row>
    <row r="423" spans="1:36" ht="12.95" customHeight="1">
      <c r="F423" t="s">
        <v>859</v>
      </c>
      <c r="P423" s="1"/>
      <c r="Q423" s="1"/>
      <c r="AE423" s="1098" t="s">
        <v>124</v>
      </c>
      <c r="AF423" s="1392"/>
    </row>
    <row r="424" spans="1:36" ht="12.95" customHeight="1"/>
    <row r="425" spans="1:36" ht="12.95" customHeight="1">
      <c r="A425" s="3"/>
      <c r="B425" s="3"/>
      <c r="C425" s="3"/>
      <c r="E425" s="5" t="s">
        <v>80</v>
      </c>
      <c r="Z425" s="1098" t="s">
        <v>108</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482</v>
      </c>
      <c r="AA427" s="1098"/>
    </row>
    <row r="428" spans="1:36" ht="12.95" customHeight="1"/>
    <row r="429" spans="1:36" ht="12.95" customHeight="1">
      <c r="A429" s="3" t="s">
        <v>367</v>
      </c>
      <c r="B429" s="3"/>
      <c r="C429" s="3"/>
      <c r="D429" s="3" t="s">
        <v>172</v>
      </c>
      <c r="AF429" s="54"/>
    </row>
    <row r="430" spans="1:36" ht="12.95"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64</v>
      </c>
      <c r="AH430" s="1091"/>
      <c r="AI430" s="1091"/>
      <c r="AJ430" s="1091"/>
    </row>
    <row r="431" spans="1:36" ht="12.95" customHeight="1">
      <c r="D431" s="1308" t="s">
        <v>2276</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c r="AH431" s="1563"/>
      <c r="AI431" s="1563"/>
      <c r="AJ431" s="1563"/>
    </row>
    <row r="432" spans="1:36" ht="12.95"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63</v>
      </c>
      <c r="AH432" s="1091"/>
      <c r="AI432" s="1091"/>
      <c r="AJ432" s="1091"/>
    </row>
    <row r="433" spans="4:36" ht="12.95"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63</v>
      </c>
      <c r="AH433" s="1091"/>
      <c r="AI433" s="1091"/>
      <c r="AJ433" s="1091"/>
    </row>
    <row r="434" spans="4:36" ht="12.95"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5"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49092</v>
      </c>
      <c r="AH435" s="1102"/>
      <c r="AI435" s="1102"/>
      <c r="AJ435" s="1102"/>
    </row>
    <row r="436" spans="4:36" ht="12.95"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49092</v>
      </c>
      <c r="AH436" s="1102"/>
      <c r="AI436" s="1102"/>
      <c r="AJ436" s="1102"/>
    </row>
    <row r="437" spans="4:36" ht="12.95"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2.95"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5" customHeight="1">
      <c r="D439" s="1308" t="s">
        <v>2114</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3277</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8" t="s">
        <v>1737</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0</v>
      </c>
      <c r="AH441" s="1102"/>
      <c r="AI441" s="1102"/>
      <c r="AJ441" s="1102"/>
    </row>
    <row r="442" spans="4:36" ht="12.95"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52369</v>
      </c>
      <c r="AH443" s="1352"/>
      <c r="AI443" s="1352"/>
      <c r="AJ443" s="1352"/>
    </row>
    <row r="444" spans="4:36" ht="12.95" customHeight="1">
      <c r="D444" s="1357" t="s">
        <v>1738</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499382.625</v>
      </c>
      <c r="AD447" s="1337"/>
      <c r="AE447" s="1337"/>
      <c r="AF447" s="1337"/>
      <c r="AG447" s="1365"/>
      <c r="AH447" s="1365"/>
      <c r="AI447" s="1365"/>
      <c r="AJ447" s="136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499382.625</v>
      </c>
      <c r="AD448" s="1337"/>
      <c r="AE448" s="1337"/>
      <c r="AF448" s="1337"/>
      <c r="AG448" s="1365"/>
      <c r="AH448" s="1365"/>
      <c r="AI448" s="1365"/>
      <c r="AJ448" s="136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470694.8125</v>
      </c>
      <c r="AD449" s="1337"/>
      <c r="AE449" s="1337"/>
      <c r="AF449" s="1337"/>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2106</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2285</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2219</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59"/>
      <c r="H469" s="1560"/>
      <c r="I469" s="1560"/>
      <c r="J469" s="1560"/>
      <c r="K469" s="1560"/>
      <c r="L469" s="1560"/>
      <c r="M469" s="1560"/>
      <c r="N469" s="1560"/>
      <c r="O469" s="1560"/>
      <c r="P469" s="1560"/>
      <c r="Q469" s="1560"/>
      <c r="R469" s="1560"/>
      <c r="S469" s="1560"/>
      <c r="T469" s="1560"/>
      <c r="U469" s="1560"/>
      <c r="V469" s="1561"/>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5" t="s">
        <v>2398</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5" t="s">
        <v>2398</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5" t="s">
        <v>2398</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2"/>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5">
        <v>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5">
        <v>0</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5">
        <v>0</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7"/>
      <c r="N491" s="1328"/>
      <c r="O491" s="1328"/>
      <c r="P491" s="1329"/>
      <c r="Q491" s="214" t="s">
        <v>1987</v>
      </c>
      <c r="R491" s="9"/>
      <c r="S491" s="9"/>
      <c r="T491" s="9"/>
      <c r="U491" s="9"/>
      <c r="V491" s="9"/>
      <c r="W491" s="9"/>
      <c r="X491" s="9"/>
      <c r="Y491" s="9"/>
      <c r="Z491" s="9"/>
      <c r="AA491" s="9"/>
      <c r="AB491" s="9"/>
      <c r="AC491" s="9"/>
      <c r="AD491" s="9"/>
      <c r="AE491" s="9"/>
      <c r="AF491" s="9"/>
      <c r="AG491" s="9"/>
      <c r="AH491" s="1327">
        <v>140</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6</v>
      </c>
      <c r="AD497" s="1101"/>
      <c r="AE497" s="1101"/>
      <c r="AF497" s="1101"/>
      <c r="AG497" s="18" t="s">
        <v>248</v>
      </c>
      <c r="AH497" s="1056">
        <v>2023</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1</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t="s">
        <v>675</v>
      </c>
      <c r="AC500" s="1297"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t="s">
        <v>676</v>
      </c>
      <c r="AC501" s="1297"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t="s">
        <v>677</v>
      </c>
      <c r="AC502" s="1297"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s="41" t="s">
        <v>678</v>
      </c>
      <c r="AC503" s="1332" t="s">
        <v>124</v>
      </c>
      <c r="AD503" s="1333"/>
      <c r="AE503" s="1333"/>
      <c r="AF503" s="1333"/>
      <c r="AG503" s="18" t="s">
        <v>248</v>
      </c>
      <c r="AH503" s="1056"/>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58"/>
      <c r="AC504" s="1394" t="s">
        <v>124</v>
      </c>
      <c r="AD504" s="1395"/>
      <c r="AE504" s="1395"/>
      <c r="AF504" s="1395"/>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41" t="s">
        <v>1988</v>
      </c>
      <c r="AC505" s="1393" t="s">
        <v>482</v>
      </c>
      <c r="AD505" s="1393"/>
      <c r="AE505" s="1393"/>
      <c r="AF505" s="1393"/>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1"/>
      <c r="C506" s="1302"/>
      <c r="D506" s="1302"/>
      <c r="E506" s="1302"/>
      <c r="F506" s="1302"/>
      <c r="G506" s="1302"/>
      <c r="H506" s="1303"/>
      <c r="I506" t="s">
        <v>1989</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838" t="s">
        <v>1991</v>
      </c>
      <c r="J508" s="54"/>
      <c r="K508" s="54"/>
      <c r="L508" s="54"/>
      <c r="M508" s="54"/>
      <c r="N508" s="54"/>
      <c r="O508" s="54"/>
      <c r="P508" s="54"/>
      <c r="Q508" s="54"/>
      <c r="R508" s="54"/>
      <c r="S508" s="54"/>
      <c r="T508" s="54"/>
      <c r="U508" s="54"/>
      <c r="V508" s="54"/>
      <c r="W508" s="54"/>
      <c r="X508" s="54"/>
      <c r="Y508" s="54"/>
      <c r="Z508" s="54"/>
      <c r="AA508" s="54"/>
      <c r="AB508" s="54"/>
      <c r="AC508" s="1349">
        <v>0.5</v>
      </c>
      <c r="AD508" s="1350"/>
      <c r="AE508" s="1350"/>
      <c r="AF508" s="1351"/>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2</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681</v>
      </c>
      <c r="AC510" s="1297">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11</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v>2</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t="s">
        <v>681</v>
      </c>
      <c r="AC513" s="1297">
        <v>2</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11</v>
      </c>
      <c r="AD514" s="1101"/>
      <c r="AE514" s="1101"/>
      <c r="AF514" s="1101"/>
      <c r="AG514" s="47" t="s">
        <v>248</v>
      </c>
      <c r="AH514" s="1056">
        <v>2024</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t="s">
        <v>684</v>
      </c>
      <c r="C515" s="1299"/>
      <c r="D515" s="1299"/>
      <c r="E515" s="1299"/>
      <c r="F515" s="1299"/>
      <c r="G515" s="1299"/>
      <c r="H515" s="1300"/>
      <c r="I515" s="6" t="s">
        <v>685</v>
      </c>
      <c r="J515" s="7"/>
      <c r="K515" s="7"/>
      <c r="L515" s="7"/>
      <c r="M515" s="7"/>
      <c r="N515" s="7"/>
      <c r="O515" s="1294" t="s">
        <v>2399</v>
      </c>
      <c r="P515" s="1295"/>
      <c r="Q515" s="1295"/>
      <c r="R515" s="1295"/>
      <c r="S515" s="1295"/>
      <c r="T515" s="1295"/>
      <c r="U515" s="1295"/>
      <c r="V515" s="1295"/>
      <c r="W515" s="1295"/>
      <c r="X515" s="1295"/>
      <c r="Y515" s="1295"/>
      <c r="Z515" s="1295"/>
      <c r="AA515" s="1295"/>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s="204" t="s">
        <v>686</v>
      </c>
      <c r="AB516" s="71"/>
      <c r="AC516" s="1297">
        <v>12</v>
      </c>
      <c r="AD516" s="1101"/>
      <c r="AE516" s="1101"/>
      <c r="AF516" s="1101"/>
      <c r="AG516" s="18" t="s">
        <v>248</v>
      </c>
      <c r="AH516" s="1056">
        <v>2023</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2</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688</v>
      </c>
      <c r="J518" s="7"/>
      <c r="K518" s="7"/>
      <c r="L518" s="7"/>
      <c r="M518" s="7"/>
      <c r="N518" s="7"/>
      <c r="O518" s="1294" t="s">
        <v>562</v>
      </c>
      <c r="P518" s="1295"/>
      <c r="Q518" s="1295"/>
      <c r="R518" s="1295"/>
      <c r="S518" s="1295"/>
      <c r="T518" s="1295"/>
      <c r="U518" s="1295"/>
      <c r="V518" s="1295"/>
      <c r="W518" s="1295"/>
      <c r="X518" s="1295"/>
      <c r="Y518" s="1295"/>
      <c r="Z518" s="1295"/>
      <c r="AA518" s="1295"/>
      <c r="AC518" s="1297"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686</v>
      </c>
      <c r="AC519" s="1297"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688</v>
      </c>
      <c r="J521" s="7"/>
      <c r="K521" s="7"/>
      <c r="L521" s="7"/>
      <c r="M521" s="7"/>
      <c r="N521" s="7"/>
      <c r="O521" s="1294" t="s">
        <v>562</v>
      </c>
      <c r="P521" s="1295"/>
      <c r="Q521" s="1295"/>
      <c r="R521" s="1295"/>
      <c r="S521" s="1295"/>
      <c r="T521" s="1295"/>
      <c r="U521" s="1295"/>
      <c r="V521" s="1295"/>
      <c r="W521" s="1295"/>
      <c r="X521" s="1295"/>
      <c r="Y521" s="1295"/>
      <c r="Z521" s="1295"/>
      <c r="AA521" s="1295"/>
      <c r="AC521" s="1297"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686</v>
      </c>
      <c r="AC522" s="1297"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688</v>
      </c>
      <c r="J524" s="7"/>
      <c r="K524" s="7"/>
      <c r="L524" s="7"/>
      <c r="M524" s="7"/>
      <c r="N524" s="7"/>
      <c r="O524" s="1294" t="s">
        <v>562</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686</v>
      </c>
      <c r="AC525" s="1297"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686</v>
      </c>
      <c r="AC528" s="1297"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1"/>
      <c r="C531" s="1302"/>
      <c r="D531" s="1302"/>
      <c r="E531" s="1302"/>
      <c r="F531" s="1302"/>
      <c r="G531" s="1302"/>
      <c r="H531" s="1303"/>
      <c r="I531" t="s">
        <v>686</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11</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1"/>
      <c r="C534" s="1302"/>
      <c r="D534" s="1302"/>
      <c r="E534" s="1302"/>
      <c r="F534" s="1302"/>
      <c r="G534" s="1302"/>
      <c r="H534" s="1303"/>
      <c r="I534" t="s">
        <v>736</v>
      </c>
      <c r="AC534" s="1297">
        <v>11</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1"/>
      <c r="C535" s="1302"/>
      <c r="D535" s="1302"/>
      <c r="E535" s="1302"/>
      <c r="F535" s="1302"/>
      <c r="G535" s="1302"/>
      <c r="H535" s="1303"/>
      <c r="I535" t="s">
        <v>737</v>
      </c>
      <c r="AC535" s="1297">
        <v>5</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1"/>
      <c r="C536" s="1302"/>
      <c r="D536" s="1302"/>
      <c r="E536" s="1302"/>
      <c r="F536" s="1302"/>
      <c r="G536" s="1302"/>
      <c r="H536" s="1303"/>
      <c r="I536" t="s">
        <v>738</v>
      </c>
      <c r="AC536" s="1297">
        <v>5</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6</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8" t="s">
        <v>2197</v>
      </c>
      <c r="C546" s="1299"/>
      <c r="D546" s="1299"/>
      <c r="E546" s="1299"/>
      <c r="F546" s="1299"/>
      <c r="G546" s="1299"/>
      <c r="H546" s="1299"/>
      <c r="I546" s="1299"/>
      <c r="J546" s="1299"/>
      <c r="K546" s="1299"/>
      <c r="L546" s="1299"/>
      <c r="M546" s="1410" t="s">
        <v>2171</v>
      </c>
      <c r="N546" s="1410"/>
      <c r="O546" s="1410"/>
      <c r="P546" s="1410"/>
      <c r="Q546" s="1298" t="s">
        <v>440</v>
      </c>
      <c r="R546" s="1299"/>
      <c r="S546" s="1300"/>
      <c r="T546" s="1298" t="s">
        <v>1992</v>
      </c>
      <c r="U546" s="1299"/>
      <c r="V546" s="1300"/>
      <c r="W546" s="1298" t="s">
        <v>740</v>
      </c>
      <c r="X546" s="1299"/>
      <c r="Y546" s="1300"/>
      <c r="Z546" s="1298" t="s">
        <v>1994</v>
      </c>
      <c r="AA546" s="1299"/>
      <c r="AB546" s="1299"/>
      <c r="AC546" s="1299"/>
      <c r="AD546" s="1300"/>
      <c r="AE546" s="1298" t="s">
        <v>1993</v>
      </c>
      <c r="AF546" s="1299"/>
      <c r="AG546" s="1299"/>
      <c r="AH546" s="1300"/>
      <c r="AI546" s="1298" t="s">
        <v>1995</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8" t="s">
        <v>2400</v>
      </c>
      <c r="D549" s="1408"/>
      <c r="E549" s="1408"/>
      <c r="F549" s="1408"/>
      <c r="G549" s="1408"/>
      <c r="H549" s="1408"/>
      <c r="I549" s="1408"/>
      <c r="J549" s="1408"/>
      <c r="K549" s="1408"/>
      <c r="L549" s="1408"/>
      <c r="M549" s="1296" t="s">
        <v>2181</v>
      </c>
      <c r="N549" s="1296"/>
      <c r="O549" s="1296"/>
      <c r="P549" s="1296"/>
      <c r="Q549" s="1282">
        <v>24</v>
      </c>
      <c r="R549" s="1282"/>
      <c r="S549" s="1283"/>
      <c r="T549" s="1281">
        <v>24</v>
      </c>
      <c r="U549" s="1282"/>
      <c r="V549" s="1283"/>
      <c r="W549" s="1284">
        <v>0.08</v>
      </c>
      <c r="X549" s="1285"/>
      <c r="Y549" s="1286"/>
      <c r="Z549" s="1290" t="s">
        <v>1980</v>
      </c>
      <c r="AA549" s="1290"/>
      <c r="AB549" s="1290"/>
      <c r="AC549" s="1290"/>
      <c r="AD549" s="1290"/>
      <c r="AE549" s="1291"/>
      <c r="AF549" s="1292"/>
      <c r="AG549" s="1292"/>
      <c r="AH549" s="1293"/>
      <c r="AI549" s="1287"/>
      <c r="AJ549" s="1288"/>
      <c r="AK549" s="1288"/>
      <c r="AL549" s="1289"/>
      <c r="AM549" s="1199">
        <v>32499088</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8"/>
      <c r="D550" s="1408"/>
      <c r="E550" s="1408"/>
      <c r="F550" s="1408"/>
      <c r="G550" s="1408"/>
      <c r="H550" s="1408"/>
      <c r="I550" s="1408"/>
      <c r="J550" s="1408"/>
      <c r="K550" s="1408"/>
      <c r="L550" s="1408"/>
      <c r="M550" s="1296" t="s">
        <v>1980</v>
      </c>
      <c r="N550" s="1296"/>
      <c r="O550" s="1296"/>
      <c r="P550" s="1296"/>
      <c r="Q550" s="1281"/>
      <c r="R550" s="1282"/>
      <c r="S550" s="1283"/>
      <c r="T550" s="1281"/>
      <c r="U550" s="1282"/>
      <c r="V550" s="1283"/>
      <c r="W550" s="1284"/>
      <c r="X550" s="1285"/>
      <c r="Y550" s="1286"/>
      <c r="Z550" s="1290" t="s">
        <v>1980</v>
      </c>
      <c r="AA550" s="1290"/>
      <c r="AB550" s="1290"/>
      <c r="AC550" s="1290"/>
      <c r="AD550" s="1290"/>
      <c r="AE550" s="1291"/>
      <c r="AF550" s="1292"/>
      <c r="AG550" s="1292"/>
      <c r="AH550" s="1293"/>
      <c r="AI550" s="1287"/>
      <c r="AJ550" s="1288"/>
      <c r="AK550" s="1288"/>
      <c r="AL550" s="1289"/>
      <c r="AM550" s="1199"/>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8"/>
      <c r="D551" s="1408"/>
      <c r="E551" s="1408"/>
      <c r="F551" s="1408"/>
      <c r="G551" s="1408"/>
      <c r="H551" s="1408"/>
      <c r="I551" s="1408"/>
      <c r="J551" s="1408"/>
      <c r="K551" s="1408"/>
      <c r="L551" s="1408"/>
      <c r="M551" s="1296" t="s">
        <v>1980</v>
      </c>
      <c r="N551" s="1296"/>
      <c r="O551" s="1296"/>
      <c r="P551" s="1296"/>
      <c r="Q551" s="1281"/>
      <c r="R551" s="1282"/>
      <c r="S551" s="1283"/>
      <c r="T551" s="1281"/>
      <c r="U551" s="1282"/>
      <c r="V551" s="1283"/>
      <c r="W551" s="1284"/>
      <c r="X551" s="1285"/>
      <c r="Y551" s="1286"/>
      <c r="Z551" s="1290" t="s">
        <v>1980</v>
      </c>
      <c r="AA551" s="1290"/>
      <c r="AB551" s="1290"/>
      <c r="AC551" s="1290"/>
      <c r="AD551" s="1290"/>
      <c r="AE551" s="1291"/>
      <c r="AF551" s="1292"/>
      <c r="AG551" s="1292"/>
      <c r="AH551" s="1293"/>
      <c r="AI551" s="1287"/>
      <c r="AJ551" s="1288"/>
      <c r="AK551" s="1288"/>
      <c r="AL551" s="1289"/>
      <c r="AM551" s="1199"/>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8"/>
      <c r="D552" s="1408"/>
      <c r="E552" s="1408"/>
      <c r="F552" s="1408"/>
      <c r="G552" s="1408"/>
      <c r="H552" s="1408"/>
      <c r="I552" s="1408"/>
      <c r="J552" s="1408"/>
      <c r="K552" s="1408"/>
      <c r="L552" s="1408"/>
      <c r="M552" s="1296" t="s">
        <v>1980</v>
      </c>
      <c r="N552" s="1296"/>
      <c r="O552" s="1296"/>
      <c r="P552" s="1296"/>
      <c r="Q552" s="1281"/>
      <c r="R552" s="1282"/>
      <c r="S552" s="1283"/>
      <c r="T552" s="1281"/>
      <c r="U552" s="1282"/>
      <c r="V552" s="1283"/>
      <c r="W552" s="1284"/>
      <c r="X552" s="1285"/>
      <c r="Y552" s="1286"/>
      <c r="Z552" s="1290" t="s">
        <v>1980</v>
      </c>
      <c r="AA552" s="1290"/>
      <c r="AB552" s="1290"/>
      <c r="AC552" s="1290"/>
      <c r="AD552" s="1290"/>
      <c r="AE552" s="1291"/>
      <c r="AF552" s="1292"/>
      <c r="AG552" s="1292"/>
      <c r="AH552" s="1293"/>
      <c r="AI552" s="1287"/>
      <c r="AJ552" s="1288"/>
      <c r="AK552" s="1288"/>
      <c r="AL552" s="1289"/>
      <c r="AM552" s="1199"/>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8"/>
      <c r="D553" s="1408"/>
      <c r="E553" s="1408"/>
      <c r="F553" s="1408"/>
      <c r="G553" s="1408"/>
      <c r="H553" s="1408"/>
      <c r="I553" s="1408"/>
      <c r="J553" s="1408"/>
      <c r="K553" s="1408"/>
      <c r="L553" s="1408"/>
      <c r="M553" s="1296" t="s">
        <v>1980</v>
      </c>
      <c r="N553" s="1296"/>
      <c r="O553" s="1296"/>
      <c r="P553" s="1296"/>
      <c r="Q553" s="1281"/>
      <c r="R553" s="1282"/>
      <c r="S553" s="1283"/>
      <c r="T553" s="1281"/>
      <c r="U553" s="1282"/>
      <c r="V553" s="1283"/>
      <c r="W553" s="1284"/>
      <c r="X553" s="1285"/>
      <c r="Y553" s="1286"/>
      <c r="Z553" s="1290" t="s">
        <v>1980</v>
      </c>
      <c r="AA553" s="1290"/>
      <c r="AB553" s="1290"/>
      <c r="AC553" s="1290"/>
      <c r="AD553" s="1290"/>
      <c r="AE553" s="1291"/>
      <c r="AF553" s="1292"/>
      <c r="AG553" s="1292"/>
      <c r="AH553" s="1293"/>
      <c r="AI553" s="1287"/>
      <c r="AJ553" s="1288"/>
      <c r="AK553" s="1288"/>
      <c r="AL553" s="1289"/>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8"/>
      <c r="D554" s="1408"/>
      <c r="E554" s="1408"/>
      <c r="F554" s="1408"/>
      <c r="G554" s="1408"/>
      <c r="H554" s="1408"/>
      <c r="I554" s="1408"/>
      <c r="J554" s="1408"/>
      <c r="K554" s="1408"/>
      <c r="L554" s="1408"/>
      <c r="M554" s="1296" t="s">
        <v>1980</v>
      </c>
      <c r="N554" s="1296"/>
      <c r="O554" s="1296"/>
      <c r="P554" s="1296"/>
      <c r="Q554" s="1281"/>
      <c r="R554" s="1282"/>
      <c r="S554" s="1283"/>
      <c r="T554" s="1281"/>
      <c r="U554" s="1282"/>
      <c r="V554" s="1283"/>
      <c r="W554" s="1284"/>
      <c r="X554" s="1285"/>
      <c r="Y554" s="1286"/>
      <c r="Z554" s="1290" t="s">
        <v>1980</v>
      </c>
      <c r="AA554" s="1290"/>
      <c r="AB554" s="1290"/>
      <c r="AC554" s="1290"/>
      <c r="AD554" s="1290"/>
      <c r="AE554" s="1291"/>
      <c r="AF554" s="1292"/>
      <c r="AG554" s="1292"/>
      <c r="AH554" s="1293"/>
      <c r="AI554" s="1287"/>
      <c r="AJ554" s="1288"/>
      <c r="AK554" s="1288"/>
      <c r="AL554" s="1289"/>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8"/>
      <c r="D555" s="1408"/>
      <c r="E555" s="1408"/>
      <c r="F555" s="1408"/>
      <c r="G555" s="1408"/>
      <c r="H555" s="1408"/>
      <c r="I555" s="1408"/>
      <c r="J555" s="1408"/>
      <c r="K555" s="1408"/>
      <c r="L555" s="1408"/>
      <c r="M555" s="1296" t="s">
        <v>1980</v>
      </c>
      <c r="N555" s="1296"/>
      <c r="O555" s="1296"/>
      <c r="P555" s="1296"/>
      <c r="Q555" s="1281"/>
      <c r="R555" s="1282"/>
      <c r="S555" s="1283"/>
      <c r="T555" s="1281"/>
      <c r="U555" s="1282"/>
      <c r="V555" s="1283"/>
      <c r="W555" s="1284"/>
      <c r="X555" s="1285"/>
      <c r="Y555" s="1286"/>
      <c r="Z555" s="1290" t="s">
        <v>1980</v>
      </c>
      <c r="AA555" s="1290"/>
      <c r="AB555" s="1290"/>
      <c r="AC555" s="1290"/>
      <c r="AD555" s="1290"/>
      <c r="AE555" s="1291"/>
      <c r="AF555" s="1292"/>
      <c r="AG555" s="1292"/>
      <c r="AH555" s="1293"/>
      <c r="AI555" s="1287"/>
      <c r="AJ555" s="1288"/>
      <c r="AK555" s="1288"/>
      <c r="AL555" s="1289"/>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8"/>
      <c r="D556" s="1408"/>
      <c r="E556" s="1408"/>
      <c r="F556" s="1408"/>
      <c r="G556" s="1408"/>
      <c r="H556" s="1408"/>
      <c r="I556" s="1408"/>
      <c r="J556" s="1408"/>
      <c r="K556" s="1408"/>
      <c r="L556" s="1408"/>
      <c r="M556" s="1296" t="s">
        <v>1980</v>
      </c>
      <c r="N556" s="1296"/>
      <c r="O556" s="1296"/>
      <c r="P556" s="1296"/>
      <c r="Q556" s="1281"/>
      <c r="R556" s="1282"/>
      <c r="S556" s="1283"/>
      <c r="T556" s="1281"/>
      <c r="U556" s="1282"/>
      <c r="V556" s="1283"/>
      <c r="W556" s="1284"/>
      <c r="X556" s="1285"/>
      <c r="Y556" s="1286"/>
      <c r="Z556" s="1290" t="s">
        <v>1980</v>
      </c>
      <c r="AA556" s="1290"/>
      <c r="AB556" s="1290"/>
      <c r="AC556" s="1290"/>
      <c r="AD556" s="1290"/>
      <c r="AE556" s="1291"/>
      <c r="AF556" s="1292"/>
      <c r="AG556" s="1292"/>
      <c r="AH556" s="1293"/>
      <c r="AI556" s="1287"/>
      <c r="AJ556" s="1288"/>
      <c r="AK556" s="1288"/>
      <c r="AL556" s="1289"/>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08"/>
      <c r="D557" s="1408"/>
      <c r="E557" s="1408"/>
      <c r="F557" s="1408"/>
      <c r="G557" s="1408"/>
      <c r="H557" s="1408"/>
      <c r="I557" s="1408"/>
      <c r="J557" s="1408"/>
      <c r="K557" s="1408"/>
      <c r="L557" s="1408"/>
      <c r="M557" s="1296" t="s">
        <v>1980</v>
      </c>
      <c r="N557" s="1296"/>
      <c r="O557" s="1296"/>
      <c r="P557" s="1296"/>
      <c r="Q557" s="1281"/>
      <c r="R557" s="1282"/>
      <c r="S557" s="1283"/>
      <c r="T557" s="1281"/>
      <c r="U557" s="1282"/>
      <c r="V557" s="1283"/>
      <c r="W557" s="1284"/>
      <c r="X557" s="1285"/>
      <c r="Y557" s="1286"/>
      <c r="Z557" s="1290" t="s">
        <v>1980</v>
      </c>
      <c r="AA557" s="1290"/>
      <c r="AB557" s="1290"/>
      <c r="AC557" s="1290"/>
      <c r="AD557" s="1290"/>
      <c r="AE557" s="1291"/>
      <c r="AF557" s="1292"/>
      <c r="AG557" s="1292"/>
      <c r="AH557" s="1293"/>
      <c r="AI557" s="1287"/>
      <c r="AJ557" s="1288"/>
      <c r="AK557" s="1288"/>
      <c r="AL557" s="1289"/>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8"/>
      <c r="D558" s="1408"/>
      <c r="E558" s="1408"/>
      <c r="F558" s="1408"/>
      <c r="G558" s="1408"/>
      <c r="H558" s="1408"/>
      <c r="I558" s="1408"/>
      <c r="J558" s="1408"/>
      <c r="K558" s="1408"/>
      <c r="L558" s="1408"/>
      <c r="M558" s="1296" t="s">
        <v>1980</v>
      </c>
      <c r="N558" s="1296"/>
      <c r="O558" s="1296"/>
      <c r="P558" s="1296"/>
      <c r="Q558" s="1281"/>
      <c r="R558" s="1282"/>
      <c r="S558" s="1283"/>
      <c r="T558" s="1281"/>
      <c r="U558" s="1282"/>
      <c r="V558" s="1283"/>
      <c r="W558" s="1284"/>
      <c r="X558" s="1285"/>
      <c r="Y558" s="1286"/>
      <c r="Z558" s="1290" t="s">
        <v>1980</v>
      </c>
      <c r="AA558" s="1290"/>
      <c r="AB558" s="1290"/>
      <c r="AC558" s="1290"/>
      <c r="AD558" s="1290"/>
      <c r="AE558" s="1291"/>
      <c r="AF558" s="1292"/>
      <c r="AG558" s="1292"/>
      <c r="AH558" s="1293"/>
      <c r="AI558" s="1287"/>
      <c r="AJ558" s="1288"/>
      <c r="AK558" s="1288"/>
      <c r="AL558" s="1289"/>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8"/>
      <c r="D559" s="1408"/>
      <c r="E559" s="1408"/>
      <c r="F559" s="1408"/>
      <c r="G559" s="1408"/>
      <c r="H559" s="1408"/>
      <c r="I559" s="1408"/>
      <c r="J559" s="1408"/>
      <c r="K559" s="1408"/>
      <c r="L559" s="1408"/>
      <c r="M559" s="1296" t="s">
        <v>1980</v>
      </c>
      <c r="N559" s="1296"/>
      <c r="O559" s="1296"/>
      <c r="P559" s="1296"/>
      <c r="Q559" s="1281"/>
      <c r="R559" s="1282"/>
      <c r="S559" s="1283"/>
      <c r="T559" s="1281"/>
      <c r="U559" s="1282"/>
      <c r="V559" s="1283"/>
      <c r="W559" s="1284"/>
      <c r="X559" s="1285"/>
      <c r="Y559" s="1286"/>
      <c r="Z559" s="1290" t="s">
        <v>1980</v>
      </c>
      <c r="AA559" s="1290"/>
      <c r="AB559" s="1290"/>
      <c r="AC559" s="1290"/>
      <c r="AD559" s="1290"/>
      <c r="AE559" s="1291"/>
      <c r="AF559" s="1292"/>
      <c r="AG559" s="1292"/>
      <c r="AH559" s="1293"/>
      <c r="AI559" s="1287"/>
      <c r="AJ559" s="1288"/>
      <c r="AK559" s="1288"/>
      <c r="AL559" s="1289"/>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8"/>
      <c r="D560" s="1408"/>
      <c r="E560" s="1408"/>
      <c r="F560" s="1408"/>
      <c r="G560" s="1408"/>
      <c r="H560" s="1408"/>
      <c r="I560" s="1408"/>
      <c r="J560" s="1408"/>
      <c r="K560" s="1408"/>
      <c r="L560" s="1408"/>
      <c r="M560" s="1296" t="s">
        <v>1980</v>
      </c>
      <c r="N560" s="1296"/>
      <c r="O560" s="1296"/>
      <c r="P560" s="1296"/>
      <c r="Q560" s="1281"/>
      <c r="R560" s="1282"/>
      <c r="S560" s="1283"/>
      <c r="T560" s="1281"/>
      <c r="U560" s="1282"/>
      <c r="V560" s="1283"/>
      <c r="W560" s="1284"/>
      <c r="X560" s="1285"/>
      <c r="Y560" s="1286"/>
      <c r="Z560" s="1290" t="s">
        <v>1980</v>
      </c>
      <c r="AA560" s="1290"/>
      <c r="AB560" s="1290"/>
      <c r="AC560" s="1290"/>
      <c r="AD560" s="1290"/>
      <c r="AE560" s="1291"/>
      <c r="AF560" s="1292"/>
      <c r="AG560" s="1292"/>
      <c r="AH560" s="1293"/>
      <c r="AI560" s="1287"/>
      <c r="AJ560" s="1288"/>
      <c r="AK560" s="1288"/>
      <c r="AL560" s="1289"/>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2"/>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32499088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0" t="str">
        <f>C549</f>
        <v>Citi bank Construction Loan</v>
      </c>
      <c r="H563" s="1260"/>
      <c r="I563" s="1260"/>
      <c r="J563" s="1260"/>
      <c r="K563" s="1260"/>
      <c r="L563" s="1260"/>
      <c r="M563" s="1260"/>
      <c r="N563" s="1260"/>
      <c r="O563" s="1260"/>
      <c r="P563" s="1260"/>
      <c r="Q563" s="1260"/>
      <c r="R563" s="1260"/>
      <c r="S563" s="12"/>
      <c r="T563" s="61" t="s">
        <v>901</v>
      </c>
      <c r="U563" t="s">
        <v>82</v>
      </c>
      <c r="Z563" s="1260">
        <f>C550</f>
        <v>0</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7" t="s">
        <v>2401</v>
      </c>
      <c r="H564" s="1107"/>
      <c r="I564" s="1107"/>
      <c r="J564" s="1107"/>
      <c r="K564" s="1107"/>
      <c r="L564" s="1107"/>
      <c r="M564" s="1107"/>
      <c r="N564" s="1107"/>
      <c r="O564" s="1107"/>
      <c r="P564" s="1107"/>
      <c r="Q564" s="1107"/>
      <c r="R564" s="1107"/>
      <c r="S564" s="12"/>
      <c r="T564" s="4"/>
      <c r="U564" t="s">
        <v>372</v>
      </c>
      <c r="Z564" s="1107"/>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7" t="s">
        <v>2402</v>
      </c>
      <c r="H565" s="1107"/>
      <c r="I565" s="1107"/>
      <c r="J565" s="1107"/>
      <c r="K565" s="1107"/>
      <c r="L565" s="1107"/>
      <c r="M565" s="1107"/>
      <c r="N565" s="1107"/>
      <c r="O565" s="1107"/>
      <c r="P565" s="1107"/>
      <c r="Q565" s="1107"/>
      <c r="R565" s="1107"/>
      <c r="T565" s="4"/>
      <c r="U565" t="s">
        <v>430</v>
      </c>
      <c r="Z565" s="1258"/>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7" t="s">
        <v>2403</v>
      </c>
      <c r="H566" s="1107"/>
      <c r="I566" s="1107"/>
      <c r="J566" s="1107"/>
      <c r="K566" s="1107"/>
      <c r="L566" s="1107"/>
      <c r="M566" s="1107"/>
      <c r="N566" s="1107"/>
      <c r="O566" s="1107"/>
      <c r="P566" s="1107"/>
      <c r="Q566" s="1107"/>
      <c r="R566" s="1107"/>
      <c r="S566" s="12"/>
      <c r="T566" s="4"/>
      <c r="U566" t="s">
        <v>833</v>
      </c>
      <c r="Z566" s="1258"/>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4" t="s">
        <v>2404</v>
      </c>
      <c r="H567" s="1264"/>
      <c r="I567" s="1264"/>
      <c r="J567" s="1264"/>
      <c r="K567" s="1264"/>
      <c r="L567" s="1264"/>
      <c r="O567" s="42" t="s">
        <v>818</v>
      </c>
      <c r="P567" s="1259"/>
      <c r="Q567" s="1259"/>
      <c r="R567" s="1259"/>
      <c r="S567" s="14"/>
      <c r="T567" s="4"/>
      <c r="U567" t="s">
        <v>650</v>
      </c>
      <c r="Z567" s="1264"/>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3" t="s">
        <v>2405</v>
      </c>
      <c r="I568" s="1107"/>
      <c r="J568" s="1107"/>
      <c r="K568" s="1107"/>
      <c r="L568" s="1107"/>
      <c r="M568" s="1107"/>
      <c r="N568" s="1107"/>
      <c r="O568" s="1107"/>
      <c r="P568" s="1107"/>
      <c r="Q568" s="1107"/>
      <c r="R568" s="1107"/>
      <c r="S568" s="12"/>
      <c r="T568" s="4"/>
      <c r="U568" t="s">
        <v>834</v>
      </c>
      <c r="AA568" s="1107"/>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8" t="s">
        <v>108</v>
      </c>
      <c r="O569" s="1098"/>
      <c r="T569" s="4"/>
      <c r="U569" t="s">
        <v>836</v>
      </c>
      <c r="AG569" s="1098" t="s">
        <v>482</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0">
        <f>C551</f>
        <v>0</v>
      </c>
      <c r="H571" s="1260"/>
      <c r="I571" s="1260"/>
      <c r="J571" s="1260"/>
      <c r="K571" s="1260"/>
      <c r="L571" s="1260"/>
      <c r="M571" s="1260"/>
      <c r="N571" s="1260"/>
      <c r="O571" s="1260"/>
      <c r="P571" s="1260"/>
      <c r="Q571" s="1260"/>
      <c r="R571" s="1260"/>
      <c r="T571" s="61" t="s">
        <v>431</v>
      </c>
      <c r="U571" t="s">
        <v>82</v>
      </c>
      <c r="Z571" s="1260">
        <f>C552</f>
        <v>0</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7"/>
      <c r="H572" s="1107"/>
      <c r="I572" s="1107"/>
      <c r="J572" s="1107"/>
      <c r="K572" s="1107"/>
      <c r="L572" s="1107"/>
      <c r="M572" s="1107"/>
      <c r="N572" s="1107"/>
      <c r="O572" s="1107"/>
      <c r="P572" s="1107"/>
      <c r="Q572" s="1107"/>
      <c r="R572" s="1107"/>
      <c r="T572" s="4"/>
      <c r="U572" t="s">
        <v>372</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58"/>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58"/>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4"/>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7"/>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6" t="s">
        <v>482</v>
      </c>
      <c r="O577" s="1056"/>
      <c r="T577" s="4"/>
      <c r="U577" t="s">
        <v>836</v>
      </c>
      <c r="AG577" s="1056" t="s">
        <v>482</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3</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3</v>
      </c>
      <c r="BL592" s="1268"/>
      <c r="BN592" s="1266">
        <f t="shared" ref="BN592:BN625" si="9">IF(B696="SRO/Studio",G696,0)</f>
        <v>0</v>
      </c>
      <c r="BO592" s="1267"/>
      <c r="BP592" s="1267"/>
      <c r="BQ592" s="1267"/>
      <c r="BR592" s="1277"/>
      <c r="BS592" s="1266">
        <f t="shared" ref="BS592:BS625" si="10">IF(B696="1 Bedroom",G696,0)</f>
        <v>2</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3</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5"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2">
        <f t="shared" ref="BE593:BE615" si="15">IF(AND(AH696&lt;=0.5,AH696&gt;=0.36),1,0)</f>
        <v>1</v>
      </c>
      <c r="BF593" s="1274"/>
      <c r="BG593" s="1266">
        <f t="shared" si="7"/>
        <v>2</v>
      </c>
      <c r="BH593" s="1268"/>
      <c r="BI593" s="1272">
        <f t="shared" ref="BI593:BI615" si="16">IF(AND(AH696&lt;=0.35,AH696&gt;0),1,0)</f>
        <v>0</v>
      </c>
      <c r="BJ593" s="1274"/>
      <c r="BK593" s="1266">
        <f t="shared" si="8"/>
        <v>0</v>
      </c>
      <c r="BL593" s="1268"/>
      <c r="BN593" s="1266">
        <f t="shared" si="9"/>
        <v>0</v>
      </c>
      <c r="BO593" s="1267"/>
      <c r="BP593" s="1267"/>
      <c r="BQ593" s="1267"/>
      <c r="BR593" s="1277"/>
      <c r="BS593" s="1266">
        <f t="shared" si="10"/>
        <v>1</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5" customHeight="1">
      <c r="AZ594" s="5" t="s">
        <v>781</v>
      </c>
      <c r="BA594" s="41"/>
      <c r="BB594" s="41"/>
      <c r="BC594" s="41"/>
      <c r="BD594" s="41"/>
      <c r="BE594" s="1272">
        <f t="shared" si="15"/>
        <v>1</v>
      </c>
      <c r="BF594" s="1274"/>
      <c r="BG594" s="1266">
        <f t="shared" si="7"/>
        <v>1</v>
      </c>
      <c r="BH594" s="1268"/>
      <c r="BI594" s="1272">
        <f t="shared" si="16"/>
        <v>0</v>
      </c>
      <c r="BJ594" s="1274"/>
      <c r="BK594" s="1266">
        <f t="shared" si="8"/>
        <v>0</v>
      </c>
      <c r="BL594" s="1268"/>
      <c r="BN594" s="1266">
        <f t="shared" si="9"/>
        <v>0</v>
      </c>
      <c r="BO594" s="1267"/>
      <c r="BP594" s="1267"/>
      <c r="BQ594" s="1267"/>
      <c r="BR594" s="1277"/>
      <c r="BS594" s="1266">
        <f t="shared" si="10"/>
        <v>6</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5"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2">
        <f t="shared" si="15"/>
        <v>0</v>
      </c>
      <c r="BF595" s="1274"/>
      <c r="BG595" s="1266">
        <f t="shared" si="7"/>
        <v>0</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8</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5"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15"/>
        <v>0</v>
      </c>
      <c r="BF596" s="1274"/>
      <c r="BG596" s="1266">
        <f t="shared" si="7"/>
        <v>0</v>
      </c>
      <c r="BH596" s="1268"/>
      <c r="BI596" s="1272">
        <f t="shared" si="16"/>
        <v>1</v>
      </c>
      <c r="BJ596" s="1274"/>
      <c r="BK596" s="1266">
        <f t="shared" si="8"/>
        <v>8</v>
      </c>
      <c r="BL596" s="1268"/>
      <c r="BN596" s="1266">
        <f t="shared" si="9"/>
        <v>0</v>
      </c>
      <c r="BO596" s="1267"/>
      <c r="BP596" s="1267"/>
      <c r="BQ596" s="1267"/>
      <c r="BR596" s="1277"/>
      <c r="BS596" s="1266">
        <f t="shared" si="10"/>
        <v>0</v>
      </c>
      <c r="BT596" s="1267"/>
      <c r="BU596" s="1267"/>
      <c r="BV596" s="1267"/>
      <c r="BW596" s="1268"/>
      <c r="BX596" s="1266">
        <f t="shared" si="11"/>
        <v>4</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8</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5"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2">
        <f t="shared" si="15"/>
        <v>1</v>
      </c>
      <c r="BF597" s="1274"/>
      <c r="BG597" s="1266">
        <f t="shared" si="7"/>
        <v>4</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3</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5"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2">
        <f t="shared" si="15"/>
        <v>1</v>
      </c>
      <c r="BF598" s="1274"/>
      <c r="BG598" s="1266">
        <f t="shared" si="7"/>
        <v>3</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17</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5"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2">
        <f t="shared" si="15"/>
        <v>0</v>
      </c>
      <c r="BF599" s="1274"/>
      <c r="BG599" s="1266">
        <f t="shared" si="7"/>
        <v>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4</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5"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5"/>
        <v>0</v>
      </c>
      <c r="BF600" s="1274"/>
      <c r="BG600" s="1266">
        <f t="shared" si="7"/>
        <v>0</v>
      </c>
      <c r="BH600" s="1268"/>
      <c r="BI600" s="1272">
        <f t="shared" si="16"/>
        <v>1</v>
      </c>
      <c r="BJ600" s="1274"/>
      <c r="BK600" s="1266">
        <f t="shared" si="8"/>
        <v>4</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2</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4</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5"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2">
        <f t="shared" si="15"/>
        <v>1</v>
      </c>
      <c r="BF601" s="1274"/>
      <c r="BG601" s="1266">
        <f t="shared" si="7"/>
        <v>2</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1</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1</v>
      </c>
      <c r="BF602" s="1274"/>
      <c r="BG602" s="1266">
        <f t="shared" si="7"/>
        <v>1</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8</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1</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15"/>
        <v>0</v>
      </c>
      <c r="BF604" s="1274"/>
      <c r="BG604" s="1266">
        <f t="shared" si="7"/>
        <v>0</v>
      </c>
      <c r="BH604" s="1268"/>
      <c r="BI604" s="1272">
        <f t="shared" si="16"/>
        <v>1</v>
      </c>
      <c r="BJ604" s="1274"/>
      <c r="BK604" s="1266">
        <f t="shared" si="8"/>
        <v>1</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2</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1</v>
      </c>
      <c r="DN604" s="1279"/>
      <c r="DO604" s="1279"/>
      <c r="DP604" s="1279"/>
      <c r="DQ604" s="1280"/>
      <c r="DR604" s="1278">
        <f t="shared" si="22"/>
        <v>0</v>
      </c>
      <c r="DS604" s="1279"/>
      <c r="DT604" s="1279"/>
      <c r="DU604" s="1279"/>
      <c r="DV604" s="1280"/>
    </row>
    <row r="605" spans="1:126" ht="12.95"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2">
        <f t="shared" si="15"/>
        <v>1</v>
      </c>
      <c r="BF605" s="1274"/>
      <c r="BG605" s="1266">
        <f t="shared" si="7"/>
        <v>2</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1</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5"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2">
        <f t="shared" si="15"/>
        <v>1</v>
      </c>
      <c r="BF606" s="1274"/>
      <c r="BG606" s="1266">
        <f t="shared" si="7"/>
        <v>1</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5"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5" customHeight="1">
      <c r="B609" t="s">
        <v>836</v>
      </c>
      <c r="N609" s="1098" t="s">
        <v>482</v>
      </c>
      <c r="O609" s="1098"/>
      <c r="U609" t="s">
        <v>836</v>
      </c>
      <c r="AG609" s="1098" t="s">
        <v>482</v>
      </c>
      <c r="AH609" s="1098"/>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5"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5" customHeight="1">
      <c r="C616" s="3" t="s">
        <v>2128</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5" customHeight="1">
      <c r="B618" s="1567" t="s">
        <v>2197</v>
      </c>
      <c r="C618" s="1568"/>
      <c r="D618" s="1568"/>
      <c r="E618" s="1568"/>
      <c r="F618" s="1568"/>
      <c r="G618" s="1568"/>
      <c r="H618" s="1568"/>
      <c r="I618" s="1568"/>
      <c r="J618" s="1568"/>
      <c r="K618" s="1568"/>
      <c r="L618" s="1568"/>
      <c r="M618" s="1410" t="s">
        <v>2171</v>
      </c>
      <c r="N618" s="1410"/>
      <c r="O618" s="1410"/>
      <c r="P618" s="1410"/>
      <c r="Q618" s="1298" t="s">
        <v>2201</v>
      </c>
      <c r="R618" s="1299"/>
      <c r="S618" s="1300"/>
      <c r="T618" s="1298" t="s">
        <v>2200</v>
      </c>
      <c r="U618" s="1299"/>
      <c r="V618" s="1300"/>
      <c r="W618" s="1429" t="s">
        <v>740</v>
      </c>
      <c r="X618" s="1429"/>
      <c r="Y618" s="1430"/>
      <c r="Z618" s="1410" t="s">
        <v>2198</v>
      </c>
      <c r="AA618" s="1410"/>
      <c r="AB618" s="1410"/>
      <c r="AC618" s="1417" t="s">
        <v>1993</v>
      </c>
      <c r="AD618" s="1418"/>
      <c r="AE618" s="1419"/>
      <c r="AF618" s="1298" t="s">
        <v>2129</v>
      </c>
      <c r="AG618" s="1299"/>
      <c r="AH618" s="1299"/>
      <c r="AI618" s="1299"/>
      <c r="AJ618" s="1300"/>
      <c r="AK618" s="1506" t="s">
        <v>2130</v>
      </c>
      <c r="AL618" s="1507"/>
      <c r="AM618" s="1507"/>
      <c r="AN618" s="1508"/>
      <c r="AO618" s="1410" t="s">
        <v>741</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5" customHeight="1">
      <c r="B619" s="1569"/>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09"/>
      <c r="AL619" s="1510"/>
      <c r="AM619" s="1510"/>
      <c r="AN619" s="1511"/>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5" customHeight="1">
      <c r="B620" s="1570"/>
      <c r="C620" s="1571"/>
      <c r="D620" s="1571"/>
      <c r="E620" s="1571"/>
      <c r="F620" s="1571"/>
      <c r="G620" s="1571"/>
      <c r="H620" s="1571"/>
      <c r="I620" s="1571"/>
      <c r="J620" s="1571"/>
      <c r="K620" s="1571"/>
      <c r="L620" s="1571"/>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2"/>
      <c r="AL620" s="1513"/>
      <c r="AM620" s="1513"/>
      <c r="AN620" s="1514"/>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5" customHeight="1">
      <c r="B621" s="57" t="s">
        <v>900</v>
      </c>
      <c r="C621" s="1296" t="s">
        <v>2406</v>
      </c>
      <c r="D621" s="1296"/>
      <c r="E621" s="1296"/>
      <c r="F621" s="1296"/>
      <c r="G621" s="1296"/>
      <c r="H621" s="1296"/>
      <c r="I621" s="1296"/>
      <c r="J621" s="1296"/>
      <c r="K621" s="1296"/>
      <c r="L621" s="1296"/>
      <c r="M621" s="1371" t="s">
        <v>2186</v>
      </c>
      <c r="N621" s="1371"/>
      <c r="O621" s="1371"/>
      <c r="P621" s="1371"/>
      <c r="Q621" s="1372">
        <f>35*12</f>
        <v>420</v>
      </c>
      <c r="R621" s="1373"/>
      <c r="S621" s="1374"/>
      <c r="T621" s="1414">
        <v>420</v>
      </c>
      <c r="U621" s="1415"/>
      <c r="V621" s="1416"/>
      <c r="W621" s="1426">
        <v>7.4999999999999997E-2</v>
      </c>
      <c r="X621" s="1427"/>
      <c r="Y621" s="1428"/>
      <c r="Z621" s="1411" t="s">
        <v>1980</v>
      </c>
      <c r="AA621" s="1412"/>
      <c r="AB621" s="1413"/>
      <c r="AC621" s="1327">
        <v>1</v>
      </c>
      <c r="AD621" s="1328"/>
      <c r="AE621" s="1329"/>
      <c r="AF621" s="1209">
        <v>414661</v>
      </c>
      <c r="AG621" s="1210"/>
      <c r="AH621" s="1210"/>
      <c r="AI621" s="1210"/>
      <c r="AJ621" s="1211"/>
      <c r="AK621" s="1368"/>
      <c r="AL621" s="1369"/>
      <c r="AM621" s="1369"/>
      <c r="AN621" s="1370"/>
      <c r="AO621" s="1212">
        <v>5250968</v>
      </c>
      <c r="AP621" s="1212"/>
      <c r="AQ621" s="1212"/>
      <c r="AR621" s="1212"/>
      <c r="AS621" s="1212"/>
      <c r="AT621" s="946" t="str">
        <f t="shared" ref="AT621:AT632" si="33">IF(AND(NOT(C620=""),C621="",NOT(C622="")),"!","")</f>
        <v/>
      </c>
      <c r="AU621" s="43"/>
      <c r="AV621" s="43"/>
      <c r="AW621" s="43"/>
      <c r="AX621" s="43"/>
      <c r="AY621" s="43"/>
      <c r="BA621" s="41" t="s">
        <v>1980</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5" customHeight="1">
      <c r="B622" s="58" t="s">
        <v>901</v>
      </c>
      <c r="C622" s="1296" t="s">
        <v>2407</v>
      </c>
      <c r="D622" s="1296"/>
      <c r="E622" s="1296"/>
      <c r="F622" s="1296"/>
      <c r="G622" s="1296"/>
      <c r="H622" s="1296"/>
      <c r="I622" s="1296"/>
      <c r="J622" s="1296"/>
      <c r="K622" s="1296"/>
      <c r="L622" s="1296"/>
      <c r="M622" s="1371" t="s">
        <v>2178</v>
      </c>
      <c r="N622" s="1371"/>
      <c r="O622" s="1371"/>
      <c r="P622" s="1371"/>
      <c r="Q622" s="1372"/>
      <c r="R622" s="1373"/>
      <c r="S622" s="1374"/>
      <c r="T622" s="1414"/>
      <c r="U622" s="1415"/>
      <c r="V622" s="1416"/>
      <c r="W622" s="1426"/>
      <c r="X622" s="1427"/>
      <c r="Y622" s="1428"/>
      <c r="Z622" s="1411" t="s">
        <v>1980</v>
      </c>
      <c r="AA622" s="1412"/>
      <c r="AB622" s="1413"/>
      <c r="AC622" s="1327"/>
      <c r="AD622" s="1328"/>
      <c r="AE622" s="1329"/>
      <c r="AF622" s="1209"/>
      <c r="AG622" s="1210"/>
      <c r="AH622" s="1210"/>
      <c r="AI622" s="1210"/>
      <c r="AJ622" s="1211"/>
      <c r="AK622" s="1368"/>
      <c r="AL622" s="1369"/>
      <c r="AM622" s="1369"/>
      <c r="AN622" s="1370"/>
      <c r="AO622" s="1212">
        <v>492520</v>
      </c>
      <c r="AP622" s="1212"/>
      <c r="AQ622" s="1212"/>
      <c r="AR622" s="1212"/>
      <c r="AS622" s="1212"/>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5" customHeight="1">
      <c r="B623" s="58" t="s">
        <v>907</v>
      </c>
      <c r="C623" s="1296" t="s">
        <v>2408</v>
      </c>
      <c r="D623" s="1296"/>
      <c r="E623" s="1296"/>
      <c r="F623" s="1296"/>
      <c r="G623" s="1296"/>
      <c r="H623" s="1296"/>
      <c r="I623" s="1296"/>
      <c r="J623" s="1296"/>
      <c r="K623" s="1296"/>
      <c r="L623" s="1296"/>
      <c r="M623" s="1371" t="s">
        <v>2180</v>
      </c>
      <c r="N623" s="1371"/>
      <c r="O623" s="1371"/>
      <c r="P623" s="1371"/>
      <c r="Q623" s="1372"/>
      <c r="R623" s="1373"/>
      <c r="S623" s="1374"/>
      <c r="T623" s="1414"/>
      <c r="U623" s="1415"/>
      <c r="V623" s="1416"/>
      <c r="W623" s="1426"/>
      <c r="X623" s="1427"/>
      <c r="Y623" s="1428"/>
      <c r="Z623" s="1411" t="s">
        <v>1980</v>
      </c>
      <c r="AA623" s="1412"/>
      <c r="AB623" s="1413"/>
      <c r="AC623" s="1327"/>
      <c r="AD623" s="1328"/>
      <c r="AE623" s="1329"/>
      <c r="AF623" s="1209"/>
      <c r="AG623" s="1210"/>
      <c r="AH623" s="1210"/>
      <c r="AI623" s="1210"/>
      <c r="AJ623" s="1211"/>
      <c r="AK623" s="1368"/>
      <c r="AL623" s="1369"/>
      <c r="AM623" s="1369"/>
      <c r="AN623" s="1370"/>
      <c r="AO623" s="1212">
        <v>3495300</v>
      </c>
      <c r="AP623" s="1212"/>
      <c r="AQ623" s="1212"/>
      <c r="AR623" s="1212"/>
      <c r="AS623" s="1212"/>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5" customHeight="1">
      <c r="B624" s="58" t="s">
        <v>431</v>
      </c>
      <c r="C624" s="1296" t="s">
        <v>2416</v>
      </c>
      <c r="D624" s="1296"/>
      <c r="E624" s="1296"/>
      <c r="F624" s="1296"/>
      <c r="G624" s="1296"/>
      <c r="H624" s="1296"/>
      <c r="I624" s="1296"/>
      <c r="J624" s="1296"/>
      <c r="K624" s="1296"/>
      <c r="L624" s="1296"/>
      <c r="M624" s="1371" t="s">
        <v>2174</v>
      </c>
      <c r="N624" s="1371"/>
      <c r="O624" s="1371"/>
      <c r="P624" s="1371"/>
      <c r="Q624" s="1372"/>
      <c r="R624" s="1373"/>
      <c r="S624" s="1374"/>
      <c r="T624" s="1414"/>
      <c r="U624" s="1415"/>
      <c r="V624" s="1416"/>
      <c r="W624" s="1426"/>
      <c r="X624" s="1427"/>
      <c r="Y624" s="1428"/>
      <c r="Z624" s="1411" t="s">
        <v>1980</v>
      </c>
      <c r="AA624" s="1412"/>
      <c r="AB624" s="1413"/>
      <c r="AC624" s="1327"/>
      <c r="AD624" s="1328"/>
      <c r="AE624" s="1329"/>
      <c r="AF624" s="1209"/>
      <c r="AG624" s="1210"/>
      <c r="AH624" s="1210"/>
      <c r="AI624" s="1210"/>
      <c r="AJ624" s="1211"/>
      <c r="AK624" s="1368"/>
      <c r="AL624" s="1369"/>
      <c r="AM624" s="1369"/>
      <c r="AN624" s="1370"/>
      <c r="AO624" s="1212">
        <v>1096701</v>
      </c>
      <c r="AP624" s="1212"/>
      <c r="AQ624" s="1212"/>
      <c r="AR624" s="1212"/>
      <c r="AS624" s="1212"/>
      <c r="AT624" s="946" t="str">
        <f t="shared" si="33"/>
        <v/>
      </c>
      <c r="AU624" s="43"/>
      <c r="AV624" s="43"/>
      <c r="AW624" s="43"/>
      <c r="AX624" s="43"/>
      <c r="AY624" s="43"/>
      <c r="AZ624" s="43"/>
      <c r="BA624" s="41" t="s">
        <v>2199</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5" customHeight="1">
      <c r="B625" s="58" t="s">
        <v>171</v>
      </c>
      <c r="C625" s="1296"/>
      <c r="D625" s="1296"/>
      <c r="E625" s="1296"/>
      <c r="F625" s="1296"/>
      <c r="G625" s="1296"/>
      <c r="H625" s="1296"/>
      <c r="I625" s="1296"/>
      <c r="J625" s="1296"/>
      <c r="K625" s="1296"/>
      <c r="L625" s="1296"/>
      <c r="M625" s="1371" t="s">
        <v>1980</v>
      </c>
      <c r="N625" s="1371"/>
      <c r="O625" s="1371"/>
      <c r="P625" s="1371"/>
      <c r="Q625" s="1372"/>
      <c r="R625" s="1373"/>
      <c r="S625" s="1374"/>
      <c r="T625" s="1414"/>
      <c r="U625" s="1415"/>
      <c r="V625" s="1416"/>
      <c r="W625" s="1426"/>
      <c r="X625" s="1427"/>
      <c r="Y625" s="1428"/>
      <c r="Z625" s="1411" t="s">
        <v>1980</v>
      </c>
      <c r="AA625" s="1412"/>
      <c r="AB625" s="1413"/>
      <c r="AC625" s="1327"/>
      <c r="AD625" s="1328"/>
      <c r="AE625" s="1329"/>
      <c r="AF625" s="1209"/>
      <c r="AG625" s="1210"/>
      <c r="AH625" s="1210"/>
      <c r="AI625" s="1210"/>
      <c r="AJ625" s="1211"/>
      <c r="AK625" s="1368"/>
      <c r="AL625" s="1369"/>
      <c r="AM625" s="1369"/>
      <c r="AN625" s="1370"/>
      <c r="AO625" s="1212"/>
      <c r="AP625" s="1212"/>
      <c r="AQ625" s="1212"/>
      <c r="AR625" s="1212"/>
      <c r="AS625" s="1212"/>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5" customHeight="1">
      <c r="B626" s="58" t="s">
        <v>434</v>
      </c>
      <c r="C626" s="1296"/>
      <c r="D626" s="1296"/>
      <c r="E626" s="1296"/>
      <c r="F626" s="1296"/>
      <c r="G626" s="1296"/>
      <c r="H626" s="1296"/>
      <c r="I626" s="1296"/>
      <c r="J626" s="1296"/>
      <c r="K626" s="1296"/>
      <c r="L626" s="1296"/>
      <c r="M626" s="1371" t="s">
        <v>1980</v>
      </c>
      <c r="N626" s="1371"/>
      <c r="O626" s="1371"/>
      <c r="P626" s="1371"/>
      <c r="Q626" s="1372"/>
      <c r="R626" s="1373"/>
      <c r="S626" s="1374"/>
      <c r="T626" s="1414"/>
      <c r="U626" s="1415"/>
      <c r="V626" s="1416"/>
      <c r="W626" s="1426"/>
      <c r="X626" s="1427"/>
      <c r="Y626" s="1428"/>
      <c r="Z626" s="1411" t="s">
        <v>1980</v>
      </c>
      <c r="AA626" s="1412"/>
      <c r="AB626" s="1413"/>
      <c r="AC626" s="1327"/>
      <c r="AD626" s="1328"/>
      <c r="AE626" s="1329"/>
      <c r="AF626" s="1209"/>
      <c r="AG626" s="1210"/>
      <c r="AH626" s="1210"/>
      <c r="AI626" s="1210"/>
      <c r="AJ626" s="1211"/>
      <c r="AK626" s="1368"/>
      <c r="AL626" s="1369"/>
      <c r="AM626" s="1369"/>
      <c r="AN626" s="1370"/>
      <c r="AO626" s="1212"/>
      <c r="AP626" s="1212"/>
      <c r="AQ626" s="1212"/>
      <c r="AR626" s="1212"/>
      <c r="AS626" s="1212"/>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12</v>
      </c>
      <c r="BT626" s="1273"/>
      <c r="BU626" s="1273"/>
      <c r="BV626" s="1273"/>
      <c r="BW626" s="1274"/>
      <c r="BX626" s="1272">
        <f t="shared" ref="BX626" si="35">SUM(BX591:CB625)</f>
        <v>32</v>
      </c>
      <c r="BY626" s="1273"/>
      <c r="BZ626" s="1273"/>
      <c r="CA626" s="1273"/>
      <c r="CB626" s="1274"/>
      <c r="CC626" s="1272">
        <f t="shared" ref="CC626" si="36">SUM(CC591:CG625)</f>
        <v>15</v>
      </c>
      <c r="CD626" s="1273"/>
      <c r="CE626" s="1273"/>
      <c r="CF626" s="1273"/>
      <c r="CG626" s="1274"/>
      <c r="CH626" s="1272">
        <f t="shared" ref="CH626" si="37">SUM(CH591:CL625)</f>
        <v>4</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5" customHeight="1" thickBot="1">
      <c r="B627" s="58" t="s">
        <v>742</v>
      </c>
      <c r="C627" s="1296"/>
      <c r="D627" s="1296"/>
      <c r="E627" s="1296"/>
      <c r="F627" s="1296"/>
      <c r="G627" s="1296"/>
      <c r="H627" s="1296"/>
      <c r="I627" s="1296"/>
      <c r="J627" s="1296"/>
      <c r="K627" s="1296"/>
      <c r="L627" s="1296"/>
      <c r="M627" s="1371" t="s">
        <v>1980</v>
      </c>
      <c r="N627" s="1371"/>
      <c r="O627" s="1371"/>
      <c r="P627" s="1371"/>
      <c r="Q627" s="1372"/>
      <c r="R627" s="1373"/>
      <c r="S627" s="1374"/>
      <c r="T627" s="1414"/>
      <c r="U627" s="1415"/>
      <c r="V627" s="1416"/>
      <c r="W627" s="1426"/>
      <c r="X627" s="1427"/>
      <c r="Y627" s="1428"/>
      <c r="Z627" s="1411" t="s">
        <v>1980</v>
      </c>
      <c r="AA627" s="1412"/>
      <c r="AB627" s="1413"/>
      <c r="AC627" s="1327"/>
      <c r="AD627" s="1328"/>
      <c r="AE627" s="1329"/>
      <c r="AF627" s="1209"/>
      <c r="AG627" s="1210"/>
      <c r="AH627" s="1210"/>
      <c r="AI627" s="1210"/>
      <c r="AJ627" s="1211"/>
      <c r="AK627" s="1368"/>
      <c r="AL627" s="1369"/>
      <c r="AM627" s="1369"/>
      <c r="AN627" s="1370"/>
      <c r="AO627" s="1212"/>
      <c r="AP627" s="1212"/>
      <c r="AQ627" s="1212"/>
      <c r="AR627" s="1212"/>
      <c r="AS627" s="1212"/>
      <c r="AT627" s="946" t="str">
        <f t="shared" si="33"/>
        <v/>
      </c>
      <c r="AU627" s="43"/>
      <c r="AV627" s="43"/>
      <c r="AW627" s="43"/>
      <c r="AX627" s="43"/>
      <c r="AY627" s="43"/>
      <c r="AZ627" s="43"/>
      <c r="BE627" s="41"/>
      <c r="BF627" s="41"/>
      <c r="BG627" s="1272">
        <f>SUM(BG592:BH626)</f>
        <v>16</v>
      </c>
      <c r="BH627" s="1274"/>
      <c r="BI627" s="41"/>
      <c r="BJ627" s="41"/>
      <c r="BK627" s="1272">
        <f>SUM(BK592:BL626)</f>
        <v>16</v>
      </c>
      <c r="BL627" s="1274"/>
      <c r="BN627" s="41" t="s">
        <v>1724</v>
      </c>
      <c r="BO627" s="41"/>
      <c r="BP627" s="41"/>
      <c r="BQ627" s="41"/>
      <c r="BR627" s="467">
        <f>BN626*1</f>
        <v>0</v>
      </c>
      <c r="BS627" s="41"/>
      <c r="BT627" s="41"/>
      <c r="BU627" s="41"/>
      <c r="BV627" s="41"/>
      <c r="BW627" s="467">
        <f>BS626*1</f>
        <v>12</v>
      </c>
      <c r="BX627" s="41"/>
      <c r="BY627" s="41"/>
      <c r="BZ627" s="41"/>
      <c r="CA627" s="41"/>
      <c r="CB627" s="467">
        <f>BX626*2</f>
        <v>64</v>
      </c>
      <c r="CC627" s="41"/>
      <c r="CD627" s="41"/>
      <c r="CE627" s="41"/>
      <c r="CF627" s="41"/>
      <c r="CG627" s="467">
        <f>CC626*3</f>
        <v>45</v>
      </c>
      <c r="CH627" s="41"/>
      <c r="CI627" s="41"/>
      <c r="CJ627" s="41"/>
      <c r="CK627" s="41"/>
      <c r="CL627" s="467">
        <f>CH626*4</f>
        <v>16</v>
      </c>
      <c r="CM627" s="41"/>
      <c r="CN627" s="41"/>
      <c r="CO627" s="41"/>
      <c r="CP627" s="41"/>
      <c r="CQ627" s="466">
        <f>CM626*5</f>
        <v>0</v>
      </c>
      <c r="CS627" s="1272">
        <f>SUM(CS592:CW626)</f>
        <v>0</v>
      </c>
      <c r="CT627" s="1273"/>
      <c r="CU627" s="1273"/>
      <c r="CV627" s="1273"/>
      <c r="CW627" s="1274"/>
      <c r="CX627" s="1272">
        <f>SUM(CX592:DB626)</f>
        <v>3</v>
      </c>
      <c r="CY627" s="1273"/>
      <c r="CZ627" s="1273"/>
      <c r="DA627" s="1273"/>
      <c r="DB627" s="1274"/>
      <c r="DC627" s="1272">
        <f>SUM(DC592:DG626)</f>
        <v>8</v>
      </c>
      <c r="DD627" s="1273"/>
      <c r="DE627" s="1273"/>
      <c r="DF627" s="1273"/>
      <c r="DG627" s="1274"/>
      <c r="DH627" s="1272">
        <f>SUM(DH592:DL626)</f>
        <v>4</v>
      </c>
      <c r="DI627" s="1273"/>
      <c r="DJ627" s="1273"/>
      <c r="DK627" s="1273"/>
      <c r="DL627" s="1274"/>
      <c r="DM627" s="1272">
        <f>SUM(DM592:DQ626)</f>
        <v>1</v>
      </c>
      <c r="DN627" s="1273"/>
      <c r="DO627" s="1273"/>
      <c r="DP627" s="1273"/>
      <c r="DQ627" s="1274"/>
      <c r="DR627" s="1272">
        <f>SUM(DR592:DV626)</f>
        <v>0</v>
      </c>
      <c r="DS627" s="1273"/>
      <c r="DT627" s="1273"/>
      <c r="DU627" s="1273"/>
      <c r="DV627" s="1274"/>
    </row>
    <row r="628" spans="1:126" ht="12.95" customHeight="1" thickBot="1">
      <c r="B628" s="58" t="s">
        <v>743</v>
      </c>
      <c r="C628" s="1296"/>
      <c r="D628" s="1296"/>
      <c r="E628" s="1296"/>
      <c r="F628" s="1296"/>
      <c r="G628" s="1296"/>
      <c r="H628" s="1296"/>
      <c r="I628" s="1296"/>
      <c r="J628" s="1296"/>
      <c r="K628" s="1296"/>
      <c r="L628" s="1296"/>
      <c r="M628" s="1371" t="s">
        <v>1980</v>
      </c>
      <c r="N628" s="1371"/>
      <c r="O628" s="1371"/>
      <c r="P628" s="1371"/>
      <c r="Q628" s="1372"/>
      <c r="R628" s="1373"/>
      <c r="S628" s="1374"/>
      <c r="T628" s="1414"/>
      <c r="U628" s="1415"/>
      <c r="V628" s="1416"/>
      <c r="W628" s="1426"/>
      <c r="X628" s="1427"/>
      <c r="Y628" s="1428"/>
      <c r="Z628" s="1411" t="s">
        <v>1980</v>
      </c>
      <c r="AA628" s="1412"/>
      <c r="AB628" s="1413"/>
      <c r="AC628" s="1327"/>
      <c r="AD628" s="1328"/>
      <c r="AE628" s="1329"/>
      <c r="AF628" s="1209"/>
      <c r="AG628" s="1210"/>
      <c r="AH628" s="1210"/>
      <c r="AI628" s="1210"/>
      <c r="AJ628" s="1211"/>
      <c r="AK628" s="1368"/>
      <c r="AL628" s="1369"/>
      <c r="AM628" s="1369"/>
      <c r="AN628" s="1370"/>
      <c r="AO628" s="1212"/>
      <c r="AP628" s="1212"/>
      <c r="AQ628" s="1212"/>
      <c r="AR628" s="1212"/>
      <c r="AS628" s="1212"/>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137</v>
      </c>
      <c r="CR628" s="41"/>
      <c r="CS628" s="41"/>
    </row>
    <row r="629" spans="1:126" ht="12.95" customHeight="1">
      <c r="B629" s="58" t="s">
        <v>546</v>
      </c>
      <c r="C629" s="1296"/>
      <c r="D629" s="1296"/>
      <c r="E629" s="1296"/>
      <c r="F629" s="1296"/>
      <c r="G629" s="1296"/>
      <c r="H629" s="1296"/>
      <c r="I629" s="1296"/>
      <c r="J629" s="1296"/>
      <c r="K629" s="1296"/>
      <c r="L629" s="1296"/>
      <c r="M629" s="1371" t="s">
        <v>1980</v>
      </c>
      <c r="N629" s="1371"/>
      <c r="O629" s="1371"/>
      <c r="P629" s="1371"/>
      <c r="Q629" s="1372"/>
      <c r="R629" s="1373"/>
      <c r="S629" s="1374"/>
      <c r="T629" s="1414"/>
      <c r="U629" s="1415"/>
      <c r="V629" s="1416"/>
      <c r="W629" s="1426"/>
      <c r="X629" s="1427"/>
      <c r="Y629" s="1428"/>
      <c r="Z629" s="1411" t="s">
        <v>1980</v>
      </c>
      <c r="AA629" s="1412"/>
      <c r="AB629" s="1413"/>
      <c r="AC629" s="1327"/>
      <c r="AD629" s="1328"/>
      <c r="AE629" s="1329"/>
      <c r="AF629" s="1209"/>
      <c r="AG629" s="1210"/>
      <c r="AH629" s="1210"/>
      <c r="AI629" s="1210"/>
      <c r="AJ629" s="1211"/>
      <c r="AK629" s="1368"/>
      <c r="AL629" s="1369"/>
      <c r="AM629" s="1369"/>
      <c r="AN629" s="1370"/>
      <c r="AO629" s="1212"/>
      <c r="AP629" s="1212"/>
      <c r="AQ629" s="1212"/>
      <c r="AR629" s="1212"/>
      <c r="AS629" s="1212"/>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0</v>
      </c>
      <c r="BY629" s="1267"/>
      <c r="BZ629" s="1267"/>
      <c r="CA629" s="1267"/>
      <c r="CB629" s="1268"/>
      <c r="CC629" s="1266">
        <f>IF(J752="3 Bedrooms",O752,0)</f>
        <v>1</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5" customHeight="1">
      <c r="B630" s="58" t="s">
        <v>174</v>
      </c>
      <c r="C630" s="1296"/>
      <c r="D630" s="1296"/>
      <c r="E630" s="1296"/>
      <c r="F630" s="1296"/>
      <c r="G630" s="1296"/>
      <c r="H630" s="1296"/>
      <c r="I630" s="1296"/>
      <c r="J630" s="1296"/>
      <c r="K630" s="1296"/>
      <c r="L630" s="1296"/>
      <c r="M630" s="1371" t="s">
        <v>1980</v>
      </c>
      <c r="N630" s="1371"/>
      <c r="O630" s="1371"/>
      <c r="P630" s="1371"/>
      <c r="Q630" s="1372"/>
      <c r="R630" s="1373"/>
      <c r="S630" s="1374"/>
      <c r="T630" s="1414"/>
      <c r="U630" s="1415"/>
      <c r="V630" s="1416"/>
      <c r="W630" s="1426"/>
      <c r="X630" s="1427"/>
      <c r="Y630" s="1428"/>
      <c r="Z630" s="1411" t="s">
        <v>1980</v>
      </c>
      <c r="AA630" s="1412"/>
      <c r="AB630" s="1413"/>
      <c r="AC630" s="1327"/>
      <c r="AD630" s="1328"/>
      <c r="AE630" s="1329"/>
      <c r="AF630" s="1209"/>
      <c r="AG630" s="1210"/>
      <c r="AH630" s="1210"/>
      <c r="AI630" s="1210"/>
      <c r="AJ630" s="1211"/>
      <c r="AK630" s="1368"/>
      <c r="AL630" s="1369"/>
      <c r="AM630" s="1369"/>
      <c r="AN630" s="1370"/>
      <c r="AO630" s="1212"/>
      <c r="AP630" s="1212"/>
      <c r="AQ630" s="1212"/>
      <c r="AR630" s="1212"/>
      <c r="AS630" s="1212"/>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5" customHeight="1">
      <c r="B631" s="58" t="s">
        <v>32</v>
      </c>
      <c r="C631" s="1296"/>
      <c r="D631" s="1296"/>
      <c r="E631" s="1296"/>
      <c r="F631" s="1296"/>
      <c r="G631" s="1296"/>
      <c r="H631" s="1296"/>
      <c r="I631" s="1296"/>
      <c r="J631" s="1296"/>
      <c r="K631" s="1296"/>
      <c r="L631" s="1296"/>
      <c r="M631" s="1371" t="s">
        <v>1980</v>
      </c>
      <c r="N631" s="1371"/>
      <c r="O631" s="1371"/>
      <c r="P631" s="1371"/>
      <c r="Q631" s="1372"/>
      <c r="R631" s="1373"/>
      <c r="S631" s="1374"/>
      <c r="T631" s="1414"/>
      <c r="U631" s="1415"/>
      <c r="V631" s="1416"/>
      <c r="W631" s="1426"/>
      <c r="X631" s="1427"/>
      <c r="Y631" s="1428"/>
      <c r="Z631" s="1411" t="s">
        <v>1980</v>
      </c>
      <c r="AA631" s="1412"/>
      <c r="AB631" s="1413"/>
      <c r="AC631" s="1327"/>
      <c r="AD631" s="1328"/>
      <c r="AE631" s="1329"/>
      <c r="AF631" s="1209"/>
      <c r="AG631" s="1210"/>
      <c r="AH631" s="1210"/>
      <c r="AI631" s="1210"/>
      <c r="AJ631" s="1211"/>
      <c r="AK631" s="1368"/>
      <c r="AL631" s="1369"/>
      <c r="AM631" s="1369"/>
      <c r="AN631" s="1370"/>
      <c r="AO631" s="1212"/>
      <c r="AP631" s="1212"/>
      <c r="AQ631" s="1212"/>
      <c r="AR631" s="1212"/>
      <c r="AS631" s="1212"/>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5" customHeight="1">
      <c r="B632" s="58" t="s">
        <v>33</v>
      </c>
      <c r="C632" s="1296"/>
      <c r="D632" s="1296"/>
      <c r="E632" s="1296"/>
      <c r="F632" s="1296"/>
      <c r="G632" s="1296"/>
      <c r="H632" s="1296"/>
      <c r="I632" s="1296"/>
      <c r="J632" s="1296"/>
      <c r="K632" s="1296"/>
      <c r="L632" s="1296"/>
      <c r="M632" s="1371" t="s">
        <v>1980</v>
      </c>
      <c r="N632" s="1371"/>
      <c r="O632" s="1371"/>
      <c r="P632" s="1371"/>
      <c r="Q632" s="1372"/>
      <c r="R632" s="1373"/>
      <c r="S632" s="1374"/>
      <c r="T632" s="1414"/>
      <c r="U632" s="1415"/>
      <c r="V632" s="1416"/>
      <c r="W632" s="1426"/>
      <c r="X632" s="1427"/>
      <c r="Y632" s="1428"/>
      <c r="Z632" s="1411" t="s">
        <v>1980</v>
      </c>
      <c r="AA632" s="1412"/>
      <c r="AB632" s="1413"/>
      <c r="AC632" s="1327"/>
      <c r="AD632" s="1328"/>
      <c r="AE632" s="1329"/>
      <c r="AF632" s="1209"/>
      <c r="AG632" s="1210"/>
      <c r="AH632" s="1210"/>
      <c r="AI632" s="1210"/>
      <c r="AJ632" s="1211"/>
      <c r="AK632" s="1368"/>
      <c r="AL632" s="1369"/>
      <c r="AM632" s="1369"/>
      <c r="AN632" s="1370"/>
      <c r="AO632" s="1212"/>
      <c r="AP632" s="1212"/>
      <c r="AQ632" s="1212"/>
      <c r="AR632" s="1212"/>
      <c r="AS632" s="1212"/>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5"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10335489</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0</v>
      </c>
      <c r="BY633" s="1270"/>
      <c r="BZ633" s="1270"/>
      <c r="CA633" s="1270"/>
      <c r="CB633" s="1271"/>
      <c r="CC633" s="1269">
        <f>SUM(CC629:CG632)</f>
        <v>1</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1984</v>
      </c>
      <c r="CU633" s="41"/>
    </row>
    <row r="634" spans="1:126" ht="12.95"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21624999</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1" t="s">
        <v>940</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3">
        <f>AO633+AO634</f>
        <v>31960488</v>
      </c>
      <c r="AP635" s="1194"/>
      <c r="AQ635" s="1194"/>
      <c r="AR635" s="1194"/>
      <c r="AS635" s="1195"/>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2.95" customHeight="1">
      <c r="A637" s="61" t="s">
        <v>900</v>
      </c>
      <c r="B637" t="s">
        <v>82</v>
      </c>
      <c r="G637" s="1260" t="str">
        <f>C621</f>
        <v>Citi Bank Perm Loan</v>
      </c>
      <c r="H637" s="1260"/>
      <c r="I637" s="1260"/>
      <c r="J637" s="1260"/>
      <c r="K637" s="1260"/>
      <c r="L637" s="1260"/>
      <c r="M637" s="1260"/>
      <c r="N637" s="1260"/>
      <c r="O637" s="1260"/>
      <c r="P637" s="1260"/>
      <c r="Q637" s="1260"/>
      <c r="R637" s="1260"/>
      <c r="S637" s="12"/>
      <c r="T637" s="61" t="s">
        <v>901</v>
      </c>
      <c r="U637" t="s">
        <v>82</v>
      </c>
      <c r="Z637" s="1260" t="str">
        <f>C622</f>
        <v>Boston Financial Solar Equity</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2.95" customHeight="1">
      <c r="A638" s="4"/>
      <c r="B638" t="s">
        <v>372</v>
      </c>
      <c r="G638" s="1107" t="s">
        <v>2401</v>
      </c>
      <c r="H638" s="1107"/>
      <c r="I638" s="1107"/>
      <c r="J638" s="1107"/>
      <c r="K638" s="1107"/>
      <c r="L638" s="1107"/>
      <c r="M638" s="1107"/>
      <c r="N638" s="1107"/>
      <c r="O638" s="1107"/>
      <c r="P638" s="1107"/>
      <c r="Q638" s="1107"/>
      <c r="R638" s="1107"/>
      <c r="S638" s="12"/>
      <c r="T638" s="4"/>
      <c r="U638" t="s">
        <v>372</v>
      </c>
      <c r="Z638" s="1107" t="s">
        <v>2410</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2.95" customHeight="1">
      <c r="A639" s="4"/>
      <c r="B639" t="s">
        <v>430</v>
      </c>
      <c r="G639" s="1107" t="s">
        <v>2402</v>
      </c>
      <c r="H639" s="1107"/>
      <c r="I639" s="1107"/>
      <c r="J639" s="1107"/>
      <c r="K639" s="1107"/>
      <c r="L639" s="1107"/>
      <c r="M639" s="1107"/>
      <c r="N639" s="1107"/>
      <c r="O639" s="1107"/>
      <c r="P639" s="1107"/>
      <c r="Q639" s="1107"/>
      <c r="R639" s="1107"/>
      <c r="T639" s="4"/>
      <c r="U639" t="s">
        <v>430</v>
      </c>
      <c r="Z639" s="1258" t="s">
        <v>2381</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2.95" customHeight="1">
      <c r="A640" s="4"/>
      <c r="B640" t="s">
        <v>833</v>
      </c>
      <c r="G640" s="1107" t="s">
        <v>2403</v>
      </c>
      <c r="H640" s="1107"/>
      <c r="I640" s="1107"/>
      <c r="J640" s="1107"/>
      <c r="K640" s="1107"/>
      <c r="L640" s="1107"/>
      <c r="M640" s="1107"/>
      <c r="N640" s="1107"/>
      <c r="O640" s="1107"/>
      <c r="P640" s="1107"/>
      <c r="Q640" s="1107"/>
      <c r="R640" s="1107"/>
      <c r="S640" s="12"/>
      <c r="T640" s="4"/>
      <c r="U640" t="s">
        <v>833</v>
      </c>
      <c r="Z640" s="1258" t="s">
        <v>2382</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2.95" customHeight="1">
      <c r="A641" s="4"/>
      <c r="B641" t="s">
        <v>650</v>
      </c>
      <c r="G641" s="1264" t="s">
        <v>2404</v>
      </c>
      <c r="H641" s="1264"/>
      <c r="I641" s="1264"/>
      <c r="J641" s="1264"/>
      <c r="K641" s="1264"/>
      <c r="L641" s="1264"/>
      <c r="O641" s="42" t="s">
        <v>818</v>
      </c>
      <c r="P641" s="1259"/>
      <c r="Q641" s="1259"/>
      <c r="R641" s="1259"/>
      <c r="S641" s="14"/>
      <c r="T641" s="4"/>
      <c r="U641" t="s">
        <v>650</v>
      </c>
      <c r="Z641" s="1264" t="s">
        <v>2383</v>
      </c>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2.95" customHeight="1">
      <c r="A642" s="4"/>
      <c r="B642" t="s">
        <v>834</v>
      </c>
      <c r="H642" s="1107" t="s">
        <v>2409</v>
      </c>
      <c r="I642" s="1107"/>
      <c r="J642" s="1107"/>
      <c r="K642" s="1107"/>
      <c r="L642" s="1107"/>
      <c r="M642" s="1107"/>
      <c r="N642" s="1107"/>
      <c r="O642" s="1107"/>
      <c r="P642" s="1107"/>
      <c r="Q642" s="1107"/>
      <c r="R642" s="1107"/>
      <c r="S642" s="12"/>
      <c r="T642" s="4"/>
      <c r="U642" t="s">
        <v>834</v>
      </c>
      <c r="AA642" s="1107" t="s">
        <v>2411</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2.95"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2.95" customHeight="1">
      <c r="A645" s="61" t="s">
        <v>907</v>
      </c>
      <c r="B645" t="s">
        <v>82</v>
      </c>
      <c r="G645" s="1260" t="str">
        <f>C623</f>
        <v>HCD IIG</v>
      </c>
      <c r="H645" s="1260"/>
      <c r="I645" s="1260"/>
      <c r="J645" s="1260"/>
      <c r="K645" s="1260"/>
      <c r="L645" s="1260"/>
      <c r="M645" s="1260"/>
      <c r="N645" s="1260"/>
      <c r="O645" s="1260"/>
      <c r="P645" s="1260"/>
      <c r="Q645" s="1260"/>
      <c r="R645" s="1260"/>
      <c r="T645" s="61" t="s">
        <v>431</v>
      </c>
      <c r="U645" t="s">
        <v>82</v>
      </c>
      <c r="Z645" s="1260" t="str">
        <f>C624</f>
        <v>Deferred Fee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5" customHeight="1" thickBot="1">
      <c r="A646" s="4"/>
      <c r="B646" t="s">
        <v>372</v>
      </c>
      <c r="G646" s="1107" t="s">
        <v>2412</v>
      </c>
      <c r="H646" s="1107"/>
      <c r="I646" s="1107"/>
      <c r="J646" s="1107"/>
      <c r="K646" s="1107"/>
      <c r="L646" s="1107"/>
      <c r="M646" s="1107"/>
      <c r="N646" s="1107"/>
      <c r="O646" s="1107"/>
      <c r="P646" s="1107"/>
      <c r="Q646" s="1107"/>
      <c r="R646" s="1107"/>
      <c r="T646" s="4"/>
      <c r="U646" t="s">
        <v>372</v>
      </c>
      <c r="Z646" s="1103" t="s">
        <v>2335</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58" t="s">
        <v>2413</v>
      </c>
      <c r="H647" s="1258"/>
      <c r="I647" s="1258"/>
      <c r="J647" s="1258"/>
      <c r="K647" s="1258"/>
      <c r="L647" s="1258"/>
      <c r="M647" s="1258"/>
      <c r="N647" s="1258"/>
      <c r="O647" s="1258"/>
      <c r="P647" s="1258"/>
      <c r="Q647" s="1258"/>
      <c r="R647" s="1258"/>
      <c r="T647" s="4"/>
      <c r="U647" t="s">
        <v>430</v>
      </c>
      <c r="Z647" s="1265" t="s">
        <v>2323</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58"/>
      <c r="H648" s="1258"/>
      <c r="I648" s="1258"/>
      <c r="J648" s="1258"/>
      <c r="K648" s="1258"/>
      <c r="L648" s="1258"/>
      <c r="M648" s="1258"/>
      <c r="N648" s="1258"/>
      <c r="O648" s="1258"/>
      <c r="P648" s="1258"/>
      <c r="Q648" s="1258"/>
      <c r="R648" s="1258"/>
      <c r="T648" s="4"/>
      <c r="U648" t="s">
        <v>833</v>
      </c>
      <c r="Z648" s="1265" t="s">
        <v>2341</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4" t="s">
        <v>2414</v>
      </c>
      <c r="H649" s="1264"/>
      <c r="I649" s="1264"/>
      <c r="J649" s="1264"/>
      <c r="K649" s="1264"/>
      <c r="L649" s="1264"/>
      <c r="O649" s="42" t="s">
        <v>818</v>
      </c>
      <c r="P649" s="1259"/>
      <c r="Q649" s="1259"/>
      <c r="R649" s="1259"/>
      <c r="T649" s="4"/>
      <c r="U649" t="s">
        <v>650</v>
      </c>
      <c r="Z649" s="1264">
        <v>7078229000</v>
      </c>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137</v>
      </c>
      <c r="CR649" s="41"/>
      <c r="CS649" s="41"/>
    </row>
    <row r="650" spans="1:97" ht="12.95" customHeight="1">
      <c r="A650" s="4"/>
      <c r="B650" t="s">
        <v>834</v>
      </c>
      <c r="H650" s="1107" t="s">
        <v>2415</v>
      </c>
      <c r="I650" s="1107"/>
      <c r="J650" s="1107"/>
      <c r="K650" s="1107"/>
      <c r="L650" s="1107"/>
      <c r="M650" s="1107"/>
      <c r="N650" s="1107"/>
      <c r="O650" s="1107"/>
      <c r="P650" s="1107"/>
      <c r="Q650" s="1107"/>
      <c r="R650" s="1107"/>
      <c r="T650" s="4"/>
      <c r="U650" t="s">
        <v>834</v>
      </c>
      <c r="AA650" s="1103" t="s">
        <v>2417</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12</v>
      </c>
      <c r="BT651" s="1270"/>
      <c r="BU651" s="1270"/>
      <c r="BV651" s="1270"/>
      <c r="BW651" s="1271"/>
      <c r="BX651" s="1269">
        <f>BX626+BX633+BX645</f>
        <v>32</v>
      </c>
      <c r="BY651" s="1270"/>
      <c r="BZ651" s="1270"/>
      <c r="CA651" s="1270"/>
      <c r="CB651" s="1271"/>
      <c r="CC651" s="1269">
        <f>CC626+CC633+CC645</f>
        <v>16</v>
      </c>
      <c r="CD651" s="1270"/>
      <c r="CE651" s="1270"/>
      <c r="CF651" s="1270"/>
      <c r="CG651" s="1271"/>
      <c r="CH651" s="1269">
        <f>CH626+CH633+CH645</f>
        <v>4</v>
      </c>
      <c r="CI651" s="1270"/>
      <c r="CJ651" s="1270"/>
      <c r="CK651" s="1270"/>
      <c r="CL651" s="1271"/>
      <c r="CM651" s="1272">
        <f>CM645+CM633+CM626</f>
        <v>0</v>
      </c>
      <c r="CN651" s="1273"/>
      <c r="CO651" s="1273"/>
      <c r="CP651" s="1273"/>
      <c r="CQ651" s="127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1996</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1997</v>
      </c>
      <c r="AI691" s="1240"/>
      <c r="AJ691" s="1240"/>
      <c r="AK691" s="1240"/>
      <c r="AL691" s="1241"/>
      <c r="AM691" s="1239" t="s">
        <v>1998</v>
      </c>
      <c r="AN691" s="1240"/>
      <c r="AO691" s="1241"/>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2" t="s">
        <v>442</v>
      </c>
      <c r="C695" s="1333"/>
      <c r="D695" s="1333"/>
      <c r="E695" s="1333"/>
      <c r="F695" s="1334"/>
      <c r="G695" s="1261">
        <v>3</v>
      </c>
      <c r="H695" s="1262"/>
      <c r="I695" s="1262"/>
      <c r="J695" s="1263"/>
      <c r="K695" s="1248">
        <v>551</v>
      </c>
      <c r="L695" s="1249"/>
      <c r="M695" s="1249"/>
      <c r="N695" s="1250"/>
      <c r="O695" s="1251">
        <v>460</v>
      </c>
      <c r="P695" s="1252"/>
      <c r="Q695" s="1252"/>
      <c r="R695" s="1252"/>
      <c r="S695" s="1253"/>
      <c r="T695" s="1224">
        <f t="shared" ref="T695:T729" si="45">G695*O695</f>
        <v>1380</v>
      </c>
      <c r="U695" s="1225"/>
      <c r="V695" s="1225"/>
      <c r="W695" s="1225"/>
      <c r="X695" s="1226"/>
      <c r="Y695" s="1251">
        <v>12</v>
      </c>
      <c r="Z695" s="1252"/>
      <c r="AA695" s="1252"/>
      <c r="AB695" s="1253"/>
      <c r="AC695" s="1224">
        <f t="shared" ref="AC695:AC729" si="46">O695+Y695</f>
        <v>472</v>
      </c>
      <c r="AD695" s="1225"/>
      <c r="AE695" s="1225"/>
      <c r="AF695" s="1225"/>
      <c r="AG695" s="1226"/>
      <c r="AH695" s="1466">
        <v>0.3</v>
      </c>
      <c r="AI695" s="1467"/>
      <c r="AJ695" s="1467"/>
      <c r="AK695" s="1467"/>
      <c r="AL695" s="1468"/>
      <c r="AM695" s="1221">
        <f>IF($AH695&gt;0,($AC695/$AV695),"")</f>
        <v>0.29987293519695046</v>
      </c>
      <c r="AN695" s="1222"/>
      <c r="AO695" s="1223"/>
      <c r="AV695" s="43">
        <f t="shared" ref="AV695:AV729" si="47">IF($G695=0,"N/A",VLOOKUP($T$189,TC_Rent,(MATCH($B695,bedrooms,FALSE))))</f>
        <v>1574</v>
      </c>
      <c r="AX695" s="43"/>
      <c r="AY695" s="445">
        <f t="shared" ref="AY695:AY718" si="48">G695</f>
        <v>3</v>
      </c>
      <c r="AZ695" s="452">
        <f t="shared" ref="AZ695:AZ718" si="49">IF($AY$730=0,"",AY695/$AY$730)</f>
        <v>4.7619047619047616E-2</v>
      </c>
      <c r="BA695" s="453">
        <f t="shared" ref="BA695:BA718" si="50">IF(AZ695="","",AZ695*AH695)</f>
        <v>1.4285714285714284E-2</v>
      </c>
      <c r="BB695" s="41"/>
      <c r="BC695" s="41"/>
      <c r="BD695" s="41"/>
      <c r="BE695" s="851">
        <f t="shared" ref="BE695:BE718" si="51">G695</f>
        <v>3</v>
      </c>
      <c r="BF695" s="855">
        <f t="shared" ref="BF695:BF718" si="52">IF(BE695=0,"",BE695/$BE$730)</f>
        <v>4.7619047619047616E-2</v>
      </c>
      <c r="BG695" s="856">
        <f t="shared" ref="BG695:BG718" si="53">IF(BF695="","",BF695*AM695)</f>
        <v>1.4279663580807164E-2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2" t="s">
        <v>442</v>
      </c>
      <c r="C696" s="1333"/>
      <c r="D696" s="1333"/>
      <c r="E696" s="1333"/>
      <c r="F696" s="1334"/>
      <c r="G696" s="1261">
        <v>2</v>
      </c>
      <c r="H696" s="1262"/>
      <c r="I696" s="1262"/>
      <c r="J696" s="1263"/>
      <c r="K696" s="1248">
        <v>551</v>
      </c>
      <c r="L696" s="1249"/>
      <c r="M696" s="1249"/>
      <c r="N696" s="1250"/>
      <c r="O696" s="1251">
        <v>618</v>
      </c>
      <c r="P696" s="1252"/>
      <c r="Q696" s="1252"/>
      <c r="R696" s="1252"/>
      <c r="S696" s="1253"/>
      <c r="T696" s="1224">
        <f t="shared" si="45"/>
        <v>1236</v>
      </c>
      <c r="U696" s="1225"/>
      <c r="V696" s="1225"/>
      <c r="W696" s="1225"/>
      <c r="X696" s="1226"/>
      <c r="Y696" s="1251">
        <v>12</v>
      </c>
      <c r="Z696" s="1252"/>
      <c r="AA696" s="1252"/>
      <c r="AB696" s="1253"/>
      <c r="AC696" s="1224">
        <f t="shared" si="46"/>
        <v>630</v>
      </c>
      <c r="AD696" s="1225"/>
      <c r="AE696" s="1225"/>
      <c r="AF696" s="1225"/>
      <c r="AG696" s="1226"/>
      <c r="AH696" s="1255">
        <v>0.4</v>
      </c>
      <c r="AI696" s="1256"/>
      <c r="AJ696" s="1256"/>
      <c r="AK696" s="1256"/>
      <c r="AL696" s="1257"/>
      <c r="AM696" s="1221">
        <f t="shared" ref="AM696:AM718" si="54">IF($AH696&gt;0,($AC696/$AV696), "")</f>
        <v>0.40025412960609913</v>
      </c>
      <c r="AN696" s="1222"/>
      <c r="AO696" s="1223"/>
      <c r="AV696" s="43">
        <f t="shared" si="47"/>
        <v>1574</v>
      </c>
      <c r="AX696" s="43"/>
      <c r="AY696" s="446">
        <f t="shared" si="48"/>
        <v>2</v>
      </c>
      <c r="AZ696" s="452">
        <f t="shared" si="49"/>
        <v>3.1746031746031744E-2</v>
      </c>
      <c r="BA696" s="453">
        <f t="shared" si="50"/>
        <v>1.2698412698412698E-2</v>
      </c>
      <c r="BB696" s="41"/>
      <c r="BC696" s="41"/>
      <c r="BD696" s="41"/>
      <c r="BE696" s="851">
        <f t="shared" si="51"/>
        <v>2</v>
      </c>
      <c r="BF696" s="855">
        <f t="shared" si="52"/>
        <v>3.1746031746031744E-2</v>
      </c>
      <c r="BG696" s="856">
        <f t="shared" si="53"/>
        <v>1.2706480304955527E-2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2" t="s">
        <v>442</v>
      </c>
      <c r="C697" s="1333"/>
      <c r="D697" s="1333"/>
      <c r="E697" s="1333"/>
      <c r="F697" s="1334"/>
      <c r="G697" s="1261">
        <v>1</v>
      </c>
      <c r="H697" s="1262"/>
      <c r="I697" s="1262"/>
      <c r="J697" s="1263"/>
      <c r="K697" s="1248">
        <v>551</v>
      </c>
      <c r="L697" s="1249"/>
      <c r="M697" s="1249"/>
      <c r="N697" s="1250"/>
      <c r="O697" s="1251">
        <v>775</v>
      </c>
      <c r="P697" s="1252"/>
      <c r="Q697" s="1252"/>
      <c r="R697" s="1252"/>
      <c r="S697" s="1253"/>
      <c r="T697" s="1224">
        <f t="shared" si="45"/>
        <v>775</v>
      </c>
      <c r="U697" s="1225"/>
      <c r="V697" s="1225"/>
      <c r="W697" s="1225"/>
      <c r="X697" s="1226"/>
      <c r="Y697" s="1251">
        <v>12</v>
      </c>
      <c r="Z697" s="1252"/>
      <c r="AA697" s="1252"/>
      <c r="AB697" s="1253"/>
      <c r="AC697" s="1224">
        <f t="shared" si="46"/>
        <v>787</v>
      </c>
      <c r="AD697" s="1225"/>
      <c r="AE697" s="1225"/>
      <c r="AF697" s="1225"/>
      <c r="AG697" s="1226"/>
      <c r="AH697" s="1255">
        <v>0.5</v>
      </c>
      <c r="AI697" s="1256"/>
      <c r="AJ697" s="1256"/>
      <c r="AK697" s="1256"/>
      <c r="AL697" s="1257"/>
      <c r="AM697" s="1221">
        <f t="shared" si="54"/>
        <v>0.5</v>
      </c>
      <c r="AN697" s="1222"/>
      <c r="AO697" s="1223"/>
      <c r="AV697" s="43">
        <f t="shared" si="47"/>
        <v>1574</v>
      </c>
      <c r="AX697" s="41"/>
      <c r="AY697" s="446">
        <f t="shared" si="48"/>
        <v>1</v>
      </c>
      <c r="AZ697" s="452">
        <f t="shared" si="49"/>
        <v>1.5873015873015872E-2</v>
      </c>
      <c r="BA697" s="453">
        <f t="shared" si="50"/>
        <v>7.9365079365079361E-3</v>
      </c>
      <c r="BB697" s="41"/>
      <c r="BC697" s="41"/>
      <c r="BD697" s="41"/>
      <c r="BE697" s="851">
        <f t="shared" si="51"/>
        <v>1</v>
      </c>
      <c r="BF697" s="855">
        <f t="shared" si="52"/>
        <v>1.5873015873015872E-2</v>
      </c>
      <c r="BG697" s="856">
        <f t="shared" si="53"/>
        <v>7.9365079365079361E-3</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2" t="s">
        <v>442</v>
      </c>
      <c r="C698" s="1333"/>
      <c r="D698" s="1333"/>
      <c r="E698" s="1333"/>
      <c r="F698" s="1334"/>
      <c r="G698" s="1261">
        <v>6</v>
      </c>
      <c r="H698" s="1262"/>
      <c r="I698" s="1262"/>
      <c r="J698" s="1263"/>
      <c r="K698" s="1248">
        <v>551</v>
      </c>
      <c r="L698" s="1249"/>
      <c r="M698" s="1249"/>
      <c r="N698" s="1250"/>
      <c r="O698" s="1251">
        <v>933</v>
      </c>
      <c r="P698" s="1252"/>
      <c r="Q698" s="1252"/>
      <c r="R698" s="1252"/>
      <c r="S698" s="1253"/>
      <c r="T698" s="1224">
        <f t="shared" si="45"/>
        <v>5598</v>
      </c>
      <c r="U698" s="1225"/>
      <c r="V698" s="1225"/>
      <c r="W698" s="1225"/>
      <c r="X698" s="1226"/>
      <c r="Y698" s="1251">
        <v>12</v>
      </c>
      <c r="Z698" s="1252"/>
      <c r="AA698" s="1252"/>
      <c r="AB698" s="1253"/>
      <c r="AC698" s="1224">
        <f t="shared" si="46"/>
        <v>945</v>
      </c>
      <c r="AD698" s="1225"/>
      <c r="AE698" s="1225"/>
      <c r="AF698" s="1225"/>
      <c r="AG698" s="1226"/>
      <c r="AH698" s="1255">
        <v>0.6</v>
      </c>
      <c r="AI698" s="1256"/>
      <c r="AJ698" s="1256"/>
      <c r="AK698" s="1256"/>
      <c r="AL698" s="1257"/>
      <c r="AM698" s="1221">
        <f t="shared" si="54"/>
        <v>0.60038119440914861</v>
      </c>
      <c r="AN698" s="1222"/>
      <c r="AO698" s="1223"/>
      <c r="AV698" s="43">
        <f t="shared" si="47"/>
        <v>1574</v>
      </c>
      <c r="AX698" s="41"/>
      <c r="AY698" s="446">
        <f t="shared" si="48"/>
        <v>6</v>
      </c>
      <c r="AZ698" s="452">
        <f t="shared" si="49"/>
        <v>9.5238095238095233E-2</v>
      </c>
      <c r="BA698" s="453">
        <f t="shared" si="50"/>
        <v>5.7142857142857134E-2</v>
      </c>
      <c r="BB698" s="41"/>
      <c r="BC698" s="41"/>
      <c r="BD698" s="41"/>
      <c r="BE698" s="851">
        <f t="shared" si="51"/>
        <v>6</v>
      </c>
      <c r="BF698" s="855">
        <f t="shared" si="52"/>
        <v>9.5238095238095233E-2</v>
      </c>
      <c r="BG698" s="856">
        <f t="shared" si="53"/>
        <v>5.7179161372299864E-2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2" t="s">
        <v>780</v>
      </c>
      <c r="C699" s="1333"/>
      <c r="D699" s="1333"/>
      <c r="E699" s="1333"/>
      <c r="F699" s="1334"/>
      <c r="G699" s="1261">
        <v>8</v>
      </c>
      <c r="H699" s="1262"/>
      <c r="I699" s="1262"/>
      <c r="J699" s="1263"/>
      <c r="K699" s="1248">
        <v>636</v>
      </c>
      <c r="L699" s="1249"/>
      <c r="M699" s="1249"/>
      <c r="N699" s="1250"/>
      <c r="O699" s="1251">
        <v>555</v>
      </c>
      <c r="P699" s="1252"/>
      <c r="Q699" s="1252"/>
      <c r="R699" s="1252"/>
      <c r="S699" s="1253"/>
      <c r="T699" s="1224">
        <f t="shared" si="45"/>
        <v>4440</v>
      </c>
      <c r="U699" s="1225"/>
      <c r="V699" s="1225"/>
      <c r="W699" s="1225"/>
      <c r="X699" s="1226"/>
      <c r="Y699" s="1251">
        <v>12</v>
      </c>
      <c r="Z699" s="1252"/>
      <c r="AA699" s="1252"/>
      <c r="AB699" s="1253"/>
      <c r="AC699" s="1224">
        <f t="shared" si="46"/>
        <v>567</v>
      </c>
      <c r="AD699" s="1225"/>
      <c r="AE699" s="1225"/>
      <c r="AF699" s="1225"/>
      <c r="AG699" s="1226"/>
      <c r="AH699" s="1255">
        <v>0.3</v>
      </c>
      <c r="AI699" s="1256"/>
      <c r="AJ699" s="1256"/>
      <c r="AK699" s="1256"/>
      <c r="AL699" s="1257"/>
      <c r="AM699" s="1221">
        <f t="shared" si="54"/>
        <v>0.3</v>
      </c>
      <c r="AN699" s="1222"/>
      <c r="AO699" s="1223"/>
      <c r="AV699" s="43">
        <f t="shared" si="47"/>
        <v>1890</v>
      </c>
      <c r="AX699" s="41"/>
      <c r="AY699" s="446">
        <f t="shared" si="48"/>
        <v>8</v>
      </c>
      <c r="AZ699" s="452">
        <f t="shared" si="49"/>
        <v>0.12698412698412698</v>
      </c>
      <c r="BA699" s="453">
        <f t="shared" si="50"/>
        <v>3.8095238095238092E-2</v>
      </c>
      <c r="BB699" s="41"/>
      <c r="BC699" s="41"/>
      <c r="BD699" s="41"/>
      <c r="BE699" s="851">
        <f t="shared" si="51"/>
        <v>8</v>
      </c>
      <c r="BF699" s="855">
        <f t="shared" si="52"/>
        <v>0.12698412698412698</v>
      </c>
      <c r="BG699" s="856">
        <f t="shared" si="53"/>
        <v>3.8095238095238092E-2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2" t="s">
        <v>780</v>
      </c>
      <c r="C700" s="1333"/>
      <c r="D700" s="1333"/>
      <c r="E700" s="1333"/>
      <c r="F700" s="1334"/>
      <c r="G700" s="1261">
        <v>4</v>
      </c>
      <c r="H700" s="1262"/>
      <c r="I700" s="1262"/>
      <c r="J700" s="1263"/>
      <c r="K700" s="1248">
        <v>636</v>
      </c>
      <c r="L700" s="1249"/>
      <c r="M700" s="1249"/>
      <c r="N700" s="1250"/>
      <c r="O700" s="1251">
        <v>744</v>
      </c>
      <c r="P700" s="1252"/>
      <c r="Q700" s="1252"/>
      <c r="R700" s="1252"/>
      <c r="S700" s="1253"/>
      <c r="T700" s="1224">
        <f t="shared" si="45"/>
        <v>2976</v>
      </c>
      <c r="U700" s="1225"/>
      <c r="V700" s="1225"/>
      <c r="W700" s="1225"/>
      <c r="X700" s="1226"/>
      <c r="Y700" s="1251">
        <v>12</v>
      </c>
      <c r="Z700" s="1252"/>
      <c r="AA700" s="1252"/>
      <c r="AB700" s="1253"/>
      <c r="AC700" s="1224">
        <f t="shared" si="46"/>
        <v>756</v>
      </c>
      <c r="AD700" s="1225"/>
      <c r="AE700" s="1225"/>
      <c r="AF700" s="1225"/>
      <c r="AG700" s="1226"/>
      <c r="AH700" s="1255">
        <v>0.4</v>
      </c>
      <c r="AI700" s="1256"/>
      <c r="AJ700" s="1256"/>
      <c r="AK700" s="1256"/>
      <c r="AL700" s="1257"/>
      <c r="AM700" s="1221">
        <f t="shared" si="54"/>
        <v>0.4</v>
      </c>
      <c r="AN700" s="1222"/>
      <c r="AO700" s="1223"/>
      <c r="AV700" s="43">
        <f t="shared" si="47"/>
        <v>1890</v>
      </c>
      <c r="AX700" s="41"/>
      <c r="AY700" s="446">
        <f t="shared" si="48"/>
        <v>4</v>
      </c>
      <c r="AZ700" s="452">
        <f t="shared" si="49"/>
        <v>6.3492063492063489E-2</v>
      </c>
      <c r="BA700" s="453">
        <f t="shared" si="50"/>
        <v>2.5396825396825397E-2</v>
      </c>
      <c r="BB700" s="41"/>
      <c r="BC700" s="41"/>
      <c r="BD700" s="41"/>
      <c r="BE700" s="851">
        <f t="shared" si="51"/>
        <v>4</v>
      </c>
      <c r="BF700" s="855">
        <f t="shared" si="52"/>
        <v>6.3492063492063489E-2</v>
      </c>
      <c r="BG700" s="856">
        <f t="shared" si="53"/>
        <v>2.5396825396825397E-2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2" t="s">
        <v>780</v>
      </c>
      <c r="C701" s="1333"/>
      <c r="D701" s="1333"/>
      <c r="E701" s="1333"/>
      <c r="F701" s="1334"/>
      <c r="G701" s="1261">
        <v>3</v>
      </c>
      <c r="H701" s="1262"/>
      <c r="I701" s="1262"/>
      <c r="J701" s="1263"/>
      <c r="K701" s="1248">
        <v>636</v>
      </c>
      <c r="L701" s="1249"/>
      <c r="M701" s="1249"/>
      <c r="N701" s="1250"/>
      <c r="O701" s="1251">
        <v>933</v>
      </c>
      <c r="P701" s="1252"/>
      <c r="Q701" s="1252"/>
      <c r="R701" s="1252"/>
      <c r="S701" s="1253"/>
      <c r="T701" s="1224">
        <f t="shared" si="45"/>
        <v>2799</v>
      </c>
      <c r="U701" s="1225"/>
      <c r="V701" s="1225"/>
      <c r="W701" s="1225"/>
      <c r="X701" s="1226"/>
      <c r="Y701" s="1251">
        <v>12</v>
      </c>
      <c r="Z701" s="1252"/>
      <c r="AA701" s="1252"/>
      <c r="AB701" s="1253"/>
      <c r="AC701" s="1224">
        <f t="shared" si="46"/>
        <v>945</v>
      </c>
      <c r="AD701" s="1225"/>
      <c r="AE701" s="1225"/>
      <c r="AF701" s="1225"/>
      <c r="AG701" s="1226"/>
      <c r="AH701" s="1255">
        <v>0.5</v>
      </c>
      <c r="AI701" s="1256"/>
      <c r="AJ701" s="1256"/>
      <c r="AK701" s="1256"/>
      <c r="AL701" s="1257"/>
      <c r="AM701" s="1221">
        <f t="shared" si="54"/>
        <v>0.5</v>
      </c>
      <c r="AN701" s="1222"/>
      <c r="AO701" s="1223"/>
      <c r="AV701" s="43">
        <f t="shared" si="47"/>
        <v>1890</v>
      </c>
      <c r="AX701" s="41"/>
      <c r="AY701" s="446">
        <f t="shared" si="48"/>
        <v>3</v>
      </c>
      <c r="AZ701" s="452">
        <f t="shared" si="49"/>
        <v>4.7619047619047616E-2</v>
      </c>
      <c r="BA701" s="453">
        <f t="shared" si="50"/>
        <v>2.3809523809523808E-2</v>
      </c>
      <c r="BB701" s="41"/>
      <c r="BC701" s="41"/>
      <c r="BD701" s="41"/>
      <c r="BE701" s="851">
        <f t="shared" si="51"/>
        <v>3</v>
      </c>
      <c r="BF701" s="855">
        <f t="shared" si="52"/>
        <v>4.7619047619047616E-2</v>
      </c>
      <c r="BG701" s="856">
        <f t="shared" si="53"/>
        <v>2.3809523809523808E-2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2" t="s">
        <v>780</v>
      </c>
      <c r="C702" s="1333"/>
      <c r="D702" s="1333"/>
      <c r="E702" s="1333"/>
      <c r="F702" s="1334"/>
      <c r="G702" s="1261">
        <v>17</v>
      </c>
      <c r="H702" s="1262"/>
      <c r="I702" s="1262"/>
      <c r="J702" s="1263"/>
      <c r="K702" s="1248">
        <v>636</v>
      </c>
      <c r="L702" s="1249"/>
      <c r="M702" s="1249"/>
      <c r="N702" s="1250"/>
      <c r="O702" s="1251">
        <v>1122</v>
      </c>
      <c r="P702" s="1252"/>
      <c r="Q702" s="1252"/>
      <c r="R702" s="1252"/>
      <c r="S702" s="1253"/>
      <c r="T702" s="1224">
        <f t="shared" si="45"/>
        <v>19074</v>
      </c>
      <c r="U702" s="1225"/>
      <c r="V702" s="1225"/>
      <c r="W702" s="1225"/>
      <c r="X702" s="1226"/>
      <c r="Y702" s="1251">
        <v>12</v>
      </c>
      <c r="Z702" s="1252"/>
      <c r="AA702" s="1252"/>
      <c r="AB702" s="1253"/>
      <c r="AC702" s="1224">
        <f t="shared" si="46"/>
        <v>1134</v>
      </c>
      <c r="AD702" s="1225"/>
      <c r="AE702" s="1225"/>
      <c r="AF702" s="1225"/>
      <c r="AG702" s="1226"/>
      <c r="AH702" s="1255">
        <v>0.6</v>
      </c>
      <c r="AI702" s="1256"/>
      <c r="AJ702" s="1256"/>
      <c r="AK702" s="1256"/>
      <c r="AL702" s="1257"/>
      <c r="AM702" s="1221">
        <f t="shared" si="54"/>
        <v>0.6</v>
      </c>
      <c r="AN702" s="1222"/>
      <c r="AO702" s="1223"/>
      <c r="AV702" s="43">
        <f t="shared" si="47"/>
        <v>1890</v>
      </c>
      <c r="AX702" s="41"/>
      <c r="AY702" s="446">
        <f t="shared" si="48"/>
        <v>17</v>
      </c>
      <c r="AZ702" s="452">
        <f t="shared" si="49"/>
        <v>0.26984126984126983</v>
      </c>
      <c r="BA702" s="453">
        <f t="shared" si="50"/>
        <v>0.16190476190476188</v>
      </c>
      <c r="BB702" s="41"/>
      <c r="BC702" s="41"/>
      <c r="BD702" s="41"/>
      <c r="BE702" s="851">
        <f t="shared" si="51"/>
        <v>17</v>
      </c>
      <c r="BF702" s="855">
        <f t="shared" si="52"/>
        <v>0.26984126984126983</v>
      </c>
      <c r="BG702" s="856">
        <f t="shared" si="53"/>
        <v>0.16190476190476188</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2" t="s">
        <v>781</v>
      </c>
      <c r="C703" s="1333"/>
      <c r="D703" s="1333"/>
      <c r="E703" s="1333"/>
      <c r="F703" s="1334"/>
      <c r="G703" s="1261">
        <v>4</v>
      </c>
      <c r="H703" s="1262"/>
      <c r="I703" s="1262"/>
      <c r="J703" s="1263"/>
      <c r="K703" s="1248">
        <v>1068</v>
      </c>
      <c r="L703" s="1249"/>
      <c r="M703" s="1249"/>
      <c r="N703" s="1250"/>
      <c r="O703" s="1251">
        <v>643</v>
      </c>
      <c r="P703" s="1252"/>
      <c r="Q703" s="1252"/>
      <c r="R703" s="1252"/>
      <c r="S703" s="1253"/>
      <c r="T703" s="1224">
        <f t="shared" si="45"/>
        <v>2572</v>
      </c>
      <c r="U703" s="1225"/>
      <c r="V703" s="1225"/>
      <c r="W703" s="1225"/>
      <c r="X703" s="1226"/>
      <c r="Y703" s="1251">
        <v>12</v>
      </c>
      <c r="Z703" s="1252"/>
      <c r="AA703" s="1252"/>
      <c r="AB703" s="1253"/>
      <c r="AC703" s="1224">
        <f t="shared" si="46"/>
        <v>655</v>
      </c>
      <c r="AD703" s="1225"/>
      <c r="AE703" s="1225"/>
      <c r="AF703" s="1225"/>
      <c r="AG703" s="1226"/>
      <c r="AH703" s="1255">
        <v>0.3</v>
      </c>
      <c r="AI703" s="1256"/>
      <c r="AJ703" s="1256"/>
      <c r="AK703" s="1256"/>
      <c r="AL703" s="1257"/>
      <c r="AM703" s="1221">
        <f t="shared" si="54"/>
        <v>0.2999084249084249</v>
      </c>
      <c r="AN703" s="1222"/>
      <c r="AO703" s="1223"/>
      <c r="AV703" s="43">
        <f t="shared" si="47"/>
        <v>2184</v>
      </c>
      <c r="AX703" s="41"/>
      <c r="AY703" s="446">
        <f t="shared" si="48"/>
        <v>4</v>
      </c>
      <c r="AZ703" s="452">
        <f t="shared" si="49"/>
        <v>6.3492063492063489E-2</v>
      </c>
      <c r="BA703" s="453">
        <f t="shared" si="50"/>
        <v>1.9047619047619046E-2</v>
      </c>
      <c r="BB703" s="41"/>
      <c r="BC703" s="41"/>
      <c r="BD703" s="41"/>
      <c r="BE703" s="851">
        <f t="shared" si="51"/>
        <v>4</v>
      </c>
      <c r="BF703" s="855">
        <f t="shared" si="52"/>
        <v>6.3492063492063489E-2</v>
      </c>
      <c r="BG703" s="856">
        <f t="shared" si="53"/>
        <v>1.9041804756090467E-2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2" t="s">
        <v>781</v>
      </c>
      <c r="C704" s="1333"/>
      <c r="D704" s="1333"/>
      <c r="E704" s="1333"/>
      <c r="F704" s="1334"/>
      <c r="G704" s="1261">
        <v>2</v>
      </c>
      <c r="H704" s="1262"/>
      <c r="I704" s="1262"/>
      <c r="J704" s="1263"/>
      <c r="K704" s="1248">
        <v>1068</v>
      </c>
      <c r="L704" s="1249"/>
      <c r="M704" s="1249"/>
      <c r="N704" s="1250"/>
      <c r="O704" s="1251">
        <v>862</v>
      </c>
      <c r="P704" s="1252"/>
      <c r="Q704" s="1252"/>
      <c r="R704" s="1252"/>
      <c r="S704" s="1253"/>
      <c r="T704" s="1224">
        <f t="shared" si="45"/>
        <v>1724</v>
      </c>
      <c r="U704" s="1225"/>
      <c r="V704" s="1225"/>
      <c r="W704" s="1225"/>
      <c r="X704" s="1226"/>
      <c r="Y704" s="1251">
        <v>12</v>
      </c>
      <c r="Z704" s="1252"/>
      <c r="AA704" s="1252"/>
      <c r="AB704" s="1253"/>
      <c r="AC704" s="1224">
        <f t="shared" si="46"/>
        <v>874</v>
      </c>
      <c r="AD704" s="1225"/>
      <c r="AE704" s="1225"/>
      <c r="AF704" s="1225"/>
      <c r="AG704" s="1226"/>
      <c r="AH704" s="1255">
        <v>0.4</v>
      </c>
      <c r="AI704" s="1256"/>
      <c r="AJ704" s="1256"/>
      <c r="AK704" s="1256"/>
      <c r="AL704" s="1257"/>
      <c r="AM704" s="1221">
        <f t="shared" si="54"/>
        <v>0.4001831501831502</v>
      </c>
      <c r="AN704" s="1222"/>
      <c r="AO704" s="1223"/>
      <c r="AV704" s="43">
        <f t="shared" si="47"/>
        <v>2184</v>
      </c>
      <c r="AX704" s="41"/>
      <c r="AY704" s="446">
        <f t="shared" si="48"/>
        <v>2</v>
      </c>
      <c r="AZ704" s="452">
        <f t="shared" si="49"/>
        <v>3.1746031746031744E-2</v>
      </c>
      <c r="BA704" s="453">
        <f t="shared" si="50"/>
        <v>1.2698412698412698E-2</v>
      </c>
      <c r="BB704" s="41"/>
      <c r="BC704" s="41"/>
      <c r="BD704" s="41"/>
      <c r="BE704" s="851">
        <f t="shared" si="51"/>
        <v>2</v>
      </c>
      <c r="BF704" s="855">
        <f t="shared" si="52"/>
        <v>3.1746031746031744E-2</v>
      </c>
      <c r="BG704" s="856">
        <f t="shared" si="53"/>
        <v>1.2704226989941276E-2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2" t="s">
        <v>781</v>
      </c>
      <c r="C705" s="1333"/>
      <c r="D705" s="1333"/>
      <c r="E705" s="1333"/>
      <c r="F705" s="1334"/>
      <c r="G705" s="1261">
        <v>1</v>
      </c>
      <c r="H705" s="1262"/>
      <c r="I705" s="1262"/>
      <c r="J705" s="1263"/>
      <c r="K705" s="1248">
        <v>1068</v>
      </c>
      <c r="L705" s="1249"/>
      <c r="M705" s="1249"/>
      <c r="N705" s="1250"/>
      <c r="O705" s="1251">
        <v>1080</v>
      </c>
      <c r="P705" s="1252"/>
      <c r="Q705" s="1252"/>
      <c r="R705" s="1252"/>
      <c r="S705" s="1253"/>
      <c r="T705" s="1224">
        <f t="shared" si="45"/>
        <v>1080</v>
      </c>
      <c r="U705" s="1225"/>
      <c r="V705" s="1225"/>
      <c r="W705" s="1225"/>
      <c r="X705" s="1226"/>
      <c r="Y705" s="1251">
        <v>12</v>
      </c>
      <c r="Z705" s="1252"/>
      <c r="AA705" s="1252"/>
      <c r="AB705" s="1253"/>
      <c r="AC705" s="1224">
        <f t="shared" si="46"/>
        <v>1092</v>
      </c>
      <c r="AD705" s="1225"/>
      <c r="AE705" s="1225"/>
      <c r="AF705" s="1225"/>
      <c r="AG705" s="1226"/>
      <c r="AH705" s="1255">
        <v>0.5</v>
      </c>
      <c r="AI705" s="1256"/>
      <c r="AJ705" s="1256"/>
      <c r="AK705" s="1256"/>
      <c r="AL705" s="1257"/>
      <c r="AM705" s="1221">
        <f t="shared" si="54"/>
        <v>0.5</v>
      </c>
      <c r="AN705" s="1222"/>
      <c r="AO705" s="1223"/>
      <c r="AV705" s="43">
        <f t="shared" si="47"/>
        <v>2184</v>
      </c>
      <c r="AX705" s="41"/>
      <c r="AY705" s="446">
        <f t="shared" si="48"/>
        <v>1</v>
      </c>
      <c r="AZ705" s="452">
        <f t="shared" si="49"/>
        <v>1.5873015873015872E-2</v>
      </c>
      <c r="BA705" s="453">
        <f t="shared" si="50"/>
        <v>7.9365079365079361E-3</v>
      </c>
      <c r="BB705" s="41"/>
      <c r="BC705" s="41"/>
      <c r="BD705" s="41"/>
      <c r="BE705" s="851">
        <f t="shared" si="51"/>
        <v>1</v>
      </c>
      <c r="BF705" s="855">
        <f t="shared" si="52"/>
        <v>1.5873015873015872E-2</v>
      </c>
      <c r="BG705" s="856">
        <f t="shared" si="53"/>
        <v>7.9365079365079361E-3</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2" t="s">
        <v>781</v>
      </c>
      <c r="C706" s="1333"/>
      <c r="D706" s="1333"/>
      <c r="E706" s="1333"/>
      <c r="F706" s="1334"/>
      <c r="G706" s="1261">
        <v>8</v>
      </c>
      <c r="H706" s="1262"/>
      <c r="I706" s="1262"/>
      <c r="J706" s="1263"/>
      <c r="K706" s="1248">
        <v>1068</v>
      </c>
      <c r="L706" s="1249"/>
      <c r="M706" s="1249"/>
      <c r="N706" s="1250"/>
      <c r="O706" s="1251">
        <v>1299</v>
      </c>
      <c r="P706" s="1252"/>
      <c r="Q706" s="1252"/>
      <c r="R706" s="1252"/>
      <c r="S706" s="1253"/>
      <c r="T706" s="1224">
        <f t="shared" si="45"/>
        <v>10392</v>
      </c>
      <c r="U706" s="1225"/>
      <c r="V706" s="1225"/>
      <c r="W706" s="1225"/>
      <c r="X706" s="1226"/>
      <c r="Y706" s="1251">
        <v>12</v>
      </c>
      <c r="Z706" s="1252"/>
      <c r="AA706" s="1252"/>
      <c r="AB706" s="1253"/>
      <c r="AC706" s="1224">
        <f t="shared" si="46"/>
        <v>1311</v>
      </c>
      <c r="AD706" s="1225"/>
      <c r="AE706" s="1225"/>
      <c r="AF706" s="1225"/>
      <c r="AG706" s="1226"/>
      <c r="AH706" s="1255">
        <v>0.6</v>
      </c>
      <c r="AI706" s="1256"/>
      <c r="AJ706" s="1256"/>
      <c r="AK706" s="1256"/>
      <c r="AL706" s="1257"/>
      <c r="AM706" s="1221">
        <f t="shared" si="54"/>
        <v>0.60027472527472525</v>
      </c>
      <c r="AN706" s="1222"/>
      <c r="AO706" s="1223"/>
      <c r="AV706" s="43">
        <f t="shared" si="47"/>
        <v>2184</v>
      </c>
      <c r="AX706" s="41"/>
      <c r="AY706" s="446">
        <f t="shared" si="48"/>
        <v>8</v>
      </c>
      <c r="AZ706" s="452">
        <f t="shared" si="49"/>
        <v>0.12698412698412698</v>
      </c>
      <c r="BA706" s="453">
        <f t="shared" si="50"/>
        <v>7.6190476190476183E-2</v>
      </c>
      <c r="BB706" s="41"/>
      <c r="BC706" s="41"/>
      <c r="BD706" s="41"/>
      <c r="BE706" s="851">
        <f t="shared" si="51"/>
        <v>8</v>
      </c>
      <c r="BF706" s="855">
        <f t="shared" si="52"/>
        <v>0.12698412698412698</v>
      </c>
      <c r="BG706" s="856">
        <f t="shared" si="53"/>
        <v>7.6225361939647643E-2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2" t="s">
        <v>782</v>
      </c>
      <c r="C707" s="1333"/>
      <c r="D707" s="1333"/>
      <c r="E707" s="1333"/>
      <c r="F707" s="1334"/>
      <c r="G707" s="1261">
        <v>1</v>
      </c>
      <c r="H707" s="1262"/>
      <c r="I707" s="1262"/>
      <c r="J707" s="1263"/>
      <c r="K707" s="1248">
        <v>1260</v>
      </c>
      <c r="L707" s="1249"/>
      <c r="M707" s="1249"/>
      <c r="N707" s="1250"/>
      <c r="O707" s="1251">
        <v>719</v>
      </c>
      <c r="P707" s="1252"/>
      <c r="Q707" s="1252"/>
      <c r="R707" s="1252"/>
      <c r="S707" s="1253"/>
      <c r="T707" s="1224">
        <f t="shared" si="45"/>
        <v>719</v>
      </c>
      <c r="U707" s="1225"/>
      <c r="V707" s="1225"/>
      <c r="W707" s="1225"/>
      <c r="X707" s="1226"/>
      <c r="Y707" s="1251">
        <v>12</v>
      </c>
      <c r="Z707" s="1252"/>
      <c r="AA707" s="1252"/>
      <c r="AB707" s="1253"/>
      <c r="AC707" s="1224">
        <f t="shared" si="46"/>
        <v>731</v>
      </c>
      <c r="AD707" s="1225"/>
      <c r="AE707" s="1225"/>
      <c r="AF707" s="1225"/>
      <c r="AG707" s="1226"/>
      <c r="AH707" s="1255">
        <v>0.3</v>
      </c>
      <c r="AI707" s="1256"/>
      <c r="AJ707" s="1256"/>
      <c r="AK707" s="1256"/>
      <c r="AL707" s="1257"/>
      <c r="AM707" s="1221">
        <f t="shared" si="54"/>
        <v>0.30008210180623973</v>
      </c>
      <c r="AN707" s="1222"/>
      <c r="AO707" s="1223"/>
      <c r="AV707" s="43">
        <f t="shared" si="47"/>
        <v>2436</v>
      </c>
      <c r="AX707" s="41"/>
      <c r="AY707" s="446">
        <f t="shared" si="48"/>
        <v>1</v>
      </c>
      <c r="AZ707" s="452">
        <f t="shared" si="49"/>
        <v>1.5873015873015872E-2</v>
      </c>
      <c r="BA707" s="453">
        <f t="shared" si="50"/>
        <v>4.7619047619047615E-3</v>
      </c>
      <c r="BB707" s="41"/>
      <c r="BC707" s="41"/>
      <c r="BD707" s="41"/>
      <c r="BE707" s="851">
        <f t="shared" si="51"/>
        <v>1</v>
      </c>
      <c r="BF707" s="855">
        <f t="shared" si="52"/>
        <v>1.5873015873015872E-2</v>
      </c>
      <c r="BG707" s="856">
        <f t="shared" si="53"/>
        <v>4.7632079651784079E-3</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2" t="s">
        <v>782</v>
      </c>
      <c r="C708" s="1333"/>
      <c r="D708" s="1333"/>
      <c r="E708" s="1333"/>
      <c r="F708" s="1334"/>
      <c r="G708" s="1261">
        <v>2</v>
      </c>
      <c r="H708" s="1262"/>
      <c r="I708" s="1262"/>
      <c r="J708" s="1263"/>
      <c r="K708" s="1248">
        <v>1260</v>
      </c>
      <c r="L708" s="1249"/>
      <c r="M708" s="1249"/>
      <c r="N708" s="1250"/>
      <c r="O708" s="1251">
        <v>963</v>
      </c>
      <c r="P708" s="1252"/>
      <c r="Q708" s="1252"/>
      <c r="R708" s="1252"/>
      <c r="S708" s="1253"/>
      <c r="T708" s="1224">
        <f t="shared" si="45"/>
        <v>1926</v>
      </c>
      <c r="U708" s="1225"/>
      <c r="V708" s="1225"/>
      <c r="W708" s="1225"/>
      <c r="X708" s="1226"/>
      <c r="Y708" s="1251">
        <v>12</v>
      </c>
      <c r="Z708" s="1252"/>
      <c r="AA708" s="1252"/>
      <c r="AB708" s="1253"/>
      <c r="AC708" s="1224">
        <f t="shared" si="46"/>
        <v>975</v>
      </c>
      <c r="AD708" s="1225"/>
      <c r="AE708" s="1225"/>
      <c r="AF708" s="1225"/>
      <c r="AG708" s="1226"/>
      <c r="AH708" s="1255">
        <v>0.4</v>
      </c>
      <c r="AI708" s="1256"/>
      <c r="AJ708" s="1256"/>
      <c r="AK708" s="1256"/>
      <c r="AL708" s="1257"/>
      <c r="AM708" s="1221">
        <f t="shared" si="54"/>
        <v>0.40024630541871919</v>
      </c>
      <c r="AN708" s="1222"/>
      <c r="AO708" s="1223"/>
      <c r="AV708" s="43">
        <f t="shared" si="47"/>
        <v>2436</v>
      </c>
      <c r="AX708" s="41"/>
      <c r="AY708" s="446">
        <f t="shared" si="48"/>
        <v>2</v>
      </c>
      <c r="AZ708" s="452">
        <f t="shared" si="49"/>
        <v>3.1746031746031744E-2</v>
      </c>
      <c r="BA708" s="453">
        <f t="shared" si="50"/>
        <v>1.2698412698412698E-2</v>
      </c>
      <c r="BB708" s="41"/>
      <c r="BC708" s="41"/>
      <c r="BD708" s="41"/>
      <c r="BE708" s="851">
        <f t="shared" si="51"/>
        <v>2</v>
      </c>
      <c r="BF708" s="855">
        <f t="shared" si="52"/>
        <v>3.1746031746031744E-2</v>
      </c>
      <c r="BG708" s="856">
        <f t="shared" si="53"/>
        <v>1.2706231918054577E-2</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2" t="s">
        <v>782</v>
      </c>
      <c r="C709" s="1333"/>
      <c r="D709" s="1333"/>
      <c r="E709" s="1333"/>
      <c r="F709" s="1334"/>
      <c r="G709" s="1261">
        <v>1</v>
      </c>
      <c r="H709" s="1262"/>
      <c r="I709" s="1262"/>
      <c r="J709" s="1263"/>
      <c r="K709" s="1248">
        <v>1260</v>
      </c>
      <c r="L709" s="1249"/>
      <c r="M709" s="1249"/>
      <c r="N709" s="1250"/>
      <c r="O709" s="1251">
        <v>1206</v>
      </c>
      <c r="P709" s="1252"/>
      <c r="Q709" s="1252"/>
      <c r="R709" s="1252"/>
      <c r="S709" s="1253"/>
      <c r="T709" s="1224">
        <f t="shared" si="45"/>
        <v>1206</v>
      </c>
      <c r="U709" s="1225"/>
      <c r="V709" s="1225"/>
      <c r="W709" s="1225"/>
      <c r="X709" s="1226"/>
      <c r="Y709" s="1251">
        <v>12</v>
      </c>
      <c r="Z709" s="1252"/>
      <c r="AA709" s="1252"/>
      <c r="AB709" s="1253"/>
      <c r="AC709" s="1224">
        <f t="shared" si="46"/>
        <v>1218</v>
      </c>
      <c r="AD709" s="1225"/>
      <c r="AE709" s="1225"/>
      <c r="AF709" s="1225"/>
      <c r="AG709" s="1226"/>
      <c r="AH709" s="1255">
        <v>0.5</v>
      </c>
      <c r="AI709" s="1256"/>
      <c r="AJ709" s="1256"/>
      <c r="AK709" s="1256"/>
      <c r="AL709" s="1257"/>
      <c r="AM709" s="1221">
        <f t="shared" si="54"/>
        <v>0.5</v>
      </c>
      <c r="AN709" s="1222"/>
      <c r="AO709" s="1223"/>
      <c r="AV709" s="43">
        <f t="shared" si="47"/>
        <v>2436</v>
      </c>
      <c r="AX709" s="41"/>
      <c r="AY709" s="446">
        <f t="shared" si="48"/>
        <v>1</v>
      </c>
      <c r="AZ709" s="452">
        <f t="shared" si="49"/>
        <v>1.5873015873015872E-2</v>
      </c>
      <c r="BA709" s="453">
        <f t="shared" si="50"/>
        <v>7.9365079365079361E-3</v>
      </c>
      <c r="BB709" s="41"/>
      <c r="BC709" s="41"/>
      <c r="BD709" s="41"/>
      <c r="BE709" s="851">
        <f t="shared" si="51"/>
        <v>1</v>
      </c>
      <c r="BF709" s="855">
        <f t="shared" si="52"/>
        <v>1.5873015873015872E-2</v>
      </c>
      <c r="BG709" s="856">
        <f t="shared" si="53"/>
        <v>7.9365079365079361E-3</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877</v>
      </c>
      <c r="C730" s="1183"/>
      <c r="D730" s="1183"/>
      <c r="E730" s="1183"/>
      <c r="F730" s="1184"/>
      <c r="G730" s="1497">
        <f>SUM(G695:J729)</f>
        <v>63</v>
      </c>
      <c r="H730" s="1498"/>
      <c r="I730" s="1498"/>
      <c r="J730" s="1499"/>
      <c r="O730" s="430" t="s">
        <v>876</v>
      </c>
      <c r="P730" s="168"/>
      <c r="Q730" s="168"/>
      <c r="R730" s="168"/>
      <c r="S730" s="842"/>
      <c r="T730" s="1224">
        <f>SUM(T695:X729)</f>
        <v>57897</v>
      </c>
      <c r="U730" s="1225"/>
      <c r="V730" s="1225"/>
      <c r="W730" s="1225"/>
      <c r="X730" s="1226"/>
      <c r="AC730" s="843" t="s">
        <v>1139</v>
      </c>
      <c r="AD730" s="844"/>
      <c r="AE730" s="844"/>
      <c r="AF730" s="844"/>
      <c r="AG730" s="845"/>
      <c r="AH730" s="1227">
        <f>BA730</f>
        <v>0.48253968253968249</v>
      </c>
      <c r="AI730" s="1228"/>
      <c r="AJ730" s="1228"/>
      <c r="AK730" s="1228"/>
      <c r="AL730" s="1229"/>
      <c r="AM730" s="1227">
        <f>IFERROR(BG730,0)</f>
        <v>0.48262201184284792</v>
      </c>
      <c r="AN730" s="1228"/>
      <c r="AO730" s="1229"/>
      <c r="AX730" s="62" t="s">
        <v>875</v>
      </c>
      <c r="AY730" s="454">
        <f>SUM(AY695:AY729)</f>
        <v>63</v>
      </c>
      <c r="AZ730" s="455">
        <f>SUM(AZ695:AZ729)</f>
        <v>1</v>
      </c>
      <c r="BA730" s="455">
        <f>SUM(BA695:BA729)</f>
        <v>0.48253968253968249</v>
      </c>
      <c r="BB730" s="41"/>
      <c r="BC730" s="41"/>
      <c r="BD730" s="41"/>
      <c r="BE730" s="852">
        <f>SUM(BE695:BE729)</f>
        <v>63</v>
      </c>
      <c r="BF730" s="853">
        <f>SUM(BF695:BF729)</f>
        <v>1</v>
      </c>
      <c r="BG730" s="853">
        <f>SUM(BG695:BG729)</f>
        <v>0.48262201184284792</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5" t="s">
        <v>2062</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27">
        <f>CQ628</f>
        <v>137</v>
      </c>
      <c r="P733" s="1527"/>
      <c r="Q733" s="1527"/>
      <c r="R733" s="1527"/>
      <c r="S733" s="924"/>
      <c r="T733" s="924"/>
      <c r="U733" s="270" t="s">
        <v>2064</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2060</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1" t="s">
        <v>256</v>
      </c>
      <c r="P748" s="1501"/>
      <c r="Q748" s="1501"/>
      <c r="R748" s="1501"/>
      <c r="S748" s="1501"/>
      <c r="T748" s="1230" t="s">
        <v>1996</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2" t="s">
        <v>781</v>
      </c>
      <c r="K752" s="1333"/>
      <c r="L752" s="1333"/>
      <c r="M752" s="1333"/>
      <c r="N752" s="1334"/>
      <c r="O752" s="1381">
        <v>1</v>
      </c>
      <c r="P752" s="1381"/>
      <c r="Q752" s="1381"/>
      <c r="R752" s="1381"/>
      <c r="S752" s="1381"/>
      <c r="T752" s="1248">
        <v>1068</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2"/>
      <c r="K753" s="1333"/>
      <c r="L753" s="1333"/>
      <c r="M753" s="1333"/>
      <c r="N753" s="1334"/>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2"/>
      <c r="K754" s="1333"/>
      <c r="L754" s="1333"/>
      <c r="M754" s="1333"/>
      <c r="N754" s="1334"/>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2"/>
      <c r="K755" s="1333"/>
      <c r="L755" s="1333"/>
      <c r="M755" s="1333"/>
      <c r="N755" s="1334"/>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877</v>
      </c>
      <c r="K756" s="1183"/>
      <c r="L756" s="1183"/>
      <c r="M756" s="1183"/>
      <c r="N756" s="1184"/>
      <c r="O756" s="1272">
        <f>SUM(O752:S755)</f>
        <v>1</v>
      </c>
      <c r="P756" s="1273"/>
      <c r="Q756" s="1273"/>
      <c r="R756" s="1273"/>
      <c r="S756" s="1274"/>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1" t="s">
        <v>256</v>
      </c>
      <c r="P762" s="1501"/>
      <c r="Q762" s="1501"/>
      <c r="R762" s="1501"/>
      <c r="S762" s="1501"/>
      <c r="T762" s="1230" t="s">
        <v>1996</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2"/>
      <c r="K766" s="1333"/>
      <c r="L766" s="1333"/>
      <c r="M766" s="1333"/>
      <c r="N766" s="1334"/>
      <c r="O766" s="1381"/>
      <c r="P766" s="1381"/>
      <c r="Q766" s="1381"/>
      <c r="R766" s="1381"/>
      <c r="S766" s="1381"/>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2"/>
      <c r="K767" s="1333"/>
      <c r="L767" s="1333"/>
      <c r="M767" s="1333"/>
      <c r="N767" s="1334"/>
      <c r="O767" s="1381"/>
      <c r="P767" s="1381"/>
      <c r="Q767" s="1381"/>
      <c r="R767" s="1381"/>
      <c r="S767" s="1381"/>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2"/>
      <c r="K768" s="1333"/>
      <c r="L768" s="1333"/>
      <c r="M768" s="1333"/>
      <c r="N768" s="1334"/>
      <c r="O768" s="1381"/>
      <c r="P768" s="1381"/>
      <c r="Q768" s="1381"/>
      <c r="R768" s="1381"/>
      <c r="S768" s="1381"/>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2"/>
      <c r="K769" s="1333"/>
      <c r="L769" s="1333"/>
      <c r="M769" s="1333"/>
      <c r="N769" s="1334"/>
      <c r="O769" s="1381"/>
      <c r="P769" s="1381"/>
      <c r="Q769" s="1381"/>
      <c r="R769" s="1381"/>
      <c r="S769" s="1381"/>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2"/>
      <c r="K770" s="1333"/>
      <c r="L770" s="1333"/>
      <c r="M770" s="1333"/>
      <c r="N770" s="1334"/>
      <c r="O770" s="1381"/>
      <c r="P770" s="1381"/>
      <c r="Q770" s="1381"/>
      <c r="R770" s="1381"/>
      <c r="S770" s="1381"/>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2"/>
      <c r="K771" s="1333"/>
      <c r="L771" s="1333"/>
      <c r="M771" s="1333"/>
      <c r="N771" s="1334"/>
      <c r="O771" s="1381"/>
      <c r="P771" s="1381"/>
      <c r="Q771" s="1381"/>
      <c r="R771" s="1381"/>
      <c r="S771" s="1381"/>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2"/>
      <c r="K772" s="1333"/>
      <c r="L772" s="1333"/>
      <c r="M772" s="1333"/>
      <c r="N772" s="1334"/>
      <c r="O772" s="1381"/>
      <c r="P772" s="1381"/>
      <c r="Q772" s="1381"/>
      <c r="R772" s="1381"/>
      <c r="S772" s="1381"/>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2"/>
      <c r="K773" s="1333"/>
      <c r="L773" s="1333"/>
      <c r="M773" s="1333"/>
      <c r="N773" s="1334"/>
      <c r="O773" s="1381"/>
      <c r="P773" s="1381"/>
      <c r="Q773" s="1381"/>
      <c r="R773" s="1381"/>
      <c r="S773" s="1381"/>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2"/>
      <c r="K774" s="1333"/>
      <c r="L774" s="1333"/>
      <c r="M774" s="1333"/>
      <c r="N774" s="1334"/>
      <c r="O774" s="1381"/>
      <c r="P774" s="1381"/>
      <c r="Q774" s="1381"/>
      <c r="R774" s="1381"/>
      <c r="S774" s="1381"/>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2"/>
      <c r="K775" s="1333"/>
      <c r="L775" s="1333"/>
      <c r="M775" s="1333"/>
      <c r="N775" s="1334"/>
      <c r="O775" s="1381"/>
      <c r="P775" s="1381"/>
      <c r="Q775" s="1381"/>
      <c r="R775" s="1381"/>
      <c r="S775" s="1381"/>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877</v>
      </c>
      <c r="K776" s="1183"/>
      <c r="L776" s="1183"/>
      <c r="M776" s="1183"/>
      <c r="N776" s="1184"/>
      <c r="O776" s="1527">
        <f>SUM(O766:S775)</f>
        <v>0</v>
      </c>
      <c r="P776" s="1527"/>
      <c r="Q776" s="1527"/>
      <c r="R776" s="1527"/>
      <c r="S776" s="1527"/>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5">
        <f>T730+AC756+AC776</f>
        <v>57897</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5">
        <f>(T730+AC756+AC776)*12</f>
        <v>694764</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5">
        <v>16</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78">
        <v>20</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5" t="s">
        <v>2418</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2">
        <f>'Subsidy Contract Calculation'!I40</f>
        <v>240468</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199">
        <v>16488</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3">
        <f>SUM(Z792:AE795)</f>
        <v>16488</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3">
        <f>Z796+Y780+Z788</f>
        <v>951720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6" t="s">
        <v>878</v>
      </c>
      <c r="N802" s="1546"/>
      <c r="O802" s="1546"/>
      <c r="P802" s="1547"/>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563</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0"/>
      <c r="N803" s="1540"/>
      <c r="O803" s="1540"/>
      <c r="P803" s="1541"/>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1"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695</v>
      </c>
      <c r="D805" s="1338"/>
      <c r="E805" s="1338"/>
      <c r="F805" s="1338"/>
      <c r="G805" s="1338"/>
      <c r="H805" s="1338"/>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8"/>
      <c r="E806" s="1338"/>
      <c r="F806" s="1338"/>
      <c r="G806" s="1338"/>
      <c r="H806" s="1338"/>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8"/>
      <c r="E807" s="1338"/>
      <c r="F807" s="1338"/>
      <c r="G807" s="1338"/>
      <c r="H807" s="1338"/>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790</v>
      </c>
      <c r="D808" s="1338"/>
      <c r="E808" s="1338"/>
      <c r="F808" s="1338"/>
      <c r="G808" s="1338"/>
      <c r="H808" s="1338"/>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943</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2419</v>
      </c>
      <c r="G810" s="1204"/>
      <c r="H810" s="1204"/>
      <c r="I810" s="1204"/>
      <c r="J810" s="1204"/>
      <c r="K810" s="1204"/>
      <c r="L810" s="1204"/>
      <c r="M810" s="1064"/>
      <c r="N810" s="1064"/>
      <c r="O810" s="1064"/>
      <c r="P810" s="1064"/>
      <c r="Q810" s="1064">
        <v>12</v>
      </c>
      <c r="R810" s="1064"/>
      <c r="S810" s="1064"/>
      <c r="T810" s="1064"/>
      <c r="U810" s="1064">
        <v>12</v>
      </c>
      <c r="V810" s="1064"/>
      <c r="W810" s="1064"/>
      <c r="X810" s="1064"/>
      <c r="Y810" s="1064">
        <v>12</v>
      </c>
      <c r="Z810" s="1064"/>
      <c r="AA810" s="1064"/>
      <c r="AB810" s="1064"/>
      <c r="AC810" s="1209">
        <v>12</v>
      </c>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876</v>
      </c>
      <c r="D811" s="1183"/>
      <c r="E811" s="1183"/>
      <c r="F811" s="1183"/>
      <c r="G811" s="1183"/>
      <c r="H811" s="1183"/>
      <c r="I811" s="1183"/>
      <c r="J811" s="1183"/>
      <c r="K811" s="1183"/>
      <c r="L811" s="1184"/>
      <c r="M811" s="1202">
        <f>SUM(M804:P810)</f>
        <v>0</v>
      </c>
      <c r="N811" s="1202"/>
      <c r="O811" s="1202"/>
      <c r="P811" s="1202"/>
      <c r="Q811" s="1202">
        <f>SUM(Q804:T810)</f>
        <v>12</v>
      </c>
      <c r="R811" s="1202"/>
      <c r="S811" s="1202"/>
      <c r="T811" s="1202"/>
      <c r="U811" s="1202">
        <f>SUM(U804:X810)</f>
        <v>12</v>
      </c>
      <c r="V811" s="1202"/>
      <c r="W811" s="1202"/>
      <c r="X811" s="1202"/>
      <c r="Y811" s="1202">
        <f>SUM(Y804:AB810)</f>
        <v>12</v>
      </c>
      <c r="Z811" s="1202"/>
      <c r="AA811" s="1202"/>
      <c r="AB811" s="1202"/>
      <c r="AC811" s="1202">
        <f>SUM(AC804:AF810)</f>
        <v>12</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2">
        <v>5000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2">
        <v>10000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2">
        <v>15000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03" t="s">
        <v>562</v>
      </c>
      <c r="N825" s="1204"/>
      <c r="O825" s="1204"/>
      <c r="P825" s="1204"/>
      <c r="Q825" s="1204"/>
      <c r="R825" s="1204"/>
      <c r="S825" s="1204"/>
      <c r="T825" s="1204"/>
      <c r="U825" s="1204"/>
      <c r="V825" s="1205"/>
      <c r="W825" s="1212"/>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Shasta</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3">
        <f>SUM(W821:AC825)</f>
        <v>30000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48693</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2">
        <v>5536</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2">
        <v>45000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2">
        <v>63007</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113543</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6">
        <f>43561+20000</f>
        <v>63561</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6"/>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3" t="s">
        <v>562</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49">
        <f>SUM(W836:AC840)</f>
        <v>63561</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v>15000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2">
        <v>15000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2">
        <v>47555</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2">
        <v>27617</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2">
        <v>15000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2">
        <f>384649-375969</f>
        <v>8680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3"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113852</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203" t="s">
        <v>562</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203" t="s">
        <v>562</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3" t="s">
        <v>562</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3" t="s">
        <v>562</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3" t="s">
        <v>562</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384649</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64</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3">
        <f>IF(ISERROR((ROUNDDOWN(AC862/AC863,0))),0,(ROUNDDOWN(AC862/AC863,0)))</f>
        <v>6010</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Budget'!C74</f>
        <v>209528</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90"/>
      <c r="AW866" s="1490"/>
      <c r="AX866" s="1490"/>
      <c r="AY866" s="149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16000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199">
        <v>22800</v>
      </c>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49"/>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2"/>
      <c r="AO875" s="1542"/>
      <c r="AP875" s="1490"/>
      <c r="AQ875" s="1490"/>
      <c r="AR875" s="1490"/>
      <c r="AS875" s="149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6" t="s">
        <v>1039</v>
      </c>
      <c r="G893" s="1537"/>
      <c r="H893" s="1537"/>
      <c r="I893" s="1537"/>
      <c r="J893" s="1537"/>
      <c r="K893" s="1537"/>
      <c r="L893" s="1537"/>
      <c r="M893" s="1537"/>
      <c r="N893" s="1537"/>
      <c r="O893" s="1537"/>
      <c r="P893" s="1537"/>
      <c r="Q893" s="1537"/>
      <c r="R893" s="1537"/>
      <c r="S893" s="1537"/>
      <c r="T893" s="1538"/>
      <c r="U893" s="1536"/>
      <c r="V893" s="1537"/>
      <c r="W893" s="1537"/>
      <c r="X893" s="1537"/>
      <c r="Y893" s="1537"/>
      <c r="Z893" s="153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39"/>
      <c r="G894" s="1540"/>
      <c r="H894" s="1540"/>
      <c r="I894" s="1540"/>
      <c r="J894" s="1540"/>
      <c r="K894" s="1540"/>
      <c r="L894" s="1540"/>
      <c r="M894" s="1540"/>
      <c r="N894" s="1540"/>
      <c r="O894" s="1540"/>
      <c r="P894" s="1540"/>
      <c r="Q894" s="1540"/>
      <c r="R894" s="1540"/>
      <c r="S894" s="1540"/>
      <c r="T894" s="1541"/>
      <c r="U894" s="1539"/>
      <c r="V894" s="1540"/>
      <c r="W894" s="1540"/>
      <c r="X894" s="1540"/>
      <c r="Y894" s="1540"/>
      <c r="Z894" s="1540"/>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2289</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2286</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2287</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2288</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2282</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2279</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1906</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2290</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2292</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2280</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2284</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2281</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1904</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2293</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1905</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2291</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2"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2283</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373</v>
      </c>
      <c r="G923" s="1053"/>
      <c r="H923" s="1054"/>
      <c r="I923" s="1077" t="s">
        <v>2399</v>
      </c>
      <c r="J923" s="1078"/>
      <c r="K923" s="1078"/>
      <c r="L923" s="1078"/>
      <c r="M923" s="1078"/>
      <c r="N923" s="1078"/>
      <c r="O923" s="1078"/>
      <c r="P923" s="1078"/>
      <c r="Q923" s="1078"/>
      <c r="R923" s="1078"/>
      <c r="S923" s="1078"/>
      <c r="T923" s="1079"/>
      <c r="U923" s="1055" t="s">
        <v>108</v>
      </c>
      <c r="V923" s="1056"/>
      <c r="W923" s="1056"/>
      <c r="X923" s="1056"/>
      <c r="Y923" s="1056"/>
      <c r="Z923" s="1057"/>
      <c r="AA923" s="1058">
        <v>3495300</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5">
        <v>44740</v>
      </c>
      <c r="M931" s="1186"/>
      <c r="N931" s="1186"/>
      <c r="O931" s="1186"/>
      <c r="P931" s="1186"/>
      <c r="Q931" s="1186"/>
      <c r="R931" s="1186"/>
      <c r="S931" s="1187"/>
      <c r="U931" s="72" t="s">
        <v>827</v>
      </c>
      <c r="V931" s="9"/>
      <c r="W931" s="9"/>
      <c r="X931" s="9"/>
      <c r="Y931" s="9"/>
      <c r="Z931" s="9"/>
      <c r="AA931" s="9"/>
      <c r="AB931" s="9"/>
      <c r="AC931" s="9"/>
      <c r="AD931" s="52"/>
      <c r="AE931" s="1185"/>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0" t="s">
        <v>2327</v>
      </c>
      <c r="M932" s="1186"/>
      <c r="N932" s="1186"/>
      <c r="O932" s="1186"/>
      <c r="P932" s="1186"/>
      <c r="Q932" s="1186"/>
      <c r="R932" s="1186"/>
      <c r="S932" s="1187"/>
      <c r="U932" s="72" t="s">
        <v>828</v>
      </c>
      <c r="V932" s="9"/>
      <c r="W932" s="9"/>
      <c r="X932" s="9"/>
      <c r="Y932" s="9"/>
      <c r="Z932" s="9"/>
      <c r="AA932" s="9"/>
      <c r="AB932" s="9"/>
      <c r="AC932" s="9"/>
      <c r="AD932" s="52"/>
      <c r="AE932" s="1390"/>
      <c r="AF932" s="1524"/>
      <c r="AG932" s="1524"/>
      <c r="AH932" s="1524"/>
      <c r="AI932" s="1524"/>
      <c r="AJ932" s="1524"/>
      <c r="AK932" s="152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7" t="s">
        <v>2420</v>
      </c>
      <c r="M933" s="1388"/>
      <c r="N933" s="1388"/>
      <c r="O933" s="1388"/>
      <c r="P933" s="1388"/>
      <c r="Q933" s="1388"/>
      <c r="R933" s="1388"/>
      <c r="S933" s="1389"/>
      <c r="U933" s="72" t="s">
        <v>1108</v>
      </c>
      <c r="V933" s="9"/>
      <c r="W933" s="9"/>
      <c r="AE933" s="1387" t="s">
        <v>79</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52">
        <v>0.25</v>
      </c>
      <c r="M934" s="1522"/>
      <c r="N934" s="1522"/>
      <c r="O934" s="1522"/>
      <c r="P934" s="1522"/>
      <c r="Q934" s="1522"/>
      <c r="R934" s="1522"/>
      <c r="S934" s="1523"/>
      <c r="U934" s="72" t="s">
        <v>829</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28">
        <v>16</v>
      </c>
      <c r="M935" s="1529"/>
      <c r="N935" s="1529"/>
      <c r="O935" s="1529"/>
      <c r="P935" s="1529"/>
      <c r="Q935" s="1529"/>
      <c r="R935" s="1529"/>
      <c r="S935" s="1530"/>
      <c r="U935" s="72" t="s">
        <v>830</v>
      </c>
      <c r="V935" s="9"/>
      <c r="W935" s="9"/>
      <c r="X935" s="9"/>
      <c r="Y935" s="9"/>
      <c r="Z935" s="9"/>
      <c r="AA935" s="9"/>
      <c r="AB935" s="9"/>
      <c r="AC935" s="9"/>
      <c r="AD935" s="52"/>
      <c r="AE935" s="1495"/>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199">
        <v>220668</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447" t="s">
        <v>2418</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28">
        <v>20</v>
      </c>
      <c r="M938" s="1529"/>
      <c r="N938" s="1529"/>
      <c r="O938" s="1529"/>
      <c r="P938" s="1529"/>
      <c r="Q938" s="1529"/>
      <c r="R938" s="1529"/>
      <c r="S938" s="1530"/>
      <c r="U938" s="214" t="s">
        <v>1974</v>
      </c>
      <c r="V938" s="9"/>
      <c r="W938" s="9"/>
      <c r="X938" s="9"/>
      <c r="Y938" s="9"/>
      <c r="Z938" s="9"/>
      <c r="AA938" s="9"/>
      <c r="AB938" s="9"/>
      <c r="AC938" s="9"/>
      <c r="AD938" s="52"/>
      <c r="AE938" s="1528"/>
      <c r="AF938" s="1529"/>
      <c r="AG938" s="1529"/>
      <c r="AH938" s="1529"/>
      <c r="AI938" s="1529"/>
      <c r="AJ938" s="1529"/>
      <c r="AK938" s="153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7"/>
      <c r="N943" s="1448"/>
      <c r="O943" s="1448"/>
      <c r="P943" s="1448"/>
      <c r="Q943" s="1448"/>
      <c r="R943" s="1448"/>
      <c r="S943" s="1449"/>
      <c r="T943" s="72" t="s">
        <v>950</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7"/>
      <c r="N944" s="1448"/>
      <c r="O944" s="1448"/>
      <c r="P944" s="1448"/>
      <c r="Q944" s="1448"/>
      <c r="R944" s="1448"/>
      <c r="S944" s="1449"/>
      <c r="T944" s="72" t="s">
        <v>949</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5" t="s">
        <v>124</v>
      </c>
      <c r="N945" s="1258"/>
      <c r="O945" s="1258"/>
      <c r="P945" s="1258"/>
      <c r="Q945" s="1258"/>
      <c r="R945" s="1258"/>
      <c r="S945" s="1326"/>
      <c r="T945" s="8" t="s">
        <v>566</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7"/>
      <c r="N946" s="1448"/>
      <c r="O946" s="1448"/>
      <c r="P946" s="1448"/>
      <c r="Q946" s="1448"/>
      <c r="R946" s="1448"/>
      <c r="S946" s="1449"/>
      <c r="T946" s="8" t="s">
        <v>567</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7"/>
      <c r="N947" s="1448"/>
      <c r="O947" s="1448"/>
      <c r="P947" s="1448"/>
      <c r="Q947" s="1448"/>
      <c r="R947" s="1448"/>
      <c r="S947" s="1449"/>
      <c r="T947" s="8" t="s">
        <v>493</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7" t="s">
        <v>79</v>
      </c>
      <c r="N948" s="1388"/>
      <c r="O948" s="1388"/>
      <c r="P948" s="1388"/>
      <c r="Q948" s="1388"/>
      <c r="R948" s="1388"/>
      <c r="S948" s="1389"/>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5" t="s">
        <v>482</v>
      </c>
      <c r="P950" s="1326"/>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1" t="s">
        <v>226</v>
      </c>
      <c r="G951" s="1260"/>
      <c r="H951" s="1260"/>
      <c r="I951" s="1260"/>
      <c r="J951" s="1260"/>
      <c r="K951" s="1260"/>
      <c r="L951" s="1260"/>
      <c r="M951" s="1447"/>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319236</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368076</v>
      </c>
      <c r="S962" s="1139"/>
      <c r="T962" s="1139"/>
      <c r="U962" s="1139"/>
      <c r="V962" s="1139"/>
      <c r="W962" s="1139"/>
      <c r="X962" s="1139"/>
      <c r="Y962" s="1139"/>
      <c r="Z962" s="1139"/>
      <c r="AA962" s="1139"/>
      <c r="AB962" s="1140">
        <f>BS651</f>
        <v>12</v>
      </c>
      <c r="AC962" s="1141"/>
      <c r="AD962" s="1141"/>
      <c r="AE962" s="1141"/>
      <c r="AF962" s="1141"/>
      <c r="AG962" s="1141"/>
      <c r="AH962" s="1141"/>
      <c r="AI962" s="1142"/>
      <c r="AJ962" s="1143">
        <f>IF(ISERROR((R962*AB962)),0,(R962*AB962))</f>
        <v>4416912</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444000</v>
      </c>
      <c r="S963" s="1139"/>
      <c r="T963" s="1139"/>
      <c r="U963" s="1139"/>
      <c r="V963" s="1139"/>
      <c r="W963" s="1139"/>
      <c r="X963" s="1139"/>
      <c r="Y963" s="1139"/>
      <c r="Z963" s="1139"/>
      <c r="AA963" s="1139"/>
      <c r="AB963" s="1140">
        <f>BX651</f>
        <v>32</v>
      </c>
      <c r="AC963" s="1141"/>
      <c r="AD963" s="1141"/>
      <c r="AE963" s="1141"/>
      <c r="AF963" s="1141"/>
      <c r="AG963" s="1141"/>
      <c r="AH963" s="1141"/>
      <c r="AI963" s="1142"/>
      <c r="AJ963" s="1143">
        <f>IF(ISERROR((R963*AB963)),0,(R963*AB963))</f>
        <v>14208000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568320</v>
      </c>
      <c r="S964" s="1139"/>
      <c r="T964" s="1139"/>
      <c r="U964" s="1139"/>
      <c r="V964" s="1139"/>
      <c r="W964" s="1139"/>
      <c r="X964" s="1139"/>
      <c r="Y964" s="1139"/>
      <c r="Z964" s="1139"/>
      <c r="AA964" s="1139"/>
      <c r="AB964" s="1140">
        <f>CC651</f>
        <v>16</v>
      </c>
      <c r="AC964" s="1141"/>
      <c r="AD964" s="1141"/>
      <c r="AE964" s="1141"/>
      <c r="AF964" s="1141"/>
      <c r="AG964" s="1141"/>
      <c r="AH964" s="1141"/>
      <c r="AI964" s="1142"/>
      <c r="AJ964" s="1143">
        <f>IF(ISERROR((R964*AB964)),0,(R964*AB964))</f>
        <v>9093120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633144</v>
      </c>
      <c r="S965" s="1139"/>
      <c r="T965" s="1139"/>
      <c r="U965" s="1139"/>
      <c r="V965" s="1139"/>
      <c r="W965" s="1139"/>
      <c r="X965" s="1139"/>
      <c r="Y965" s="1139"/>
      <c r="Z965" s="1139"/>
      <c r="AA965" s="1139"/>
      <c r="AB965" s="1140">
        <f>CM651+CH651</f>
        <v>4</v>
      </c>
      <c r="AC965" s="1141"/>
      <c r="AD965" s="1141"/>
      <c r="AE965" s="1141"/>
      <c r="AF965" s="1141"/>
      <c r="AG965" s="1141"/>
      <c r="AH965" s="1141"/>
      <c r="AI965" s="1142"/>
      <c r="AJ965" s="1143">
        <f>IF(ISERROR((R965*AB965)),0,(R965*AB965))</f>
        <v>2532576</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64</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30250608</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479</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6" t="s">
        <v>1891</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2277</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2278</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4"/>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2000</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1892</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0" t="s">
        <v>2001</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2002</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0" t="s">
        <v>1893</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1894</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0" t="s">
        <v>1895</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1896</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6" t="s">
        <v>1897</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2003</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3" t="s">
        <v>1898</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1899</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2"/>
      <c r="AG998" s="1532"/>
      <c r="AH998" s="1532"/>
      <c r="AI998" s="1532"/>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2"/>
      <c r="AG999" s="1532"/>
      <c r="AH999" s="1532"/>
      <c r="AI999" s="1532"/>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0" t="s">
        <v>1900</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2004</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3" t="str">
        <f>IF(AG1000="yes","Please Enter Amount:","")</f>
        <v/>
      </c>
      <c r="AG1001" s="1534"/>
      <c r="AH1001" s="1534"/>
      <c r="AI1001" s="1535"/>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2"/>
      <c r="AG1002" s="1532"/>
      <c r="AH1002" s="1532"/>
      <c r="AI1002" s="1532"/>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2"/>
      <c r="AG1003" s="1532"/>
      <c r="AH1003" s="1532"/>
      <c r="AI1003" s="1532"/>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578</v>
      </c>
      <c r="D1004" s="1146" t="s">
        <v>1901</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1902</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581</v>
      </c>
      <c r="D1007" s="1170" t="s">
        <v>2005</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2006</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6" t="s">
        <v>2007</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2008</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0" t="s">
        <v>1903</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2217</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3" t="s">
        <v>748</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30250608</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30124468</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0.99583016645483624</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2216</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2048</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1722</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2020</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6" t="s">
        <v>124</v>
      </c>
      <c r="B1075" s="1526"/>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8" workbookViewId="0">
      <selection activeCell="C83" sqref="C8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2)Boston Financial Solar Equity</v>
      </c>
      <c r="H2" s="233" t="str">
        <f>Application!B623&amp;Application!C623</f>
        <v>3)HCD IIG</v>
      </c>
      <c r="I2" s="233" t="str">
        <f>Application!B624&amp;Application!C624</f>
        <v>4)Deferred Fee</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749500</v>
      </c>
      <c r="C4" s="241">
        <v>749500</v>
      </c>
      <c r="D4" s="241"/>
      <c r="E4" s="241">
        <f>C4-SUM(F4:I4)</f>
        <v>749500</v>
      </c>
      <c r="F4" s="241"/>
      <c r="G4" s="241"/>
      <c r="H4" s="241"/>
      <c r="I4" s="241"/>
      <c r="J4" s="241"/>
      <c r="K4" s="241"/>
      <c r="L4" s="241"/>
      <c r="M4" s="241"/>
      <c r="N4" s="241"/>
      <c r="O4" s="241"/>
      <c r="P4" s="241"/>
      <c r="Q4" s="241"/>
      <c r="R4" s="241">
        <f>C4</f>
        <v>749500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749500</v>
      </c>
      <c r="C8" s="240">
        <f t="shared" ref="C8:R8" si="0">SUM(C4:C7)</f>
        <v>749500</v>
      </c>
      <c r="D8" s="240">
        <f t="shared" si="0"/>
        <v>0</v>
      </c>
      <c r="E8" s="240">
        <f t="shared" si="0"/>
        <v>749500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749500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749500</v>
      </c>
      <c r="C12" s="240">
        <f t="shared" si="2"/>
        <v>749500</v>
      </c>
      <c r="D12" s="240">
        <f t="shared" si="2"/>
        <v>0</v>
      </c>
      <c r="E12" s="240">
        <f t="shared" si="2"/>
        <v>749500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749500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1500000</v>
      </c>
      <c r="C29" s="241">
        <v>1500000</v>
      </c>
      <c r="D29" s="241"/>
      <c r="E29" s="241">
        <f t="shared" ref="E29:E37" si="7">C29-SUM(F29:I29)</f>
        <v>0</v>
      </c>
      <c r="F29" s="241"/>
      <c r="G29" s="241"/>
      <c r="H29" s="241">
        <v>1500000</v>
      </c>
      <c r="I29" s="241"/>
      <c r="J29" s="241"/>
      <c r="K29" s="241"/>
      <c r="L29" s="241"/>
      <c r="M29" s="241"/>
      <c r="N29" s="241"/>
      <c r="O29" s="241"/>
      <c r="P29" s="241"/>
      <c r="Q29" s="241"/>
      <c r="R29" s="241">
        <f t="shared" ref="R29:R37" si="8">SUM(E29:Q29)</f>
        <v>1500000</v>
      </c>
      <c r="S29" s="241">
        <f>+R29</f>
        <v>1500000</v>
      </c>
      <c r="T29" s="241"/>
      <c r="U29" s="237"/>
    </row>
    <row r="30" spans="1:21" s="238" customFormat="1">
      <c r="A30" s="239" t="s">
        <v>911</v>
      </c>
      <c r="B30" s="240">
        <f t="shared" si="6"/>
        <v>16077283</v>
      </c>
      <c r="C30" s="241">
        <v>16077283</v>
      </c>
      <c r="D30" s="241"/>
      <c r="E30" s="241">
        <f t="shared" si="7"/>
        <v>8338495</v>
      </c>
      <c r="F30" s="241">
        <v>5250968</v>
      </c>
      <c r="G30" s="241">
        <v>492520</v>
      </c>
      <c r="H30" s="241">
        <f>3495300-H29</f>
        <v>1995300</v>
      </c>
      <c r="I30" s="241"/>
      <c r="J30" s="241"/>
      <c r="K30" s="241"/>
      <c r="L30" s="241"/>
      <c r="M30" s="241"/>
      <c r="N30" s="241"/>
      <c r="O30" s="241"/>
      <c r="P30" s="241"/>
      <c r="Q30" s="241"/>
      <c r="R30" s="241">
        <f t="shared" si="8"/>
        <v>16077283</v>
      </c>
      <c r="S30" s="241">
        <f t="shared" ref="S30:S37" si="9">+R30</f>
        <v>16077283</v>
      </c>
      <c r="T30" s="241"/>
      <c r="U30" s="237"/>
    </row>
    <row r="31" spans="1:21" s="238" customFormat="1">
      <c r="A31" s="239" t="s">
        <v>912</v>
      </c>
      <c r="B31" s="240">
        <f t="shared" si="6"/>
        <v>1054637</v>
      </c>
      <c r="C31" s="241">
        <v>1054637</v>
      </c>
      <c r="D31" s="241"/>
      <c r="E31" s="241">
        <f t="shared" si="7"/>
        <v>1054637</v>
      </c>
      <c r="F31" s="241"/>
      <c r="G31" s="241"/>
      <c r="H31" s="241"/>
      <c r="I31" s="241"/>
      <c r="J31" s="241"/>
      <c r="K31" s="241"/>
      <c r="L31" s="241"/>
      <c r="M31" s="241"/>
      <c r="N31" s="241"/>
      <c r="O31" s="241"/>
      <c r="P31" s="241"/>
      <c r="Q31" s="241"/>
      <c r="R31" s="241">
        <f t="shared" si="8"/>
        <v>1054637</v>
      </c>
      <c r="S31" s="241">
        <f t="shared" si="9"/>
        <v>1054637</v>
      </c>
      <c r="T31" s="241"/>
      <c r="U31" s="237"/>
    </row>
    <row r="32" spans="1:21" s="238" customFormat="1">
      <c r="A32" s="239" t="s">
        <v>913</v>
      </c>
      <c r="B32" s="240">
        <f t="shared" si="6"/>
        <v>372638</v>
      </c>
      <c r="C32" s="241">
        <v>372638</v>
      </c>
      <c r="D32" s="241"/>
      <c r="E32" s="241">
        <f t="shared" si="7"/>
        <v>372638</v>
      </c>
      <c r="F32" s="241"/>
      <c r="G32" s="241"/>
      <c r="H32" s="241"/>
      <c r="I32" s="241"/>
      <c r="J32" s="241"/>
      <c r="K32" s="241"/>
      <c r="L32" s="241"/>
      <c r="M32" s="241"/>
      <c r="N32" s="241"/>
      <c r="O32" s="241"/>
      <c r="P32" s="241"/>
      <c r="Q32" s="241"/>
      <c r="R32" s="241">
        <f t="shared" si="8"/>
        <v>372638</v>
      </c>
      <c r="S32" s="241">
        <f t="shared" si="9"/>
        <v>372638</v>
      </c>
      <c r="T32" s="241"/>
      <c r="U32" s="237"/>
    </row>
    <row r="33" spans="1:21" s="238" customFormat="1">
      <c r="A33" s="239" t="s">
        <v>914</v>
      </c>
      <c r="B33" s="240">
        <f t="shared" si="6"/>
        <v>1117915</v>
      </c>
      <c r="C33" s="241">
        <v>1117915</v>
      </c>
      <c r="D33" s="241"/>
      <c r="E33" s="241">
        <f t="shared" si="7"/>
        <v>1117915</v>
      </c>
      <c r="F33" s="241"/>
      <c r="G33" s="241"/>
      <c r="H33" s="241"/>
      <c r="I33" s="241"/>
      <c r="J33" s="241"/>
      <c r="K33" s="241"/>
      <c r="L33" s="241"/>
      <c r="M33" s="241"/>
      <c r="N33" s="241"/>
      <c r="O33" s="241"/>
      <c r="P33" s="241"/>
      <c r="Q33" s="241"/>
      <c r="R33" s="241">
        <f t="shared" si="8"/>
        <v>1117915</v>
      </c>
      <c r="S33" s="241">
        <f t="shared" si="9"/>
        <v>1117915</v>
      </c>
      <c r="T33" s="241"/>
      <c r="U33" s="237"/>
    </row>
    <row r="34" spans="1:21" s="238" customFormat="1">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916</v>
      </c>
      <c r="B35" s="240">
        <f t="shared" si="6"/>
        <v>704287</v>
      </c>
      <c r="C35" s="241">
        <v>704287</v>
      </c>
      <c r="D35" s="241"/>
      <c r="E35" s="241">
        <f t="shared" si="7"/>
        <v>704287</v>
      </c>
      <c r="F35" s="241"/>
      <c r="G35" s="241"/>
      <c r="H35" s="241"/>
      <c r="I35" s="241"/>
      <c r="J35" s="241"/>
      <c r="K35" s="241"/>
      <c r="L35" s="241"/>
      <c r="M35" s="241"/>
      <c r="N35" s="241"/>
      <c r="O35" s="241"/>
      <c r="P35" s="241"/>
      <c r="Q35" s="241"/>
      <c r="R35" s="241">
        <f t="shared" si="8"/>
        <v>704287</v>
      </c>
      <c r="S35" s="241">
        <f t="shared" si="9"/>
        <v>704287</v>
      </c>
      <c r="T35" s="241"/>
      <c r="U35" s="237"/>
    </row>
    <row r="36" spans="1:21" s="238" customFormat="1">
      <c r="A36" s="250" t="s">
        <v>1955</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919</v>
      </c>
      <c r="B38" s="240">
        <f t="shared" si="6"/>
        <v>20826760</v>
      </c>
      <c r="C38" s="240">
        <f>SUM(C29:C37)</f>
        <v>20826760</v>
      </c>
      <c r="D38" s="240">
        <f>SUM(D29:D37)</f>
        <v>0</v>
      </c>
      <c r="E38" s="240">
        <f>SUM(E29:E37)</f>
        <v>11587972</v>
      </c>
      <c r="F38" s="240">
        <f t="shared" ref="F38:T38" si="10">SUM(F29:F37)</f>
        <v>5250968</v>
      </c>
      <c r="G38" s="240">
        <f t="shared" si="10"/>
        <v>492520</v>
      </c>
      <c r="H38" s="240">
        <f t="shared" si="10"/>
        <v>3495300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20826760</v>
      </c>
      <c r="S38" s="244">
        <f>SUM(S29:S37)</f>
        <v>20826760</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998897</v>
      </c>
      <c r="C40" s="241">
        <v>998897</v>
      </c>
      <c r="D40" s="241"/>
      <c r="E40" s="241">
        <f t="shared" ref="E40:E41" si="11">C40-SUM(F40:I40)</f>
        <v>998897</v>
      </c>
      <c r="F40" s="241"/>
      <c r="G40" s="241"/>
      <c r="H40" s="241"/>
      <c r="I40" s="241"/>
      <c r="J40" s="241"/>
      <c r="K40" s="241"/>
      <c r="L40" s="241"/>
      <c r="M40" s="241"/>
      <c r="N40" s="241"/>
      <c r="O40" s="241"/>
      <c r="P40" s="241"/>
      <c r="Q40" s="241"/>
      <c r="R40" s="241">
        <f>SUM(E40:Q40)</f>
        <v>998897</v>
      </c>
      <c r="S40" s="241">
        <f>+R40</f>
        <v>998897</v>
      </c>
      <c r="T40" s="241"/>
      <c r="U40" s="237"/>
    </row>
    <row r="41" spans="1:21" s="238" customFormat="1">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998897</v>
      </c>
      <c r="C42" s="240">
        <f>SUM(C39:C41)</f>
        <v>998897</v>
      </c>
      <c r="D42" s="240">
        <f>SUM(D39:D41)</f>
        <v>0</v>
      </c>
      <c r="E42" s="240">
        <f t="shared" ref="E42:T42" si="12">SUM(E40:E41)</f>
        <v>998897</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998897</v>
      </c>
      <c r="S42" s="244">
        <f t="shared" si="12"/>
        <v>998897</v>
      </c>
      <c r="T42" s="244">
        <f t="shared" si="12"/>
        <v>0</v>
      </c>
      <c r="U42" s="237"/>
    </row>
    <row r="43" spans="1:21" s="238" customFormat="1">
      <c r="A43" s="243" t="s">
        <v>924</v>
      </c>
      <c r="B43" s="240">
        <f>SUM(C43:D43)</f>
        <v>100000</v>
      </c>
      <c r="C43" s="241">
        <v>100000</v>
      </c>
      <c r="D43" s="241"/>
      <c r="E43" s="241">
        <f>C43-SUM(F43:I43)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3">SUM(C45+D45)</f>
        <v>2283351</v>
      </c>
      <c r="C45" s="241">
        <f>1655000+628351</f>
        <v>2283351</v>
      </c>
      <c r="D45" s="241"/>
      <c r="E45" s="241">
        <f t="shared" ref="E45:E51" si="14">C45-SUM(F45:I45)</f>
        <v>2283351</v>
      </c>
      <c r="F45" s="241"/>
      <c r="G45" s="241"/>
      <c r="H45" s="241"/>
      <c r="I45" s="241"/>
      <c r="J45" s="241"/>
      <c r="K45" s="241"/>
      <c r="L45" s="241"/>
      <c r="M45" s="241"/>
      <c r="N45" s="241"/>
      <c r="O45" s="241"/>
      <c r="P45" s="241"/>
      <c r="Q45" s="241"/>
      <c r="R45" s="241">
        <f t="shared" ref="R45:R52" si="15">SUM(E45:Q45)</f>
        <v>2283351</v>
      </c>
      <c r="S45" s="241">
        <v>1655000</v>
      </c>
      <c r="T45" s="241"/>
      <c r="U45" s="237"/>
    </row>
    <row r="46" spans="1:21" s="238" customFormat="1">
      <c r="A46" s="239" t="s">
        <v>927</v>
      </c>
      <c r="B46" s="240">
        <f t="shared" si="13"/>
        <v>344991</v>
      </c>
      <c r="C46" s="241">
        <v>344991</v>
      </c>
      <c r="D46" s="241"/>
      <c r="E46" s="241">
        <f t="shared" si="14"/>
        <v>344991</v>
      </c>
      <c r="F46" s="241"/>
      <c r="G46" s="241"/>
      <c r="H46" s="241"/>
      <c r="I46" s="241"/>
      <c r="J46" s="241"/>
      <c r="K46" s="241"/>
      <c r="L46" s="241"/>
      <c r="M46" s="241"/>
      <c r="N46" s="241"/>
      <c r="O46" s="241"/>
      <c r="P46" s="241"/>
      <c r="Q46" s="241"/>
      <c r="R46" s="241">
        <f t="shared" si="15"/>
        <v>344991</v>
      </c>
      <c r="S46" s="241">
        <f t="shared" ref="S46:S52" si="16">+R46</f>
        <v>344991</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c r="A50" s="239" t="s">
        <v>930</v>
      </c>
      <c r="B50" s="240">
        <f t="shared" si="13"/>
        <v>14990</v>
      </c>
      <c r="C50" s="241">
        <v>14990</v>
      </c>
      <c r="D50" s="241"/>
      <c r="E50" s="241">
        <f t="shared" si="14"/>
        <v>14990</v>
      </c>
      <c r="F50" s="241"/>
      <c r="G50" s="241"/>
      <c r="H50" s="241"/>
      <c r="I50" s="241"/>
      <c r="J50" s="241"/>
      <c r="K50" s="241"/>
      <c r="L50" s="241"/>
      <c r="M50" s="241"/>
      <c r="N50" s="241"/>
      <c r="O50" s="241"/>
      <c r="P50" s="241"/>
      <c r="Q50" s="241"/>
      <c r="R50" s="241">
        <f t="shared" si="15"/>
        <v>14990</v>
      </c>
      <c r="S50" s="241">
        <f t="shared" si="16"/>
        <v>14990</v>
      </c>
      <c r="T50" s="241"/>
      <c r="U50" s="237"/>
    </row>
    <row r="51" spans="1:21" s="238" customFormat="1">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c r="A52" s="246" t="s">
        <v>2421</v>
      </c>
      <c r="B52" s="240">
        <f t="shared" si="13"/>
        <v>20000</v>
      </c>
      <c r="C52" s="241">
        <v>20000</v>
      </c>
      <c r="D52" s="241"/>
      <c r="E52" s="241">
        <f>C52-SUM(F52:I52)</f>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2738332</v>
      </c>
      <c r="C53" s="244">
        <f t="shared" ref="C53:T53" si="17">SUM(C45:C52)</f>
        <v>2738332</v>
      </c>
      <c r="D53" s="244">
        <f t="shared" si="17"/>
        <v>0</v>
      </c>
      <c r="E53" s="244">
        <f t="shared" si="17"/>
        <v>2738332</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2738332</v>
      </c>
      <c r="S53" s="244">
        <f t="shared" si="17"/>
        <v>2109981</v>
      </c>
      <c r="T53" s="244">
        <f t="shared" si="17"/>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8">SUM(C55+D55)</f>
        <v>0</v>
      </c>
      <c r="C55" s="241"/>
      <c r="D55" s="241"/>
      <c r="E55" s="241">
        <f t="shared" ref="E55:E59" si="19">C55-SUM(F55:I55)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533</v>
      </c>
      <c r="B60" s="240">
        <f t="shared" si="18"/>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c r="A62" s="249" t="s">
        <v>501</v>
      </c>
      <c r="B62" s="240">
        <f>SUM(C62:D62)</f>
        <v>25428489</v>
      </c>
      <c r="C62" s="240">
        <f t="shared" ref="C62:R62" si="22">SUM(C8+C11+C13+C14+C15+C26+C27+C38+C42+C43+C53+C61)</f>
        <v>25428489</v>
      </c>
      <c r="D62" s="240">
        <f t="shared" si="22"/>
        <v>0</v>
      </c>
      <c r="E62" s="240">
        <f t="shared" si="22"/>
        <v>16189701</v>
      </c>
      <c r="F62" s="240">
        <f t="shared" si="22"/>
        <v>5250968</v>
      </c>
      <c r="G62" s="240">
        <f t="shared" si="22"/>
        <v>492520</v>
      </c>
      <c r="H62" s="240">
        <f t="shared" si="22"/>
        <v>3495300</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25428489</v>
      </c>
      <c r="S62" s="240">
        <f>SUM(S10+S13+S14+S15+S26+S27+S38+S42+S43+S53)</f>
        <v>24035638</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80000</v>
      </c>
      <c r="C64" s="241">
        <v>80000</v>
      </c>
      <c r="D64" s="241"/>
      <c r="E64" s="241">
        <f t="shared" ref="E64:E68" si="23">C64-SUM(F64:I64)</f>
        <v>80000</v>
      </c>
      <c r="F64" s="241"/>
      <c r="G64" s="241"/>
      <c r="H64" s="241"/>
      <c r="I64" s="241"/>
      <c r="J64" s="241"/>
      <c r="K64" s="241"/>
      <c r="L64" s="241"/>
      <c r="M64" s="241"/>
      <c r="N64" s="241"/>
      <c r="O64" s="241"/>
      <c r="P64" s="241"/>
      <c r="Q64" s="241"/>
      <c r="R64" s="241">
        <f>SUM(E64:Q64)</f>
        <v>80000</v>
      </c>
      <c r="S64" s="241">
        <f t="shared" ref="S64:S68" si="24">+R64</f>
        <v>80000</v>
      </c>
      <c r="T64" s="241"/>
      <c r="U64" s="237"/>
    </row>
    <row r="65" spans="1:21" s="238" customFormat="1" ht="24">
      <c r="A65" s="239" t="s">
        <v>1957</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4">
      <c r="A66" s="239" t="s">
        <v>1958</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c r="A67" s="239" t="s">
        <v>1959</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c r="A68" s="246" t="s">
        <v>2422</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1960</v>
      </c>
      <c r="B69" s="240">
        <f>SUM(C69:D69)</f>
        <v>130000</v>
      </c>
      <c r="C69" s="240">
        <f>SUM(C63:C68)</f>
        <v>130000</v>
      </c>
      <c r="D69" s="240">
        <f>SUM(D63:D68)</f>
        <v>0</v>
      </c>
      <c r="E69" s="240">
        <f t="shared" ref="E69:T69" si="25">SUM(E64:E68)</f>
        <v>130000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130000</v>
      </c>
      <c r="S69" s="244">
        <f t="shared" si="25"/>
        <v>130000</v>
      </c>
      <c r="T69" s="244">
        <f t="shared" si="25"/>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30000</v>
      </c>
      <c r="C71" s="241">
        <v>30000</v>
      </c>
      <c r="D71" s="241"/>
      <c r="E71" s="241">
        <f>C71-SUM(F71:I71)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287</v>
      </c>
      <c r="B72" s="240">
        <f>SUM(C72+D72)</f>
        <v>0</v>
      </c>
      <c r="C72" s="241"/>
      <c r="D72" s="241"/>
      <c r="E72" s="241">
        <f t="shared" ref="E72:E75" si="26">C72-SUM(F72:I72)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209528</v>
      </c>
      <c r="C74" s="241">
        <v>209528</v>
      </c>
      <c r="D74" s="241"/>
      <c r="E74" s="241">
        <f t="shared" si="26"/>
        <v>209528</v>
      </c>
      <c r="F74" s="241"/>
      <c r="G74" s="241"/>
      <c r="H74" s="241"/>
      <c r="I74" s="241"/>
      <c r="J74" s="241"/>
      <c r="K74" s="241"/>
      <c r="L74" s="241"/>
      <c r="M74" s="241"/>
      <c r="N74" s="241"/>
      <c r="O74" s="241"/>
      <c r="P74" s="241"/>
      <c r="Q74" s="241"/>
      <c r="R74" s="241">
        <f>SUM(E74:Q74)</f>
        <v>209528</v>
      </c>
      <c r="S74" s="242"/>
      <c r="T74" s="242"/>
      <c r="U74" s="237"/>
    </row>
    <row r="75" spans="1:21" s="238" customFormat="1">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239528</v>
      </c>
      <c r="C76" s="240">
        <f t="shared" ref="C76:Q76" si="27">SUM(C71:C75)</f>
        <v>239528</v>
      </c>
      <c r="D76" s="240">
        <f t="shared" si="27"/>
        <v>0</v>
      </c>
      <c r="E76" s="240">
        <f>SUM(E71:E75)</f>
        <v>239528</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239528</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1041338</v>
      </c>
      <c r="C78" s="241">
        <v>1041338</v>
      </c>
      <c r="D78" s="241"/>
      <c r="E78" s="241">
        <f t="shared" ref="E78:E79" si="28">C78-SUM(F78:I78)</f>
        <v>1041338</v>
      </c>
      <c r="F78" s="241"/>
      <c r="G78" s="241"/>
      <c r="H78" s="241"/>
      <c r="I78" s="241"/>
      <c r="J78" s="241"/>
      <c r="K78" s="241"/>
      <c r="L78" s="241"/>
      <c r="M78" s="241"/>
      <c r="N78" s="241"/>
      <c r="O78" s="241"/>
      <c r="P78" s="241"/>
      <c r="Q78" s="241"/>
      <c r="R78" s="241">
        <f>SUM(E78:Q78)</f>
        <v>1041338</v>
      </c>
      <c r="S78" s="241">
        <f t="shared" ref="S78:S79" si="29">+R78</f>
        <v>1041338</v>
      </c>
      <c r="T78" s="241"/>
      <c r="U78" s="237"/>
    </row>
    <row r="79" spans="1:21" s="238" customFormat="1">
      <c r="A79" s="239" t="s">
        <v>538</v>
      </c>
      <c r="B79" s="240">
        <f>SUM(C79+D79)</f>
        <v>200496</v>
      </c>
      <c r="C79" s="241">
        <v>200496</v>
      </c>
      <c r="D79" s="241"/>
      <c r="E79" s="241">
        <f t="shared" si="28"/>
        <v>200496</v>
      </c>
      <c r="F79" s="241"/>
      <c r="G79" s="241"/>
      <c r="H79" s="241"/>
      <c r="I79" s="241"/>
      <c r="J79" s="241"/>
      <c r="K79" s="241"/>
      <c r="L79" s="241"/>
      <c r="M79" s="241"/>
      <c r="N79" s="241"/>
      <c r="O79" s="241"/>
      <c r="P79" s="241"/>
      <c r="Q79" s="241"/>
      <c r="R79" s="241">
        <f>SUM(E79:Q79)</f>
        <v>200496</v>
      </c>
      <c r="S79" s="241">
        <f t="shared" si="29"/>
        <v>200496</v>
      </c>
      <c r="T79" s="241"/>
      <c r="U79" s="237"/>
    </row>
    <row r="80" spans="1:21" s="238" customFormat="1">
      <c r="A80" s="243" t="s">
        <v>1743</v>
      </c>
      <c r="B80" s="240">
        <f>SUM(C80:D80)</f>
        <v>1241834</v>
      </c>
      <c r="C80" s="666">
        <f>SUM(C78:C79)</f>
        <v>1241834</v>
      </c>
      <c r="D80" s="666">
        <f t="shared" ref="D80:R80" si="30">SUM(D78:D79)</f>
        <v>0</v>
      </c>
      <c r="E80" s="666">
        <f t="shared" si="30"/>
        <v>1241834</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1241834</v>
      </c>
      <c r="S80" s="666">
        <f>SUM(S78:S79)</f>
        <v>1241834</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148883</v>
      </c>
      <c r="C82" s="241">
        <v>148883</v>
      </c>
      <c r="D82" s="241"/>
      <c r="E82" s="241">
        <f t="shared" ref="E82:E94" si="31">C82-SUM(F82:I82)</f>
        <v>148883</v>
      </c>
      <c r="F82" s="241"/>
      <c r="G82" s="241"/>
      <c r="H82" s="241"/>
      <c r="I82" s="241"/>
      <c r="J82" s="241"/>
      <c r="K82" s="241"/>
      <c r="L82" s="241"/>
      <c r="M82" s="241"/>
      <c r="N82" s="241"/>
      <c r="O82" s="241"/>
      <c r="P82" s="241"/>
      <c r="Q82" s="241"/>
      <c r="R82" s="241">
        <f>SUM(E82:Q82)</f>
        <v>148883</v>
      </c>
      <c r="S82" s="242"/>
      <c r="T82" s="242"/>
      <c r="U82" s="237"/>
    </row>
    <row r="83" spans="1:21" s="238" customFormat="1">
      <c r="A83" s="239" t="s">
        <v>516</v>
      </c>
      <c r="B83" s="240">
        <f t="shared" ref="B83:B93" si="32">SUM(C83+D83)</f>
        <v>50000</v>
      </c>
      <c r="C83" s="241">
        <v>50000</v>
      </c>
      <c r="D83" s="241"/>
      <c r="E83" s="241">
        <f t="shared" si="31"/>
        <v>50000</v>
      </c>
      <c r="F83" s="241"/>
      <c r="G83" s="241"/>
      <c r="H83" s="241"/>
      <c r="I83" s="241"/>
      <c r="J83" s="241"/>
      <c r="K83" s="241"/>
      <c r="L83" s="241"/>
      <c r="M83" s="241"/>
      <c r="N83" s="241"/>
      <c r="O83" s="241"/>
      <c r="P83" s="241"/>
      <c r="Q83" s="241"/>
      <c r="R83" s="241">
        <f t="shared" ref="R83:R93" si="33">SUM(E83:Q83)</f>
        <v>50000</v>
      </c>
      <c r="S83" s="241">
        <f t="shared" ref="S83:S86" si="34">+R83</f>
        <v>50000</v>
      </c>
      <c r="T83" s="241"/>
      <c r="U83" s="237"/>
    </row>
    <row r="84" spans="1:21" s="238" customFormat="1">
      <c r="A84" s="239" t="s">
        <v>517</v>
      </c>
      <c r="B84" s="240">
        <f t="shared" si="32"/>
        <v>1010546</v>
      </c>
      <c r="C84" s="241">
        <v>1010546</v>
      </c>
      <c r="D84" s="241"/>
      <c r="E84" s="241">
        <f t="shared" si="31"/>
        <v>1010546</v>
      </c>
      <c r="F84" s="241"/>
      <c r="G84" s="241"/>
      <c r="H84" s="241"/>
      <c r="I84" s="241"/>
      <c r="J84" s="241"/>
      <c r="K84" s="241"/>
      <c r="L84" s="241"/>
      <c r="M84" s="241"/>
      <c r="N84" s="241"/>
      <c r="O84" s="241"/>
      <c r="P84" s="241"/>
      <c r="Q84" s="241"/>
      <c r="R84" s="241">
        <f t="shared" si="33"/>
        <v>1010546</v>
      </c>
      <c r="S84" s="241">
        <f t="shared" si="34"/>
        <v>1010546</v>
      </c>
      <c r="T84" s="241"/>
      <c r="U84" s="237"/>
    </row>
    <row r="85" spans="1:21" s="238" customFormat="1">
      <c r="A85" s="239" t="s">
        <v>518</v>
      </c>
      <c r="B85" s="240">
        <f t="shared" si="32"/>
        <v>850000</v>
      </c>
      <c r="C85" s="241">
        <v>850000</v>
      </c>
      <c r="D85" s="241"/>
      <c r="E85" s="241">
        <f t="shared" si="31"/>
        <v>850000</v>
      </c>
      <c r="F85" s="241"/>
      <c r="G85" s="241"/>
      <c r="H85" s="241"/>
      <c r="I85" s="241"/>
      <c r="J85" s="241"/>
      <c r="K85" s="241"/>
      <c r="L85" s="241"/>
      <c r="M85" s="241"/>
      <c r="N85" s="241"/>
      <c r="O85" s="241"/>
      <c r="P85" s="241"/>
      <c r="Q85" s="241"/>
      <c r="R85" s="241">
        <f t="shared" si="33"/>
        <v>850000</v>
      </c>
      <c r="S85" s="241">
        <f t="shared" si="34"/>
        <v>850000</v>
      </c>
      <c r="T85" s="241"/>
      <c r="U85" s="237"/>
    </row>
    <row r="86" spans="1:21" s="238" customFormat="1">
      <c r="A86" s="239" t="s">
        <v>519</v>
      </c>
      <c r="B86" s="240">
        <f t="shared" si="32"/>
        <v>0</v>
      </c>
      <c r="C86" s="241"/>
      <c r="D86" s="241"/>
      <c r="E86" s="241">
        <f t="shared" si="31"/>
        <v>0</v>
      </c>
      <c r="F86" s="241"/>
      <c r="G86" s="241"/>
      <c r="H86" s="241"/>
      <c r="I86" s="241"/>
      <c r="J86" s="241"/>
      <c r="K86" s="241"/>
      <c r="L86" s="241"/>
      <c r="M86" s="241"/>
      <c r="N86" s="241"/>
      <c r="O86" s="241"/>
      <c r="P86" s="241"/>
      <c r="Q86" s="241"/>
      <c r="R86" s="241">
        <f t="shared" si="33"/>
        <v>0</v>
      </c>
      <c r="S86" s="241">
        <f t="shared" si="34"/>
        <v>0</v>
      </c>
      <c r="T86" s="241"/>
      <c r="U86" s="237"/>
    </row>
    <row r="87" spans="1:21" s="238" customFormat="1">
      <c r="A87" s="239" t="s">
        <v>520</v>
      </c>
      <c r="B87" s="240">
        <f t="shared" si="32"/>
        <v>54758</v>
      </c>
      <c r="C87" s="241">
        <v>54758</v>
      </c>
      <c r="D87" s="241"/>
      <c r="E87" s="241">
        <f t="shared" si="31"/>
        <v>54758</v>
      </c>
      <c r="F87" s="241"/>
      <c r="G87" s="241"/>
      <c r="H87" s="241"/>
      <c r="I87" s="241"/>
      <c r="J87" s="241"/>
      <c r="K87" s="241"/>
      <c r="L87" s="241"/>
      <c r="M87" s="241"/>
      <c r="N87" s="241"/>
      <c r="O87" s="241"/>
      <c r="P87" s="241"/>
      <c r="Q87" s="241"/>
      <c r="R87" s="241">
        <f t="shared" si="33"/>
        <v>54758</v>
      </c>
      <c r="S87" s="242"/>
      <c r="T87" s="242"/>
      <c r="U87" s="237"/>
    </row>
    <row r="88" spans="1:21" s="238" customFormat="1">
      <c r="A88" s="239" t="s">
        <v>521</v>
      </c>
      <c r="B88" s="240">
        <f t="shared" si="32"/>
        <v>65000</v>
      </c>
      <c r="C88" s="241">
        <v>65000</v>
      </c>
      <c r="D88" s="241"/>
      <c r="E88" s="241">
        <f t="shared" si="31"/>
        <v>65000</v>
      </c>
      <c r="F88" s="241"/>
      <c r="G88" s="241"/>
      <c r="H88" s="241"/>
      <c r="I88" s="241"/>
      <c r="J88" s="241"/>
      <c r="K88" s="241"/>
      <c r="L88" s="241"/>
      <c r="M88" s="241"/>
      <c r="N88" s="241"/>
      <c r="O88" s="241"/>
      <c r="P88" s="241"/>
      <c r="Q88" s="241"/>
      <c r="R88" s="241">
        <f t="shared" si="33"/>
        <v>65000</v>
      </c>
      <c r="S88" s="241">
        <f t="shared" ref="S88:S93" si="35">+R88</f>
        <v>65000</v>
      </c>
      <c r="T88" s="241"/>
      <c r="U88" s="237"/>
    </row>
    <row r="89" spans="1:21" s="238" customFormat="1">
      <c r="A89" s="239" t="s">
        <v>522</v>
      </c>
      <c r="B89" s="240">
        <f t="shared" si="32"/>
        <v>10000</v>
      </c>
      <c r="C89" s="241">
        <v>10000</v>
      </c>
      <c r="D89" s="241"/>
      <c r="E89" s="241">
        <f t="shared" si="31"/>
        <v>10000</v>
      </c>
      <c r="F89" s="241"/>
      <c r="G89" s="241"/>
      <c r="H89" s="241"/>
      <c r="I89" s="241"/>
      <c r="J89" s="241"/>
      <c r="K89" s="241"/>
      <c r="L89" s="241"/>
      <c r="M89" s="241"/>
      <c r="N89" s="241"/>
      <c r="O89" s="241"/>
      <c r="P89" s="241"/>
      <c r="Q89" s="241"/>
      <c r="R89" s="241">
        <f t="shared" si="33"/>
        <v>10000</v>
      </c>
      <c r="S89" s="241">
        <f t="shared" si="35"/>
        <v>10000</v>
      </c>
      <c r="T89" s="241"/>
      <c r="U89" s="237"/>
    </row>
    <row r="90" spans="1:21" s="238" customFormat="1">
      <c r="A90" s="250" t="s">
        <v>1315</v>
      </c>
      <c r="B90" s="240">
        <f t="shared" si="32"/>
        <v>45000</v>
      </c>
      <c r="C90" s="241">
        <v>45000</v>
      </c>
      <c r="D90" s="241"/>
      <c r="E90" s="241">
        <f t="shared" si="31"/>
        <v>45000</v>
      </c>
      <c r="F90" s="241"/>
      <c r="G90" s="241"/>
      <c r="H90" s="241"/>
      <c r="I90" s="241"/>
      <c r="J90" s="241"/>
      <c r="K90" s="241"/>
      <c r="L90" s="241"/>
      <c r="M90" s="241"/>
      <c r="N90" s="241"/>
      <c r="O90" s="241"/>
      <c r="P90" s="241"/>
      <c r="Q90" s="241"/>
      <c r="R90" s="241">
        <f t="shared" si="33"/>
        <v>45000</v>
      </c>
      <c r="S90" s="241">
        <f t="shared" si="35"/>
        <v>45000</v>
      </c>
      <c r="T90" s="241"/>
      <c r="U90" s="237"/>
    </row>
    <row r="91" spans="1:21" s="238" customFormat="1">
      <c r="A91" s="250" t="s">
        <v>1741</v>
      </c>
      <c r="B91" s="240">
        <f t="shared" si="32"/>
        <v>11450</v>
      </c>
      <c r="C91" s="241">
        <v>11450</v>
      </c>
      <c r="D91" s="241"/>
      <c r="E91" s="241">
        <f t="shared" si="31"/>
        <v>11450</v>
      </c>
      <c r="F91" s="241"/>
      <c r="G91" s="241"/>
      <c r="H91" s="241"/>
      <c r="I91" s="241"/>
      <c r="J91" s="241"/>
      <c r="K91" s="241"/>
      <c r="L91" s="241"/>
      <c r="M91" s="241"/>
      <c r="N91" s="241"/>
      <c r="O91" s="241"/>
      <c r="P91" s="241"/>
      <c r="Q91" s="241"/>
      <c r="R91" s="241">
        <f t="shared" si="33"/>
        <v>11450</v>
      </c>
      <c r="S91" s="241">
        <f t="shared" si="35"/>
        <v>11450</v>
      </c>
      <c r="T91" s="241"/>
      <c r="U91" s="237"/>
    </row>
    <row r="92" spans="1:21" s="238" customFormat="1">
      <c r="A92" s="246" t="s">
        <v>2423</v>
      </c>
      <c r="B92" s="240">
        <f t="shared" si="32"/>
        <v>175000</v>
      </c>
      <c r="C92" s="241">
        <v>175000</v>
      </c>
      <c r="D92" s="241"/>
      <c r="E92" s="241">
        <f t="shared" si="31"/>
        <v>175000</v>
      </c>
      <c r="F92" s="241"/>
      <c r="G92" s="241"/>
      <c r="H92" s="241"/>
      <c r="I92" s="241"/>
      <c r="J92" s="241"/>
      <c r="K92" s="241"/>
      <c r="L92" s="241"/>
      <c r="M92" s="241"/>
      <c r="N92" s="241"/>
      <c r="O92" s="241"/>
      <c r="P92" s="241"/>
      <c r="Q92" s="241"/>
      <c r="R92" s="241">
        <f t="shared" si="33"/>
        <v>175000</v>
      </c>
      <c r="S92" s="241">
        <f t="shared" si="35"/>
        <v>175000</v>
      </c>
      <c r="T92" s="241"/>
      <c r="U92" s="237"/>
    </row>
    <row r="93" spans="1:21" s="238" customFormat="1">
      <c r="A93" s="246" t="s">
        <v>533</v>
      </c>
      <c r="B93" s="240">
        <f t="shared" si="32"/>
        <v>0</v>
      </c>
      <c r="C93" s="241"/>
      <c r="D93" s="241"/>
      <c r="E93" s="241">
        <f t="shared" si="31"/>
        <v>0</v>
      </c>
      <c r="F93" s="241"/>
      <c r="G93" s="241"/>
      <c r="H93" s="241"/>
      <c r="I93" s="241"/>
      <c r="J93" s="241"/>
      <c r="K93" s="241"/>
      <c r="L93" s="241"/>
      <c r="M93" s="241"/>
      <c r="N93" s="241"/>
      <c r="O93" s="241"/>
      <c r="P93" s="241"/>
      <c r="Q93" s="241"/>
      <c r="R93" s="241">
        <f t="shared" si="33"/>
        <v>0</v>
      </c>
      <c r="S93" s="241">
        <f t="shared" si="35"/>
        <v>0</v>
      </c>
      <c r="T93" s="241"/>
      <c r="U93" s="237"/>
    </row>
    <row r="94" spans="1:21" s="238" customFormat="1">
      <c r="A94" s="246" t="s">
        <v>533</v>
      </c>
      <c r="B94" s="240">
        <f>SUM(C94+D94)</f>
        <v>0</v>
      </c>
      <c r="C94" s="241"/>
      <c r="D94" s="241"/>
      <c r="E94" s="241">
        <f t="shared" si="31"/>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2420637</v>
      </c>
      <c r="C95" s="240">
        <f t="shared" ref="C95:R95" si="36">SUM(C82:C94)</f>
        <v>2420637</v>
      </c>
      <c r="D95" s="240">
        <f t="shared" si="36"/>
        <v>0</v>
      </c>
      <c r="E95" s="240">
        <f t="shared" si="36"/>
        <v>2420637</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2420637</v>
      </c>
      <c r="S95" s="244">
        <f>SUM(S83:S86,S88:S94)</f>
        <v>2216996</v>
      </c>
      <c r="T95" s="240">
        <f>SUM(T83:T86,T88:T94)</f>
        <v>0</v>
      </c>
      <c r="U95" s="237"/>
    </row>
    <row r="96" spans="1:21" s="238" customFormat="1">
      <c r="A96" s="243" t="s">
        <v>524</v>
      </c>
      <c r="B96" s="240">
        <f>SUM(C96:D96)</f>
        <v>29460488</v>
      </c>
      <c r="C96" s="240">
        <f t="shared" ref="C96:R96" si="37">SUM(C62+C69+C76+C80+C95)</f>
        <v>29460488</v>
      </c>
      <c r="D96" s="240">
        <f t="shared" si="37"/>
        <v>0</v>
      </c>
      <c r="E96" s="240">
        <f t="shared" si="37"/>
        <v>20221700</v>
      </c>
      <c r="F96" s="240">
        <f t="shared" si="37"/>
        <v>5250968</v>
      </c>
      <c r="G96" s="240">
        <f t="shared" si="37"/>
        <v>492520</v>
      </c>
      <c r="H96" s="240">
        <f t="shared" si="37"/>
        <v>3495300</v>
      </c>
      <c r="I96" s="240">
        <f t="shared" si="37"/>
        <v>0</v>
      </c>
      <c r="J96" s="240">
        <f t="shared" si="37"/>
        <v>0</v>
      </c>
      <c r="K96" s="240">
        <f t="shared" si="37"/>
        <v>0</v>
      </c>
      <c r="L96" s="240">
        <f t="shared" si="37"/>
        <v>0</v>
      </c>
      <c r="M96" s="240">
        <f t="shared" si="37"/>
        <v>0</v>
      </c>
      <c r="N96" s="240">
        <f t="shared" si="37"/>
        <v>0</v>
      </c>
      <c r="O96" s="240">
        <f t="shared" si="37"/>
        <v>0</v>
      </c>
      <c r="P96" s="240">
        <f t="shared" si="37"/>
        <v>0</v>
      </c>
      <c r="Q96" s="240">
        <f t="shared" si="37"/>
        <v>0</v>
      </c>
      <c r="R96" s="240">
        <f t="shared" si="37"/>
        <v>29460488</v>
      </c>
      <c r="S96" s="244">
        <f>SUM(+S62+S69+S80+S95)</f>
        <v>27624468</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C98-SUM(F98:I98)</f>
        <v>1403299</v>
      </c>
      <c r="F98" s="241"/>
      <c r="G98" s="241"/>
      <c r="H98" s="241"/>
      <c r="I98" s="241">
        <v>1096701</v>
      </c>
      <c r="J98" s="241"/>
      <c r="K98" s="241"/>
      <c r="L98" s="241"/>
      <c r="M98" s="241"/>
      <c r="N98" s="241"/>
      <c r="O98" s="241"/>
      <c r="P98" s="241"/>
      <c r="Q98" s="241"/>
      <c r="R98" s="241">
        <f>SUM(E98:Q98)</f>
        <v>2500000</v>
      </c>
      <c r="S98" s="241">
        <f t="shared" ref="S98" si="38">+R98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9">SUM(C98:C102)</f>
        <v>2500000</v>
      </c>
      <c r="D103" s="240">
        <f t="shared" si="39"/>
        <v>0</v>
      </c>
      <c r="E103" s="240">
        <f t="shared" si="39"/>
        <v>1403299</v>
      </c>
      <c r="F103" s="240">
        <f t="shared" si="39"/>
        <v>0</v>
      </c>
      <c r="G103" s="240">
        <f t="shared" si="39"/>
        <v>0</v>
      </c>
      <c r="H103" s="240">
        <f t="shared" si="39"/>
        <v>0</v>
      </c>
      <c r="I103" s="240">
        <f t="shared" si="39"/>
        <v>1096701</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1156</v>
      </c>
      <c r="B104" s="244">
        <f>SUM(C104:D104)</f>
        <v>31960488</v>
      </c>
      <c r="C104" s="244">
        <f t="shared" ref="C104:R104" si="40">SUM(C96+C103)</f>
        <v>31960488</v>
      </c>
      <c r="D104" s="244">
        <f t="shared" si="40"/>
        <v>0</v>
      </c>
      <c r="E104" s="244">
        <f t="shared" si="40"/>
        <v>21624999</v>
      </c>
      <c r="F104" s="244">
        <f t="shared" si="40"/>
        <v>5250968</v>
      </c>
      <c r="G104" s="244">
        <f t="shared" si="40"/>
        <v>492520</v>
      </c>
      <c r="H104" s="244">
        <f t="shared" si="40"/>
        <v>3495300</v>
      </c>
      <c r="I104" s="244">
        <f t="shared" si="40"/>
        <v>1096701</v>
      </c>
      <c r="J104" s="244">
        <f t="shared" si="40"/>
        <v>0</v>
      </c>
      <c r="K104" s="244">
        <f t="shared" si="40"/>
        <v>0</v>
      </c>
      <c r="L104" s="244">
        <f t="shared" si="40"/>
        <v>0</v>
      </c>
      <c r="M104" s="244">
        <f t="shared" si="40"/>
        <v>0</v>
      </c>
      <c r="N104" s="244">
        <f t="shared" si="40"/>
        <v>0</v>
      </c>
      <c r="O104" s="244">
        <f t="shared" si="40"/>
        <v>0</v>
      </c>
      <c r="P104" s="244">
        <f t="shared" si="40"/>
        <v>0</v>
      </c>
      <c r="Q104" s="244">
        <f t="shared" si="40"/>
        <v>0</v>
      </c>
      <c r="R104" s="240">
        <f t="shared" si="40"/>
        <v>31960488</v>
      </c>
      <c r="S104" s="244">
        <f>S96+S103</f>
        <v>30124468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30124468</v>
      </c>
      <c r="T106" s="244">
        <f>T104+T105</f>
        <v>0</v>
      </c>
      <c r="U106" s="256"/>
    </row>
    <row r="107" spans="1:21" s="258" customFormat="1">
      <c r="A107" s="257" t="s">
        <v>1107</v>
      </c>
      <c r="B107" s="252"/>
      <c r="C107" s="252"/>
      <c r="D107" s="252"/>
      <c r="E107" s="240">
        <f>Application!AO634</f>
        <v>21624999</v>
      </c>
      <c r="F107" s="240">
        <f>Application!AO621</f>
        <v>5250968</v>
      </c>
      <c r="G107" s="240">
        <f>Application!AO622</f>
        <v>492520</v>
      </c>
      <c r="H107" s="240">
        <f>Application!AO623</f>
        <v>3495300</v>
      </c>
      <c r="I107" s="240">
        <f>Application!AO624</f>
        <v>1096701</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8" t="s">
        <v>1291</v>
      </c>
      <c r="E122" s="1588"/>
      <c r="F122" s="1588"/>
      <c r="U122" s="256"/>
    </row>
    <row r="123" spans="1:21" s="253" customFormat="1">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2.75">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2.75">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2.75">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1747</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NON-DDA/
NON-QCT Building(s)</v>
      </c>
      <c r="U7" s="1608"/>
      <c r="V7" s="1608"/>
      <c r="W7" s="1608"/>
      <c r="X7" s="1608"/>
      <c r="Y7" s="1608" t="str">
        <f>IF(T25=100%,"",'Sources and Basis Breakdown'!G2)</f>
        <v/>
      </c>
      <c r="Z7" s="1608"/>
      <c r="AA7" s="1608"/>
      <c r="AB7" s="1608"/>
      <c r="AC7" s="1608"/>
      <c r="AD7" s="1608" t="str">
        <f>IF(T25=100%,'Sources and Basis Breakdown'!J2,'Sources and Basis Breakdown'!I2)</f>
        <v>30% PVC for Acquisition
NON-DDA/
NON-QCT Building(s)</v>
      </c>
      <c r="AE7" s="1608"/>
      <c r="AF7" s="1608"/>
      <c r="AG7" s="1608"/>
      <c r="AH7" s="1608"/>
      <c r="AI7" s="1608" t="str">
        <f>IF(T25=100%,"",'Sources and Basis Breakdown'!J2)</f>
        <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30124468</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5"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1713</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5" customHeight="1">
      <c r="B18" s="941"/>
      <c r="C18" s="1589" t="s">
        <v>1217</v>
      </c>
      <c r="D18" s="1589"/>
      <c r="E18" s="1589"/>
      <c r="F18" s="1589"/>
      <c r="G18" s="1589"/>
      <c r="H18" s="1589"/>
      <c r="I18" s="1589"/>
      <c r="J18" s="1589"/>
      <c r="K18" s="1589"/>
      <c r="L18" s="1589"/>
      <c r="M18" s="1589"/>
      <c r="N18" s="1589"/>
      <c r="O18" s="1589"/>
      <c r="P18" s="1589"/>
      <c r="Q18" s="1589"/>
      <c r="R18" s="1589"/>
      <c r="S18" s="1590"/>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5" customHeight="1">
      <c r="B19" s="484"/>
      <c r="C19" s="1589" t="s">
        <v>1217</v>
      </c>
      <c r="D19" s="1589"/>
      <c r="E19" s="1589"/>
      <c r="F19" s="1589"/>
      <c r="G19" s="1589"/>
      <c r="H19" s="1589"/>
      <c r="I19" s="1589"/>
      <c r="J19" s="1589"/>
      <c r="K19" s="1589"/>
      <c r="L19" s="1589"/>
      <c r="M19" s="1589"/>
      <c r="N19" s="1589"/>
      <c r="O19" s="1589"/>
      <c r="P19" s="1589"/>
      <c r="Q19" s="1589"/>
      <c r="R19" s="1589"/>
      <c r="S19" s="1590"/>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v>2346692</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2">
        <f>(ABS(T20)+ABS(T21))*-1</f>
        <v>-2346692</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5" customHeight="1">
      <c r="B23" s="1182" t="s">
        <v>1907</v>
      </c>
      <c r="C23" s="1183"/>
      <c r="D23" s="1183"/>
      <c r="E23" s="1183"/>
      <c r="F23" s="1183"/>
      <c r="G23" s="1183"/>
      <c r="H23" s="1183"/>
      <c r="I23" s="1183"/>
      <c r="J23" s="1183"/>
      <c r="K23" s="1183"/>
      <c r="L23" s="1183"/>
      <c r="M23" s="1183"/>
      <c r="N23" s="1183"/>
      <c r="O23" s="1183"/>
      <c r="P23" s="1183"/>
      <c r="Q23" s="1183"/>
      <c r="R23" s="1183"/>
      <c r="S23" s="1184"/>
      <c r="T23" s="1601">
        <f>T11+T22</f>
        <v>27777776</v>
      </c>
      <c r="U23" s="1202"/>
      <c r="V23" s="1202"/>
      <c r="W23" s="1202"/>
      <c r="X23" s="1202"/>
      <c r="Y23" s="1601">
        <f>Y11+Y22</f>
        <v>0</v>
      </c>
      <c r="Z23" s="1202"/>
      <c r="AA23" s="1202"/>
      <c r="AB23" s="1202"/>
      <c r="AC23" s="1202"/>
      <c r="AD23" s="1601">
        <f>IF(AD11=AD21,0,AD11)</f>
        <v>0</v>
      </c>
      <c r="AE23" s="1202"/>
      <c r="AF23" s="1202"/>
      <c r="AG23" s="1202"/>
      <c r="AH23" s="1202"/>
      <c r="AI23" s="1601">
        <f>IF(AI11=AI21,0,AI11)</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Application!AJ1020</f>
        <v>30250608</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1909</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27777776</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27777776</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27777776</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635" t="s">
        <v>1908</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5" customHeight="1">
      <c r="B31" s="1636" t="s">
        <v>1910</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4" ht="12.95" customHeight="1">
      <c r="B36" s="204"/>
      <c r="X36" s="71"/>
      <c r="Y36" s="1608"/>
      <c r="Z36" s="1608"/>
      <c r="AA36" s="1608"/>
      <c r="AB36" s="1608"/>
      <c r="AC36" s="1608"/>
      <c r="AD36" s="1496"/>
      <c r="AE36" s="1496"/>
      <c r="AF36" s="1496"/>
      <c r="AG36" s="1496"/>
      <c r="AH36" s="149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4"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27777776</v>
      </c>
      <c r="Z38" s="1202"/>
      <c r="AA38" s="1202"/>
      <c r="AB38" s="1202"/>
      <c r="AC38" s="1202"/>
      <c r="AD38" s="1202">
        <f>IF(T24&gt;=(T23+Y23+AD23+AI23),AD28+AI28,0)</f>
        <v>0</v>
      </c>
      <c r="AE38" s="1202"/>
      <c r="AF38" s="1202"/>
      <c r="AG38" s="1202"/>
      <c r="AH38" s="1202"/>
    </row>
    <row r="39" spans="1:44" ht="12.95" customHeight="1">
      <c r="B39" s="1182" t="s">
        <v>1817</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39">
        <v>0.09</v>
      </c>
      <c r="Z39" s="1639"/>
      <c r="AA39" s="1639"/>
      <c r="AB39" s="1639"/>
      <c r="AC39" s="1639"/>
      <c r="AD39" s="1639">
        <v>0.04</v>
      </c>
      <c r="AE39" s="1639"/>
      <c r="AF39" s="1639"/>
      <c r="AG39" s="1639"/>
      <c r="AH39" s="1639"/>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2500000</v>
      </c>
      <c r="Z40" s="1202"/>
      <c r="AA40" s="1202"/>
      <c r="AB40" s="1202"/>
      <c r="AC40" s="1202"/>
      <c r="AD40" s="1601">
        <f>ROUND(AD38*AD39,0)</f>
        <v>0</v>
      </c>
      <c r="AE40" s="1202"/>
      <c r="AF40" s="1202"/>
      <c r="AG40" s="1202"/>
      <c r="AH40" s="1202"/>
    </row>
    <row r="41" spans="1:44"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IF(Application!Y211="No",'Basis &amp; Credits'!AR42,AR43)</f>
        <v>2500000</v>
      </c>
      <c r="Z41" s="1600"/>
      <c r="AA41" s="1600"/>
      <c r="AB41" s="1600"/>
      <c r="AC41" s="1600"/>
      <c r="AD41" s="1600"/>
      <c r="AE41" s="1600"/>
      <c r="AF41" s="1600"/>
      <c r="AG41" s="1600"/>
      <c r="AH41" s="1601"/>
    </row>
    <row r="42" spans="1:44" ht="12.95" customHeight="1">
      <c r="A42" s="3"/>
      <c r="B42" s="1633" t="s">
        <v>1818</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31960488</v>
      </c>
      <c r="AC46" s="1194"/>
      <c r="AD46" s="1194"/>
      <c r="AE46" s="1194"/>
      <c r="AF46" s="1195"/>
    </row>
    <row r="47" spans="1:44" ht="12.95" customHeight="1">
      <c r="D47" s="3" t="s">
        <v>837</v>
      </c>
      <c r="AB47" s="1193">
        <f>Application!AO633-MAX(IF('Sources and Uses Budget'!B15="",0,'Sources and Uses Budget'!B15),IF(Application!AG387="",0,Application!AG387))</f>
        <v>10335489</v>
      </c>
      <c r="AC47" s="1194"/>
      <c r="AD47" s="1194"/>
      <c r="AE47" s="1194"/>
      <c r="AF47" s="1195"/>
    </row>
    <row r="48" spans="1:44" ht="12.95" customHeight="1">
      <c r="D48" s="3" t="s">
        <v>378</v>
      </c>
      <c r="AB48" s="1193">
        <f>AB46-AB47</f>
        <v>21624999</v>
      </c>
      <c r="AC48" s="1194"/>
      <c r="AD48" s="1194"/>
      <c r="AE48" s="1194"/>
      <c r="AF48" s="1195"/>
    </row>
    <row r="49" spans="1:40" ht="12.95" customHeight="1">
      <c r="D49" s="3" t="s">
        <v>872</v>
      </c>
      <c r="AA49" s="34"/>
      <c r="AB49" s="1628">
        <v>0.86499999999999999</v>
      </c>
      <c r="AC49" s="1629"/>
      <c r="AD49" s="1629"/>
      <c r="AE49" s="1629"/>
      <c r="AF49" s="1630"/>
    </row>
    <row r="50" spans="1:40" s="323" customFormat="1" ht="12.95" customHeight="1">
      <c r="A50"/>
      <c r="B50"/>
      <c r="C50"/>
      <c r="D50"/>
      <c r="E50" s="1634" t="s">
        <v>1954</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24999999</v>
      </c>
      <c r="AC53" s="1194"/>
      <c r="AD53" s="1194"/>
      <c r="AE53" s="1194"/>
      <c r="AF53" s="1195"/>
    </row>
    <row r="54" spans="1:40" ht="12.95" customHeight="1">
      <c r="D54" s="3" t="s">
        <v>561</v>
      </c>
      <c r="AB54" s="1193">
        <f>(AB53/10)</f>
        <v>2499999.9</v>
      </c>
      <c r="AC54" s="1194"/>
      <c r="AD54" s="1194"/>
      <c r="AE54" s="1194"/>
      <c r="AF54" s="1195"/>
    </row>
    <row r="55" spans="1:40" ht="12.95" customHeight="1">
      <c r="D55" s="3" t="s">
        <v>341</v>
      </c>
      <c r="AB55" s="1193">
        <f>(IF((Y41&lt;AB54),Y41,AB54))</f>
        <v>2499999.9</v>
      </c>
      <c r="AC55" s="1194"/>
      <c r="AD55" s="1194"/>
      <c r="AE55" s="1194"/>
      <c r="AF55" s="1195"/>
    </row>
    <row r="56" spans="1:40" ht="12.95" customHeight="1">
      <c r="D56" s="3" t="s">
        <v>107</v>
      </c>
      <c r="AB56" s="1193">
        <f>ROUND((10*AB55*AB49),0)</f>
        <v>21624999</v>
      </c>
      <c r="AC56" s="1194"/>
      <c r="AD56" s="1194"/>
      <c r="AE56" s="1194"/>
      <c r="AF56" s="1195"/>
    </row>
    <row r="57" spans="1:40" ht="12.95" customHeight="1">
      <c r="D57" s="3"/>
      <c r="AB57" s="276"/>
      <c r="AC57" s="276"/>
      <c r="AD57" s="276"/>
      <c r="AE57" s="276"/>
      <c r="AF57" s="276"/>
    </row>
    <row r="58" spans="1:40" ht="12.95" customHeight="1">
      <c r="D58" s="3" t="s">
        <v>106</v>
      </c>
      <c r="AB58" s="1215">
        <f>AB48-AB56</f>
        <v>0</v>
      </c>
      <c r="AC58" s="1215"/>
      <c r="AD58" s="1215"/>
      <c r="AE58" s="1215"/>
      <c r="AF58" s="1215"/>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37" t="s">
        <v>1751</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27777776</v>
      </c>
      <c r="Z63" s="1631"/>
      <c r="AA63" s="1631"/>
      <c r="AB63" s="1631"/>
      <c r="AC63" s="1631"/>
      <c r="AD63" s="1202">
        <f>IF(AND(T25=1.3,Application!D214="At-Risk"),AI28,IF(Application!D214&lt;&gt;"At-Risk",0,AD28))</f>
        <v>0</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5" customHeight="1">
      <c r="C67" s="3"/>
      <c r="D67" s="3" t="s">
        <v>941</v>
      </c>
      <c r="Y67" s="1202">
        <f>ROUND(Y63*Y66,0)</f>
        <v>8333333</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28"/>
      <c r="AC70" s="1629"/>
      <c r="AD70" s="1629"/>
      <c r="AE70" s="1629"/>
      <c r="AF70" s="1630"/>
    </row>
    <row r="71" spans="1:34" ht="12.95" customHeight="1">
      <c r="A71" s="3"/>
      <c r="C71" s="3"/>
      <c r="D71" s="3"/>
      <c r="E71" s="1632" t="s">
        <v>2252</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49">
        <f>IF((Y67+AD67&lt;AB75),Y67+AD67,AB75)</f>
        <v>0</v>
      </c>
      <c r="AC76" s="1550"/>
      <c r="AD76" s="1550"/>
      <c r="AE76" s="1550"/>
      <c r="AF76" s="1551"/>
    </row>
    <row r="77" spans="1:34" ht="12.95" customHeight="1">
      <c r="C77" s="3"/>
      <c r="D77" s="3" t="s">
        <v>942</v>
      </c>
      <c r="AB77" s="1626">
        <f>AB76*AB70</f>
        <v>0</v>
      </c>
      <c r="AC77" s="1626"/>
      <c r="AD77" s="1626"/>
      <c r="AE77" s="1626"/>
      <c r="AF77" s="1626"/>
    </row>
    <row r="78" spans="1:34" ht="12.95" customHeight="1">
      <c r="C78" s="3"/>
      <c r="D78" s="3"/>
      <c r="AB78" s="598"/>
      <c r="AC78" s="598"/>
      <c r="AD78" s="598"/>
      <c r="AE78" s="598"/>
      <c r="AF78" s="598"/>
    </row>
    <row r="79" spans="1:34" ht="12.95" customHeight="1">
      <c r="D79" s="3" t="s">
        <v>106</v>
      </c>
      <c r="AB79" s="1215">
        <f>AB48-(AB56+AB77)</f>
        <v>0</v>
      </c>
      <c r="AC79" s="1215"/>
      <c r="AD79" s="1215"/>
      <c r="AE79" s="1215"/>
      <c r="AF79" s="1215"/>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54" sqref="C54:C57"/>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0" t="s">
        <v>1825</v>
      </c>
      <c r="B1" s="1641"/>
      <c r="C1" s="1641"/>
      <c r="D1" s="1641"/>
      <c r="E1" s="1641"/>
      <c r="F1" s="1641"/>
      <c r="G1" s="1641"/>
      <c r="H1" s="1641"/>
      <c r="I1" s="1641"/>
      <c r="J1" s="1642"/>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749500</v>
      </c>
      <c r="C4" s="585"/>
      <c r="D4" s="585">
        <f>+B4</f>
        <v>749500</v>
      </c>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749500</v>
      </c>
      <c r="C8" s="584">
        <f>SUM(C4:C7)</f>
        <v>0</v>
      </c>
      <c r="D8" s="584">
        <f>SUM(D4:D7)</f>
        <v>749500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749500</v>
      </c>
      <c r="C12" s="584">
        <f>SUM(C8+C11)</f>
        <v>0</v>
      </c>
      <c r="D12" s="584">
        <f>SUM(D8+D11)</f>
        <v>749500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1500000</v>
      </c>
      <c r="C28" s="585"/>
      <c r="D28" s="585">
        <f t="shared" ref="D28:D36" si="0">+B28</f>
        <v>1500000</v>
      </c>
      <c r="E28" s="584">
        <f>'Sources and Uses Budget'!S29</f>
        <v>1500000</v>
      </c>
      <c r="F28" s="585"/>
      <c r="G28" s="585">
        <f t="shared" ref="G28:G36" si="1">+E28</f>
        <v>1500000</v>
      </c>
      <c r="H28" s="584">
        <f>'Sources and Uses Budget'!T29</f>
        <v>0</v>
      </c>
      <c r="I28" s="585"/>
      <c r="J28" s="585"/>
      <c r="K28" s="579"/>
    </row>
    <row r="29" spans="1:11" s="253" customFormat="1">
      <c r="A29" s="239" t="s">
        <v>911</v>
      </c>
      <c r="B29" s="584">
        <f>'Sources and Uses Budget'!C30</f>
        <v>16077283</v>
      </c>
      <c r="C29" s="585"/>
      <c r="D29" s="585">
        <f t="shared" si="0"/>
        <v>16077283</v>
      </c>
      <c r="E29" s="584">
        <f>'Sources and Uses Budget'!S30</f>
        <v>16077283</v>
      </c>
      <c r="F29" s="585"/>
      <c r="G29" s="585">
        <f t="shared" si="1"/>
        <v>16077283</v>
      </c>
      <c r="H29" s="584">
        <f>'Sources and Uses Budget'!T30</f>
        <v>0</v>
      </c>
      <c r="I29" s="585"/>
      <c r="J29" s="585"/>
      <c r="K29" s="579"/>
    </row>
    <row r="30" spans="1:11" s="253" customFormat="1">
      <c r="A30" s="239" t="s">
        <v>912</v>
      </c>
      <c r="B30" s="584">
        <f>'Sources and Uses Budget'!C31</f>
        <v>1054637</v>
      </c>
      <c r="C30" s="585"/>
      <c r="D30" s="585">
        <f t="shared" si="0"/>
        <v>1054637</v>
      </c>
      <c r="E30" s="584">
        <f>'Sources and Uses Budget'!S31</f>
        <v>1054637</v>
      </c>
      <c r="F30" s="585"/>
      <c r="G30" s="585">
        <f t="shared" si="1"/>
        <v>1054637</v>
      </c>
      <c r="H30" s="584">
        <f>'Sources and Uses Budget'!T31</f>
        <v>0</v>
      </c>
      <c r="I30" s="585"/>
      <c r="J30" s="585"/>
      <c r="K30" s="579"/>
    </row>
    <row r="31" spans="1:11" s="253" customFormat="1">
      <c r="A31" s="239" t="s">
        <v>913</v>
      </c>
      <c r="B31" s="584">
        <f>'Sources and Uses Budget'!C32</f>
        <v>372638</v>
      </c>
      <c r="C31" s="585"/>
      <c r="D31" s="585">
        <f t="shared" si="0"/>
        <v>372638</v>
      </c>
      <c r="E31" s="584">
        <f>'Sources and Uses Budget'!S32</f>
        <v>372638</v>
      </c>
      <c r="F31" s="585"/>
      <c r="G31" s="585">
        <f t="shared" si="1"/>
        <v>372638</v>
      </c>
      <c r="H31" s="584">
        <f>'Sources and Uses Budget'!T32</f>
        <v>0</v>
      </c>
      <c r="I31" s="585"/>
      <c r="J31" s="585"/>
      <c r="K31" s="579"/>
    </row>
    <row r="32" spans="1:11" s="253" customFormat="1">
      <c r="A32" s="239" t="s">
        <v>914</v>
      </c>
      <c r="B32" s="584">
        <f>'Sources and Uses Budget'!C33</f>
        <v>1117915</v>
      </c>
      <c r="C32" s="585"/>
      <c r="D32" s="585">
        <f t="shared" si="0"/>
        <v>1117915</v>
      </c>
      <c r="E32" s="584">
        <f>'Sources and Uses Budget'!S33</f>
        <v>1117915</v>
      </c>
      <c r="F32" s="585"/>
      <c r="G32" s="585">
        <f t="shared" si="1"/>
        <v>1117915</v>
      </c>
      <c r="H32" s="584">
        <f>'Sources and Uses Budget'!T33</f>
        <v>0</v>
      </c>
      <c r="I32" s="585"/>
      <c r="J32" s="585"/>
      <c r="K32" s="579"/>
    </row>
    <row r="33" spans="1:11" s="253" customFormat="1">
      <c r="A33" s="239" t="s">
        <v>915</v>
      </c>
      <c r="B33" s="584">
        <f>'Sources and Uses Budget'!C34</f>
        <v>0</v>
      </c>
      <c r="C33" s="585"/>
      <c r="D33" s="585">
        <f t="shared" si="0"/>
        <v>0</v>
      </c>
      <c r="E33" s="584">
        <f>'Sources and Uses Budget'!S34</f>
        <v>0</v>
      </c>
      <c r="F33" s="585"/>
      <c r="G33" s="585">
        <f t="shared" si="1"/>
        <v>0</v>
      </c>
      <c r="H33" s="584">
        <f>'Sources and Uses Budget'!T34</f>
        <v>0</v>
      </c>
      <c r="I33" s="585"/>
      <c r="J33" s="585"/>
      <c r="K33" s="579"/>
    </row>
    <row r="34" spans="1:11" s="253" customFormat="1">
      <c r="A34" s="239" t="s">
        <v>916</v>
      </c>
      <c r="B34" s="584">
        <f>'Sources and Uses Budget'!C35</f>
        <v>704287</v>
      </c>
      <c r="C34" s="585"/>
      <c r="D34" s="585">
        <f t="shared" si="0"/>
        <v>704287</v>
      </c>
      <c r="E34" s="584">
        <f>'Sources and Uses Budget'!S35</f>
        <v>704287</v>
      </c>
      <c r="F34" s="585"/>
      <c r="G34" s="585">
        <f t="shared" si="1"/>
        <v>704287</v>
      </c>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f t="shared" si="0"/>
        <v>0</v>
      </c>
      <c r="E35" s="584">
        <f>'Sources and Uses Budget'!S36</f>
        <v>0</v>
      </c>
      <c r="F35" s="585"/>
      <c r="G35" s="585">
        <f t="shared" si="1"/>
        <v>0</v>
      </c>
      <c r="H35" s="584">
        <f>'Sources and Uses Budget'!T36</f>
        <v>0</v>
      </c>
      <c r="I35" s="585"/>
      <c r="J35" s="585"/>
      <c r="K35" s="579"/>
    </row>
    <row r="36" spans="1:11" s="253" customFormat="1">
      <c r="A36" s="239" t="str">
        <f>'Sources and Uses Budget'!$A37</f>
        <v>Other: (Specify)</v>
      </c>
      <c r="B36" s="584">
        <f>'Sources and Uses Budget'!C37</f>
        <v>0</v>
      </c>
      <c r="C36" s="585"/>
      <c r="D36" s="585">
        <f t="shared" si="0"/>
        <v>0</v>
      </c>
      <c r="E36" s="584">
        <f>'Sources and Uses Budget'!S37</f>
        <v>0</v>
      </c>
      <c r="F36" s="585"/>
      <c r="G36" s="585">
        <f t="shared" si="1"/>
        <v>0</v>
      </c>
      <c r="H36" s="584">
        <f>'Sources and Uses Budget'!T37</f>
        <v>0</v>
      </c>
      <c r="I36" s="585"/>
      <c r="J36" s="585"/>
      <c r="K36" s="579"/>
    </row>
    <row r="37" spans="1:11" s="253" customFormat="1">
      <c r="A37" s="243" t="s">
        <v>919</v>
      </c>
      <c r="B37" s="584">
        <f>'Sources and Uses Budget'!C38</f>
        <v>20826760</v>
      </c>
      <c r="C37" s="584">
        <f>SUM(C28:C36)</f>
        <v>0</v>
      </c>
      <c r="D37" s="584">
        <f>SUM(D28:D36)</f>
        <v>20826760</v>
      </c>
      <c r="E37" s="584">
        <f>'Sources and Uses Budget'!S38</f>
        <v>20826760</v>
      </c>
      <c r="F37" s="587">
        <f>SUM(F28:F36)</f>
        <v>0</v>
      </c>
      <c r="G37" s="587">
        <f>SUM(G28:G36)</f>
        <v>20826760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998897</v>
      </c>
      <c r="C39" s="585"/>
      <c r="D39" s="585">
        <f t="shared" ref="D39:D40" si="2">+B39</f>
        <v>998897</v>
      </c>
      <c r="E39" s="584">
        <f>'Sources and Uses Budget'!S40</f>
        <v>998897</v>
      </c>
      <c r="F39" s="585"/>
      <c r="G39" s="585">
        <f t="shared" ref="G39:G40" si="3">+E39</f>
        <v>998897</v>
      </c>
      <c r="H39" s="584">
        <f>'Sources and Uses Budget'!T40</f>
        <v>0</v>
      </c>
      <c r="I39" s="585"/>
      <c r="J39" s="585"/>
      <c r="K39" s="579"/>
    </row>
    <row r="40" spans="1:11" s="253" customFormat="1">
      <c r="A40" s="239" t="s">
        <v>922</v>
      </c>
      <c r="B40" s="584">
        <f>'Sources and Uses Budget'!C41</f>
        <v>0</v>
      </c>
      <c r="C40" s="585"/>
      <c r="D40" s="585">
        <f t="shared" si="2"/>
        <v>0</v>
      </c>
      <c r="E40" s="584">
        <f>'Sources and Uses Budget'!S41</f>
        <v>0</v>
      </c>
      <c r="F40" s="585"/>
      <c r="G40" s="585">
        <f t="shared" si="3"/>
        <v>0</v>
      </c>
      <c r="H40" s="584">
        <f>'Sources and Uses Budget'!T41</f>
        <v>0</v>
      </c>
      <c r="I40" s="585"/>
      <c r="J40" s="585"/>
      <c r="K40" s="579"/>
    </row>
    <row r="41" spans="1:11" s="253" customFormat="1">
      <c r="A41" s="243" t="s">
        <v>923</v>
      </c>
      <c r="B41" s="584">
        <f>'Sources and Uses Budget'!C42</f>
        <v>998897</v>
      </c>
      <c r="C41" s="584">
        <f>SUM(C38:C40)</f>
        <v>0</v>
      </c>
      <c r="D41" s="584">
        <f>SUM(D38:D40)</f>
        <v>998897</v>
      </c>
      <c r="E41" s="584">
        <f>'Sources and Uses Budget'!S42</f>
        <v>998897</v>
      </c>
      <c r="F41" s="587">
        <f>SUM(F39:F40)</f>
        <v>0</v>
      </c>
      <c r="G41" s="587">
        <f>SUM(G39:G40)</f>
        <v>998897</v>
      </c>
      <c r="H41" s="584">
        <f>'Sources and Uses Budget'!T42</f>
        <v>0</v>
      </c>
      <c r="I41" s="587">
        <f>SUM(I39:I40)</f>
        <v>0</v>
      </c>
      <c r="J41" s="587">
        <f>SUM(J39:J40)</f>
        <v>0</v>
      </c>
      <c r="K41" s="579"/>
    </row>
    <row r="42" spans="1:11" s="253" customFormat="1">
      <c r="A42" s="243" t="s">
        <v>924</v>
      </c>
      <c r="B42" s="584">
        <f>'Sources and Uses Budget'!C43</f>
        <v>100000</v>
      </c>
      <c r="C42" s="585"/>
      <c r="D42" s="585">
        <f>+B42</f>
        <v>100000</v>
      </c>
      <c r="E42" s="584">
        <f>'Sources and Uses Budget'!S43</f>
        <v>100000</v>
      </c>
      <c r="F42" s="585"/>
      <c r="G42" s="585">
        <f t="shared" ref="G42" si="4">+E42</f>
        <v>100000</v>
      </c>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2283351</v>
      </c>
      <c r="C44" s="585"/>
      <c r="D44" s="585">
        <f t="shared" ref="D44:D51" si="5">+B44</f>
        <v>2283351</v>
      </c>
      <c r="E44" s="584">
        <f>'Sources and Uses Budget'!S45</f>
        <v>1655000</v>
      </c>
      <c r="F44" s="585"/>
      <c r="G44" s="585">
        <f t="shared" ref="G44:G51" si="6">+E44</f>
        <v>1655000</v>
      </c>
      <c r="H44" s="584">
        <f>'Sources and Uses Budget'!T45</f>
        <v>0</v>
      </c>
      <c r="I44" s="585"/>
      <c r="J44" s="585"/>
      <c r="K44" s="579"/>
    </row>
    <row r="45" spans="1:11" s="253" customFormat="1">
      <c r="A45" s="239" t="s">
        <v>927</v>
      </c>
      <c r="B45" s="584">
        <f>'Sources and Uses Budget'!C46</f>
        <v>344991</v>
      </c>
      <c r="C45" s="585"/>
      <c r="D45" s="585">
        <f t="shared" si="5"/>
        <v>344991</v>
      </c>
      <c r="E45" s="584">
        <f>'Sources and Uses Budget'!S46</f>
        <v>344991</v>
      </c>
      <c r="F45" s="585"/>
      <c r="G45" s="585">
        <f t="shared" si="6"/>
        <v>344991</v>
      </c>
      <c r="H45" s="584">
        <f>'Sources and Uses Budget'!T46</f>
        <v>0</v>
      </c>
      <c r="I45" s="585"/>
      <c r="J45" s="585"/>
      <c r="K45" s="579"/>
    </row>
    <row r="46" spans="1:11" s="253" customFormat="1" ht="12" customHeight="1">
      <c r="A46" s="239" t="s">
        <v>928</v>
      </c>
      <c r="B46" s="584">
        <f>'Sources and Uses Budget'!C47</f>
        <v>35000</v>
      </c>
      <c r="C46" s="585"/>
      <c r="D46" s="585">
        <f t="shared" si="5"/>
        <v>35000</v>
      </c>
      <c r="E46" s="584">
        <f>'Sources and Uses Budget'!S47</f>
        <v>35000</v>
      </c>
      <c r="F46" s="585"/>
      <c r="G46" s="585">
        <f t="shared" si="6"/>
        <v>35000</v>
      </c>
      <c r="H46" s="584">
        <f>'Sources and Uses Budget'!T47</f>
        <v>0</v>
      </c>
      <c r="I46" s="585"/>
      <c r="J46" s="585"/>
      <c r="K46" s="579"/>
    </row>
    <row r="47" spans="1:11" s="253" customFormat="1">
      <c r="A47" s="239" t="s">
        <v>929</v>
      </c>
      <c r="B47" s="584">
        <f>'Sources and Uses Budget'!C48</f>
        <v>0</v>
      </c>
      <c r="C47" s="585"/>
      <c r="D47" s="585">
        <f t="shared" si="5"/>
        <v>0</v>
      </c>
      <c r="E47" s="584">
        <f>'Sources and Uses Budget'!S48</f>
        <v>0</v>
      </c>
      <c r="F47" s="585"/>
      <c r="G47" s="585">
        <f t="shared" si="6"/>
        <v>0</v>
      </c>
      <c r="H47" s="584">
        <f>'Sources and Uses Budget'!T48</f>
        <v>0</v>
      </c>
      <c r="I47" s="585"/>
      <c r="J47" s="585"/>
      <c r="K47" s="579"/>
    </row>
    <row r="48" spans="1:11" s="253" customFormat="1">
      <c r="A48" s="239" t="s">
        <v>932</v>
      </c>
      <c r="B48" s="584">
        <f>'Sources and Uses Budget'!C49</f>
        <v>40000</v>
      </c>
      <c r="C48" s="585"/>
      <c r="D48" s="585">
        <f t="shared" si="5"/>
        <v>40000</v>
      </c>
      <c r="E48" s="584">
        <f>'Sources and Uses Budget'!S49</f>
        <v>40000</v>
      </c>
      <c r="F48" s="585"/>
      <c r="G48" s="585">
        <f t="shared" si="6"/>
        <v>40000</v>
      </c>
      <c r="H48" s="584">
        <f>'Sources and Uses Budget'!T49</f>
        <v>0</v>
      </c>
      <c r="I48" s="585"/>
      <c r="J48" s="585"/>
      <c r="K48" s="579"/>
    </row>
    <row r="49" spans="1:11" s="253" customFormat="1">
      <c r="A49" s="239" t="s">
        <v>930</v>
      </c>
      <c r="B49" s="584">
        <f>'Sources and Uses Budget'!C50</f>
        <v>14990</v>
      </c>
      <c r="C49" s="585"/>
      <c r="D49" s="585">
        <f t="shared" si="5"/>
        <v>14990</v>
      </c>
      <c r="E49" s="584">
        <f>'Sources and Uses Budget'!S50</f>
        <v>14990</v>
      </c>
      <c r="F49" s="585"/>
      <c r="G49" s="585">
        <f t="shared" si="6"/>
        <v>14990</v>
      </c>
      <c r="H49" s="584">
        <f>'Sources and Uses Budget'!T50</f>
        <v>0</v>
      </c>
      <c r="I49" s="585"/>
      <c r="J49" s="585"/>
      <c r="K49" s="579"/>
    </row>
    <row r="50" spans="1:11" s="253" customFormat="1">
      <c r="A50" s="239" t="s">
        <v>931</v>
      </c>
      <c r="B50" s="584">
        <f>'Sources and Uses Budget'!C51</f>
        <v>0</v>
      </c>
      <c r="C50" s="585"/>
      <c r="D50" s="585">
        <f t="shared" si="5"/>
        <v>0</v>
      </c>
      <c r="E50" s="584">
        <f>'Sources and Uses Budget'!S51</f>
        <v>0</v>
      </c>
      <c r="F50" s="585"/>
      <c r="G50" s="585">
        <f t="shared" si="6"/>
        <v>0</v>
      </c>
      <c r="H50" s="584">
        <f>'Sources and Uses Budget'!T51</f>
        <v>0</v>
      </c>
      <c r="I50" s="585"/>
      <c r="J50" s="585"/>
      <c r="K50" s="579"/>
    </row>
    <row r="51" spans="1:11" s="253" customFormat="1">
      <c r="A51" s="239" t="str">
        <f>'Sources and Uses Budget'!$A52</f>
        <v>Inspection Fees</v>
      </c>
      <c r="B51" s="584">
        <f>'Sources and Uses Budget'!C52</f>
        <v>20000</v>
      </c>
      <c r="C51" s="585"/>
      <c r="D51" s="585">
        <f t="shared" si="5"/>
        <v>20000</v>
      </c>
      <c r="E51" s="584">
        <f>'Sources and Uses Budget'!S52</f>
        <v>20000</v>
      </c>
      <c r="F51" s="585"/>
      <c r="G51" s="585">
        <f t="shared" si="6"/>
        <v>20000</v>
      </c>
      <c r="H51" s="584">
        <f>'Sources and Uses Budget'!T52</f>
        <v>0</v>
      </c>
      <c r="I51" s="585"/>
      <c r="J51" s="585"/>
      <c r="K51" s="579"/>
    </row>
    <row r="52" spans="1:11" s="577" customFormat="1">
      <c r="A52" s="243" t="s">
        <v>933</v>
      </c>
      <c r="B52" s="584">
        <f>'Sources and Uses Budget'!C53</f>
        <v>2738332</v>
      </c>
      <c r="C52" s="587">
        <f>SUM(C44:C51)</f>
        <v>0</v>
      </c>
      <c r="D52" s="587">
        <f>SUM(D44:D51)</f>
        <v>2738332</v>
      </c>
      <c r="E52" s="584">
        <f>'Sources and Uses Budget'!S53</f>
        <v>2109981</v>
      </c>
      <c r="F52" s="587">
        <f>SUM(F44:F51)</f>
        <v>0</v>
      </c>
      <c r="G52" s="587">
        <f>SUM(G44:G51)</f>
        <v>2109981</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c r="D55" s="585">
        <f t="shared" ref="D55:D57" si="7">+B55</f>
        <v>10000</v>
      </c>
      <c r="E55" s="586"/>
      <c r="F55" s="586"/>
      <c r="G55" s="586"/>
      <c r="H55" s="586"/>
      <c r="I55" s="586"/>
      <c r="J55" s="586"/>
      <c r="K55" s="579"/>
    </row>
    <row r="56" spans="1:11" s="253" customFormat="1">
      <c r="A56" s="239" t="s">
        <v>932</v>
      </c>
      <c r="B56" s="584">
        <f>'Sources and Uses Budget'!C57</f>
        <v>5000</v>
      </c>
      <c r="C56" s="585"/>
      <c r="D56" s="585">
        <f t="shared" si="7"/>
        <v>5000</v>
      </c>
      <c r="E56" s="586"/>
      <c r="F56" s="586"/>
      <c r="G56" s="586"/>
      <c r="H56" s="586"/>
      <c r="I56" s="586"/>
      <c r="J56" s="586"/>
      <c r="K56" s="579"/>
    </row>
    <row r="57" spans="1:11" s="253" customFormat="1">
      <c r="A57" s="239" t="s">
        <v>930</v>
      </c>
      <c r="B57" s="584">
        <f>'Sources and Uses Budget'!C58</f>
        <v>0</v>
      </c>
      <c r="C57" s="585"/>
      <c r="D57" s="585">
        <f t="shared" si="7"/>
        <v>0</v>
      </c>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15000</v>
      </c>
      <c r="C60" s="584">
        <f>SUM(C54:C59)</f>
        <v>0</v>
      </c>
      <c r="D60" s="584">
        <f>SUM(D54:D59)</f>
        <v>15000</v>
      </c>
      <c r="E60" s="586"/>
      <c r="F60" s="586"/>
      <c r="G60" s="586"/>
      <c r="H60" s="586"/>
      <c r="I60" s="586"/>
      <c r="J60" s="586"/>
      <c r="K60" s="579"/>
    </row>
    <row r="61" spans="1:11" s="253" customFormat="1">
      <c r="A61" s="249" t="s">
        <v>501</v>
      </c>
      <c r="B61" s="584">
        <f>'Sources and Uses Budget'!C62</f>
        <v>25428489</v>
      </c>
      <c r="C61" s="584">
        <f>SUM(C8+C11+C13+C14+C15+C25+C26+C37+C41+C42+C52+C60)</f>
        <v>0</v>
      </c>
      <c r="D61" s="584">
        <f>SUM(D8+D11+D13+D14+D15+D25+D26+D37+D41+D42+D52+D60)</f>
        <v>25428489</v>
      </c>
      <c r="E61" s="584">
        <f>'Sources and Uses Budget'!S62</f>
        <v>24035638</v>
      </c>
      <c r="F61" s="584">
        <f>SUM(F10+F13+F14+F15+F25+F26+F37+F41+F42+F52)</f>
        <v>0</v>
      </c>
      <c r="G61" s="584">
        <f>SUM(G10+G13+G14+G15+G25+G26+G37+G41+G42+G52)</f>
        <v>24035638</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80000</v>
      </c>
      <c r="C63" s="585"/>
      <c r="D63" s="585">
        <f t="shared" ref="D63" si="8">+B63</f>
        <v>80000</v>
      </c>
      <c r="E63" s="584">
        <f>'Sources and Uses Budget'!S64</f>
        <v>80000</v>
      </c>
      <c r="F63" s="585"/>
      <c r="G63" s="585">
        <f t="shared" ref="G63" si="9">+E63</f>
        <v>80000</v>
      </c>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Borrower's Attorney</v>
      </c>
      <c r="B67" s="584">
        <f>'Sources and Uses Budget'!C68</f>
        <v>50000</v>
      </c>
      <c r="C67" s="585"/>
      <c r="D67" s="585">
        <f t="shared" ref="D67" si="10">+B67</f>
        <v>50000</v>
      </c>
      <c r="E67" s="584">
        <f>'Sources and Uses Budget'!S68</f>
        <v>50000</v>
      </c>
      <c r="F67" s="585"/>
      <c r="G67" s="585">
        <f t="shared" ref="G67" si="11">+E67</f>
        <v>50000</v>
      </c>
      <c r="H67" s="584">
        <f>'Sources and Uses Budget'!T68</f>
        <v>0</v>
      </c>
      <c r="I67" s="585"/>
      <c r="J67" s="585"/>
      <c r="K67" s="579"/>
    </row>
    <row r="68" spans="1:11" s="253" customFormat="1">
      <c r="A68" s="243" t="s">
        <v>1960</v>
      </c>
      <c r="B68" s="584">
        <f>'Sources and Uses Budget'!C69</f>
        <v>130000</v>
      </c>
      <c r="C68" s="584">
        <f>SUM(C62:C67)</f>
        <v>0</v>
      </c>
      <c r="D68" s="584">
        <f>SUM(D62:D67)</f>
        <v>130000</v>
      </c>
      <c r="E68" s="584">
        <f>'Sources and Uses Budget'!S69</f>
        <v>130000</v>
      </c>
      <c r="F68" s="587">
        <f>SUM(F63:F67)</f>
        <v>0</v>
      </c>
      <c r="G68" s="587">
        <f>SUM(G63:G67)</f>
        <v>130000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30000</v>
      </c>
      <c r="C70" s="585"/>
      <c r="D70" s="585">
        <f t="shared" ref="D70:D74" si="12">+B70</f>
        <v>30000</v>
      </c>
      <c r="E70" s="586"/>
      <c r="F70" s="586"/>
      <c r="G70" s="586"/>
      <c r="H70" s="586"/>
      <c r="I70" s="586"/>
      <c r="J70" s="586"/>
      <c r="K70" s="579"/>
    </row>
    <row r="71" spans="1:11" s="253" customFormat="1">
      <c r="A71" s="239" t="s">
        <v>287</v>
      </c>
      <c r="B71" s="584">
        <f>'Sources and Uses Budget'!C72</f>
        <v>0</v>
      </c>
      <c r="C71" s="585"/>
      <c r="D71" s="585">
        <f t="shared" si="12"/>
        <v>0</v>
      </c>
      <c r="E71" s="586"/>
      <c r="F71" s="586"/>
      <c r="G71" s="586"/>
      <c r="H71" s="586"/>
      <c r="I71" s="586"/>
      <c r="J71" s="586"/>
      <c r="K71" s="579"/>
    </row>
    <row r="72" spans="1:11" s="253" customFormat="1">
      <c r="A72" s="456" t="s">
        <v>1239</v>
      </c>
      <c r="B72" s="584">
        <f>'Sources and Uses Budget'!C73</f>
        <v>0</v>
      </c>
      <c r="C72" s="585"/>
      <c r="D72" s="585">
        <f t="shared" si="12"/>
        <v>0</v>
      </c>
      <c r="E72" s="586"/>
      <c r="F72" s="586"/>
      <c r="G72" s="586"/>
      <c r="H72" s="586"/>
      <c r="I72" s="586"/>
      <c r="J72" s="586"/>
      <c r="K72" s="579"/>
    </row>
    <row r="73" spans="1:11" s="253" customFormat="1">
      <c r="A73" s="239" t="s">
        <v>288</v>
      </c>
      <c r="B73" s="584">
        <f>'Sources and Uses Budget'!C74</f>
        <v>209528</v>
      </c>
      <c r="C73" s="585"/>
      <c r="D73" s="585">
        <f t="shared" si="12"/>
        <v>209528</v>
      </c>
      <c r="E73" s="586"/>
      <c r="F73" s="586"/>
      <c r="G73" s="586"/>
      <c r="H73" s="586"/>
      <c r="I73" s="586"/>
      <c r="J73" s="586"/>
      <c r="K73" s="579"/>
    </row>
    <row r="74" spans="1:11" s="253" customFormat="1">
      <c r="A74" s="239" t="str">
        <f>'Sources and Uses Budget'!$A75</f>
        <v>Other: (Specify)</v>
      </c>
      <c r="B74" s="584">
        <f>'Sources and Uses Budget'!C75</f>
        <v>0</v>
      </c>
      <c r="C74" s="585"/>
      <c r="D74" s="585">
        <f t="shared" si="12"/>
        <v>0</v>
      </c>
      <c r="E74" s="586"/>
      <c r="F74" s="586"/>
      <c r="G74" s="586"/>
      <c r="H74" s="586"/>
      <c r="I74" s="586"/>
      <c r="J74" s="586"/>
      <c r="K74" s="579"/>
    </row>
    <row r="75" spans="1:11" s="253" customFormat="1">
      <c r="A75" s="243" t="s">
        <v>289</v>
      </c>
      <c r="B75" s="584">
        <f>'Sources and Uses Budget'!C76</f>
        <v>239528</v>
      </c>
      <c r="C75" s="584">
        <f>SUM(C70:C74)</f>
        <v>0</v>
      </c>
      <c r="D75" s="584">
        <f>SUM(D70:D74)</f>
        <v>239528</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1041338</v>
      </c>
      <c r="C77" s="585"/>
      <c r="D77" s="585">
        <f t="shared" ref="D77:D78" si="13">+B77</f>
        <v>1041338</v>
      </c>
      <c r="E77" s="584">
        <f>'Sources and Uses Budget'!S78</f>
        <v>1041338</v>
      </c>
      <c r="F77" s="585"/>
      <c r="G77" s="585">
        <f t="shared" ref="G77:G78" si="14">+E77</f>
        <v>1041338</v>
      </c>
      <c r="H77" s="584">
        <f>'Sources and Uses Budget'!T78</f>
        <v>0</v>
      </c>
      <c r="I77" s="585"/>
      <c r="J77" s="585"/>
      <c r="K77" s="579"/>
    </row>
    <row r="78" spans="1:11" s="253" customFormat="1">
      <c r="A78" s="239" t="s">
        <v>538</v>
      </c>
      <c r="B78" s="584">
        <f>'Sources and Uses Budget'!C79</f>
        <v>200496</v>
      </c>
      <c r="C78" s="585"/>
      <c r="D78" s="585">
        <f t="shared" si="13"/>
        <v>200496</v>
      </c>
      <c r="E78" s="584">
        <f>'Sources and Uses Budget'!S79</f>
        <v>200496</v>
      </c>
      <c r="F78" s="585"/>
      <c r="G78" s="585">
        <f t="shared" si="14"/>
        <v>200496</v>
      </c>
      <c r="H78" s="584">
        <f>'Sources and Uses Budget'!T79</f>
        <v>0</v>
      </c>
      <c r="I78" s="585"/>
      <c r="J78" s="585"/>
      <c r="K78" s="579"/>
    </row>
    <row r="79" spans="1:11" s="253" customFormat="1">
      <c r="A79" s="243" t="s">
        <v>1743</v>
      </c>
      <c r="B79" s="584">
        <f>'Sources and Uses Budget'!C80</f>
        <v>1241834</v>
      </c>
      <c r="C79" s="667">
        <f>SUM(C77:C78)</f>
        <v>0</v>
      </c>
      <c r="D79" s="667">
        <f>SUM(D77:D78)</f>
        <v>1241834</v>
      </c>
      <c r="E79" s="584">
        <f>'Sources and Uses Budget'!S80</f>
        <v>1241834</v>
      </c>
      <c r="F79" s="667">
        <f>SUM(F77:F78)</f>
        <v>0</v>
      </c>
      <c r="G79" s="667">
        <f>SUM(G77:G78)</f>
        <v>1241834</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148883</v>
      </c>
      <c r="C81" s="585"/>
      <c r="D81" s="585">
        <f t="shared" ref="D81:D93" si="15">+B81</f>
        <v>148883</v>
      </c>
      <c r="E81" s="586"/>
      <c r="F81" s="586"/>
      <c r="G81" s="586"/>
      <c r="H81" s="586"/>
      <c r="I81" s="586"/>
      <c r="J81" s="586"/>
      <c r="K81" s="579"/>
    </row>
    <row r="82" spans="1:11" s="253" customFormat="1">
      <c r="A82" s="239" t="s">
        <v>516</v>
      </c>
      <c r="B82" s="584">
        <f>'Sources and Uses Budget'!C83</f>
        <v>50000</v>
      </c>
      <c r="C82" s="585"/>
      <c r="D82" s="585">
        <f t="shared" si="15"/>
        <v>50000</v>
      </c>
      <c r="E82" s="584">
        <f>'Sources and Uses Budget'!S83</f>
        <v>50000</v>
      </c>
      <c r="F82" s="585"/>
      <c r="G82" s="585">
        <f t="shared" ref="G82:G85" si="16">+E82</f>
        <v>50000</v>
      </c>
      <c r="H82" s="584">
        <f>'Sources and Uses Budget'!T83</f>
        <v>0</v>
      </c>
      <c r="I82" s="585"/>
      <c r="J82" s="585"/>
      <c r="K82" s="579"/>
    </row>
    <row r="83" spans="1:11" s="253" customFormat="1">
      <c r="A83" s="239" t="s">
        <v>517</v>
      </c>
      <c r="B83" s="584">
        <f>'Sources and Uses Budget'!C84</f>
        <v>1010546</v>
      </c>
      <c r="C83" s="585"/>
      <c r="D83" s="585">
        <f t="shared" si="15"/>
        <v>1010546</v>
      </c>
      <c r="E83" s="584">
        <f>'Sources and Uses Budget'!S84</f>
        <v>1010546</v>
      </c>
      <c r="F83" s="585"/>
      <c r="G83" s="585">
        <f t="shared" si="16"/>
        <v>1010546</v>
      </c>
      <c r="H83" s="584">
        <f>'Sources and Uses Budget'!T84</f>
        <v>0</v>
      </c>
      <c r="I83" s="585"/>
      <c r="J83" s="585"/>
      <c r="K83" s="579"/>
    </row>
    <row r="84" spans="1:11" s="253" customFormat="1">
      <c r="A84" s="239" t="s">
        <v>518</v>
      </c>
      <c r="B84" s="584">
        <f>'Sources and Uses Budget'!C85</f>
        <v>850000</v>
      </c>
      <c r="C84" s="585"/>
      <c r="D84" s="585">
        <f t="shared" si="15"/>
        <v>850000</v>
      </c>
      <c r="E84" s="584">
        <f>'Sources and Uses Budget'!S85</f>
        <v>850000</v>
      </c>
      <c r="F84" s="585"/>
      <c r="G84" s="585">
        <f t="shared" si="16"/>
        <v>850000</v>
      </c>
      <c r="H84" s="584">
        <f>'Sources and Uses Budget'!T85</f>
        <v>0</v>
      </c>
      <c r="I84" s="585"/>
      <c r="J84" s="585"/>
      <c r="K84" s="579"/>
    </row>
    <row r="85" spans="1:11" s="253" customFormat="1">
      <c r="A85" s="239" t="s">
        <v>519</v>
      </c>
      <c r="B85" s="584">
        <f>'Sources and Uses Budget'!C86</f>
        <v>0</v>
      </c>
      <c r="C85" s="585"/>
      <c r="D85" s="585">
        <f t="shared" si="15"/>
        <v>0</v>
      </c>
      <c r="E85" s="584">
        <f>'Sources and Uses Budget'!S86</f>
        <v>0</v>
      </c>
      <c r="F85" s="585"/>
      <c r="G85" s="585">
        <f t="shared" si="16"/>
        <v>0</v>
      </c>
      <c r="H85" s="584">
        <f>'Sources and Uses Budget'!T86</f>
        <v>0</v>
      </c>
      <c r="I85" s="585"/>
      <c r="J85" s="585"/>
      <c r="K85" s="579"/>
    </row>
    <row r="86" spans="1:11" s="253" customFormat="1">
      <c r="A86" s="239" t="s">
        <v>520</v>
      </c>
      <c r="B86" s="584">
        <f>'Sources and Uses Budget'!C87</f>
        <v>54758</v>
      </c>
      <c r="C86" s="585"/>
      <c r="D86" s="585">
        <f t="shared" si="15"/>
        <v>54758</v>
      </c>
      <c r="E86" s="586"/>
      <c r="F86" s="586"/>
      <c r="G86" s="586"/>
      <c r="H86" s="586"/>
      <c r="I86" s="586"/>
      <c r="J86" s="586"/>
      <c r="K86" s="579"/>
    </row>
    <row r="87" spans="1:11" s="253" customFormat="1">
      <c r="A87" s="239" t="s">
        <v>521</v>
      </c>
      <c r="B87" s="584">
        <f>'Sources and Uses Budget'!C88</f>
        <v>65000</v>
      </c>
      <c r="C87" s="585"/>
      <c r="D87" s="585">
        <f t="shared" si="15"/>
        <v>65000</v>
      </c>
      <c r="E87" s="584">
        <f>'Sources and Uses Budget'!S88</f>
        <v>65000</v>
      </c>
      <c r="F87" s="585"/>
      <c r="G87" s="585">
        <f t="shared" ref="G87:G93" si="17">+E87</f>
        <v>65000</v>
      </c>
      <c r="H87" s="584">
        <f>'Sources and Uses Budget'!T88</f>
        <v>0</v>
      </c>
      <c r="I87" s="585"/>
      <c r="J87" s="585"/>
      <c r="K87" s="579"/>
    </row>
    <row r="88" spans="1:11" s="253" customFormat="1">
      <c r="A88" s="239" t="s">
        <v>522</v>
      </c>
      <c r="B88" s="584">
        <f>'Sources and Uses Budget'!C89</f>
        <v>10000</v>
      </c>
      <c r="C88" s="585"/>
      <c r="D88" s="585">
        <f t="shared" si="15"/>
        <v>10000</v>
      </c>
      <c r="E88" s="584">
        <f>'Sources and Uses Budget'!S89</f>
        <v>10000</v>
      </c>
      <c r="F88" s="585"/>
      <c r="G88" s="585">
        <f t="shared" si="17"/>
        <v>10000</v>
      </c>
      <c r="H88" s="584">
        <f>'Sources and Uses Budget'!T89</f>
        <v>0</v>
      </c>
      <c r="I88" s="585"/>
      <c r="J88" s="585"/>
      <c r="K88" s="579"/>
    </row>
    <row r="89" spans="1:11" s="253" customFormat="1">
      <c r="A89" s="239" t="s">
        <v>1315</v>
      </c>
      <c r="B89" s="584">
        <f>'Sources and Uses Budget'!C90</f>
        <v>45000</v>
      </c>
      <c r="C89" s="585"/>
      <c r="D89" s="585">
        <f t="shared" si="15"/>
        <v>45000</v>
      </c>
      <c r="E89" s="584">
        <f>'Sources and Uses Budget'!S90</f>
        <v>45000</v>
      </c>
      <c r="F89" s="585"/>
      <c r="G89" s="585">
        <f t="shared" si="17"/>
        <v>45000</v>
      </c>
      <c r="H89" s="584">
        <f>'Sources and Uses Budget'!T90</f>
        <v>0</v>
      </c>
      <c r="I89" s="585"/>
      <c r="J89" s="585"/>
      <c r="K89" s="579"/>
    </row>
    <row r="90" spans="1:11" s="253" customFormat="1">
      <c r="A90" s="239" t="s">
        <v>1741</v>
      </c>
      <c r="B90" s="584">
        <f>'Sources and Uses Budget'!C91</f>
        <v>11450</v>
      </c>
      <c r="C90" s="585"/>
      <c r="D90" s="585">
        <f t="shared" si="15"/>
        <v>11450</v>
      </c>
      <c r="E90" s="584">
        <f>'Sources and Uses Budget'!S91</f>
        <v>11450</v>
      </c>
      <c r="F90" s="585"/>
      <c r="G90" s="585">
        <f t="shared" si="17"/>
        <v>11450</v>
      </c>
      <c r="H90" s="584">
        <f>'Sources and Uses Budget'!T91</f>
        <v>0</v>
      </c>
      <c r="I90" s="585"/>
      <c r="J90" s="585"/>
      <c r="K90" s="579"/>
    </row>
    <row r="91" spans="1:11" s="253" customFormat="1">
      <c r="A91" s="239" t="str">
        <f>'Sources and Uses Budget'!$A92</f>
        <v>PG&amp;E Fees</v>
      </c>
      <c r="B91" s="584">
        <f>'Sources and Uses Budget'!C92</f>
        <v>175000</v>
      </c>
      <c r="C91" s="585"/>
      <c r="D91" s="585">
        <f t="shared" si="15"/>
        <v>175000</v>
      </c>
      <c r="E91" s="584">
        <f>'Sources and Uses Budget'!S92</f>
        <v>175000</v>
      </c>
      <c r="F91" s="585"/>
      <c r="G91" s="585">
        <f t="shared" si="17"/>
        <v>175000</v>
      </c>
      <c r="H91" s="584">
        <f>'Sources and Uses Budget'!T92</f>
        <v>0</v>
      </c>
      <c r="I91" s="585"/>
      <c r="J91" s="585"/>
      <c r="K91" s="579"/>
    </row>
    <row r="92" spans="1:11" s="253" customFormat="1">
      <c r="A92" s="239" t="str">
        <f>'Sources and Uses Budget'!$A93</f>
        <v>Other: (Specify)</v>
      </c>
      <c r="B92" s="584">
        <f>'Sources and Uses Budget'!C93</f>
        <v>0</v>
      </c>
      <c r="C92" s="585"/>
      <c r="D92" s="585">
        <f t="shared" si="15"/>
        <v>0</v>
      </c>
      <c r="E92" s="584">
        <f>'Sources and Uses Budget'!S93</f>
        <v>0</v>
      </c>
      <c r="F92" s="585"/>
      <c r="G92" s="585">
        <f t="shared" si="17"/>
        <v>0</v>
      </c>
      <c r="H92" s="584">
        <f>'Sources and Uses Budget'!T93</f>
        <v>0</v>
      </c>
      <c r="I92" s="585"/>
      <c r="J92" s="585"/>
      <c r="K92" s="579"/>
    </row>
    <row r="93" spans="1:11" s="253" customFormat="1">
      <c r="A93" s="239" t="str">
        <f>'Sources and Uses Budget'!$A94</f>
        <v>Other: (Specify)</v>
      </c>
      <c r="B93" s="584">
        <f>'Sources and Uses Budget'!C94</f>
        <v>0</v>
      </c>
      <c r="C93" s="585"/>
      <c r="D93" s="585">
        <f t="shared" si="15"/>
        <v>0</v>
      </c>
      <c r="E93" s="584">
        <f>'Sources and Uses Budget'!S94</f>
        <v>0</v>
      </c>
      <c r="F93" s="585"/>
      <c r="G93" s="585">
        <f t="shared" si="17"/>
        <v>0</v>
      </c>
      <c r="H93" s="584">
        <f>'Sources and Uses Budget'!T94</f>
        <v>0</v>
      </c>
      <c r="I93" s="585"/>
      <c r="J93" s="585"/>
      <c r="K93" s="579"/>
    </row>
    <row r="94" spans="1:11" s="253" customFormat="1">
      <c r="A94" s="243" t="s">
        <v>523</v>
      </c>
      <c r="B94" s="584">
        <f>'Sources and Uses Budget'!C95</f>
        <v>2420637</v>
      </c>
      <c r="C94" s="584">
        <f>SUM(C81:C93)</f>
        <v>0</v>
      </c>
      <c r="D94" s="584">
        <f>SUM(D81:D93)</f>
        <v>2420637</v>
      </c>
      <c r="E94" s="584">
        <f>'Sources and Uses Budget'!S95</f>
        <v>2216996</v>
      </c>
      <c r="F94" s="587">
        <f>SUM(F82:F85,F87:F93)</f>
        <v>0</v>
      </c>
      <c r="G94" s="587">
        <f>SUM(G82:G85,G87:G93)</f>
        <v>2216996</v>
      </c>
      <c r="H94" s="584">
        <f>'Sources and Uses Budget'!T95</f>
        <v>0</v>
      </c>
      <c r="I94" s="584">
        <f>SUM(I82:I85,I87:I93)</f>
        <v>0</v>
      </c>
      <c r="J94" s="584">
        <f>SUM(J82:J85,J87:J93)</f>
        <v>0</v>
      </c>
      <c r="K94" s="579"/>
    </row>
    <row r="95" spans="1:11" s="253" customFormat="1">
      <c r="A95" s="243" t="s">
        <v>1356</v>
      </c>
      <c r="B95" s="584">
        <f>'Sources and Uses Budget'!C96</f>
        <v>29460488</v>
      </c>
      <c r="C95" s="584">
        <f>SUM(C61+C68+C75+C79+C94)</f>
        <v>0</v>
      </c>
      <c r="D95" s="584">
        <f>SUM(D61+D68+D75+D79+D94)</f>
        <v>29460488</v>
      </c>
      <c r="E95" s="584">
        <f>'Sources and Uses Budget'!S96</f>
        <v>27624468</v>
      </c>
      <c r="F95" s="587">
        <f>SUM(+F61+F68+F79+F94)</f>
        <v>0</v>
      </c>
      <c r="G95" s="587">
        <f>SUM(+G61+G68+G79+G94)</f>
        <v>27624468</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f t="shared" ref="D97" si="18">+B97</f>
        <v>2500000</v>
      </c>
      <c r="E97" s="584">
        <f>'Sources and Uses Budget'!S98</f>
        <v>2500000</v>
      </c>
      <c r="F97" s="585"/>
      <c r="G97" s="585">
        <f t="shared" ref="G97" si="19">+E97</f>
        <v>2500000</v>
      </c>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2500000</v>
      </c>
      <c r="E102" s="584">
        <f>'Sources and Uses Budget'!S103</f>
        <v>2500000</v>
      </c>
      <c r="F102" s="587">
        <f>SUM(F97:F101)</f>
        <v>0</v>
      </c>
      <c r="G102" s="587">
        <f>SUM(G97:G101)</f>
        <v>2500000</v>
      </c>
      <c r="H102" s="584">
        <f>'Sources and Uses Budget'!T103</f>
        <v>0</v>
      </c>
      <c r="I102" s="587">
        <f>SUM(I97:I101)</f>
        <v>0</v>
      </c>
      <c r="J102" s="587">
        <f>SUM(J97:J101)</f>
        <v>0</v>
      </c>
      <c r="K102" s="579"/>
    </row>
    <row r="103" spans="1:11" s="253" customFormat="1">
      <c r="A103" s="243" t="s">
        <v>1357</v>
      </c>
      <c r="B103" s="584">
        <f>'Sources and Uses Budget'!C104</f>
        <v>31960488</v>
      </c>
      <c r="C103" s="587">
        <f>SUM(C95+C102)</f>
        <v>0</v>
      </c>
      <c r="D103" s="587">
        <f>SUM(D95+D102)</f>
        <v>31960488</v>
      </c>
      <c r="E103" s="584">
        <f>'Sources and Uses Budget'!S104</f>
        <v>30124468</v>
      </c>
      <c r="F103" s="587">
        <f>F95+F102</f>
        <v>0</v>
      </c>
      <c r="G103" s="587">
        <f>G95+G102</f>
        <v>30124468</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30124468</v>
      </c>
      <c r="F105" s="587">
        <f>F103+F104</f>
        <v>0</v>
      </c>
      <c r="G105" s="587">
        <f>G103+G104</f>
        <v>30124468</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7" workbookViewId="0">
      <selection activeCell="C650" sqref="C650:D65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364</v>
      </c>
      <c r="AF4" s="1718"/>
      <c r="AG4" s="1718"/>
      <c r="AH4" s="1718"/>
      <c r="AI4" s="1718"/>
      <c r="AJ4" s="1718"/>
      <c r="AK4" s="1718"/>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
        <v>2343</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3" t="s">
        <v>1243</v>
      </c>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3" t="s">
        <v>1119</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2210</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3" t="s">
        <v>2392</v>
      </c>
      <c r="C35" s="1643"/>
      <c r="D35" s="1643"/>
      <c r="E35" s="1643"/>
      <c r="F35" s="1643"/>
      <c r="G35" s="1643"/>
      <c r="H35" s="1643"/>
      <c r="I35" s="1643"/>
      <c r="J35" s="1643"/>
      <c r="K35" s="1643"/>
      <c r="L35" s="1643"/>
      <c r="M35" s="1643"/>
      <c r="N35" s="1643"/>
      <c r="O35" s="1643"/>
      <c r="P35" s="1643"/>
      <c r="Q35" s="1643"/>
      <c r="R35" s="1643"/>
      <c r="S35" s="1643"/>
      <c r="T35" s="1643"/>
      <c r="U35" s="1643"/>
      <c r="V35" s="1643"/>
      <c r="W35" s="1643"/>
      <c r="X35" s="1643"/>
      <c r="Y35" s="1643"/>
      <c r="Z35" s="1643"/>
      <c r="AA35" s="1643"/>
      <c r="AB35" s="1643"/>
      <c r="AC35" s="164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3" t="s">
        <v>1247</v>
      </c>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1119</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2203</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364</v>
      </c>
      <c r="AF64" s="1718"/>
      <c r="AG64" s="1718"/>
      <c r="AH64" s="1718"/>
      <c r="AI64" s="1718"/>
      <c r="AJ64" s="1718"/>
      <c r="AK64" s="171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3" t="s">
        <v>663</v>
      </c>
      <c r="C66" s="1643"/>
      <c r="D66" s="1643"/>
      <c r="E66" s="1643"/>
      <c r="F66" s="1643"/>
      <c r="G66" s="1643"/>
      <c r="H66" s="1643"/>
      <c r="I66" s="1643"/>
      <c r="J66" s="1643"/>
      <c r="K66" s="1643"/>
      <c r="AF66" s="1706" t="s">
        <v>938</v>
      </c>
      <c r="AG66" s="1706"/>
      <c r="AH66" s="1706"/>
      <c r="AI66" s="1706"/>
      <c r="AJ66" s="1706"/>
      <c r="AK66" s="1706"/>
      <c r="AL66" s="1706"/>
      <c r="AN66" s="281"/>
      <c r="AP66" s="4" t="s">
        <v>124</v>
      </c>
      <c r="AS66" s="4" t="s">
        <v>665</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2118</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731</v>
      </c>
      <c r="I112" s="1807"/>
      <c r="J112" s="116"/>
      <c r="K112" s="116"/>
      <c r="L112" s="116"/>
      <c r="M112" s="937" t="s">
        <v>2102</v>
      </c>
      <c r="R112" s="1811" t="s">
        <v>2222</v>
      </c>
      <c r="S112" s="1811"/>
      <c r="T112" s="1811"/>
      <c r="U112" s="1811"/>
      <c r="V112" s="1811"/>
      <c r="W112" s="1811"/>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5"/>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5"/>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46" t="s">
        <v>2251</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3" t="s">
        <v>124</v>
      </c>
      <c r="C120" s="1643"/>
      <c r="D120" s="49"/>
      <c r="E120" s="1670" t="s">
        <v>1770</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8" t="s">
        <v>1839</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197</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2</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124</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0</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5" t="s">
        <v>59</v>
      </c>
      <c r="AG156" s="1465"/>
      <c r="AH156" s="1465"/>
      <c r="AI156" s="1465"/>
      <c r="AJ156" s="1465"/>
      <c r="AK156" s="1465"/>
      <c r="AL156" s="1465"/>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1714</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5" t="s">
        <v>60</v>
      </c>
      <c r="AG160" s="1465"/>
      <c r="AH160" s="1465"/>
      <c r="AI160" s="1465"/>
      <c r="AJ160" s="1465"/>
      <c r="AK160" s="1465"/>
      <c r="AL160" s="1465"/>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0" t="s">
        <v>1715</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5" t="s">
        <v>61</v>
      </c>
      <c r="AG164" s="1465"/>
      <c r="AH164" s="1465"/>
      <c r="AI164" s="1465"/>
      <c r="AJ164" s="1465"/>
      <c r="AK164" s="1465"/>
      <c r="AL164" s="1465"/>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5"/>
      <c r="AF165" s="1465"/>
      <c r="AG165" s="1465"/>
      <c r="AH165" s="1465"/>
      <c r="AI165" s="1465"/>
      <c r="AJ165" s="1465"/>
      <c r="AK165" s="1465"/>
      <c r="AL165" s="967"/>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0" t="s">
        <v>1716</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5" t="s">
        <v>60</v>
      </c>
      <c r="AG168" s="1465"/>
      <c r="AH168" s="1465"/>
      <c r="AI168" s="1465"/>
      <c r="AJ168" s="1465"/>
      <c r="AK168" s="1465"/>
      <c r="AL168" s="1465"/>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0" t="s">
        <v>1717</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5" t="s">
        <v>103</v>
      </c>
      <c r="AG176" s="1465"/>
      <c r="AH176" s="1465"/>
      <c r="AI176" s="1465"/>
      <c r="AJ176" s="1465"/>
      <c r="AK176" s="1465"/>
      <c r="AL176" s="1465"/>
      <c r="AM176" s="20"/>
      <c r="AN176" s="281"/>
      <c r="AO176" s="26" t="s">
        <v>281</v>
      </c>
      <c r="AP176" s="4">
        <v>1</v>
      </c>
    </row>
    <row r="177" spans="1:61" s="4" customFormat="1" ht="22.9"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5" t="s">
        <v>318</v>
      </c>
      <c r="AG179" s="1465"/>
      <c r="AH179" s="1465"/>
      <c r="AI179" s="1465"/>
      <c r="AJ179" s="1465"/>
      <c r="AK179" s="1465"/>
      <c r="AL179" s="1465"/>
      <c r="AM179" s="20"/>
      <c r="AN179" s="281"/>
    </row>
    <row r="180" spans="1:61" s="4" customFormat="1" ht="22.9"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581</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5</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4" t="s">
        <v>2315</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2" t="s">
        <v>61</v>
      </c>
      <c r="AG188" s="1302"/>
      <c r="AH188" s="1302"/>
      <c r="AI188" s="1302"/>
      <c r="AJ188" s="1302"/>
      <c r="AK188" s="1302"/>
      <c r="AL188" s="1302"/>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2237</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5" t="s">
        <v>61</v>
      </c>
      <c r="AG191" s="1465"/>
      <c r="AH191" s="1465"/>
      <c r="AI191" s="1465"/>
      <c r="AJ191" s="1465"/>
      <c r="AK191" s="1465"/>
      <c r="AL191" s="1465"/>
      <c r="AN191" s="281"/>
      <c r="AO191" s="26" t="s">
        <v>581</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5"/>
      <c r="AG192" s="1465"/>
      <c r="AH192" s="1465"/>
      <c r="AI192" s="1465"/>
      <c r="AJ192" s="1465"/>
      <c r="AK192" s="1465"/>
      <c r="AL192" s="1465"/>
      <c r="AN192" s="281"/>
      <c r="AO192" s="26" t="s">
        <v>197</v>
      </c>
      <c r="AP192" s="26">
        <f>3*$AO$197</f>
        <v>3</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890</v>
      </c>
      <c r="AP193" s="26">
        <f>2*$AO$197</f>
        <v>2</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0" t="s">
        <v>2238</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5" t="s">
        <v>103</v>
      </c>
      <c r="AG196" s="1465"/>
      <c r="AH196" s="1465"/>
      <c r="AI196" s="1465"/>
      <c r="AJ196" s="1465"/>
      <c r="AK196" s="1465"/>
      <c r="AL196" s="1465"/>
      <c r="AN196" s="281"/>
      <c r="AY196" s="4" t="s">
        <v>2239</v>
      </c>
      <c r="AZ196" s="959">
        <f>Application!AC215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5"/>
      <c r="AG197" s="1465"/>
      <c r="AH197" s="1465"/>
      <c r="AI197" s="1465"/>
      <c r="AJ197" s="1465"/>
      <c r="AK197" s="1465"/>
      <c r="AL197" s="1465"/>
      <c r="AN197" s="281"/>
      <c r="AO197" s="127" t="b">
        <f>IF(AND(OR(Application!D214="Special Needs",Application!D211="At-Risk and Special Needs"),Application!E217="Large Family"),IF(BA203&gt;=0.25,TRUE,FALSE),IF(AZ203&gt;=0.25,TRUE,FALSE))</f>
        <v>1</v>
      </c>
      <c r="AY197" s="4" t="s">
        <v>2240</v>
      </c>
      <c r="AZ197" s="959">
        <f>Application!G730</f>
        <v>63</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2242</v>
      </c>
      <c r="AZ198" s="4">
        <f>Application!CC626</f>
        <v>15</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2243</v>
      </c>
      <c r="AZ199">
        <f>Application!CH626</f>
        <v>4</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2296</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2245</v>
      </c>
      <c r="AZ202">
        <f>AZ198+AZ199+AZ201</f>
        <v>19</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2246</v>
      </c>
      <c r="AZ203">
        <f>IFERROR(AZ202/AZ197,0)</f>
        <v>0.30158730158730157</v>
      </c>
      <c r="BA203">
        <f>IFERROR(AZ202/(AZ197-AZ196),0)</f>
        <v>0.30158730158730157</v>
      </c>
    </row>
    <row r="204" spans="1:53" customFormat="1" ht="12.75" customHeight="1">
      <c r="A204" s="4"/>
      <c r="B204" s="5"/>
      <c r="C204" s="45"/>
      <c r="D204" s="4" t="s">
        <v>147</v>
      </c>
      <c r="E204" s="116"/>
      <c r="F204" s="116"/>
      <c r="G204" s="116"/>
      <c r="H204" s="1807" t="s">
        <v>197</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 customHeight="1">
      <c r="A213" s="4"/>
      <c r="B213" s="5"/>
      <c r="C213" s="45"/>
      <c r="D213" s="26" t="s">
        <v>197</v>
      </c>
      <c r="E213" s="1870" t="s">
        <v>1255</v>
      </c>
      <c r="F213" s="1870"/>
      <c r="G213" s="1870"/>
      <c r="H213" s="1870"/>
      <c r="I213" s="1870"/>
      <c r="J213" s="1870"/>
      <c r="K213" s="1870"/>
      <c r="L213" s="1870"/>
      <c r="M213" s="1870"/>
      <c r="N213" s="1870"/>
      <c r="O213" s="1870"/>
      <c r="P213" s="1870"/>
      <c r="Q213" s="1870"/>
      <c r="R213" s="1870"/>
      <c r="S213" s="1870"/>
      <c r="T213" s="1870"/>
      <c r="U213" s="1870"/>
      <c r="V213" s="1870"/>
      <c r="W213" s="1870"/>
      <c r="X213" s="1870"/>
      <c r="Y213" s="1870"/>
      <c r="Z213" s="1870"/>
      <c r="AA213" s="1870"/>
      <c r="AB213" s="1870"/>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0"/>
      <c r="F214" s="1870"/>
      <c r="G214" s="1870"/>
      <c r="H214" s="1870"/>
      <c r="I214" s="1870"/>
      <c r="J214" s="1870"/>
      <c r="K214" s="1870"/>
      <c r="L214" s="1870"/>
      <c r="M214" s="1870"/>
      <c r="N214" s="1870"/>
      <c r="O214" s="1870"/>
      <c r="P214" s="1870"/>
      <c r="Q214" s="1870"/>
      <c r="R214" s="1870"/>
      <c r="S214" s="1870"/>
      <c r="T214" s="1870"/>
      <c r="U214" s="1870"/>
      <c r="V214" s="1870"/>
      <c r="W214" s="1870"/>
      <c r="X214" s="1870"/>
      <c r="Y214" s="1870"/>
      <c r="Z214" s="1870"/>
      <c r="AA214" s="1870"/>
      <c r="AB214" s="187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0"/>
      <c r="F215" s="1870"/>
      <c r="G215" s="1870"/>
      <c r="H215" s="1870"/>
      <c r="I215" s="1870"/>
      <c r="J215" s="1870"/>
      <c r="K215" s="1870"/>
      <c r="L215" s="1870"/>
      <c r="M215" s="1870"/>
      <c r="N215" s="1870"/>
      <c r="O215" s="1870"/>
      <c r="P215" s="1870"/>
      <c r="Q215" s="1870"/>
      <c r="R215" s="1870"/>
      <c r="S215" s="1870"/>
      <c r="T215" s="1870"/>
      <c r="U215" s="1870"/>
      <c r="V215" s="1870"/>
      <c r="W215" s="1870"/>
      <c r="X215" s="1870"/>
      <c r="Y215" s="1870"/>
      <c r="Z215" s="1870"/>
      <c r="AA215" s="1870"/>
      <c r="AB215" s="187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124</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0</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318</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581</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0" t="s">
        <v>1952</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5" t="s">
        <v>1953</v>
      </c>
      <c r="F264" s="1875"/>
      <c r="G264" s="1875"/>
      <c r="H264" s="1875"/>
      <c r="I264" s="1875"/>
      <c r="J264" s="1875"/>
      <c r="K264" s="1875"/>
      <c r="L264" s="1875"/>
      <c r="M264" s="1875"/>
      <c r="N264" s="1875"/>
      <c r="O264" s="1875"/>
      <c r="P264" s="1875"/>
      <c r="Q264" s="1875"/>
      <c r="R264" s="1875"/>
      <c r="S264" s="1875"/>
      <c r="T264" s="1875"/>
      <c r="U264" s="1875"/>
      <c r="V264" s="1875"/>
      <c r="W264" s="1875"/>
      <c r="X264" s="1875"/>
      <c r="Y264" s="1875"/>
      <c r="Z264" s="1875"/>
      <c r="AA264" s="1875"/>
      <c r="AB264" s="1875"/>
      <c r="AC264" s="1875"/>
      <c r="AD264" s="1875"/>
      <c r="AF264" s="1706" t="s">
        <v>61</v>
      </c>
      <c r="AG264" s="1706"/>
      <c r="AH264" s="1706"/>
      <c r="AI264" s="1706"/>
      <c r="AJ264" s="1706"/>
      <c r="AK264" s="1706"/>
      <c r="AL264" s="1706"/>
      <c r="AM264" s="104"/>
      <c r="AN264" s="281"/>
    </row>
    <row r="265" spans="1:82" s="4" customFormat="1" ht="12.75" customHeight="1">
      <c r="B265" s="102"/>
      <c r="C265" s="137"/>
      <c r="D265" s="26"/>
      <c r="E265" s="1875"/>
      <c r="F265" s="1875"/>
      <c r="G265" s="1875"/>
      <c r="H265" s="1875"/>
      <c r="I265" s="1875"/>
      <c r="J265" s="1875"/>
      <c r="K265" s="1875"/>
      <c r="L265" s="1875"/>
      <c r="M265" s="1875"/>
      <c r="N265" s="1875"/>
      <c r="O265" s="1875"/>
      <c r="P265" s="1875"/>
      <c r="Q265" s="1875"/>
      <c r="R265" s="1875"/>
      <c r="S265" s="1875"/>
      <c r="T265" s="1875"/>
      <c r="U265" s="1875"/>
      <c r="V265" s="1875"/>
      <c r="W265" s="1875"/>
      <c r="X265" s="1875"/>
      <c r="Y265" s="1875"/>
      <c r="Z265" s="1875"/>
      <c r="AA265" s="1875"/>
      <c r="AB265" s="1875"/>
      <c r="AC265" s="1875"/>
      <c r="AD265" s="1875"/>
      <c r="AE265" s="108"/>
      <c r="AF265" s="108"/>
      <c r="AG265" s="108"/>
      <c r="AH265" s="108"/>
      <c r="AI265" s="108"/>
      <c r="AJ265" s="108"/>
      <c r="AK265" s="108"/>
      <c r="AL265" s="108"/>
      <c r="AM265" s="104"/>
      <c r="AN265" s="281"/>
    </row>
    <row r="266" spans="1:82" s="4" customFormat="1" ht="12.75" customHeight="1">
      <c r="B266" s="102"/>
      <c r="C266" s="137"/>
      <c r="D266" s="26"/>
      <c r="E266" s="1875"/>
      <c r="F266" s="1875"/>
      <c r="G266" s="1875"/>
      <c r="H266" s="1875"/>
      <c r="I266" s="1875"/>
      <c r="J266" s="1875"/>
      <c r="K266" s="1875"/>
      <c r="L266" s="1875"/>
      <c r="M266" s="1875"/>
      <c r="N266" s="1875"/>
      <c r="O266" s="1875"/>
      <c r="P266" s="1875"/>
      <c r="Q266" s="1875"/>
      <c r="R266" s="1875"/>
      <c r="S266" s="1875"/>
      <c r="T266" s="1875"/>
      <c r="U266" s="1875"/>
      <c r="V266" s="1875"/>
      <c r="W266" s="1875"/>
      <c r="X266" s="1875"/>
      <c r="Y266" s="1875"/>
      <c r="Z266" s="1875"/>
      <c r="AA266" s="1875"/>
      <c r="AB266" s="1875"/>
      <c r="AC266" s="1875"/>
      <c r="AD266" s="1875"/>
      <c r="AE266" s="108"/>
      <c r="AF266" s="108"/>
      <c r="AG266" s="108"/>
      <c r="AH266" s="108"/>
      <c r="AI266" s="108"/>
      <c r="AJ266" s="108"/>
      <c r="AK266" s="108"/>
      <c r="AL266" s="108"/>
      <c r="AM266" s="104"/>
      <c r="AN266" s="281"/>
    </row>
    <row r="267" spans="1:82" s="4" customFormat="1" ht="12.75" customHeight="1">
      <c r="B267" s="102"/>
      <c r="C267" s="137"/>
      <c r="D267" s="26"/>
      <c r="E267" s="1875"/>
      <c r="F267" s="1875"/>
      <c r="G267" s="1875"/>
      <c r="H267" s="1875"/>
      <c r="I267" s="1875"/>
      <c r="J267" s="1875"/>
      <c r="K267" s="1875"/>
      <c r="L267" s="1875"/>
      <c r="M267" s="1875"/>
      <c r="N267" s="1875"/>
      <c r="O267" s="1875"/>
      <c r="P267" s="1875"/>
      <c r="Q267" s="1875"/>
      <c r="R267" s="1875"/>
      <c r="S267" s="1875"/>
      <c r="T267" s="1875"/>
      <c r="U267" s="1875"/>
      <c r="V267" s="1875"/>
      <c r="W267" s="1875"/>
      <c r="X267" s="1875"/>
      <c r="Y267" s="1875"/>
      <c r="Z267" s="1875"/>
      <c r="AA267" s="1875"/>
      <c r="AB267" s="1875"/>
      <c r="AC267" s="1875"/>
      <c r="AD267" s="187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0" t="s">
        <v>2212</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16</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2424</v>
      </c>
      <c r="I287" s="1107"/>
      <c r="J287" s="1107"/>
      <c r="K287" s="1107"/>
      <c r="L287" s="1107"/>
      <c r="M287" s="1107"/>
      <c r="N287" s="1107"/>
      <c r="O287" s="1107"/>
      <c r="P287" s="1107"/>
      <c r="Q287" s="1107"/>
      <c r="R287" s="1107"/>
      <c r="S287"/>
      <c r="T287" s="41" t="s">
        <v>89</v>
      </c>
      <c r="U287"/>
      <c r="V287" s="41"/>
      <c r="W287" s="41"/>
      <c r="X287" s="41"/>
      <c r="Y287" s="41"/>
      <c r="Z287"/>
      <c r="AA287" s="1107" t="s">
        <v>2440</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2425</v>
      </c>
      <c r="I288" s="1258"/>
      <c r="J288" s="1258"/>
      <c r="K288" s="1258"/>
      <c r="L288" s="1258"/>
      <c r="M288" s="1258"/>
      <c r="N288" s="1258"/>
      <c r="O288" s="1258"/>
      <c r="P288" s="1258"/>
      <c r="Q288" s="1258"/>
      <c r="R288" s="1258"/>
      <c r="S288"/>
      <c r="T288" s="41" t="s">
        <v>699</v>
      </c>
      <c r="U288"/>
      <c r="V288" s="41"/>
      <c r="W288" s="41"/>
      <c r="X288" s="41"/>
      <c r="Y288" s="41"/>
      <c r="Z288"/>
      <c r="AA288" s="1258" t="s">
        <v>2441</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2426</v>
      </c>
      <c r="I289" s="1258"/>
      <c r="J289" s="1258"/>
      <c r="K289" s="1258"/>
      <c r="L289" s="1258"/>
      <c r="M289" s="1258"/>
      <c r="N289" s="1258"/>
      <c r="O289" s="1258"/>
      <c r="P289" s="1258"/>
      <c r="Q289" s="1258"/>
      <c r="R289" s="1258"/>
      <c r="S289"/>
      <c r="T289" s="41" t="s">
        <v>99</v>
      </c>
      <c r="U289"/>
      <c r="V289" s="41"/>
      <c r="W289" s="41"/>
      <c r="X289" s="41"/>
      <c r="Y289" s="41"/>
      <c r="Z289"/>
      <c r="AA289" s="1258" t="s">
        <v>2426</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2427</v>
      </c>
      <c r="I290" s="1258"/>
      <c r="J290" s="1258"/>
      <c r="K290" s="1258"/>
      <c r="L290" s="1258"/>
      <c r="M290" s="1258"/>
      <c r="N290" s="1258"/>
      <c r="O290" s="1258"/>
      <c r="P290" s="1258"/>
      <c r="Q290" s="1258"/>
      <c r="R290" s="1258"/>
      <c r="S290"/>
      <c r="T290" s="41" t="s">
        <v>374</v>
      </c>
      <c r="U290"/>
      <c r="V290" s="41"/>
      <c r="W290" s="41"/>
      <c r="X290" s="41"/>
      <c r="Y290" s="41"/>
      <c r="Z290"/>
      <c r="AA290" s="1258" t="s">
        <v>2442</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2" t="s">
        <v>2428</v>
      </c>
      <c r="I291" s="1402"/>
      <c r="J291" s="1402"/>
      <c r="K291" s="1402"/>
      <c r="L291" s="1402"/>
      <c r="M291" s="1402"/>
      <c r="N291" s="5" t="s">
        <v>818</v>
      </c>
      <c r="O291" s="5"/>
      <c r="P291" s="1391"/>
      <c r="Q291" s="1391"/>
      <c r="R291" s="1391"/>
      <c r="S291" s="41"/>
      <c r="T291" s="41" t="s">
        <v>375</v>
      </c>
      <c r="U291"/>
      <c r="V291" s="41"/>
      <c r="W291" s="41"/>
      <c r="X291" s="41"/>
      <c r="Y291" s="41"/>
      <c r="Z291"/>
      <c r="AA291" s="1402" t="s">
        <v>2443</v>
      </c>
      <c r="AB291" s="1402"/>
      <c r="AC291" s="1402"/>
      <c r="AD291" s="1402"/>
      <c r="AE291" s="1402"/>
      <c r="AF291" s="1402"/>
      <c r="AG291" s="5" t="s">
        <v>818</v>
      </c>
      <c r="AH291" s="5"/>
      <c r="AI291" s="1391"/>
      <c r="AJ291" s="1391"/>
      <c r="AK291" s="1391"/>
      <c r="AL291" s="10"/>
      <c r="AN291" s="281"/>
      <c r="AO291" s="211"/>
      <c r="AP291" t="s">
        <v>100</v>
      </c>
    </row>
    <row r="292" spans="1:42" s="4" customFormat="1" ht="12.75" customHeight="1">
      <c r="B292" s="41" t="s">
        <v>88</v>
      </c>
      <c r="C292" s="41"/>
      <c r="D292" s="41"/>
      <c r="E292" s="41"/>
      <c r="F292" s="41"/>
      <c r="G292" s="41"/>
      <c r="H292" s="1258" t="s">
        <v>347</v>
      </c>
      <c r="I292" s="1258"/>
      <c r="J292" s="1258"/>
      <c r="K292" s="1258"/>
      <c r="L292" s="1258"/>
      <c r="M292" s="1258"/>
      <c r="N292" s="1258"/>
      <c r="O292" s="1258"/>
      <c r="P292" s="1258"/>
      <c r="Q292" s="1258"/>
      <c r="R292" s="1258"/>
      <c r="S292" s="41"/>
      <c r="T292" s="41" t="s">
        <v>88</v>
      </c>
      <c r="U292"/>
      <c r="V292" s="41"/>
      <c r="W292" s="41"/>
      <c r="X292" s="41"/>
      <c r="Y292" s="41"/>
      <c r="Z292"/>
      <c r="AA292" s="1258" t="s">
        <v>100</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c r="I293" s="1258"/>
      <c r="J293" s="1258"/>
      <c r="K293" s="1258"/>
      <c r="L293" s="1258"/>
      <c r="M293" s="1258"/>
      <c r="N293" s="1258"/>
      <c r="O293" s="1258"/>
      <c r="P293" s="1258"/>
      <c r="Q293" s="1258"/>
      <c r="R293" s="1258"/>
      <c r="S293" s="41"/>
      <c r="T293" s="41" t="s">
        <v>90</v>
      </c>
      <c r="U293"/>
      <c r="V293" s="41"/>
      <c r="W293" s="41"/>
      <c r="X293" s="41"/>
      <c r="Y293" s="41"/>
      <c r="Z293"/>
      <c r="AA293" s="1258" t="s">
        <v>2444</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69" t="s">
        <v>2429</v>
      </c>
      <c r="I294" s="1669"/>
      <c r="J294" s="1669"/>
      <c r="K294" s="1669"/>
      <c r="L294" s="1669"/>
      <c r="M294" s="1669"/>
      <c r="N294" s="1669"/>
      <c r="O294" s="1669"/>
      <c r="P294" s="1669"/>
      <c r="Q294" s="1669"/>
      <c r="R294" s="1669"/>
      <c r="S294" s="41"/>
      <c r="T294" s="41" t="s">
        <v>101</v>
      </c>
      <c r="U294" s="41"/>
      <c r="V294" s="41"/>
      <c r="W294" s="41"/>
      <c r="X294" s="41"/>
      <c r="Y294" s="41"/>
      <c r="Z294" s="12"/>
      <c r="AA294" s="1669" t="s">
        <v>2445</v>
      </c>
      <c r="AB294" s="1669"/>
      <c r="AC294" s="1669"/>
      <c r="AD294" s="1669"/>
      <c r="AE294" s="1669"/>
      <c r="AF294" s="1669"/>
      <c r="AG294" s="1669"/>
      <c r="AH294" s="1669"/>
      <c r="AI294" s="1669"/>
      <c r="AJ294" s="1669"/>
      <c r="AK294" s="166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2430</v>
      </c>
      <c r="I296" s="1107"/>
      <c r="J296" s="1107"/>
      <c r="K296" s="1107"/>
      <c r="L296" s="1107"/>
      <c r="M296" s="1107"/>
      <c r="N296" s="1107"/>
      <c r="O296" s="1107"/>
      <c r="P296" s="1107"/>
      <c r="Q296" s="1107"/>
      <c r="R296" s="1107"/>
      <c r="S296"/>
      <c r="T296" s="41" t="s">
        <v>89</v>
      </c>
      <c r="U296"/>
      <c r="V296" s="41"/>
      <c r="W296" s="41"/>
      <c r="X296" s="41"/>
      <c r="Y296" s="41"/>
      <c r="Z296"/>
      <c r="AA296" s="1107" t="s">
        <v>2446</v>
      </c>
      <c r="AB296" s="1107"/>
      <c r="AC296" s="1107"/>
      <c r="AD296" s="1107"/>
      <c r="AE296" s="1107"/>
      <c r="AF296" s="1107"/>
      <c r="AG296" s="1107"/>
      <c r="AH296" s="1107"/>
      <c r="AI296" s="1107"/>
      <c r="AJ296" s="1107"/>
      <c r="AK296" s="1107"/>
      <c r="AL296" s="10"/>
      <c r="AN296" s="281"/>
      <c r="AP296" s="48" t="s">
        <v>348</v>
      </c>
    </row>
    <row r="297" spans="1:42" s="20" customFormat="1" ht="12.75" customHeight="1">
      <c r="A297" s="4"/>
      <c r="B297" s="41" t="s">
        <v>699</v>
      </c>
      <c r="C297" s="41"/>
      <c r="D297" s="41"/>
      <c r="E297" s="41"/>
      <c r="F297" s="41"/>
      <c r="G297"/>
      <c r="H297" s="1258" t="s">
        <v>2431</v>
      </c>
      <c r="I297" s="1258"/>
      <c r="J297" s="1258"/>
      <c r="K297" s="1258"/>
      <c r="L297" s="1258"/>
      <c r="M297" s="1258"/>
      <c r="N297" s="1258"/>
      <c r="O297" s="1258"/>
      <c r="P297" s="1258"/>
      <c r="Q297" s="1258"/>
      <c r="R297" s="1258"/>
      <c r="S297"/>
      <c r="T297" s="41" t="s">
        <v>699</v>
      </c>
      <c r="U297"/>
      <c r="V297" s="41"/>
      <c r="W297" s="41"/>
      <c r="X297" s="41"/>
      <c r="Y297" s="41"/>
      <c r="Z297"/>
      <c r="AA297" s="1258" t="s">
        <v>2447</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2432</v>
      </c>
      <c r="I298" s="1258"/>
      <c r="J298" s="1258"/>
      <c r="K298" s="1258"/>
      <c r="L298" s="1258"/>
      <c r="M298" s="1258"/>
      <c r="N298" s="1258"/>
      <c r="O298" s="1258"/>
      <c r="P298" s="1258"/>
      <c r="Q298" s="1258"/>
      <c r="R298" s="1258"/>
      <c r="S298"/>
      <c r="T298" s="41" t="s">
        <v>99</v>
      </c>
      <c r="U298"/>
      <c r="V298" s="41"/>
      <c r="W298" s="41"/>
      <c r="X298" s="41"/>
      <c r="Y298" s="41"/>
      <c r="Z298"/>
      <c r="AA298" s="1258" t="s">
        <v>2426</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c r="I299" s="1258"/>
      <c r="J299" s="1258"/>
      <c r="K299" s="1258"/>
      <c r="L299" s="1258"/>
      <c r="M299" s="1258"/>
      <c r="N299" s="1258"/>
      <c r="O299" s="1258"/>
      <c r="P299" s="1258"/>
      <c r="Q299" s="1258"/>
      <c r="R299" s="1258"/>
      <c r="S299"/>
      <c r="T299" s="41" t="s">
        <v>374</v>
      </c>
      <c r="U299"/>
      <c r="V299" s="41"/>
      <c r="W299" s="41"/>
      <c r="X299" s="41"/>
      <c r="Y299" s="41"/>
      <c r="Z299"/>
      <c r="AA299" s="1258" t="s">
        <v>2448</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2"/>
      <c r="I300" s="1402"/>
      <c r="J300" s="1402"/>
      <c r="K300" s="1402"/>
      <c r="L300" s="1402"/>
      <c r="M300" s="1402"/>
      <c r="N300" s="5" t="s">
        <v>818</v>
      </c>
      <c r="O300" s="5"/>
      <c r="P300" s="1391"/>
      <c r="Q300" s="1391"/>
      <c r="R300" s="1391"/>
      <c r="S300" s="41"/>
      <c r="T300" s="41" t="s">
        <v>375</v>
      </c>
      <c r="U300"/>
      <c r="V300" s="41"/>
      <c r="W300" s="41"/>
      <c r="X300" s="41"/>
      <c r="Y300" s="41"/>
      <c r="Z300"/>
      <c r="AA300" s="1402" t="s">
        <v>2449</v>
      </c>
      <c r="AB300" s="1402"/>
      <c r="AC300" s="1402"/>
      <c r="AD300" s="1402"/>
      <c r="AE300" s="1402"/>
      <c r="AF300" s="1402"/>
      <c r="AG300" s="5" t="s">
        <v>818</v>
      </c>
      <c r="AH300" s="5"/>
      <c r="AI300" s="1391"/>
      <c r="AJ300" s="1391"/>
      <c r="AK300" s="1391"/>
      <c r="AL300" s="10"/>
      <c r="AN300" s="281"/>
    </row>
    <row r="301" spans="1:42" s="4" customFormat="1" ht="12.75" customHeight="1">
      <c r="B301" s="41" t="s">
        <v>88</v>
      </c>
      <c r="C301" s="41"/>
      <c r="D301" s="41"/>
      <c r="E301" s="41"/>
      <c r="F301" s="41"/>
      <c r="G301" s="41"/>
      <c r="H301" s="1258" t="s">
        <v>92</v>
      </c>
      <c r="I301" s="1258"/>
      <c r="J301" s="1258"/>
      <c r="K301" s="1258"/>
      <c r="L301" s="1258"/>
      <c r="M301" s="1258"/>
      <c r="N301" s="1258"/>
      <c r="O301" s="1258"/>
      <c r="P301" s="1258"/>
      <c r="Q301" s="1258"/>
      <c r="R301" s="1258"/>
      <c r="S301" s="41"/>
      <c r="T301" s="41" t="s">
        <v>88</v>
      </c>
      <c r="U301"/>
      <c r="V301" s="41"/>
      <c r="W301" s="41"/>
      <c r="X301" s="41"/>
      <c r="Y301" s="41"/>
      <c r="Z301"/>
      <c r="AA301" s="1258" t="s">
        <v>91</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c r="I302" s="1258"/>
      <c r="J302" s="1258"/>
      <c r="K302" s="1258"/>
      <c r="L302" s="1258"/>
      <c r="M302" s="1258"/>
      <c r="N302" s="1258"/>
      <c r="O302" s="1258"/>
      <c r="P302" s="1258"/>
      <c r="Q302" s="1258"/>
      <c r="R302" s="1258"/>
      <c r="S302" s="41"/>
      <c r="T302" s="41" t="s">
        <v>90</v>
      </c>
      <c r="U302"/>
      <c r="V302" s="41"/>
      <c r="W302" s="41"/>
      <c r="X302" s="41"/>
      <c r="Y302" s="41"/>
      <c r="Z302"/>
      <c r="AA302" s="1258" t="s">
        <v>2450</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9" t="s">
        <v>2433</v>
      </c>
      <c r="I303" s="1669"/>
      <c r="J303" s="1669"/>
      <c r="K303" s="1669"/>
      <c r="L303" s="1669"/>
      <c r="M303" s="1669"/>
      <c r="N303" s="1669"/>
      <c r="O303" s="1669"/>
      <c r="P303" s="1669"/>
      <c r="Q303" s="1669"/>
      <c r="R303" s="1669"/>
      <c r="S303" s="41"/>
      <c r="T303" s="41" t="s">
        <v>101</v>
      </c>
      <c r="U303" s="41"/>
      <c r="V303" s="41"/>
      <c r="W303" s="41"/>
      <c r="X303" s="41"/>
      <c r="Y303" s="41"/>
      <c r="Z303" s="12"/>
      <c r="AA303" s="1669" t="s">
        <v>2451</v>
      </c>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2434</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2435</v>
      </c>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2426</v>
      </c>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2436</v>
      </c>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2" t="s">
        <v>2437</v>
      </c>
      <c r="I309" s="1402"/>
      <c r="J309" s="1402"/>
      <c r="K309" s="1402"/>
      <c r="L309" s="1402"/>
      <c r="M309" s="1402"/>
      <c r="N309" s="5" t="s">
        <v>818</v>
      </c>
      <c r="O309" s="5"/>
      <c r="P309" s="1391"/>
      <c r="Q309" s="1391"/>
      <c r="R309" s="1391"/>
      <c r="S309" s="41"/>
      <c r="T309" s="41" t="s">
        <v>375</v>
      </c>
      <c r="U309"/>
      <c r="V309" s="41"/>
      <c r="W309" s="41"/>
      <c r="X309" s="41"/>
      <c r="Y309" s="41"/>
      <c r="Z309"/>
      <c r="AA309" s="1402"/>
      <c r="AB309" s="1402"/>
      <c r="AC309" s="1402"/>
      <c r="AD309" s="1402"/>
      <c r="AE309" s="1402"/>
      <c r="AF309" s="1402"/>
      <c r="AG309" s="5" t="s">
        <v>818</v>
      </c>
      <c r="AH309" s="5"/>
      <c r="AI309" s="1391"/>
      <c r="AJ309" s="1391"/>
      <c r="AK309" s="1391"/>
      <c r="AL309" s="10"/>
      <c r="AN309" s="281"/>
    </row>
    <row r="310" spans="2:40" s="4" customFormat="1" ht="12.75" customHeight="1">
      <c r="B310" s="41" t="s">
        <v>88</v>
      </c>
      <c r="C310" s="41"/>
      <c r="D310" s="41"/>
      <c r="E310" s="41"/>
      <c r="F310" s="41"/>
      <c r="G310" s="41"/>
      <c r="H310" s="1258" t="s">
        <v>96</v>
      </c>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2438</v>
      </c>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9" t="s">
        <v>2439</v>
      </c>
      <c r="I312" s="1669"/>
      <c r="J312" s="1669"/>
      <c r="K312" s="1669"/>
      <c r="L312" s="1669"/>
      <c r="M312" s="1669"/>
      <c r="N312" s="1669"/>
      <c r="O312" s="1669"/>
      <c r="P312" s="1669"/>
      <c r="Q312" s="1669"/>
      <c r="R312" s="1669"/>
      <c r="S312" s="41"/>
      <c r="T312" s="41" t="s">
        <v>101</v>
      </c>
      <c r="U312" s="41"/>
      <c r="V312" s="41"/>
      <c r="W312" s="41"/>
      <c r="X312" s="41"/>
      <c r="Y312" s="41"/>
      <c r="Z312" s="12"/>
      <c r="AA312" s="1669"/>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2"/>
      <c r="I318" s="1402"/>
      <c r="J318" s="1402"/>
      <c r="K318" s="1402"/>
      <c r="L318" s="1402"/>
      <c r="M318" s="1402"/>
      <c r="N318" s="5" t="s">
        <v>818</v>
      </c>
      <c r="O318" s="5"/>
      <c r="P318" s="1391"/>
      <c r="Q318" s="1391"/>
      <c r="R318" s="1391"/>
      <c r="S318" s="41"/>
      <c r="T318" s="41" t="s">
        <v>375</v>
      </c>
      <c r="U318"/>
      <c r="V318" s="41"/>
      <c r="W318" s="41"/>
      <c r="X318" s="41"/>
      <c r="Y318" s="41"/>
      <c r="Z318"/>
      <c r="AA318" s="1402"/>
      <c r="AB318" s="1402"/>
      <c r="AC318" s="1402"/>
      <c r="AD318" s="1402"/>
      <c r="AE318" s="1402"/>
      <c r="AF318" s="1402"/>
      <c r="AG318" s="5" t="s">
        <v>818</v>
      </c>
      <c r="AH318" s="5"/>
      <c r="AI318" s="1391"/>
      <c r="AJ318" s="1391"/>
      <c r="AK318" s="1391"/>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9"/>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2"/>
      <c r="I327" s="1402"/>
      <c r="J327" s="1402"/>
      <c r="K327" s="1402"/>
      <c r="L327" s="1402"/>
      <c r="M327" s="1402"/>
      <c r="N327" s="5" t="s">
        <v>818</v>
      </c>
      <c r="O327" s="5"/>
      <c r="P327" s="1391"/>
      <c r="Q327" s="1391"/>
      <c r="R327" s="1391"/>
      <c r="S327" s="41"/>
      <c r="T327" s="41" t="s">
        <v>375</v>
      </c>
      <c r="U327"/>
      <c r="V327" s="41"/>
      <c r="W327" s="41"/>
      <c r="X327" s="41"/>
      <c r="Y327" s="41"/>
      <c r="Z327"/>
      <c r="AA327" s="1402"/>
      <c r="AB327" s="1402"/>
      <c r="AC327" s="1402"/>
      <c r="AD327" s="1402"/>
      <c r="AE327" s="1402"/>
      <c r="AF327" s="1402"/>
      <c r="AG327" s="5" t="s">
        <v>818</v>
      </c>
      <c r="AH327" s="5"/>
      <c r="AI327" s="1391"/>
      <c r="AJ327" s="1391"/>
      <c r="AK327" s="1391"/>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9"/>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364</v>
      </c>
      <c r="AF333" s="1718"/>
      <c r="AG333" s="1718"/>
      <c r="AH333" s="1718"/>
      <c r="AI333" s="1718"/>
      <c r="AJ333" s="1718"/>
      <c r="AK333" s="1718"/>
      <c r="AL333" s="3"/>
      <c r="AM333" s="827"/>
      <c r="AN333" s="3"/>
    </row>
    <row r="334" spans="1:76" s="4" customFormat="1" ht="12.75" customHeight="1">
      <c r="A334" s="3"/>
      <c r="B334" s="5"/>
      <c r="C334" s="1709" t="s">
        <v>1840</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1841</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2297</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1842</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1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900</v>
      </c>
      <c r="AP354" s="71">
        <f>IF(C379="Yes",5,0)</f>
        <v>0</v>
      </c>
      <c r="AS354" s="3" t="s">
        <v>1778</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901</v>
      </c>
      <c r="AP356" s="71">
        <f>IF(C389="Yes",5,0)</f>
        <v>0</v>
      </c>
      <c r="AS356" s="3" t="s">
        <v>1811</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907</v>
      </c>
      <c r="AP358" s="71">
        <f>IF(C399="Yes",7,0)</f>
        <v>7</v>
      </c>
    </row>
    <row r="359" spans="1:46" s="4" customFormat="1" ht="12.75" customHeight="1">
      <c r="A359" s="27"/>
      <c r="B359" s="26"/>
      <c r="C359" s="1709" t="s">
        <v>1843</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0</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431</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3</v>
      </c>
    </row>
    <row r="363" spans="1:46" s="4" customFormat="1" ht="12.4"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434</v>
      </c>
      <c r="AP365" s="71">
        <f>IF(C423="Yes",5,0)</f>
        <v>0</v>
      </c>
    </row>
    <row r="366" spans="1:46" s="4" customFormat="1" ht="12.75" customHeight="1">
      <c r="A366" s="27"/>
      <c r="B366" s="26"/>
      <c r="C366" s="1709" t="s">
        <v>1844</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610</v>
      </c>
      <c r="AP368" s="168">
        <f>SUM(AP354:AP367)</f>
        <v>10</v>
      </c>
      <c r="AQ368" s="1496">
        <f>IF(AP368&gt;0,AP368,0)</f>
        <v>10</v>
      </c>
      <c r="AR368" s="1496"/>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2">
        <f>Application!CQ649-U371</f>
        <v>137</v>
      </c>
      <c r="V370" s="1862"/>
      <c r="W370" s="186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3">
        <f>Application!AG733</f>
        <v>0</v>
      </c>
      <c r="V371" s="1863"/>
      <c r="W371" s="186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7" t="s">
        <v>1787</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124</v>
      </c>
      <c r="D379" s="109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1786</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1951</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108</v>
      </c>
      <c r="D399" s="109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124</v>
      </c>
      <c r="D401" s="109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1785</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8"/>
      <c r="E414" s="698" t="s">
        <v>193</v>
      </c>
      <c r="F414" s="1677" t="s">
        <v>1789</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319</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1791</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124</v>
      </c>
      <c r="D423" s="109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7" t="s">
        <v>1792</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124</v>
      </c>
      <c r="D432" s="109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319</v>
      </c>
      <c r="AG432" s="1706"/>
      <c r="AH432" s="1706"/>
      <c r="AI432" s="1706"/>
      <c r="AJ432" s="1706"/>
      <c r="AK432" s="1706"/>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77" t="s">
        <v>1793</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124</v>
      </c>
      <c r="D444" s="109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7" t="s">
        <v>1796</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4" t="s">
        <v>124</v>
      </c>
      <c r="D455" s="1865"/>
      <c r="E455" s="698" t="s">
        <v>967</v>
      </c>
      <c r="F455" s="1677" t="s">
        <v>969</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319</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4" t="s">
        <v>124</v>
      </c>
      <c r="D459" s="1865"/>
      <c r="E459" s="698" t="s">
        <v>968</v>
      </c>
      <c r="F459" s="1677" t="s">
        <v>1833</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319</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7" t="s">
        <v>1834</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975</v>
      </c>
      <c r="BA465" s="345" t="s">
        <v>976</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2" t="s">
        <v>124</v>
      </c>
      <c r="D468" s="109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3"/>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4" t="s">
        <v>108</v>
      </c>
      <c r="D487" s="1865"/>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657</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6" t="s">
        <v>1498</v>
      </c>
      <c r="AQ507" s="1507"/>
      <c r="AR507" s="1508"/>
      <c r="AS507" s="624">
        <v>80</v>
      </c>
      <c r="AT507" s="4">
        <v>0</v>
      </c>
      <c r="AU507" s="160">
        <v>10</v>
      </c>
      <c r="AV507" s="160">
        <v>25</v>
      </c>
      <c r="AW507" s="160">
        <v>37.5</v>
      </c>
      <c r="AX507" s="160">
        <v>35</v>
      </c>
      <c r="AY507" s="160">
        <v>37.5</v>
      </c>
      <c r="AZ507" s="160">
        <v>50</v>
      </c>
      <c r="BA507" s="160">
        <v>50</v>
      </c>
      <c r="BB507" s="21"/>
      <c r="BC507" s="21"/>
      <c r="BE507" s="1506" t="s">
        <v>1498</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6" t="s">
        <v>124</v>
      </c>
      <c r="G508" s="1876"/>
      <c r="H508" s="1876"/>
      <c r="I508" s="1876"/>
      <c r="J508" s="1876"/>
      <c r="K508" s="1876"/>
      <c r="L508" s="1876"/>
      <c r="M508" s="1876"/>
      <c r="N508" s="1876"/>
      <c r="O508" s="1876"/>
      <c r="P508" s="1876"/>
      <c r="Q508" s="1876"/>
      <c r="R508" s="1876"/>
      <c r="S508" s="1876"/>
      <c r="T508" s="1876"/>
      <c r="U508" s="1876"/>
      <c r="V508" s="1876"/>
      <c r="W508" s="1876"/>
      <c r="X508" s="1876"/>
      <c r="Y508" s="1876"/>
      <c r="Z508" s="1876"/>
      <c r="AA508" s="729"/>
      <c r="AB508" s="730"/>
      <c r="AC508" s="730"/>
      <c r="AD508" s="714"/>
      <c r="AE508" s="714"/>
      <c r="AF508" s="714"/>
      <c r="AG508" s="731">
        <f>IF($C$506="Yes",(VLOOKUP($F$508,$AO$476:$AP$484,2,FALSE)),0)</f>
        <v>0</v>
      </c>
      <c r="AH508" s="732" t="s">
        <v>974</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302</v>
      </c>
      <c r="F510" s="1866" t="s">
        <v>1158</v>
      </c>
      <c r="G510" s="1866"/>
      <c r="H510" s="1866"/>
      <c r="I510" s="1866"/>
      <c r="J510" s="1866"/>
      <c r="K510" s="1866"/>
      <c r="L510" s="1866"/>
      <c r="M510" s="1866"/>
      <c r="N510" s="1866"/>
      <c r="O510" s="1866"/>
      <c r="P510" s="1866"/>
      <c r="Q510" s="1866"/>
      <c r="R510" s="1866"/>
      <c r="S510" s="1866"/>
      <c r="T510" s="1866"/>
      <c r="U510" s="1866"/>
      <c r="V510" s="1866"/>
      <c r="W510" s="1866"/>
      <c r="X510" s="1866"/>
      <c r="Y510" s="1866"/>
      <c r="Z510" s="1866"/>
      <c r="AA510" s="1866"/>
      <c r="AB510" s="1866"/>
      <c r="AC510" s="1866"/>
      <c r="AD510" s="1866"/>
      <c r="AE510" s="1866"/>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7"/>
      <c r="G511" s="1867"/>
      <c r="H511" s="1867"/>
      <c r="I511" s="1867"/>
      <c r="J511" s="1867"/>
      <c r="K511" s="1867"/>
      <c r="L511" s="1867"/>
      <c r="M511" s="1867"/>
      <c r="N511" s="1867"/>
      <c r="O511" s="1867"/>
      <c r="P511" s="1867"/>
      <c r="Q511" s="1867"/>
      <c r="R511" s="1867"/>
      <c r="S511" s="1867"/>
      <c r="T511" s="1867"/>
      <c r="U511" s="1867"/>
      <c r="V511" s="1867"/>
      <c r="W511" s="1867"/>
      <c r="X511" s="1867"/>
      <c r="Y511" s="1867"/>
      <c r="Z511" s="1867"/>
      <c r="AA511" s="1867"/>
      <c r="AB511" s="1867"/>
      <c r="AC511" s="1867"/>
      <c r="AD511" s="1867"/>
      <c r="AE511" s="1867"/>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7" t="s">
        <v>124</v>
      </c>
      <c r="G513" s="1877"/>
      <c r="H513" s="187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8">
        <f>BJ528</f>
        <v>63</v>
      </c>
      <c r="BE524" s="169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8">
        <f>SUM(E581:J589)</f>
        <v>63</v>
      </c>
      <c r="BE525" s="169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6">
        <v>0</v>
      </c>
      <c r="BK526" s="1697"/>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6">
        <f>Application!AG433</f>
        <v>63</v>
      </c>
      <c r="BK528" s="1697"/>
      <c r="BM528" s="1693"/>
      <c r="BN528" s="1695"/>
      <c r="BO528" s="1693"/>
      <c r="BP528" s="1695"/>
      <c r="BQ528" s="1703"/>
      <c r="BR528" s="1705"/>
      <c r="BS528" s="1703"/>
      <c r="BT528" s="1705"/>
      <c r="BU528" s="1693">
        <f>IF(T611&gt;0,1,0)</f>
        <v>1</v>
      </c>
      <c r="BV528" s="1695"/>
      <c r="BW528" s="1693">
        <f>IF(Y611&gt;=0.1,1,0)</f>
        <v>1</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0"/>
      <c r="G530" s="1860"/>
      <c r="H530" s="1860"/>
      <c r="I530" s="1860"/>
      <c r="J530" s="1860"/>
      <c r="K530" s="1860"/>
      <c r="L530" s="1860"/>
      <c r="M530" s="1860"/>
      <c r="N530" s="1860"/>
      <c r="O530" s="1860"/>
      <c r="P530" s="1860"/>
      <c r="Q530" s="1860"/>
      <c r="R530" s="1860"/>
      <c r="S530" s="1860"/>
      <c r="T530" s="1860"/>
      <c r="U530" s="1860"/>
      <c r="V530" s="1860"/>
      <c r="W530" s="1860"/>
      <c r="X530" s="1860"/>
      <c r="Y530" s="1860"/>
      <c r="Z530" s="1860"/>
      <c r="AA530" s="1860"/>
      <c r="AB530" s="1860"/>
      <c r="AC530" s="1860"/>
      <c r="AD530" s="1860"/>
      <c r="AE530" s="1860"/>
      <c r="AF530" s="1860"/>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0</v>
      </c>
      <c r="CD530" s="1695"/>
      <c r="CE530" s="1693">
        <f>IF(Y613&gt;=0.1,1,0)</f>
        <v>0</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1</v>
      </c>
      <c r="BN531" s="1695"/>
      <c r="BO531" s="1693">
        <f>SUM(BO526:BP530)</f>
        <v>1</v>
      </c>
      <c r="BP531" s="1695"/>
      <c r="BQ531" s="1693">
        <f>SUM(BQ526:BR530)</f>
        <v>1</v>
      </c>
      <c r="BR531" s="1695"/>
      <c r="BS531" s="1693">
        <f>SUM(BS526:BT530)</f>
        <v>1</v>
      </c>
      <c r="BT531" s="1695"/>
      <c r="BU531" s="1693">
        <f>SUM(BU526:BV530)</f>
        <v>1</v>
      </c>
      <c r="BV531" s="1695"/>
      <c r="BW531" s="1693">
        <f>SUM(BW526:BX530)</f>
        <v>1</v>
      </c>
      <c r="BX531" s="1695"/>
      <c r="BY531" s="1693">
        <f>SUM(BY526:BZ530)</f>
        <v>1</v>
      </c>
      <c r="BZ531" s="1695"/>
      <c r="CA531" s="1693">
        <f>SUM(CA526:CB530)</f>
        <v>1</v>
      </c>
      <c r="CB531" s="1695"/>
      <c r="CC531" s="1693">
        <f>SUM(CC526:CD530)</f>
        <v>0</v>
      </c>
      <c r="CD531" s="1695"/>
      <c r="CE531" s="1693">
        <f>SUM(CE526:CF530)</f>
        <v>0</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455</v>
      </c>
      <c r="AQ532" s="1711"/>
      <c r="AR532" s="1711"/>
      <c r="AS532" s="1711"/>
      <c r="AT532" s="1712"/>
      <c r="AU532" s="1710" t="s">
        <v>456</v>
      </c>
      <c r="AV532" s="1711"/>
      <c r="AW532" s="1711"/>
      <c r="AX532" s="1711"/>
      <c r="AY532" s="1712"/>
      <c r="BM532" s="1703">
        <f>SUM(BM531:BP531)</f>
        <v>2</v>
      </c>
      <c r="BN532" s="1704"/>
      <c r="BO532" s="1704"/>
      <c r="BP532" s="1705"/>
      <c r="BQ532" s="1703">
        <f>SUM(BQ531:BT531)</f>
        <v>2</v>
      </c>
      <c r="BR532" s="1704"/>
      <c r="BS532" s="1704"/>
      <c r="BT532" s="1705"/>
      <c r="BU532" s="1703">
        <f>SUM(BU531:BX531)</f>
        <v>2</v>
      </c>
      <c r="BV532" s="1704"/>
      <c r="BW532" s="1704"/>
      <c r="BX532" s="1705"/>
      <c r="BY532" s="1703">
        <f>SUM(BY531:CB531)</f>
        <v>2</v>
      </c>
      <c r="BZ532" s="1704"/>
      <c r="CA532" s="1704"/>
      <c r="CB532" s="1705"/>
      <c r="CC532" s="1703">
        <f>SUM(CC531:CF531)</f>
        <v>0</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4</v>
      </c>
      <c r="AQ533" s="1689"/>
      <c r="AR533" s="1689"/>
      <c r="AS533" s="1689"/>
      <c r="AT533" s="1690"/>
      <c r="AU533" s="1688">
        <f>RANK(Y609,$Y$609:$AC$613,0)+COUNTIF($Y$609:$AC$613,Y609)-1</f>
        <v>4</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0</v>
      </c>
      <c r="BZ533" s="1704"/>
      <c r="CA533" s="1704"/>
      <c r="CB533" s="1705"/>
      <c r="CC533" s="1703">
        <f>IF(AND(CC532=2,BU532=1),1,0)</f>
        <v>0</v>
      </c>
      <c r="CD533" s="1704"/>
      <c r="CE533" s="1704"/>
      <c r="CF533" s="1705"/>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2</v>
      </c>
      <c r="AQ534" s="1689"/>
      <c r="AR534" s="1689"/>
      <c r="AS534" s="1689"/>
      <c r="AT534" s="1690"/>
      <c r="AU534" s="1688">
        <f>RANK(Y610,$Y$609:$AC$613,0)+COUNTIF($Y$609:$AC$613,Y610)-1</f>
        <v>1</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1</v>
      </c>
      <c r="AQ535" s="1689"/>
      <c r="AR535" s="1689"/>
      <c r="AS535" s="1689"/>
      <c r="AT535" s="1690"/>
      <c r="AU535" s="1688">
        <f>RANK(Y611,$Y$609:$AC$613,0)+COUNTIF($Y$609:$AC$613,Y611)-1</f>
        <v>4</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3</v>
      </c>
      <c r="AQ536" s="1689"/>
      <c r="AR536" s="1689"/>
      <c r="AS536" s="1689"/>
      <c r="AT536" s="1690"/>
      <c r="AU536" s="1688">
        <f>RANK(Y612,$Y$609:$AC$613,0)+COUNTIF($Y$609:$AC$613,Y612)-1</f>
        <v>4</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5</v>
      </c>
      <c r="AQ537" s="1689"/>
      <c r="AR537" s="1689"/>
      <c r="AS537" s="1689"/>
      <c r="AT537" s="1690"/>
      <c r="AU537" s="1688">
        <f>RANK(Y613,$Y$609:$AC$613,0)+COUNTIF($Y$609:$AC$613,Y613)-1</f>
        <v>5</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0</v>
      </c>
      <c r="BZ537" s="1704"/>
      <c r="CA537" s="1704"/>
      <c r="CB537" s="1705"/>
      <c r="CC537" s="1703">
        <f>SUM(CC533:CF536)</f>
        <v>0</v>
      </c>
      <c r="CD537" s="1704"/>
      <c r="CE537" s="1704"/>
      <c r="CF537" s="1705"/>
      <c r="CG537" s="1703">
        <f>SUM(BM537:CF537)</f>
        <v>0</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3">
        <f>SUM(O609:S613)</f>
        <v>63</v>
      </c>
      <c r="AZ541" s="1695"/>
      <c r="CG541"/>
      <c r="CH541" s="1824"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3" t="str">
        <f>IF(AY541=BK568,"passed","failed")</f>
        <v>passed</v>
      </c>
      <c r="AT542" s="1694"/>
      <c r="AU542" s="1695"/>
      <c r="AV542" s="151"/>
      <c r="AW542" s="151"/>
      <c r="AX542" s="151"/>
      <c r="AY542" s="151"/>
      <c r="AZ542" s="152"/>
      <c r="CG542"/>
      <c r="CH542" s="1233"/>
      <c r="CI542" s="1234"/>
      <c r="CJ542" s="1234"/>
      <c r="CK542" s="1235"/>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716</v>
      </c>
      <c r="BJ544" s="1704"/>
      <c r="BK544" s="1704"/>
      <c r="BL544" s="1705"/>
      <c r="BM544" s="1703" t="s">
        <v>717</v>
      </c>
      <c r="BN544" s="1704"/>
      <c r="BO544" s="1704"/>
      <c r="BP544" s="1705"/>
      <c r="BQ544" s="1703" t="s">
        <v>718</v>
      </c>
      <c r="BR544" s="1704"/>
      <c r="BS544" s="1704"/>
      <c r="BT544" s="1705"/>
      <c r="BU544" s="1703" t="s">
        <v>719</v>
      </c>
      <c r="BV544" s="1704"/>
      <c r="BW544" s="1704"/>
      <c r="BX544" s="1705"/>
      <c r="BY544" s="1703" t="s">
        <v>224</v>
      </c>
      <c r="BZ544" s="1704"/>
      <c r="CA544" s="1704"/>
      <c r="CB544" s="1705"/>
      <c r="CC544"/>
      <c r="CG544"/>
      <c r="CH544" s="1233"/>
      <c r="CI544" s="1234"/>
      <c r="CJ544" s="1234"/>
      <c r="CK544" s="1235"/>
    </row>
    <row r="545" spans="1:89" s="4" customFormat="1" ht="12.75" customHeight="1">
      <c r="A545" s="3"/>
      <c r="B545" s="1668" t="s">
        <v>1720</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613</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6"/>
      <c r="CI545" s="1237"/>
      <c r="CJ545" s="1237"/>
      <c r="CK545" s="1238"/>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611</v>
      </c>
      <c r="AQ546" s="438"/>
      <c r="AR546" s="438"/>
      <c r="AS546" s="438"/>
      <c r="AT546" s="438"/>
      <c r="AU546" s="1691">
        <f>ROUNDUP(BK568*0.1,0)</f>
        <v>7</v>
      </c>
      <c r="AV546" s="1692"/>
      <c r="AW546" s="438"/>
      <c r="AX546" s="438">
        <f>AU546-AP548</f>
        <v>-9</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0</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16</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0</v>
      </c>
      <c r="BR548" s="1694"/>
      <c r="BS548" s="1694"/>
      <c r="BT548" s="1695"/>
      <c r="BU548" s="1703"/>
      <c r="BV548" s="1704"/>
      <c r="BW548" s="1704"/>
      <c r="BX548" s="1705"/>
      <c r="BY548" s="1703"/>
      <c r="BZ548" s="1704"/>
      <c r="CA548" s="1704"/>
      <c r="CB548" s="1705"/>
      <c r="CC548"/>
      <c r="CG548"/>
      <c r="CH548" s="1703">
        <f>IF(OR(Y611=0,Y611&gt;=0.1),1,0)</f>
        <v>1</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606</v>
      </c>
      <c r="AU549" s="1691" t="str">
        <f>IF(AP548&gt;=AU546,"passed","failed")</f>
        <v>passed</v>
      </c>
      <c r="AV549" s="1835"/>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0</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7"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0</v>
      </c>
      <c r="BN550" s="1694"/>
      <c r="BO550" s="1694"/>
      <c r="BP550" s="1695"/>
      <c r="BQ550" s="1693">
        <f>SUM(BQ545:BT549)</f>
        <v>0</v>
      </c>
      <c r="BR550" s="1694"/>
      <c r="BS550" s="1694"/>
      <c r="BT550" s="1695"/>
      <c r="BU550" s="1693">
        <f>SUM(BU545:BX549)</f>
        <v>0</v>
      </c>
      <c r="BV550" s="1694"/>
      <c r="BW550" s="1694"/>
      <c r="BX550" s="1695"/>
      <c r="BY550" s="1693">
        <f>SUM(BY545:CB549)</f>
        <v>0</v>
      </c>
      <c r="BZ550" s="1694"/>
      <c r="CA550" s="1694"/>
      <c r="CB550" s="1695"/>
      <c r="CC550" s="1703">
        <f>IF(AND(CH546=1,T609&gt;0),0,SUM(BE550:CB550))</f>
        <v>0</v>
      </c>
      <c r="CD550" s="1704"/>
      <c r="CE550" s="1704"/>
      <c r="CF550" s="1705"/>
      <c r="CG550"/>
      <c r="CH550" s="1703">
        <f>IF(OR(Y613=0,Y613&gt;=0.1),1,0)</f>
        <v>1</v>
      </c>
      <c r="CI550" s="1704"/>
      <c r="CJ550" s="1704"/>
      <c r="CK550" s="1705"/>
    </row>
    <row r="551" spans="1:89" s="4" customFormat="1" ht="12.4" customHeight="1">
      <c r="B551" s="1839" t="s">
        <v>1499</v>
      </c>
      <c r="C551" s="1839"/>
      <c r="D551" s="1839"/>
      <c r="E551" s="1839"/>
      <c r="F551" s="1839"/>
      <c r="G551" s="1839"/>
      <c r="H551" s="1839"/>
      <c r="I551" s="1839"/>
      <c r="J551" s="1839"/>
      <c r="K551" s="1839"/>
      <c r="L551" s="1839"/>
      <c r="M551" s="1839"/>
      <c r="N551" s="1839"/>
      <c r="O551" s="1839"/>
      <c r="P551" s="1839"/>
      <c r="Q551" s="1839"/>
      <c r="R551" s="1839"/>
      <c r="S551" s="1839"/>
      <c r="T551" s="1839"/>
      <c r="U551" s="1839"/>
      <c r="V551" s="1839"/>
      <c r="W551" s="1839"/>
      <c r="X551" s="1839"/>
      <c r="Y551" s="1839"/>
      <c r="Z551" s="1839"/>
      <c r="AA551" s="1839"/>
      <c r="AB551" s="1839"/>
      <c r="AC551" s="1839"/>
      <c r="AD551" s="1839"/>
      <c r="AE551" s="1839"/>
      <c r="AF551" s="1839"/>
      <c r="AG551" s="1839"/>
      <c r="AH551" s="162"/>
      <c r="AI551" s="162"/>
      <c r="AJ551" s="162"/>
      <c r="AK551" s="163"/>
      <c r="AL551" s="163"/>
      <c r="AM551" s="163"/>
      <c r="AN551" s="281"/>
    </row>
    <row r="552" spans="1:89" s="4" customFormat="1" ht="21" customHeight="1">
      <c r="B552" s="1839"/>
      <c r="C552" s="1839"/>
      <c r="D552" s="1839"/>
      <c r="E552" s="1839"/>
      <c r="F552" s="1839"/>
      <c r="G552" s="1839"/>
      <c r="H552" s="1839"/>
      <c r="I552" s="1839"/>
      <c r="J552" s="1839"/>
      <c r="K552" s="1839"/>
      <c r="L552" s="1839"/>
      <c r="M552" s="1839"/>
      <c r="N552" s="1839"/>
      <c r="O552" s="1839"/>
      <c r="P552" s="1839"/>
      <c r="Q552" s="1839"/>
      <c r="R552" s="1839"/>
      <c r="S552" s="1839"/>
      <c r="T552" s="1839"/>
      <c r="U552" s="1839"/>
      <c r="V552" s="1839"/>
      <c r="W552" s="1839"/>
      <c r="X552" s="1839"/>
      <c r="Y552" s="1839"/>
      <c r="Z552" s="1839"/>
      <c r="AA552" s="1839"/>
      <c r="AB552" s="1839"/>
      <c r="AC552" s="1839"/>
      <c r="AD552" s="1839"/>
      <c r="AE552" s="1839"/>
      <c r="AF552" s="1839"/>
      <c r="AG552" s="1839"/>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39" t="s">
        <v>1762</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62"/>
      <c r="AH554" s="162"/>
      <c r="AI554" s="162"/>
      <c r="AJ554" s="162"/>
      <c r="AK554" s="163"/>
      <c r="AL554" s="163"/>
      <c r="AM554" s="163"/>
      <c r="AN554" s="281"/>
      <c r="AP554" s="150"/>
      <c r="AQ554" s="151"/>
      <c r="AR554" s="151"/>
      <c r="AS554" s="151"/>
      <c r="AT554" s="157" t="s">
        <v>606</v>
      </c>
      <c r="AU554" s="151"/>
      <c r="AV554" s="1693" t="str">
        <f>IF(BJ590&gt;0,"failed","passed")</f>
        <v>failed</v>
      </c>
      <c r="AW554" s="1694"/>
      <c r="AX554" s="1694"/>
      <c r="AY554" s="1695"/>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9" t="s">
        <v>1500</v>
      </c>
      <c r="R557" s="1869"/>
      <c r="S557" s="1869"/>
      <c r="T557" s="1869"/>
      <c r="U557" s="1869"/>
      <c r="V557" s="1869"/>
      <c r="W557" s="1869"/>
      <c r="X557" s="1869"/>
      <c r="Y557" s="1869"/>
      <c r="Z557" s="1869"/>
      <c r="AA557" s="1869"/>
      <c r="AB557" s="1869"/>
      <c r="AC557" s="1869"/>
      <c r="AD557" s="1869"/>
      <c r="AE557" s="1869"/>
      <c r="AF557" s="186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9"/>
      <c r="R558" s="1869"/>
      <c r="S558" s="1869"/>
      <c r="T558" s="1869"/>
      <c r="U558" s="1869"/>
      <c r="V558" s="1869"/>
      <c r="W558" s="1869"/>
      <c r="X558" s="1869"/>
      <c r="Y558" s="1869"/>
      <c r="Z558" s="1869"/>
      <c r="AA558" s="1869"/>
      <c r="AB558" s="1869"/>
      <c r="AC558" s="1869"/>
      <c r="AD558" s="1869"/>
      <c r="AE558" s="1869"/>
      <c r="AF558" s="186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751" t="s">
        <v>204</v>
      </c>
      <c r="T559" s="1751"/>
      <c r="U559" s="1678">
        <v>0.5</v>
      </c>
      <c r="V559" s="1679"/>
      <c r="W559" s="1678">
        <v>0.45</v>
      </c>
      <c r="X559" s="1679"/>
      <c r="Y559" s="1678">
        <v>0.4</v>
      </c>
      <c r="Z559" s="1679"/>
      <c r="AA559" s="1678">
        <v>0.35</v>
      </c>
      <c r="AB559" s="1679"/>
      <c r="AC559" s="1833">
        <v>0.3</v>
      </c>
      <c r="AD559" s="1834"/>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4"/>
      <c r="R560" s="1840"/>
      <c r="S560" s="1848"/>
      <c r="T560" s="1848"/>
      <c r="U560" s="1840"/>
      <c r="V560" s="1840"/>
      <c r="W560" s="1840"/>
      <c r="X560" s="1840"/>
      <c r="Y560" s="1840"/>
      <c r="Z560" s="1840"/>
      <c r="AA560" s="1843"/>
      <c r="AB560" s="1843"/>
      <c r="AC560" s="1840"/>
      <c r="AD560" s="1840"/>
      <c r="AE560" s="1831"/>
      <c r="AF560" s="1832"/>
      <c r="AN560" s="281"/>
      <c r="AP560" s="144" t="s">
        <v>713</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7"/>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7"/>
      <c r="R562" s="1683"/>
      <c r="S562" s="1683"/>
      <c r="T562" s="1683"/>
      <c r="U562" s="1683"/>
      <c r="V562" s="1683"/>
      <c r="W562" s="1683"/>
      <c r="X562" s="1683"/>
      <c r="Y562" s="1683"/>
      <c r="Z562" s="1683"/>
      <c r="AA562" s="1649"/>
      <c r="AB562" s="1649"/>
      <c r="AC562" s="1683"/>
      <c r="AD562" s="1683"/>
      <c r="AE562" s="1728"/>
      <c r="AF562" s="1729"/>
      <c r="AN562" s="281"/>
      <c r="AP562" s="153" t="s">
        <v>607</v>
      </c>
      <c r="AQ562" s="154"/>
      <c r="AR562" s="154"/>
      <c r="AS562" s="154"/>
      <c r="AT562" s="154"/>
      <c r="AU562" s="154"/>
      <c r="AV562" s="155"/>
      <c r="AW562" s="1836" t="str">
        <f>IF(AND(AND(AND(AND(AS542="passed",AU549="passed",BD558="passed",SUM(T609:X613)&gt;1)))),"YES","NO")</f>
        <v>YES</v>
      </c>
      <c r="AX562" s="1837"/>
      <c r="AY562" s="1838"/>
      <c r="AZ562" s="40"/>
      <c r="BA562" s="40"/>
      <c r="BB562" s="40"/>
      <c r="BC562" s="40"/>
      <c r="BD562" s="40"/>
      <c r="BE562" s="21"/>
      <c r="BF562" s="21"/>
      <c r="BG562" s="21"/>
    </row>
    <row r="563" spans="1:96" s="4" customFormat="1" ht="12.75" customHeight="1">
      <c r="B563" s="63"/>
      <c r="I563" s="220"/>
      <c r="J563" s="162"/>
      <c r="N563" s="5"/>
      <c r="O563" s="1675"/>
      <c r="P563" s="1676"/>
      <c r="Q563" s="1847"/>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7"/>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7"/>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1126</v>
      </c>
      <c r="BA565" s="1816" t="s">
        <v>714</v>
      </c>
      <c r="BB565" s="1817"/>
      <c r="BC565" s="1817"/>
      <c r="BD565" s="1817"/>
      <c r="BE565" s="1818"/>
      <c r="BF565" s="1844">
        <f>SUM(O609:S613)</f>
        <v>63</v>
      </c>
      <c r="BG565" s="1845"/>
      <c r="BH565" s="1845"/>
      <c r="BI565" s="1845"/>
      <c r="BJ565" s="1846"/>
      <c r="BK565" s="1653">
        <f>SUM(T609:X613)</f>
        <v>16</v>
      </c>
      <c r="BL565" s="1654"/>
      <c r="BM565" s="1654"/>
      <c r="BN565" s="1654"/>
      <c r="BO565" s="1655"/>
    </row>
    <row r="566" spans="1:96" s="4" customFormat="1" ht="12.75" customHeight="1">
      <c r="B566" s="35"/>
      <c r="I566" s="1509" t="s">
        <v>1498</v>
      </c>
      <c r="J566" s="1510"/>
      <c r="K566" s="1510"/>
      <c r="L566" s="1510"/>
      <c r="M566" s="1510"/>
      <c r="N566" s="1511"/>
      <c r="O566" s="1675">
        <v>0.5</v>
      </c>
      <c r="P566" s="1676"/>
      <c r="Q566" s="1887"/>
      <c r="R566" s="1725"/>
      <c r="S566" s="1683"/>
      <c r="T566" s="1683"/>
      <c r="U566" s="1868" t="s">
        <v>1502</v>
      </c>
      <c r="V566" s="1868"/>
      <c r="W566" s="1861">
        <v>37.5</v>
      </c>
      <c r="X566" s="1861"/>
      <c r="Y566" s="1725"/>
      <c r="Z566" s="1725"/>
      <c r="AA566" s="1861"/>
      <c r="AB566" s="1861"/>
      <c r="AC566" s="1725"/>
      <c r="AD566" s="1725"/>
      <c r="AE566" s="1841"/>
      <c r="AF566" s="1842"/>
      <c r="AN566" s="281"/>
      <c r="CL566"/>
      <c r="CM566"/>
    </row>
    <row r="567" spans="1:96" s="4" customFormat="1" ht="12.75" customHeight="1">
      <c r="B567" s="120"/>
      <c r="C567" s="61"/>
      <c r="I567" s="1509"/>
      <c r="J567" s="1510"/>
      <c r="K567" s="1510"/>
      <c r="L567" s="1510"/>
      <c r="M567" s="1510"/>
      <c r="N567" s="1511"/>
      <c r="O567" s="1675">
        <v>0.45</v>
      </c>
      <c r="P567" s="1676"/>
      <c r="Q567" s="1847"/>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9"/>
      <c r="J568" s="1510"/>
      <c r="K568" s="1510"/>
      <c r="L568" s="1510"/>
      <c r="M568" s="1510"/>
      <c r="N568" s="1511"/>
      <c r="O568" s="1675">
        <v>0.4</v>
      </c>
      <c r="P568" s="1676"/>
      <c r="Q568" s="1847"/>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5">
        <f>BF565</f>
        <v>63</v>
      </c>
      <c r="BL568" s="1826"/>
      <c r="BM568" s="1826"/>
      <c r="BN568" s="1826"/>
      <c r="BO568" s="182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5">
        <v>0.35</v>
      </c>
      <c r="P569" s="1676"/>
      <c r="Q569" s="1847"/>
      <c r="R569" s="1683"/>
      <c r="S569" s="1648" t="s">
        <v>1763</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8"/>
      <c r="BL569" s="1829"/>
      <c r="BM569" s="1829"/>
      <c r="BN569" s="1829"/>
      <c r="BO569" s="183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5">
        <v>0.3</v>
      </c>
      <c r="P570" s="1676"/>
      <c r="Q570" s="1847"/>
      <c r="R570" s="1683"/>
      <c r="S570" s="1648" t="s">
        <v>1764</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675">
        <v>0.25</v>
      </c>
      <c r="P571" s="1676"/>
      <c r="Q571" s="1847"/>
      <c r="R571" s="1683"/>
      <c r="S571" s="1648" t="s">
        <v>1765</v>
      </c>
      <c r="T571" s="1648"/>
      <c r="U571" s="1649">
        <v>12.5</v>
      </c>
      <c r="V571" s="1649"/>
      <c r="W571" s="1649">
        <v>18.8</v>
      </c>
      <c r="X571" s="1649"/>
      <c r="Y571" s="1649">
        <v>25</v>
      </c>
      <c r="Z571" s="1649"/>
      <c r="AA571" s="1649">
        <v>31.3</v>
      </c>
      <c r="AB571" s="1649"/>
      <c r="AC571" s="1649">
        <v>37.5</v>
      </c>
      <c r="AD571" s="1649"/>
      <c r="AE571" s="1726">
        <v>50</v>
      </c>
      <c r="AF571" s="1727"/>
      <c r="AN571" s="281"/>
      <c r="AP571" s="1821" t="str">
        <f t="shared" ref="AP571:AP577" si="0">J608</f>
        <v>5 BR</v>
      </c>
      <c r="AQ571" s="1822"/>
      <c r="AR571" s="1822"/>
      <c r="AS571" s="1822"/>
      <c r="AT571" s="1823"/>
      <c r="AU571" s="1140">
        <f t="shared" ref="AU571:AU576" si="1">O608</f>
        <v>0</v>
      </c>
      <c r="AV571" s="1141"/>
      <c r="AW571" s="1141"/>
      <c r="AX571" s="1141"/>
      <c r="AY571" s="1142"/>
      <c r="AZ571" s="1140">
        <f t="shared" ref="AZ571:AZ576" si="2">T608</f>
        <v>0</v>
      </c>
      <c r="BA571" s="1141"/>
      <c r="BB571" s="1141"/>
      <c r="BC571" s="1141"/>
      <c r="BD571" s="1142"/>
      <c r="BE571" s="1813">
        <f t="shared" ref="BE571:BE576" si="3">Y608</f>
        <v>0</v>
      </c>
      <c r="BF571" s="1814"/>
      <c r="BG571" s="1814"/>
      <c r="BH571" s="1814"/>
      <c r="BI571" s="1815"/>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675">
        <v>0.2</v>
      </c>
      <c r="P572" s="1676"/>
      <c r="Q572" s="1847"/>
      <c r="R572" s="1683"/>
      <c r="S572" s="1873" t="s">
        <v>1768</v>
      </c>
      <c r="T572" s="1873"/>
      <c r="U572" s="1649">
        <v>10</v>
      </c>
      <c r="V572" s="1649"/>
      <c r="W572" s="1649">
        <v>15</v>
      </c>
      <c r="X572" s="1649"/>
      <c r="Y572" s="1649">
        <v>20</v>
      </c>
      <c r="Z572" s="1649"/>
      <c r="AA572" s="1649">
        <v>25</v>
      </c>
      <c r="AB572" s="1649"/>
      <c r="AC572" s="1649">
        <v>30</v>
      </c>
      <c r="AD572" s="1649"/>
      <c r="AE572" s="1726">
        <v>40</v>
      </c>
      <c r="AF572" s="1727"/>
      <c r="AN572" s="281"/>
      <c r="AP572" s="1821" t="str">
        <f t="shared" si="0"/>
        <v>4 BR</v>
      </c>
      <c r="AQ572" s="1822"/>
      <c r="AR572" s="1822"/>
      <c r="AS572" s="1822"/>
      <c r="AT572" s="1823"/>
      <c r="AU572" s="1140">
        <f t="shared" si="1"/>
        <v>4</v>
      </c>
      <c r="AV572" s="1141"/>
      <c r="AW572" s="1141"/>
      <c r="AX572" s="1141"/>
      <c r="AY572" s="1142"/>
      <c r="AZ572" s="1140">
        <f t="shared" si="2"/>
        <v>1</v>
      </c>
      <c r="BA572" s="1141"/>
      <c r="BB572" s="1141"/>
      <c r="BC572" s="1141"/>
      <c r="BD572" s="1142"/>
      <c r="BE572" s="1813">
        <f t="shared" si="3"/>
        <v>0.25</v>
      </c>
      <c r="BF572" s="1814"/>
      <c r="BG572" s="1814"/>
      <c r="BH572" s="1814"/>
      <c r="BI572" s="1815"/>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675">
        <v>0.15</v>
      </c>
      <c r="P573" s="1676"/>
      <c r="Q573" s="1847"/>
      <c r="R573" s="1683"/>
      <c r="S573" s="1648" t="s">
        <v>1766</v>
      </c>
      <c r="T573" s="1648"/>
      <c r="U573" s="1649">
        <v>7.5</v>
      </c>
      <c r="V573" s="1649"/>
      <c r="W573" s="1649">
        <v>11.3</v>
      </c>
      <c r="X573" s="1649"/>
      <c r="Y573" s="1649">
        <v>15</v>
      </c>
      <c r="Z573" s="1649"/>
      <c r="AA573" s="1649">
        <v>18.8</v>
      </c>
      <c r="AB573" s="1649"/>
      <c r="AC573" s="1649">
        <v>22.5</v>
      </c>
      <c r="AD573" s="1649"/>
      <c r="AE573" s="1726">
        <v>30</v>
      </c>
      <c r="AF573" s="1727"/>
      <c r="AN573" s="281"/>
      <c r="AP573" s="1821" t="str">
        <f t="shared" si="0"/>
        <v>3 BR</v>
      </c>
      <c r="AQ573" s="1822"/>
      <c r="AR573" s="1822"/>
      <c r="AS573" s="1822"/>
      <c r="AT573" s="1823"/>
      <c r="AU573" s="1140">
        <f t="shared" si="1"/>
        <v>15</v>
      </c>
      <c r="AV573" s="1141"/>
      <c r="AW573" s="1141"/>
      <c r="AX573" s="1141"/>
      <c r="AY573" s="1142"/>
      <c r="AZ573" s="1140">
        <f t="shared" si="2"/>
        <v>4</v>
      </c>
      <c r="BA573" s="1141"/>
      <c r="BB573" s="1141"/>
      <c r="BC573" s="1141"/>
      <c r="BD573" s="1142"/>
      <c r="BE573" s="1813">
        <f t="shared" si="3"/>
        <v>0.26666666666666666</v>
      </c>
      <c r="BF573" s="1814"/>
      <c r="BG573" s="1814"/>
      <c r="BH573" s="1814"/>
      <c r="BI573" s="1815"/>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675">
        <v>0.1</v>
      </c>
      <c r="P574" s="1676"/>
      <c r="Q574" s="1871"/>
      <c r="R574" s="1872"/>
      <c r="S574" s="1648" t="s">
        <v>1767</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1" t="str">
        <f t="shared" si="0"/>
        <v>2 BR</v>
      </c>
      <c r="AQ574" s="1822"/>
      <c r="AR574" s="1822"/>
      <c r="AS574" s="1822"/>
      <c r="AT574" s="1823"/>
      <c r="AU574" s="1140">
        <f t="shared" si="1"/>
        <v>32</v>
      </c>
      <c r="AV574" s="1141"/>
      <c r="AW574" s="1141"/>
      <c r="AX574" s="1141"/>
      <c r="AY574" s="1142"/>
      <c r="AZ574" s="1140">
        <f t="shared" si="2"/>
        <v>8</v>
      </c>
      <c r="BA574" s="1141"/>
      <c r="BB574" s="1141"/>
      <c r="BC574" s="1141"/>
      <c r="BD574" s="1142"/>
      <c r="BE574" s="1813">
        <f t="shared" si="3"/>
        <v>0.25</v>
      </c>
      <c r="BF574" s="1814"/>
      <c r="BG574" s="1814"/>
      <c r="BH574" s="1814"/>
      <c r="BI574" s="1815"/>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1" t="str">
        <f t="shared" si="0"/>
        <v>1 BR</v>
      </c>
      <c r="AQ575" s="1822"/>
      <c r="AR575" s="1822"/>
      <c r="AS575" s="1822"/>
      <c r="AT575" s="1823"/>
      <c r="AU575" s="1140">
        <f t="shared" si="1"/>
        <v>12</v>
      </c>
      <c r="AV575" s="1141"/>
      <c r="AW575" s="1141"/>
      <c r="AX575" s="1141"/>
      <c r="AY575" s="1142"/>
      <c r="AZ575" s="1140">
        <f t="shared" si="2"/>
        <v>3</v>
      </c>
      <c r="BA575" s="1141"/>
      <c r="BB575" s="1141"/>
      <c r="BC575" s="1141"/>
      <c r="BD575" s="1142"/>
      <c r="BE575" s="1813">
        <f t="shared" si="3"/>
        <v>0.25</v>
      </c>
      <c r="BF575" s="1814"/>
      <c r="BG575" s="1814"/>
      <c r="BH575" s="1814"/>
      <c r="BI575" s="1815"/>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0"/>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1"/>
      <c r="AN576" s="281"/>
      <c r="AP576" s="1821" t="str">
        <f t="shared" si="0"/>
        <v>SRO</v>
      </c>
      <c r="AQ576" s="1822"/>
      <c r="AR576" s="1822"/>
      <c r="AS576" s="1822"/>
      <c r="AT576" s="1823"/>
      <c r="AU576" s="1140">
        <f t="shared" si="1"/>
        <v>0</v>
      </c>
      <c r="AV576" s="1141"/>
      <c r="AW576" s="1141"/>
      <c r="AX576" s="1141"/>
      <c r="AY576" s="1142"/>
      <c r="AZ576" s="1140">
        <f t="shared" si="2"/>
        <v>0</v>
      </c>
      <c r="BA576" s="1141"/>
      <c r="BB576" s="1141"/>
      <c r="BC576" s="1141"/>
      <c r="BD576" s="1142"/>
      <c r="BE576" s="1813">
        <f t="shared" si="3"/>
        <v>0</v>
      </c>
      <c r="BF576" s="1814"/>
      <c r="BG576" s="1814"/>
      <c r="BH576" s="1814"/>
      <c r="BI576" s="1815"/>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6" t="s">
        <v>1508</v>
      </c>
      <c r="F577" s="1657"/>
      <c r="G577" s="1657"/>
      <c r="H577" s="1657"/>
      <c r="I577" s="1657"/>
      <c r="J577" s="1658"/>
      <c r="K577" s="1656" t="s">
        <v>1759</v>
      </c>
      <c r="L577" s="1657"/>
      <c r="M577" s="1657"/>
      <c r="N577" s="1657"/>
      <c r="O577" s="1657"/>
      <c r="P577" s="1658"/>
      <c r="Q577" s="1506" t="s">
        <v>1504</v>
      </c>
      <c r="R577" s="1507"/>
      <c r="S577" s="1507"/>
      <c r="T577" s="1507"/>
      <c r="U577" s="1507"/>
      <c r="V577" s="1508"/>
      <c r="W577" s="1506" t="str">
        <f>I566</f>
        <v>Percent of Low-Income Units (exclusive of manager’s units)</v>
      </c>
      <c r="X577" s="1507"/>
      <c r="Y577" s="1507"/>
      <c r="Z577" s="1507"/>
      <c r="AA577" s="1507"/>
      <c r="AB577" s="1508"/>
      <c r="AC577" s="1506" t="s">
        <v>1507</v>
      </c>
      <c r="AD577" s="1507"/>
      <c r="AE577" s="1507"/>
      <c r="AF577" s="1507"/>
      <c r="AG577" s="1507"/>
      <c r="AH577" s="1508"/>
      <c r="AN577" s="281"/>
      <c r="AP577" s="1821" t="str">
        <f t="shared" si="0"/>
        <v>Total:</v>
      </c>
      <c r="AQ577" s="1822"/>
      <c r="AR577" s="1822"/>
      <c r="AS577" s="1822"/>
      <c r="AT577" s="1823"/>
      <c r="AU577" s="1821"/>
      <c r="AV577" s="1822"/>
      <c r="AW577" s="1822"/>
      <c r="AX577" s="1822"/>
      <c r="AY577" s="1823"/>
      <c r="AZ577" s="1821"/>
      <c r="BA577" s="1822"/>
      <c r="BB577" s="1822"/>
      <c r="BC577" s="1822"/>
      <c r="BD577" s="1823"/>
      <c r="BE577" s="1821"/>
      <c r="BF577" s="1822"/>
      <c r="BG577" s="1822"/>
      <c r="BH577" s="1822"/>
      <c r="BI577" s="1823"/>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9"/>
      <c r="F578" s="1660"/>
      <c r="G578" s="1660"/>
      <c r="H578" s="1660"/>
      <c r="I578" s="1660"/>
      <c r="J578" s="1661"/>
      <c r="K578" s="1659"/>
      <c r="L578" s="1660"/>
      <c r="M578" s="1660"/>
      <c r="N578" s="1660"/>
      <c r="O578" s="1660"/>
      <c r="P578" s="1661"/>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59"/>
      <c r="F579" s="1660"/>
      <c r="G579" s="1660"/>
      <c r="H579" s="1660"/>
      <c r="I579" s="1660"/>
      <c r="J579" s="1661"/>
      <c r="K579" s="1659"/>
      <c r="L579" s="1660"/>
      <c r="M579" s="1660"/>
      <c r="N579" s="1660"/>
      <c r="O579" s="1660"/>
      <c r="P579" s="1661"/>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59"/>
      <c r="F580" s="1660"/>
      <c r="G580" s="1660"/>
      <c r="H580" s="1660"/>
      <c r="I580" s="1660"/>
      <c r="J580" s="1661"/>
      <c r="K580" s="1659"/>
      <c r="L580" s="1660"/>
      <c r="M580" s="1660"/>
      <c r="N580" s="1660"/>
      <c r="O580" s="1660"/>
      <c r="P580" s="1661"/>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1127</v>
      </c>
      <c r="BH580" s="3" t="s">
        <v>1128</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794</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f>3+8+4+1</f>
        <v>16</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25.396825396825395</v>
      </c>
      <c r="R582" s="1723"/>
      <c r="S582" s="1723"/>
      <c r="T582" s="1723"/>
      <c r="U582" s="1723"/>
      <c r="V582" s="1724"/>
      <c r="W582" s="1662">
        <f>IF(FLOOR(Q582,5)&gt;80,80,FLOOR(Q582,5))</f>
        <v>25</v>
      </c>
      <c r="X582" s="1663"/>
      <c r="Y582" s="1663"/>
      <c r="Z582" s="1663"/>
      <c r="AA582" s="1663"/>
      <c r="AB582" s="1664"/>
      <c r="AC582" s="1662">
        <f t="shared" si="4"/>
        <v>37.5</v>
      </c>
      <c r="AD582" s="1663"/>
      <c r="AE582" s="1663"/>
      <c r="AF582" s="1663"/>
      <c r="AG582" s="1663"/>
      <c r="AH582" s="1664"/>
      <c r="AN582" s="281"/>
      <c r="AO582" s="4">
        <v>4</v>
      </c>
      <c r="AP582" s="1653">
        <f t="shared" si="5"/>
        <v>0</v>
      </c>
      <c r="AQ582" s="1654"/>
      <c r="AR582" s="1654"/>
      <c r="AS582" s="1654"/>
      <c r="AT582" s="1655"/>
      <c r="AX582" s="1774" t="s">
        <v>616</v>
      </c>
      <c r="AY582" s="1775"/>
      <c r="AZ582" s="1272" t="s">
        <v>616</v>
      </c>
      <c r="BA582" s="1274"/>
      <c r="BB582" s="1774" t="s">
        <v>265</v>
      </c>
      <c r="BC582" s="1775"/>
      <c r="BD582" s="1703" t="s">
        <v>265</v>
      </c>
      <c r="BE582" s="1705"/>
      <c r="BF582" s="1774" t="s">
        <v>264</v>
      </c>
      <c r="BG582" s="1775"/>
      <c r="BH582" s="1703" t="s">
        <v>264</v>
      </c>
      <c r="BI582" s="1705"/>
      <c r="BJ582" s="1774" t="s">
        <v>263</v>
      </c>
      <c r="BK582" s="1775"/>
      <c r="BL582" s="1703" t="s">
        <v>263</v>
      </c>
      <c r="BM582" s="1705"/>
      <c r="BN582" s="1774" t="s">
        <v>615</v>
      </c>
      <c r="BO582" s="1775"/>
      <c r="BP582" s="1703" t="s">
        <v>615</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19"/>
      <c r="BC583" s="1820"/>
      <c r="BD583" s="1703">
        <f>IF(AND(T609&gt;0,AP533&gt;0),1,0)</f>
        <v>1</v>
      </c>
      <c r="BE583" s="1705"/>
      <c r="BF583" s="1819"/>
      <c r="BG583" s="1820"/>
      <c r="BH583" s="1703">
        <f>IF(AND(T609&gt;0,AP533&gt;0),1,0)</f>
        <v>1</v>
      </c>
      <c r="BI583" s="1705"/>
      <c r="BJ583" s="1819"/>
      <c r="BK583" s="1820"/>
      <c r="BL583" s="1703">
        <f>IF(AND(T609&gt;0,AP533&gt;0),1,0)</f>
        <v>1</v>
      </c>
      <c r="BM583" s="1705"/>
      <c r="BN583" s="1819"/>
      <c r="BO583" s="1820"/>
      <c r="BP583" s="1703">
        <f>IF(AND(T609&gt;0,AP533&gt;0),1,0)</f>
        <v>1</v>
      </c>
      <c r="BQ583" s="1705"/>
    </row>
    <row r="584" spans="5:96" s="4" customFormat="1" ht="12.75" customHeight="1">
      <c r="E584" s="1650">
        <f>2+4+2+2</f>
        <v>10</v>
      </c>
      <c r="F584" s="1651"/>
      <c r="G584" s="1651"/>
      <c r="H584" s="1651"/>
      <c r="I584" s="1651"/>
      <c r="J584" s="1652"/>
      <c r="K584" s="1653">
        <v>40</v>
      </c>
      <c r="L584" s="1654"/>
      <c r="M584" s="1654"/>
      <c r="N584" s="1654"/>
      <c r="O584" s="1654"/>
      <c r="P584" s="1655"/>
      <c r="Q584" s="1722">
        <f t="shared" si="6"/>
        <v>15.873015873015872</v>
      </c>
      <c r="R584" s="1723"/>
      <c r="S584" s="1723"/>
      <c r="T584" s="1723"/>
      <c r="U584" s="1723"/>
      <c r="V584" s="1724"/>
      <c r="W584" s="1662">
        <f t="shared" si="7"/>
        <v>15</v>
      </c>
      <c r="X584" s="1663"/>
      <c r="Y584" s="1663"/>
      <c r="Z584" s="1663"/>
      <c r="AA584" s="1663"/>
      <c r="AB584" s="1664"/>
      <c r="AC584" s="1662">
        <f t="shared" si="4"/>
        <v>15</v>
      </c>
      <c r="AD584" s="1663"/>
      <c r="AE584" s="1663"/>
      <c r="AF584" s="1663"/>
      <c r="AG584" s="1663"/>
      <c r="AH584" s="1664"/>
      <c r="AN584" s="281"/>
      <c r="AO584" s="4">
        <v>2</v>
      </c>
      <c r="AP584" s="1653">
        <f t="shared" si="5"/>
        <v>0</v>
      </c>
      <c r="AQ584" s="1654"/>
      <c r="AR584" s="1654"/>
      <c r="AS584" s="1654"/>
      <c r="AT584" s="1655"/>
      <c r="AX584" s="1819"/>
      <c r="AY584" s="1820"/>
      <c r="AZ584" s="1693"/>
      <c r="BA584" s="1695"/>
      <c r="BB584" s="1774">
        <f>IF(AP534=1,1,0)</f>
        <v>0</v>
      </c>
      <c r="BC584" s="1775"/>
      <c r="BD584" s="1693"/>
      <c r="BE584" s="1695"/>
      <c r="BF584" s="1819"/>
      <c r="BG584" s="1820"/>
      <c r="BH584" s="1703">
        <f>IF(AND(T610&gt;0,AP534&gt;0),1,0)</f>
        <v>1</v>
      </c>
      <c r="BI584" s="1705"/>
      <c r="BJ584" s="1819"/>
      <c r="BK584" s="1820"/>
      <c r="BL584" s="1703">
        <f>IF(AND(T610&gt;0,AP534&gt;0),1,0)</f>
        <v>1</v>
      </c>
      <c r="BM584" s="1705"/>
      <c r="BN584" s="1819"/>
      <c r="BO584" s="1820"/>
      <c r="BP584" s="1703">
        <f>IF(AND(T610&gt;0,AP534&gt;0),1,0)</f>
        <v>1</v>
      </c>
      <c r="BQ584" s="1705"/>
    </row>
    <row r="585" spans="5:96" s="4" customFormat="1" ht="12.75" customHeight="1">
      <c r="E585" s="1650"/>
      <c r="F585" s="1651"/>
      <c r="G585" s="1651"/>
      <c r="H585" s="1651"/>
      <c r="I585" s="1651"/>
      <c r="J585" s="1652"/>
      <c r="K585" s="1653">
        <v>45</v>
      </c>
      <c r="L585" s="1654"/>
      <c r="M585" s="1654"/>
      <c r="N585" s="1654"/>
      <c r="O585" s="1654"/>
      <c r="P585" s="1655"/>
      <c r="Q585" s="1722">
        <f t="shared" si="6"/>
        <v>0</v>
      </c>
      <c r="R585" s="1723"/>
      <c r="S585" s="1723"/>
      <c r="T585" s="1723"/>
      <c r="U585" s="1723"/>
      <c r="V585" s="1724"/>
      <c r="W585" s="1662">
        <f>IF(FLOOR(Q585,5)&gt;65,65,FLOOR(Q585,5))</f>
        <v>0</v>
      </c>
      <c r="X585" s="1663"/>
      <c r="Y585" s="1663"/>
      <c r="Z585" s="1663"/>
      <c r="AA585" s="1663"/>
      <c r="AB585" s="1664"/>
      <c r="AC585" s="1662">
        <f t="shared" si="4"/>
        <v>0</v>
      </c>
      <c r="AD585" s="1663"/>
      <c r="AE585" s="1663"/>
      <c r="AF585" s="1663"/>
      <c r="AG585" s="1663"/>
      <c r="AH585" s="1664"/>
      <c r="AN585" s="281"/>
      <c r="AO585" s="4">
        <v>1</v>
      </c>
      <c r="AP585" s="1653">
        <f t="shared" si="5"/>
        <v>0</v>
      </c>
      <c r="AQ585" s="1654"/>
      <c r="AR585" s="1654"/>
      <c r="AS585" s="1654"/>
      <c r="AT585" s="1655"/>
      <c r="AX585" s="1819"/>
      <c r="AY585" s="1820"/>
      <c r="AZ585" s="1693"/>
      <c r="BA585" s="1695"/>
      <c r="BB585" s="1819"/>
      <c r="BC585" s="1820"/>
      <c r="BD585" s="1693"/>
      <c r="BE585" s="1695"/>
      <c r="BF585" s="1774">
        <f>IF(AP535=1,1,0)</f>
        <v>1</v>
      </c>
      <c r="BG585" s="1775"/>
      <c r="BH585" s="1693"/>
      <c r="BI585" s="1695"/>
      <c r="BJ585" s="1819"/>
      <c r="BK585" s="1820"/>
      <c r="BL585" s="1703">
        <f>IF(AND(T611&gt;0,AP535&gt;0),1,0)</f>
        <v>1</v>
      </c>
      <c r="BM585" s="1705"/>
      <c r="BN585" s="1819"/>
      <c r="BO585" s="1820"/>
      <c r="BP585" s="1703">
        <f>IF(AND(T611&gt;0,AP535&gt;0),1,0)</f>
        <v>1</v>
      </c>
      <c r="BQ585" s="1705"/>
    </row>
    <row r="586" spans="5:96" s="4" customFormat="1" ht="12.75" customHeight="1">
      <c r="E586" s="1650">
        <f>1+3+1+1</f>
        <v>6</v>
      </c>
      <c r="F586" s="1651"/>
      <c r="G586" s="1651"/>
      <c r="H586" s="1651"/>
      <c r="I586" s="1651"/>
      <c r="J586" s="1652"/>
      <c r="K586" s="1653">
        <f>IF(OR(Application!D211="Rural",Application!D211="Rural apportionment (Section 514)",Application!D211="Rural apportionment (Section 515)",Application!D211="Rural apportionment (HOME)",Application!D211="Rural (Native American apportionment)"),"",50)</f>
        <v>50</v>
      </c>
      <c r="L586" s="1654"/>
      <c r="M586" s="1654"/>
      <c r="N586" s="1654"/>
      <c r="O586" s="1654"/>
      <c r="P586" s="1655"/>
      <c r="Q586" s="1722">
        <f t="shared" si="6"/>
        <v>9.5238095238095237</v>
      </c>
      <c r="R586" s="1723"/>
      <c r="S586" s="1723"/>
      <c r="T586" s="1723"/>
      <c r="U586" s="1723"/>
      <c r="V586" s="1724"/>
      <c r="W586" s="1662">
        <f>IF(FLOOR(Q586,5)&gt;40,40,FLOOR(Q586,5))</f>
        <v>5</v>
      </c>
      <c r="X586" s="1663"/>
      <c r="Y586" s="1663"/>
      <c r="Z586" s="1663"/>
      <c r="AA586" s="1663"/>
      <c r="AB586" s="1664"/>
      <c r="AC586" s="1662">
        <f t="shared" si="4"/>
        <v>0</v>
      </c>
      <c r="AD586" s="1663"/>
      <c r="AE586" s="1663"/>
      <c r="AF586" s="1663"/>
      <c r="AG586" s="1663"/>
      <c r="AH586" s="1664"/>
      <c r="AN586" s="281"/>
      <c r="AO586" s="4">
        <v>0</v>
      </c>
      <c r="AP586" s="1653">
        <f t="shared" si="5"/>
        <v>0</v>
      </c>
      <c r="AQ586" s="1654"/>
      <c r="AR586" s="1654"/>
      <c r="AS586" s="1654"/>
      <c r="AT586" s="1655"/>
      <c r="AX586" s="1819"/>
      <c r="AY586" s="1820"/>
      <c r="AZ586" s="1693"/>
      <c r="BA586" s="1695"/>
      <c r="BB586" s="1819"/>
      <c r="BC586" s="1820"/>
      <c r="BD586" s="1693"/>
      <c r="BE586" s="1695"/>
      <c r="BF586" s="1819"/>
      <c r="BG586" s="1820"/>
      <c r="BH586" s="1693"/>
      <c r="BI586" s="1695"/>
      <c r="BJ586" s="1774">
        <f>IF(AP536=1,1,0)</f>
        <v>0</v>
      </c>
      <c r="BK586" s="1775"/>
      <c r="BL586" s="1819"/>
      <c r="BM586" s="1820"/>
      <c r="BN586" s="1819"/>
      <c r="BO586" s="1820"/>
      <c r="BP586" s="1703">
        <f>IF(AND(T612&gt;0,AP536&gt;0),1,0)</f>
        <v>1</v>
      </c>
      <c r="BQ586" s="1705"/>
    </row>
    <row r="587" spans="5:96" s="4" customFormat="1" ht="12.75" customHeight="1">
      <c r="E587" s="1748"/>
      <c r="F587" s="1749"/>
      <c r="G587" s="1749"/>
      <c r="H587" s="1749"/>
      <c r="I587" s="1749"/>
      <c r="J587" s="1750"/>
      <c r="K587" s="1855" t="str">
        <f>IF(OR(Application!D211="Rural",Application!D211="Rural apportionment (Section 514)",Application!D211="Rural apportionment (Section 515)",Application!D211="Rural apportionment (HOME)",Application!D211="Rural apportionment (CDBG-DR)",Application!D211="Rural (Native American apportionment)"),50,"")</f>
        <v/>
      </c>
      <c r="L587" s="1856"/>
      <c r="M587" s="1857" t="s">
        <v>2317</v>
      </c>
      <c r="N587" s="1857"/>
      <c r="O587" s="1857"/>
      <c r="P587" s="1858"/>
      <c r="Q587" s="1722">
        <f t="shared" si="6"/>
        <v>0</v>
      </c>
      <c r="R587" s="1723"/>
      <c r="S587" s="1723"/>
      <c r="T587" s="1723"/>
      <c r="U587" s="1723"/>
      <c r="V587" s="1724"/>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81"/>
      <c r="AP587" s="1653"/>
      <c r="AQ587" s="1654"/>
      <c r="AR587" s="1654"/>
      <c r="AS587" s="1654"/>
      <c r="AT587" s="1655"/>
      <c r="AX587" s="1819"/>
      <c r="AY587" s="1820"/>
      <c r="AZ587" s="1693"/>
      <c r="BA587" s="1695"/>
      <c r="BB587" s="1819"/>
      <c r="BC587" s="1820"/>
      <c r="BD587" s="1693"/>
      <c r="BE587" s="1695"/>
      <c r="BF587" s="1819"/>
      <c r="BG587" s="1820"/>
      <c r="BH587" s="1693"/>
      <c r="BI587" s="1695"/>
      <c r="BJ587" s="1819"/>
      <c r="BK587" s="1820"/>
      <c r="BL587" s="1819"/>
      <c r="BM587" s="1820"/>
      <c r="BN587" s="1774">
        <f>IF(AP537=1,1,0)</f>
        <v>0</v>
      </c>
      <c r="BO587" s="1775"/>
      <c r="BP587" s="1693"/>
      <c r="BQ587" s="1695"/>
    </row>
    <row r="588" spans="5:96" s="4" customFormat="1" ht="12.75" customHeight="1">
      <c r="E588" s="1748"/>
      <c r="F588" s="1749"/>
      <c r="G588" s="1749"/>
      <c r="H588" s="1749"/>
      <c r="I588" s="1749"/>
      <c r="J588" s="1750"/>
      <c r="K588" s="1855" t="str">
        <f>IF(OR(Application!D211="Rural",Application!D211="Rural apportionment (Section 514)",Application!D211="Rural apportionment (Section 515)",Application!D211="Rural apportionment (HOME)",Application!D211="Rural apportionment (CDBG-DR)",Application!D211="Rural (Native American apportionment)"),55,"")</f>
        <v/>
      </c>
      <c r="L588" s="1856"/>
      <c r="M588" s="1857" t="s">
        <v>2317</v>
      </c>
      <c r="N588" s="1857"/>
      <c r="O588" s="1857"/>
      <c r="P588" s="1858"/>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1</v>
      </c>
      <c r="BE588" s="1705"/>
      <c r="BF588" s="1774">
        <f>SUM(BF585:BG587)</f>
        <v>1</v>
      </c>
      <c r="BG588" s="1775"/>
      <c r="BH588" s="1703">
        <f>SUM(BH583:BI587)</f>
        <v>2</v>
      </c>
      <c r="BI588" s="1705"/>
      <c r="BJ588" s="1774">
        <f>SUM(BJ583:BK587)</f>
        <v>0</v>
      </c>
      <c r="BK588" s="1775"/>
      <c r="BL588" s="1703">
        <f>SUM(BL583:BM587)</f>
        <v>3</v>
      </c>
      <c r="BM588" s="1705"/>
      <c r="BN588" s="1774">
        <f>SUM(BN583:BO587)</f>
        <v>0</v>
      </c>
      <c r="BO588" s="1775"/>
      <c r="BP588" s="1703">
        <f>SUM(BP583:BQ587)</f>
        <v>4</v>
      </c>
      <c r="BQ588" s="1705"/>
    </row>
    <row r="589" spans="5:96" s="4" customFormat="1" ht="12.75" customHeight="1">
      <c r="E589" s="1650">
        <f>6+17+8</f>
        <v>31</v>
      </c>
      <c r="F589" s="1651"/>
      <c r="G589" s="1651"/>
      <c r="H589" s="1651"/>
      <c r="I589" s="1651"/>
      <c r="J589" s="1652"/>
      <c r="K589" s="1653" t="s">
        <v>2131</v>
      </c>
      <c r="L589" s="1654"/>
      <c r="M589" s="1654"/>
      <c r="N589" s="1654"/>
      <c r="O589" s="1654"/>
      <c r="P589" s="1655"/>
      <c r="Q589" s="1722">
        <f t="shared" si="6"/>
        <v>49.206349206349202</v>
      </c>
      <c r="R589" s="1723"/>
      <c r="S589" s="1723"/>
      <c r="T589" s="1723"/>
      <c r="U589" s="1723"/>
      <c r="V589" s="1724"/>
      <c r="W589" s="1662">
        <f t="shared" si="7"/>
        <v>45</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1</v>
      </c>
      <c r="BG589" s="1789"/>
      <c r="BH589" s="1789"/>
      <c r="BI589" s="1790"/>
      <c r="BJ589" s="1788">
        <f>IF(AND(BJ588=1,BL588&gt;=1),1,0)</f>
        <v>0</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2132</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2133</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609</v>
      </c>
      <c r="BK591"/>
      <c r="BL591"/>
      <c r="BM591"/>
      <c r="BN591"/>
      <c r="BO591"/>
      <c r="BP591"/>
      <c r="BQ591"/>
    </row>
    <row r="592" spans="5:96" s="4" customFormat="1" ht="12.75" customHeight="1">
      <c r="E592" s="1745">
        <f>SUM(E581:J591)</f>
        <v>63</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605</v>
      </c>
      <c r="AC592" s="1742">
        <f>IF(SUM(AC581:AH591)&gt;0,SUM(AC581:AH591),0)</f>
        <v>52.5</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06" t="s">
        <v>103</v>
      </c>
      <c r="AH596" s="1706"/>
      <c r="AI596" s="1706"/>
      <c r="AJ596" s="1706"/>
      <c r="AK596" s="5"/>
      <c r="AL596" s="5"/>
      <c r="AM596" s="5"/>
      <c r="AN596" s="281"/>
    </row>
    <row r="597" spans="1:64" s="4" customFormat="1" ht="12.75" customHeight="1">
      <c r="B597" s="1668" t="s">
        <v>2121</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795</v>
      </c>
      <c r="K604" s="1800"/>
      <c r="L604" s="1800"/>
      <c r="M604" s="1800"/>
      <c r="N604" s="1801"/>
      <c r="O604" s="1506" t="s">
        <v>1505</v>
      </c>
      <c r="P604" s="1507"/>
      <c r="Q604" s="1507"/>
      <c r="R604" s="1507"/>
      <c r="S604" s="1508"/>
      <c r="T604" s="1506" t="s">
        <v>1769</v>
      </c>
      <c r="U604" s="1507"/>
      <c r="V604" s="1507"/>
      <c r="W604" s="1507"/>
      <c r="X604" s="1508"/>
      <c r="Y604" s="1506" t="s">
        <v>1506</v>
      </c>
      <c r="Z604" s="1507"/>
      <c r="AA604" s="1507"/>
      <c r="AB604" s="1507"/>
      <c r="AC604" s="1508"/>
      <c r="AF604"/>
      <c r="AG604"/>
      <c r="AH604"/>
      <c r="AI604"/>
      <c r="AJ604"/>
    </row>
    <row r="605" spans="1:64">
      <c r="D605"/>
      <c r="E605"/>
      <c r="F605"/>
      <c r="G605"/>
      <c r="H605"/>
      <c r="I605"/>
      <c r="J605" s="1699"/>
      <c r="K605" s="1700"/>
      <c r="L605" s="1700"/>
      <c r="M605" s="1700"/>
      <c r="N605" s="1802"/>
      <c r="O605" s="1509"/>
      <c r="P605" s="1510"/>
      <c r="Q605" s="1510"/>
      <c r="R605" s="1510"/>
      <c r="S605" s="1511"/>
      <c r="T605" s="1509"/>
      <c r="U605" s="1510"/>
      <c r="V605" s="1510"/>
      <c r="W605" s="1510"/>
      <c r="X605" s="1511"/>
      <c r="Y605" s="1509"/>
      <c r="Z605" s="1510"/>
      <c r="AA605" s="1510"/>
      <c r="AB605" s="1510"/>
      <c r="AC605" s="1511"/>
      <c r="AF605"/>
      <c r="AG605"/>
      <c r="AH605"/>
      <c r="AI605"/>
      <c r="AJ605"/>
      <c r="AO605" s="38" t="s">
        <v>2231</v>
      </c>
      <c r="AR605" s="21" t="b">
        <f>$Y$614&gt;=10%</f>
        <v>1</v>
      </c>
    </row>
    <row r="606" spans="1:64">
      <c r="I606"/>
      <c r="J606" s="1699"/>
      <c r="K606" s="1700"/>
      <c r="L606" s="1700"/>
      <c r="M606" s="1700"/>
      <c r="N606" s="1802"/>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2232</v>
      </c>
      <c r="AR606" s="955">
        <f>ROUNDUP(($O$614*10%),0)</f>
        <v>7</v>
      </c>
    </row>
    <row r="607" spans="1:64">
      <c r="D607"/>
      <c r="E607"/>
      <c r="F607"/>
      <c r="G607"/>
      <c r="H607"/>
      <c r="I607"/>
      <c r="J607" s="1699"/>
      <c r="K607" s="1700"/>
      <c r="L607" s="1700"/>
      <c r="M607" s="1700"/>
      <c r="N607" s="1802"/>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2233</v>
      </c>
      <c r="AR607" s="21" t="s">
        <v>2234</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53">
        <f>Application!CH626</f>
        <v>4</v>
      </c>
      <c r="P609" s="1654"/>
      <c r="Q609" s="1654"/>
      <c r="R609" s="1654"/>
      <c r="S609" s="1655"/>
      <c r="T609" s="1653">
        <f>Application!DM627</f>
        <v>1</v>
      </c>
      <c r="U609" s="1654"/>
      <c r="V609" s="1654"/>
      <c r="W609" s="1654"/>
      <c r="X609" s="1655"/>
      <c r="Y609" s="1737">
        <f t="shared" si="8"/>
        <v>0.25</v>
      </c>
      <c r="Z609" s="1738"/>
      <c r="AA609" s="1738"/>
      <c r="AB609" s="1738"/>
      <c r="AC609" s="1739"/>
      <c r="AD609"/>
      <c r="AF609"/>
      <c r="AG609"/>
      <c r="AH609"/>
      <c r="AI609"/>
      <c r="AJ609"/>
      <c r="AO609" s="955">
        <f t="shared" ref="AO609:AO613" si="9">ROUNDUP((O609*10%),0)</f>
        <v>1</v>
      </c>
      <c r="AP609" s="206"/>
      <c r="AR609" s="956" t="b">
        <f>OR(SUM($T$608:T609)&gt;=$AR$606,T609&gt;=AO609)</f>
        <v>1</v>
      </c>
    </row>
    <row r="610" spans="1:60">
      <c r="D610"/>
      <c r="E610"/>
      <c r="F610"/>
      <c r="G610"/>
      <c r="H610"/>
      <c r="I610"/>
      <c r="J610" s="1730" t="s">
        <v>265</v>
      </c>
      <c r="K610" s="1731"/>
      <c r="L610" s="1731"/>
      <c r="M610" s="1731"/>
      <c r="N610" s="1732"/>
      <c r="O610" s="1653">
        <f>Application!CC626</f>
        <v>15</v>
      </c>
      <c r="P610" s="1654"/>
      <c r="Q610" s="1654"/>
      <c r="R610" s="1654"/>
      <c r="S610" s="1655"/>
      <c r="T610" s="1653">
        <f>Application!DH627</f>
        <v>4</v>
      </c>
      <c r="U610" s="1654"/>
      <c r="V610" s="1654"/>
      <c r="W610" s="1654"/>
      <c r="X610" s="1655"/>
      <c r="Y610" s="1737">
        <f t="shared" si="8"/>
        <v>0.26666666666666666</v>
      </c>
      <c r="Z610" s="1738"/>
      <c r="AA610" s="1738"/>
      <c r="AB610" s="1738"/>
      <c r="AC610" s="1739"/>
      <c r="AD610"/>
      <c r="AF610"/>
      <c r="AG610"/>
      <c r="AH610"/>
      <c r="AI610"/>
      <c r="AJ610"/>
      <c r="AO610" s="955">
        <f t="shared" si="9"/>
        <v>2</v>
      </c>
      <c r="AP610" s="206"/>
      <c r="AR610" s="956" t="b">
        <f>OR(SUM($T$608:T610)&gt;=$AR$606,T610&gt;=AO610)</f>
        <v>1</v>
      </c>
    </row>
    <row r="611" spans="1:60">
      <c r="D611"/>
      <c r="E611"/>
      <c r="F611"/>
      <c r="G611"/>
      <c r="H611"/>
      <c r="I611"/>
      <c r="J611" s="1730" t="s">
        <v>264</v>
      </c>
      <c r="K611" s="1731"/>
      <c r="L611" s="1731"/>
      <c r="M611" s="1731"/>
      <c r="N611" s="1732"/>
      <c r="O611" s="1653">
        <f>Application!BX626</f>
        <v>32</v>
      </c>
      <c r="P611" s="1654"/>
      <c r="Q611" s="1654"/>
      <c r="R611" s="1654"/>
      <c r="S611" s="1655"/>
      <c r="T611" s="1653">
        <f>Application!DC627</f>
        <v>8</v>
      </c>
      <c r="U611" s="1654"/>
      <c r="V611" s="1654"/>
      <c r="W611" s="1654"/>
      <c r="X611" s="1655"/>
      <c r="Y611" s="1737">
        <f t="shared" si="8"/>
        <v>0.25</v>
      </c>
      <c r="Z611" s="1738"/>
      <c r="AA611" s="1738"/>
      <c r="AB611" s="1738"/>
      <c r="AC611" s="1739"/>
      <c r="AD611"/>
      <c r="AF611"/>
      <c r="AG611"/>
      <c r="AH611"/>
      <c r="AI611"/>
      <c r="AJ611"/>
      <c r="AO611" s="955">
        <f t="shared" si="9"/>
        <v>4</v>
      </c>
      <c r="AP611" s="206"/>
      <c r="AR611" s="956" t="b">
        <f>OR(SUM($T$608:T611)&gt;=$AR$606,T611&gt;=AO611)</f>
        <v>1</v>
      </c>
    </row>
    <row r="612" spans="1:60">
      <c r="D612"/>
      <c r="E612"/>
      <c r="F612"/>
      <c r="G612"/>
      <c r="H612"/>
      <c r="I612"/>
      <c r="J612" s="1730" t="s">
        <v>263</v>
      </c>
      <c r="K612" s="1731"/>
      <c r="L612" s="1731"/>
      <c r="M612" s="1731"/>
      <c r="N612" s="1732"/>
      <c r="O612" s="1653">
        <f>Application!BS626</f>
        <v>12</v>
      </c>
      <c r="P612" s="1654"/>
      <c r="Q612" s="1654"/>
      <c r="R612" s="1654"/>
      <c r="S612" s="1655"/>
      <c r="T612" s="1653">
        <f>Application!CX627</f>
        <v>3</v>
      </c>
      <c r="U612" s="1654"/>
      <c r="V612" s="1654"/>
      <c r="W612" s="1654"/>
      <c r="X612" s="1655"/>
      <c r="Y612" s="1737">
        <f t="shared" si="8"/>
        <v>0.25</v>
      </c>
      <c r="Z612" s="1738"/>
      <c r="AA612" s="1738"/>
      <c r="AB612" s="1738"/>
      <c r="AC612" s="1739"/>
      <c r="AD612"/>
      <c r="AF612"/>
      <c r="AG612"/>
      <c r="AH612"/>
      <c r="AI612"/>
      <c r="AJ612"/>
      <c r="AO612" s="955">
        <f t="shared" si="9"/>
        <v>2</v>
      </c>
      <c r="AP612" s="206"/>
      <c r="AR612" s="956" t="b">
        <f>OR(SUM($T$608:T612)&gt;=$AR$606,T612&gt;=AO612)</f>
        <v>1</v>
      </c>
    </row>
    <row r="613" spans="1:60">
      <c r="D613"/>
      <c r="E613"/>
      <c r="F613"/>
      <c r="G613"/>
      <c r="H613"/>
      <c r="I613"/>
      <c r="J613" s="1730" t="s">
        <v>615</v>
      </c>
      <c r="K613" s="1731"/>
      <c r="L613" s="1731"/>
      <c r="M613" s="1731"/>
      <c r="N613" s="1732"/>
      <c r="O613" s="1653">
        <f>Application!BN626</f>
        <v>0</v>
      </c>
      <c r="P613" s="1654"/>
      <c r="Q613" s="1654"/>
      <c r="R613" s="1654"/>
      <c r="S613" s="1655"/>
      <c r="T613" s="1653">
        <f>Application!CS627</f>
        <v>0</v>
      </c>
      <c r="U613" s="1654"/>
      <c r="V613" s="1654"/>
      <c r="W613" s="1654"/>
      <c r="X613" s="1655"/>
      <c r="Y613" s="1737">
        <f>IF(T613&gt;0,T613/O613,0)</f>
        <v>0</v>
      </c>
      <c r="Z613" s="1738"/>
      <c r="AA613" s="1738"/>
      <c r="AB613" s="1738"/>
      <c r="AC613" s="1739"/>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19">
        <f>SUM(O608:S613)</f>
        <v>63</v>
      </c>
      <c r="P614" s="1720"/>
      <c r="Q614" s="1720"/>
      <c r="R614" s="1720"/>
      <c r="S614" s="1721"/>
      <c r="T614" s="1719">
        <f>SUM(T608:X613)</f>
        <v>16</v>
      </c>
      <c r="U614" s="1720"/>
      <c r="V614" s="1720"/>
      <c r="W614" s="1720"/>
      <c r="X614" s="1721"/>
      <c r="Y614" s="1796">
        <f>IF(T614&gt;0,T614/O614,0)</f>
        <v>0.25396825396825395</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6">
        <f>IF($E$592=Application!G730,$AC$592+$AJ$617,0)</f>
        <v>54.5</v>
      </c>
      <c r="AL619" s="1267"/>
      <c r="AM619" s="126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8" t="s">
        <v>2224</v>
      </c>
      <c r="G627" s="1879"/>
      <c r="H627" s="1879"/>
      <c r="I627" s="1879"/>
      <c r="J627" s="1879"/>
      <c r="K627" s="1879"/>
      <c r="L627" s="1879"/>
      <c r="M627" s="1879"/>
      <c r="N627" s="1879"/>
      <c r="O627" s="1879"/>
      <c r="P627" s="1879"/>
      <c r="Q627" s="1879"/>
      <c r="R627" s="1879"/>
      <c r="S627" s="1879"/>
      <c r="T627" s="1879"/>
      <c r="U627" s="1879"/>
      <c r="V627" s="1879"/>
      <c r="W627" s="1879"/>
      <c r="X627" s="1879"/>
      <c r="Y627" s="1879"/>
      <c r="Z627" s="1879"/>
      <c r="AA627" s="1879"/>
      <c r="AB627" s="1879"/>
      <c r="AC627" s="1879"/>
      <c r="AD627" s="1879"/>
      <c r="AE627" s="1880"/>
      <c r="AF627" s="175"/>
      <c r="AG627" s="1035" t="s">
        <v>938</v>
      </c>
      <c r="AH627" s="1035"/>
      <c r="AI627" s="1035"/>
      <c r="AJ627" s="1035"/>
      <c r="AK627" s="4"/>
      <c r="AL627" s="4"/>
      <c r="AM627" s="4"/>
      <c r="AO627" s="4"/>
      <c r="AP627" s="35"/>
    </row>
    <row r="628" spans="1:44">
      <c r="A628" s="4"/>
      <c r="B628" s="20"/>
      <c r="C628" s="45"/>
      <c r="D628" s="4"/>
      <c r="E628" s="185"/>
      <c r="F628" s="1881"/>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c r="AA628" s="1882"/>
      <c r="AB628" s="1882"/>
      <c r="AC628" s="1882"/>
      <c r="AD628" s="1882"/>
      <c r="AE628" s="1883"/>
      <c r="AF628" s="175"/>
      <c r="AG628" s="175"/>
      <c r="AH628" s="175"/>
      <c r="AI628" s="175"/>
      <c r="AJ628" s="4"/>
      <c r="AK628" s="4"/>
      <c r="AL628" s="4"/>
      <c r="AM628" s="4"/>
    </row>
    <row r="629" spans="1:44" ht="13.7" customHeight="1">
      <c r="A629" s="4"/>
      <c r="B629" s="20"/>
      <c r="C629" s="45"/>
      <c r="D629" s="4"/>
      <c r="E629" s="185"/>
      <c r="F629" s="1884"/>
      <c r="G629" s="1885"/>
      <c r="H629" s="1885"/>
      <c r="I629" s="1885"/>
      <c r="J629" s="1885"/>
      <c r="K629" s="1885"/>
      <c r="L629" s="1885"/>
      <c r="M629" s="1885"/>
      <c r="N629" s="1885"/>
      <c r="O629" s="1885"/>
      <c r="P629" s="1885"/>
      <c r="Q629" s="1885"/>
      <c r="R629" s="1885"/>
      <c r="S629" s="1885"/>
      <c r="T629" s="1885"/>
      <c r="U629" s="1885"/>
      <c r="V629" s="1885"/>
      <c r="W629" s="1885"/>
      <c r="X629" s="1885"/>
      <c r="Y629" s="1885"/>
      <c r="Z629" s="1885"/>
      <c r="AA629" s="1885"/>
      <c r="AB629" s="1885"/>
      <c r="AC629" s="1885"/>
      <c r="AD629" s="1885"/>
      <c r="AE629" s="188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0" t="s">
        <v>2229</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108</v>
      </c>
      <c r="D650" s="1098"/>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0" t="s">
        <v>2215</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722</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1944</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1945</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39"/>
      <c r="U697" s="1540"/>
      <c r="V697" s="1540"/>
      <c r="W697" s="1540"/>
      <c r="X697" s="1540"/>
      <c r="Y697" s="1541"/>
      <c r="Z697" s="1539"/>
      <c r="AA697" s="1540"/>
      <c r="AB697" s="1540"/>
      <c r="AC697" s="1540"/>
      <c r="AD697" s="1540"/>
      <c r="AE697" s="1541"/>
      <c r="AF697" s="1539"/>
      <c r="AG697" s="1540"/>
      <c r="AH697" s="1540"/>
      <c r="AI697" s="1540"/>
      <c r="AJ697" s="1540"/>
      <c r="AK697" s="1541"/>
      <c r="AL697" s="778"/>
      <c r="AM697" s="20"/>
    </row>
    <row r="698" spans="1:43">
      <c r="A698" s="594" t="s">
        <v>653</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428</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16</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540</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6"/>
      <c r="AA705" s="1496"/>
      <c r="AB705" s="1496"/>
      <c r="AC705" s="1496"/>
      <c r="AD705" s="1496"/>
      <c r="AE705" s="1496"/>
      <c r="AF705" s="1496"/>
      <c r="AG705" s="1496"/>
      <c r="AH705" s="1496"/>
      <c r="AI705" s="1496"/>
      <c r="AJ705" s="1496"/>
      <c r="AK705" s="1496"/>
      <c r="AL705" s="778"/>
      <c r="AM705" s="20"/>
    </row>
    <row r="706" spans="1:39">
      <c r="A706" s="594" t="s">
        <v>122</v>
      </c>
      <c r="B706" s="1763" t="s">
        <v>541</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2220</v>
      </c>
      <c r="E707" s="1766" t="s">
        <v>183</v>
      </c>
      <c r="F707" s="1766"/>
      <c r="G707" s="1766"/>
      <c r="H707" s="1766"/>
      <c r="I707" s="1766"/>
      <c r="J707" s="1766"/>
      <c r="K707" s="1766"/>
      <c r="L707" s="1766"/>
      <c r="M707" s="1766"/>
      <c r="N707" s="1766"/>
      <c r="O707" s="1766"/>
      <c r="P707" s="1766"/>
      <c r="Q707" s="1766"/>
      <c r="R707" s="1766"/>
      <c r="S707" s="1767"/>
      <c r="T707" s="1759">
        <f>AC592</f>
        <v>52.5</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2221</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6">
        <v>2</v>
      </c>
      <c r="AA708" s="1267"/>
      <c r="AB708" s="1267"/>
      <c r="AC708" s="1267"/>
      <c r="AD708" s="1267"/>
      <c r="AE708" s="1268"/>
      <c r="AF708" s="1781"/>
      <c r="AG708" s="1782"/>
      <c r="AH708" s="1782"/>
      <c r="AI708" s="1782"/>
      <c r="AJ708" s="1782"/>
      <c r="AK708" s="1783"/>
      <c r="AL708" s="778"/>
      <c r="AM708" s="4"/>
    </row>
    <row r="709" spans="1:39">
      <c r="A709" s="619" t="s">
        <v>123</v>
      </c>
      <c r="B709" s="1763" t="s">
        <v>542</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6">
        <v>10</v>
      </c>
      <c r="AA709" s="1496"/>
      <c r="AB709" s="1496"/>
      <c r="AC709" s="1496"/>
      <c r="AD709" s="1496"/>
      <c r="AE709" s="1496"/>
      <c r="AF709" s="1347">
        <f>IF(T709&gt;Z709,Z709,T709)</f>
        <v>10</v>
      </c>
      <c r="AG709" s="1348"/>
      <c r="AH709" s="1348"/>
      <c r="AI709" s="1348"/>
      <c r="AJ709" s="1348"/>
      <c r="AK709" s="1366"/>
      <c r="AL709" s="778"/>
      <c r="AM709" s="20"/>
    </row>
    <row r="710" spans="1:39">
      <c r="A710" s="619" t="s">
        <v>125</v>
      </c>
      <c r="B710" s="1763" t="s">
        <v>985</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7">
        <v>2</v>
      </c>
      <c r="AA710" s="1348"/>
      <c r="AB710" s="1348"/>
      <c r="AC710" s="1348"/>
      <c r="AD710" s="1348"/>
      <c r="AE710" s="1366"/>
      <c r="AF710" s="1347">
        <f>IF(T710&gt;Z710,Z710,T710)</f>
        <v>2</v>
      </c>
      <c r="AG710" s="1779"/>
      <c r="AH710" s="1779"/>
      <c r="AI710" s="1779"/>
      <c r="AJ710" s="1779"/>
      <c r="AK710" s="1780"/>
      <c r="AL710" s="3"/>
      <c r="AM710" s="20"/>
    </row>
    <row r="711" spans="1:39">
      <c r="A711" s="1859" t="s">
        <v>297</v>
      </c>
      <c r="B711" s="1763"/>
      <c r="C711" s="1763"/>
      <c r="D711" s="1763"/>
      <c r="E711" s="1763"/>
      <c r="F711" s="1763"/>
      <c r="G711" s="1763"/>
      <c r="H711" s="1763"/>
      <c r="I711" s="1763"/>
      <c r="J711" s="1763"/>
      <c r="K711" s="1763"/>
      <c r="L711" s="1763"/>
      <c r="M711" s="1763"/>
      <c r="N711" s="1763"/>
      <c r="O711" s="1763"/>
      <c r="P711" s="1763"/>
      <c r="Q711" s="1763"/>
      <c r="R711" s="1763"/>
      <c r="S711" s="1764"/>
      <c r="T711" s="1091"/>
      <c r="U711" s="1091"/>
      <c r="V711" s="1091"/>
      <c r="W711" s="1091"/>
      <c r="X711" s="1091"/>
      <c r="Y711" s="1091"/>
      <c r="Z711" s="1665" t="s">
        <v>296</v>
      </c>
      <c r="AA711" s="1665"/>
      <c r="AB711" s="1665"/>
      <c r="AC711" s="1665"/>
      <c r="AD711" s="1665"/>
      <c r="AE711" s="1665"/>
      <c r="AF711" s="1347">
        <f>IF(T711&gt;0,T711,0)</f>
        <v>0</v>
      </c>
      <c r="AG711" s="1348"/>
      <c r="AH711" s="1348"/>
      <c r="AI711" s="1348"/>
      <c r="AJ711" s="1348"/>
      <c r="AK711" s="1366"/>
      <c r="AL711" s="18"/>
      <c r="AM711" s="20"/>
    </row>
    <row r="712" spans="1:39" ht="15.75">
      <c r="A712" s="1849" t="s">
        <v>721</v>
      </c>
      <c r="B712" s="1850"/>
      <c r="C712" s="1850"/>
      <c r="D712" s="1850"/>
      <c r="E712" s="1850"/>
      <c r="F712" s="1850"/>
      <c r="G712" s="1850"/>
      <c r="H712" s="1850"/>
      <c r="I712" s="1850"/>
      <c r="J712" s="1850"/>
      <c r="K712" s="1850"/>
      <c r="L712" s="1850"/>
      <c r="M712" s="1850"/>
      <c r="N712" s="1850"/>
      <c r="O712" s="1850"/>
      <c r="P712" s="1850"/>
      <c r="Q712" s="1850"/>
      <c r="R712" s="1850"/>
      <c r="S712" s="1850"/>
      <c r="T712" s="1850"/>
      <c r="U712" s="1850"/>
      <c r="V712" s="1850"/>
      <c r="W712" s="1850"/>
      <c r="X712" s="1850"/>
      <c r="Y712" s="1850"/>
      <c r="Z712" s="1850"/>
      <c r="AA712" s="1850"/>
      <c r="AB712" s="1850"/>
      <c r="AC712" s="1850"/>
      <c r="AD712" s="1850"/>
      <c r="AE712" s="1851"/>
      <c r="AF712" s="1768">
        <f>SUM(AF698:AK710)-AF711</f>
        <v>109</v>
      </c>
      <c r="AG712" s="1769"/>
      <c r="AH712" s="1769"/>
      <c r="AI712" s="1769"/>
      <c r="AJ712" s="1769"/>
      <c r="AK712" s="1770"/>
      <c r="AL712" s="779"/>
      <c r="AM712" s="4"/>
    </row>
    <row r="713" spans="1:39" ht="12.4" customHeight="1">
      <c r="A713" s="1852"/>
      <c r="B713" s="1853"/>
      <c r="C713" s="1853"/>
      <c r="D713" s="1853"/>
      <c r="E713" s="1853"/>
      <c r="F713" s="1853"/>
      <c r="G713" s="1853"/>
      <c r="H713" s="1853"/>
      <c r="I713" s="1853"/>
      <c r="J713" s="1853"/>
      <c r="K713" s="1853"/>
      <c r="L713" s="1853"/>
      <c r="M713" s="1853"/>
      <c r="N713" s="1853"/>
      <c r="O713" s="1853"/>
      <c r="P713" s="1853"/>
      <c r="Q713" s="1853"/>
      <c r="R713" s="1853"/>
      <c r="S713" s="1853"/>
      <c r="T713" s="1853"/>
      <c r="U713" s="1853"/>
      <c r="V713" s="1853"/>
      <c r="W713" s="1853"/>
      <c r="X713" s="1853"/>
      <c r="Y713" s="1853"/>
      <c r="Z713" s="1853"/>
      <c r="AA713" s="1853"/>
      <c r="AB713" s="1853"/>
      <c r="AC713" s="1853"/>
      <c r="AD713" s="1853"/>
      <c r="AE713" s="1854"/>
      <c r="AF713" s="1771"/>
      <c r="AG713" s="1772"/>
      <c r="AH713" s="1772"/>
      <c r="AI713" s="1772"/>
      <c r="AJ713" s="1772"/>
      <c r="AK713" s="1773"/>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7"/>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7"/>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7"/>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7"/>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7"/>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7"/>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4" t="s">
        <v>2037</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c r="A3" s="898"/>
      <c r="B3" s="898"/>
      <c r="I3" s="899"/>
      <c r="K3" s="900"/>
    </row>
    <row r="4" spans="1:57" ht="14.25" customHeight="1">
      <c r="A4" s="1893" t="s">
        <v>2038</v>
      </c>
      <c r="B4" s="1893"/>
      <c r="C4" s="1893"/>
      <c r="D4" s="1893"/>
      <c r="E4" s="1893"/>
      <c r="F4" s="1893"/>
      <c r="G4" s="1893"/>
      <c r="H4" s="1893"/>
      <c r="I4" s="1893"/>
      <c r="J4" s="1893"/>
      <c r="K4" s="1893"/>
      <c r="L4" s="1893"/>
      <c r="M4" s="1893"/>
      <c r="N4" s="1893"/>
      <c r="O4" s="1893"/>
      <c r="P4" s="1893"/>
      <c r="Q4" s="1893"/>
      <c r="R4" s="1893"/>
      <c r="S4" s="1893"/>
      <c r="T4" s="1893"/>
      <c r="U4" s="1893"/>
      <c r="V4" s="1893"/>
      <c r="W4" s="1893"/>
      <c r="X4" s="1893"/>
      <c r="Y4" s="1893"/>
      <c r="Z4" s="1893"/>
      <c r="AA4" s="1893"/>
      <c r="AB4" s="1893"/>
      <c r="AC4" s="1893"/>
      <c r="AD4" s="1893"/>
      <c r="AE4" s="1893"/>
      <c r="AF4" s="1893"/>
      <c r="AG4" s="1893"/>
      <c r="AH4" s="1893"/>
      <c r="AI4" s="1893"/>
      <c r="AJ4" s="1893"/>
      <c r="AK4" s="1893"/>
      <c r="AL4" s="1893"/>
      <c r="AM4" s="1893"/>
      <c r="AN4" s="1893"/>
      <c r="AO4" s="1893"/>
      <c r="AP4" s="1893"/>
      <c r="AQ4" s="1893"/>
    </row>
    <row r="5" spans="1:57">
      <c r="A5" s="898"/>
      <c r="B5" s="898"/>
      <c r="I5" s="899"/>
      <c r="K5" s="900"/>
    </row>
    <row r="6" spans="1:57">
      <c r="A6" s="898"/>
      <c r="B6" s="898"/>
      <c r="D6" s="896" t="s">
        <v>2041</v>
      </c>
      <c r="I6" s="899"/>
      <c r="K6" s="900"/>
      <c r="U6" s="1903"/>
      <c r="V6" s="1903"/>
      <c r="W6" s="1903"/>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894"/>
      <c r="Q9" s="1894"/>
      <c r="R9" s="1894"/>
      <c r="S9" s="1894"/>
      <c r="T9" s="1894"/>
    </row>
    <row r="10" spans="1:57">
      <c r="A10" s="898"/>
      <c r="B10" s="898"/>
      <c r="I10" s="899"/>
      <c r="K10" s="900"/>
    </row>
    <row r="11" spans="1:57">
      <c r="A11" s="1893" t="s">
        <v>2044</v>
      </c>
      <c r="B11" s="1893"/>
      <c r="C11" s="1893"/>
      <c r="D11" s="1893"/>
      <c r="E11" s="1893"/>
      <c r="F11" s="1893"/>
      <c r="G11" s="1893"/>
      <c r="H11" s="1893"/>
      <c r="I11" s="1893"/>
      <c r="J11" s="1893"/>
      <c r="K11" s="1893"/>
      <c r="L11" s="1893"/>
      <c r="M11" s="1893"/>
      <c r="N11" s="1893"/>
      <c r="O11" s="1893"/>
      <c r="P11" s="1893"/>
      <c r="Q11" s="1893"/>
      <c r="R11" s="1893"/>
      <c r="S11" s="1893"/>
      <c r="T11" s="1893"/>
      <c r="U11" s="1893"/>
      <c r="V11" s="1893"/>
      <c r="W11" s="1893"/>
      <c r="X11" s="1893"/>
      <c r="Y11" s="1893"/>
      <c r="Z11" s="1893"/>
      <c r="AA11" s="1893"/>
      <c r="AB11" s="1893"/>
      <c r="AC11" s="1893"/>
      <c r="AD11" s="1893"/>
      <c r="AE11" s="1893"/>
      <c r="AF11" s="1893"/>
      <c r="AG11" s="1893"/>
      <c r="AH11" s="1893"/>
      <c r="AI11" s="1893"/>
      <c r="AJ11" s="1893"/>
      <c r="AK11" s="1893"/>
      <c r="AL11" s="1893"/>
      <c r="AM11" s="1893"/>
      <c r="AN11" s="1893"/>
      <c r="AO11" s="1893"/>
      <c r="AP11" s="1893"/>
      <c r="AQ11" s="1893"/>
      <c r="BC11" s="896" t="s">
        <v>108</v>
      </c>
    </row>
    <row r="12" spans="1:57">
      <c r="A12" s="898"/>
      <c r="B12" s="898"/>
      <c r="I12" s="899"/>
      <c r="K12" s="900"/>
      <c r="BC12" s="896" t="s">
        <v>482</v>
      </c>
    </row>
    <row r="13" spans="1:57">
      <c r="A13" s="898"/>
      <c r="B13" s="898"/>
      <c r="D13" s="896" t="s">
        <v>2045</v>
      </c>
      <c r="I13" s="899"/>
      <c r="K13" s="900"/>
      <c r="T13" s="1903"/>
      <c r="U13" s="1903"/>
      <c r="V13" s="1903"/>
    </row>
    <row r="14" spans="1:57">
      <c r="A14" s="898"/>
      <c r="B14" s="898"/>
      <c r="E14" s="896" t="s">
        <v>2052</v>
      </c>
      <c r="I14" s="899"/>
      <c r="K14" s="900"/>
      <c r="N14" s="1891"/>
      <c r="O14" s="1891"/>
      <c r="P14" s="1891"/>
      <c r="Q14" s="1891"/>
      <c r="R14" s="1891"/>
      <c r="S14" s="1891"/>
      <c r="T14" s="1891"/>
      <c r="U14" s="1891"/>
      <c r="V14" s="1891"/>
      <c r="W14" s="1891"/>
      <c r="X14" s="1891"/>
      <c r="Y14" s="1891"/>
      <c r="Z14" s="1891"/>
      <c r="AA14" s="1891"/>
      <c r="AB14" s="1891"/>
      <c r="AC14" s="1891"/>
      <c r="AD14" s="1891"/>
      <c r="AE14" s="1891"/>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2499999.9</v>
      </c>
    </row>
    <row r="16" spans="1:57">
      <c r="A16" s="898"/>
      <c r="B16" s="898"/>
      <c r="BC16" s="896" t="s">
        <v>2056</v>
      </c>
      <c r="BE16" s="896">
        <f>'Basis &amp; Credits'!T11+'Basis &amp; Credits'!AD11</f>
        <v>30124468</v>
      </c>
    </row>
    <row r="17" spans="1:43">
      <c r="A17" s="898"/>
      <c r="B17" s="898"/>
      <c r="D17" s="896" t="s">
        <v>2047</v>
      </c>
      <c r="I17" s="899"/>
      <c r="K17" s="900"/>
      <c r="U17" s="1892" t="str">
        <f>IF(T13="yes",(BE15/BE16)," ")</f>
        <v xml:space="preserve"> </v>
      </c>
      <c r="V17" s="1892"/>
      <c r="W17" s="1892"/>
      <c r="X17" s="1892"/>
      <c r="Y17" s="1892"/>
    </row>
    <row r="18" spans="1:43">
      <c r="A18" s="898"/>
      <c r="B18" s="898"/>
      <c r="I18" s="899"/>
      <c r="K18" s="900"/>
    </row>
    <row r="19" spans="1:43">
      <c r="A19" s="1893" t="s">
        <v>2049</v>
      </c>
      <c r="B19" s="1893"/>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1893"/>
      <c r="AB19" s="1893"/>
      <c r="AC19" s="1893"/>
      <c r="AD19" s="1893"/>
      <c r="AE19" s="1893"/>
      <c r="AF19" s="1893"/>
      <c r="AG19" s="1893"/>
      <c r="AH19" s="1893"/>
      <c r="AI19" s="1893"/>
      <c r="AJ19" s="1893"/>
      <c r="AK19" s="1893"/>
      <c r="AL19" s="1893"/>
      <c r="AM19" s="1893"/>
      <c r="AN19" s="1893"/>
      <c r="AO19" s="1893"/>
      <c r="AP19" s="1893"/>
      <c r="AQ19" s="1893"/>
    </row>
    <row r="20" spans="1:43">
      <c r="C20" s="898"/>
      <c r="D20" s="898"/>
      <c r="K20" s="899"/>
      <c r="M20" s="900"/>
    </row>
    <row r="21" spans="1:43">
      <c r="C21" s="898"/>
      <c r="D21" s="898"/>
      <c r="K21" s="899"/>
      <c r="M21" s="900"/>
    </row>
    <row r="22" spans="1:43">
      <c r="C22" s="901" t="s">
        <v>728</v>
      </c>
      <c r="D22" s="901"/>
      <c r="E22" s="896" t="s">
        <v>2050</v>
      </c>
      <c r="H22" s="902"/>
      <c r="K22" s="896"/>
      <c r="Q22" s="1895">
        <f>ROUND('Basis &amp; Credits'!AB55,0)</f>
        <v>2500000</v>
      </c>
      <c r="R22" s="1895"/>
      <c r="S22" s="1895"/>
      <c r="T22" s="1895"/>
      <c r="U22" s="1895"/>
      <c r="V22" s="1895"/>
      <c r="W22" s="1895"/>
      <c r="X22" s="1895"/>
      <c r="Y22" s="916"/>
    </row>
    <row r="23" spans="1:43">
      <c r="C23" s="898"/>
      <c r="D23" s="898"/>
      <c r="G23" s="903"/>
      <c r="H23" s="903"/>
      <c r="I23" s="904"/>
      <c r="J23" s="904"/>
      <c r="K23" s="903"/>
      <c r="M23" s="897"/>
    </row>
    <row r="24" spans="1:43">
      <c r="C24" s="905"/>
      <c r="D24" s="905"/>
      <c r="E24" s="906"/>
      <c r="J24" s="904"/>
      <c r="K24" s="896"/>
      <c r="L24" s="1902" t="s">
        <v>2027</v>
      </c>
      <c r="M24" s="1902"/>
      <c r="N24" s="1902"/>
      <c r="P24" s="1898" t="s">
        <v>2028</v>
      </c>
      <c r="Q24" s="1898"/>
      <c r="R24" s="1898"/>
      <c r="S24" s="1898"/>
      <c r="T24" s="1898"/>
      <c r="V24" s="1898" t="s">
        <v>2029</v>
      </c>
      <c r="W24" s="1898"/>
      <c r="X24" s="1898"/>
    </row>
    <row r="25" spans="1:43">
      <c r="C25" s="901" t="s">
        <v>190</v>
      </c>
      <c r="D25" s="901"/>
      <c r="E25" s="896" t="s">
        <v>986</v>
      </c>
      <c r="J25" s="904"/>
      <c r="L25" s="1899" t="s">
        <v>2030</v>
      </c>
      <c r="M25" s="1899"/>
      <c r="N25" s="1899"/>
      <c r="P25" s="1899" t="s">
        <v>2031</v>
      </c>
      <c r="Q25" s="1899"/>
      <c r="R25" s="1899"/>
      <c r="S25" s="1899"/>
      <c r="T25" s="1899"/>
      <c r="V25" s="1899" t="s">
        <v>2030</v>
      </c>
      <c r="W25" s="1899"/>
      <c r="X25" s="1899"/>
    </row>
    <row r="26" spans="1:43">
      <c r="C26" s="898"/>
      <c r="D26" s="898"/>
      <c r="E26" s="907" t="s">
        <v>2032</v>
      </c>
      <c r="F26" s="907"/>
      <c r="J26" s="908"/>
      <c r="L26" s="1896">
        <f>Application!BN626</f>
        <v>0</v>
      </c>
      <c r="M26" s="1896"/>
      <c r="N26" s="1896"/>
      <c r="P26" s="1900">
        <v>0.9</v>
      </c>
      <c r="Q26" s="1900"/>
      <c r="R26" s="1900"/>
      <c r="S26" s="1900"/>
      <c r="T26" s="1900"/>
      <c r="V26" s="1900">
        <f>L26*P26</f>
        <v>0</v>
      </c>
      <c r="W26" s="1900"/>
      <c r="X26" s="1900"/>
    </row>
    <row r="27" spans="1:43">
      <c r="C27" s="898"/>
      <c r="D27" s="898"/>
      <c r="E27" s="896" t="s">
        <v>2033</v>
      </c>
      <c r="J27" s="908"/>
      <c r="L27" s="1905">
        <f>Application!BS626</f>
        <v>12</v>
      </c>
      <c r="M27" s="1905">
        <f>Application!BS634+Application!BS643+Application!CX657</f>
        <v>0</v>
      </c>
      <c r="N27" s="1905"/>
      <c r="P27" s="1901">
        <v>1</v>
      </c>
      <c r="Q27" s="1901"/>
      <c r="R27" s="1901"/>
      <c r="S27" s="1901"/>
      <c r="T27" s="1901"/>
      <c r="V27" s="1901">
        <f>L27*P27</f>
        <v>12</v>
      </c>
      <c r="W27" s="1901"/>
      <c r="X27" s="1901"/>
    </row>
    <row r="28" spans="1:43">
      <c r="C28" s="898"/>
      <c r="D28" s="898"/>
      <c r="E28" s="896" t="s">
        <v>2034</v>
      </c>
      <c r="J28" s="908"/>
      <c r="L28" s="1905">
        <f>Application!BX626</f>
        <v>32</v>
      </c>
      <c r="M28" s="1905">
        <f>Application!BX634+Application!BX643+Application!DC657</f>
        <v>0</v>
      </c>
      <c r="N28" s="1905"/>
      <c r="P28" s="1901">
        <v>1.25</v>
      </c>
      <c r="Q28" s="1901"/>
      <c r="R28" s="1901"/>
      <c r="S28" s="1901"/>
      <c r="T28" s="1901"/>
      <c r="V28" s="1901">
        <f>L28*P28</f>
        <v>40</v>
      </c>
      <c r="W28" s="1901"/>
      <c r="X28" s="1901"/>
    </row>
    <row r="29" spans="1:43">
      <c r="C29" s="898"/>
      <c r="D29" s="898"/>
      <c r="E29" s="896" t="s">
        <v>2035</v>
      </c>
      <c r="J29" s="908"/>
      <c r="L29" s="1905">
        <f>Application!CC626</f>
        <v>15</v>
      </c>
      <c r="M29" s="1905">
        <f>Application!CC634+Application!CC643+Application!DH657</f>
        <v>0</v>
      </c>
      <c r="N29" s="1905"/>
      <c r="P29" s="1901">
        <v>1.5</v>
      </c>
      <c r="Q29" s="1901"/>
      <c r="R29" s="1901"/>
      <c r="S29" s="1901"/>
      <c r="T29" s="1901"/>
      <c r="V29" s="1901">
        <f>L29*P29</f>
        <v>22.5</v>
      </c>
      <c r="W29" s="1901"/>
      <c r="X29" s="1901"/>
    </row>
    <row r="30" spans="1:43">
      <c r="C30" s="898"/>
      <c r="D30" s="898"/>
      <c r="E30" s="896" t="s">
        <v>2036</v>
      </c>
      <c r="J30" s="908"/>
      <c r="L30" s="1906">
        <f>Application!CH626+Application!CM626</f>
        <v>4</v>
      </c>
      <c r="M30" s="1906"/>
      <c r="N30" s="1906"/>
      <c r="P30" s="1901">
        <v>1.75</v>
      </c>
      <c r="Q30" s="1901"/>
      <c r="R30" s="1901">
        <f>1.75+0.25*0</f>
        <v>1.75</v>
      </c>
      <c r="S30" s="1901"/>
      <c r="T30" s="1901"/>
      <c r="V30" s="1910">
        <f>L30*P30</f>
        <v>7</v>
      </c>
      <c r="W30" s="1910"/>
      <c r="X30" s="1910"/>
    </row>
    <row r="31" spans="1:43">
      <c r="C31" s="898"/>
      <c r="D31" s="898"/>
      <c r="L31" s="1896">
        <f>SUM(L26:N30)</f>
        <v>63</v>
      </c>
      <c r="M31" s="1897"/>
      <c r="N31" s="1897"/>
      <c r="V31" s="1900">
        <f>SUM(V26:X30)</f>
        <v>81.5</v>
      </c>
      <c r="W31" s="1900"/>
      <c r="X31" s="1900"/>
    </row>
    <row r="32" spans="1:43">
      <c r="C32" s="898"/>
      <c r="D32" s="898"/>
      <c r="K32" s="909"/>
    </row>
    <row r="33" spans="1:27">
      <c r="C33" s="901" t="s">
        <v>191</v>
      </c>
      <c r="D33" s="901"/>
      <c r="E33" s="898" t="s">
        <v>2051</v>
      </c>
      <c r="H33" s="910"/>
      <c r="I33" s="911"/>
      <c r="J33" s="912"/>
      <c r="K33" s="909"/>
      <c r="M33" s="897"/>
      <c r="V33" s="1907">
        <f>IF(V31&gt;0,V31/Q22," ")</f>
        <v>3.26E-5</v>
      </c>
      <c r="W33" s="1908"/>
      <c r="X33" s="1908"/>
      <c r="Y33" s="1908"/>
      <c r="Z33" s="1908"/>
      <c r="AA33" s="1909"/>
    </row>
    <row r="34" spans="1:27">
      <c r="K34" s="896"/>
      <c r="M34" s="897"/>
    </row>
    <row r="35" spans="1:27">
      <c r="E35" s="898" t="s">
        <v>2057</v>
      </c>
      <c r="F35" s="898"/>
      <c r="G35" s="898"/>
      <c r="H35" s="898"/>
      <c r="I35" s="898"/>
      <c r="J35" s="898"/>
      <c r="K35" s="898"/>
      <c r="L35" s="898"/>
      <c r="M35" s="918"/>
      <c r="N35" s="898"/>
      <c r="O35" s="898"/>
      <c r="P35" s="898"/>
      <c r="Q35" s="898"/>
      <c r="R35" s="898"/>
      <c r="V35" s="1888">
        <f>IF(V31&gt;0,1/V33," ")</f>
        <v>30674.846625766873</v>
      </c>
      <c r="W35" s="1889"/>
      <c r="X35" s="1889"/>
      <c r="Y35" s="1889"/>
      <c r="Z35" s="1889"/>
      <c r="AA35" s="189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2024-02-09T18:13:27Z</cp:lastPrinted>
  <dcterms:created xsi:type="dcterms:W3CDTF">2007-12-27T18:26:28Z</dcterms:created>
  <dcterms:modified xsi:type="dcterms:W3CDTF">2024-02-12T22:01:46Z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2024-02-08T12:02:42Z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6f228f63-c1f0-4d75-b71d-9a0feefb9e3d</vt:lpwstr>
  </property>
  <property fmtid="{D5CDD505-2E9C-101B-9397-08002B2CF9AE}" pid="8" name="MSIP_Label_cac78fa3-8c3c-40be-95d9-faf236c08e18_ContentBits">
    <vt:lpwstr>0</vt:lpwstr>
  </property>
</Properties>
</file>