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Z:\2. ACTIVE PROJECTS\KASHIAN - Sarah's Court II\1. CTCAC Folder\Sarah's Court Phase II - 9% ROUND 2\"/>
    </mc:Choice>
  </mc:AlternateContent>
  <xr:revisionPtr revIDLastSave="0" documentId="13_ncr:1_{2D6EBC90-C119-4FA5-B63A-7E1604DE460E}" xr6:coauthVersionLast="47" xr6:coauthVersionMax="47" xr10:uidLastSave="{00000000-0000-0000-0000-000000000000}"/>
  <bookViews>
    <workbookView xWindow="31215" yWindow="75" windowWidth="26085" windowHeight="1482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6" i="9" l="1"/>
  <c r="G66" i="9"/>
  <c r="I66" i="9"/>
  <c r="K66" i="9"/>
  <c r="M66" i="9"/>
  <c r="O66" i="9"/>
  <c r="Q66" i="9"/>
  <c r="S66" i="9"/>
  <c r="U66" i="9"/>
  <c r="W66" i="9"/>
  <c r="Y66" i="9"/>
  <c r="AG66" i="9"/>
  <c r="AE66" i="9"/>
  <c r="AC66" i="9"/>
  <c r="AA66" i="9"/>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AZ729" i="3" s="1"/>
  <c r="BG627" i="3"/>
  <c r="BE730" i="3"/>
  <c r="BF695" i="3" s="1"/>
  <c r="AZ260" i="3"/>
  <c r="BO245" i="3" s="1"/>
  <c r="T269" i="3" s="1"/>
  <c r="Y22" i="5"/>
  <c r="AD22" i="5"/>
  <c r="AI22" i="5"/>
  <c r="T22" i="5"/>
  <c r="BF706" i="3" l="1"/>
  <c r="BF705" i="3"/>
  <c r="BF704" i="3"/>
  <c r="BF703" i="3"/>
  <c r="BF702" i="3"/>
  <c r="BF701" i="3"/>
  <c r="BF700" i="3"/>
  <c r="BF699" i="3"/>
  <c r="BF698" i="3"/>
  <c r="AZ728" i="3"/>
  <c r="BA728" i="3" s="1"/>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D88" i="15"/>
  <c r="B89" i="15"/>
  <c r="C89" i="15"/>
  <c r="D89" i="15"/>
  <c r="B90" i="15"/>
  <c r="C90" i="15"/>
  <c r="E90" i="15" s="1"/>
  <c r="D90" i="15"/>
  <c r="B91" i="15"/>
  <c r="C91" i="15"/>
  <c r="D91" i="15"/>
  <c r="B92" i="15"/>
  <c r="C92" i="15"/>
  <c r="E92" i="15" s="1"/>
  <c r="D92" i="15"/>
  <c r="B93" i="15"/>
  <c r="C93" i="15"/>
  <c r="E93" i="15" s="1"/>
  <c r="D93" i="15"/>
  <c r="B94" i="15"/>
  <c r="C94" i="15"/>
  <c r="E94" i="15"/>
  <c r="D94" i="15"/>
  <c r="B95" i="15"/>
  <c r="C95" i="15"/>
  <c r="E95" i="15"/>
  <c r="D95" i="15"/>
  <c r="E86" i="15"/>
  <c r="D83" i="15"/>
  <c r="C83" i="15"/>
  <c r="E83" i="15" s="1"/>
  <c r="B83" i="15"/>
  <c r="B80" i="15"/>
  <c r="E80" i="15" s="1"/>
  <c r="C80" i="15"/>
  <c r="D80" i="15"/>
  <c r="D79" i="15"/>
  <c r="C79" i="15"/>
  <c r="E79" i="15" s="1"/>
  <c r="B79" i="15"/>
  <c r="B73" i="15"/>
  <c r="C73" i="15"/>
  <c r="D73" i="15"/>
  <c r="B74" i="15"/>
  <c r="E74" i="15"/>
  <c r="C74" i="15"/>
  <c r="D74" i="15"/>
  <c r="B75" i="15"/>
  <c r="C75" i="15"/>
  <c r="E75" i="15"/>
  <c r="D75" i="15"/>
  <c r="B76" i="15"/>
  <c r="C76" i="15"/>
  <c r="D76" i="15"/>
  <c r="D72" i="15"/>
  <c r="C72" i="15"/>
  <c r="B72" i="15"/>
  <c r="B66" i="15"/>
  <c r="C66" i="15"/>
  <c r="E66" i="15" s="1"/>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E48" i="15" s="1"/>
  <c r="D48" i="15"/>
  <c r="B49" i="15"/>
  <c r="C49" i="15"/>
  <c r="E49" i="15"/>
  <c r="D49" i="15"/>
  <c r="B50" i="15"/>
  <c r="C50" i="15"/>
  <c r="D50" i="15"/>
  <c r="B51" i="15"/>
  <c r="C51" i="15"/>
  <c r="E51" i="15" s="1"/>
  <c r="D51" i="15"/>
  <c r="B52" i="15"/>
  <c r="E52" i="15" s="1"/>
  <c r="C52" i="15"/>
  <c r="D52" i="15"/>
  <c r="B53" i="15"/>
  <c r="C53" i="15"/>
  <c r="D53" i="15"/>
  <c r="D46" i="15"/>
  <c r="C46" i="15"/>
  <c r="B46" i="15"/>
  <c r="E46" i="15" s="1"/>
  <c r="B44" i="15"/>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58" i="15"/>
  <c r="E89" i="15"/>
  <c r="E16" i="15"/>
  <c r="E7" i="15"/>
  <c r="E31" i="15"/>
  <c r="E61" i="15"/>
  <c r="E57" i="15"/>
  <c r="E88" i="15"/>
  <c r="E84" i="15"/>
  <c r="E14" i="15"/>
  <c r="E44" i="15"/>
  <c r="E21" i="15"/>
  <c r="E28" i="15"/>
  <c r="E8" i="15"/>
  <c r="E19" i="15"/>
  <c r="E42" i="15"/>
  <c r="E47" i="15"/>
  <c r="E72" i="15"/>
  <c r="E50" i="15"/>
  <c r="C12" i="15"/>
  <c r="B12" i="15"/>
  <c r="E99" i="15"/>
  <c r="E6" i="15"/>
  <c r="E23" i="15"/>
  <c r="E41" i="15"/>
  <c r="C9" i="15"/>
  <c r="C13" i="15" s="1"/>
  <c r="E11" i="15"/>
  <c r="E5" i="15"/>
  <c r="E35"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39" i="15" s="1"/>
  <c r="C42" i="4"/>
  <c r="C53" i="4"/>
  <c r="B53" i="4" s="1"/>
  <c r="C61" i="4"/>
  <c r="C69" i="4"/>
  <c r="C76" i="4"/>
  <c r="C80" i="4"/>
  <c r="C95" i="4"/>
  <c r="B96" i="15" s="1"/>
  <c r="C103" i="4"/>
  <c r="C104" i="15" s="1"/>
  <c r="C66" i="25"/>
  <c r="Y20" i="5"/>
  <c r="AI20" i="5"/>
  <c r="S26" i="4"/>
  <c r="S38" i="4"/>
  <c r="S42" i="4"/>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R103" i="4" s="1"/>
  <c r="E103" i="4"/>
  <c r="G103" i="4"/>
  <c r="H103" i="4"/>
  <c r="I103" i="4"/>
  <c r="I104" i="4" s="1"/>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D12" i="4"/>
  <c r="B43" i="15"/>
  <c r="E43" i="15" s="1"/>
  <c r="C43" i="15"/>
  <c r="D43" i="15"/>
  <c r="G12" i="4"/>
  <c r="F12" i="4"/>
  <c r="B27" i="15"/>
  <c r="D27" i="15"/>
  <c r="C27" i="15"/>
  <c r="C81" i="15"/>
  <c r="E81" i="15" s="1"/>
  <c r="B81" i="15"/>
  <c r="D81" i="15"/>
  <c r="B11" i="4"/>
  <c r="B76" i="4"/>
  <c r="B77" i="15"/>
  <c r="C77" i="15"/>
  <c r="D77" i="15"/>
  <c r="B8" i="4"/>
  <c r="B12" i="4" s="1"/>
  <c r="T62" i="4"/>
  <c r="B68" i="18"/>
  <c r="B70" i="15"/>
  <c r="C70" i="15"/>
  <c r="D70" i="15"/>
  <c r="C62" i="15"/>
  <c r="E62" i="15" s="1"/>
  <c r="D62" i="15"/>
  <c r="B62" i="15"/>
  <c r="B54" i="15"/>
  <c r="C54" i="15"/>
  <c r="D54" i="15"/>
  <c r="B11" i="18"/>
  <c r="G52" i="25"/>
  <c r="AB47" i="26"/>
  <c r="I61" i="18"/>
  <c r="I95" i="18"/>
  <c r="I103" i="18"/>
  <c r="I105" i="18"/>
  <c r="J61" i="18"/>
  <c r="J95" i="18"/>
  <c r="J103" i="18"/>
  <c r="J105" i="18"/>
  <c r="R76" i="4"/>
  <c r="K12" i="4"/>
  <c r="B42" i="4"/>
  <c r="J12" i="4"/>
  <c r="R11" i="4"/>
  <c r="R8" i="4"/>
  <c r="D12" i="15"/>
  <c r="G62" i="4"/>
  <c r="G96" i="4" s="1"/>
  <c r="G104" i="4" s="1"/>
  <c r="D9" i="15"/>
  <c r="C61" i="18"/>
  <c r="C95" i="18"/>
  <c r="C103" i="18"/>
  <c r="C12" i="18"/>
  <c r="E12" i="4"/>
  <c r="M62" i="4"/>
  <c r="M96" i="4"/>
  <c r="M104" i="4"/>
  <c r="J62" i="4"/>
  <c r="J96" i="4"/>
  <c r="J104" i="4"/>
  <c r="C12" i="4"/>
  <c r="B12" i="18" s="1"/>
  <c r="O62" i="4"/>
  <c r="O96" i="4"/>
  <c r="O104" i="4"/>
  <c r="N62" i="4"/>
  <c r="N96" i="4"/>
  <c r="N104" i="4"/>
  <c r="D62" i="4"/>
  <c r="D96" i="4"/>
  <c r="D104" i="4"/>
  <c r="B75" i="18"/>
  <c r="B8" i="18"/>
  <c r="R26" i="4"/>
  <c r="L62" i="4"/>
  <c r="L96" i="4"/>
  <c r="L104" i="4"/>
  <c r="H12" i="4"/>
  <c r="H11" i="18"/>
  <c r="Q62" i="4"/>
  <c r="Q96" i="4"/>
  <c r="Q104" i="4"/>
  <c r="K62" i="4"/>
  <c r="K96" i="4"/>
  <c r="K104" i="4"/>
  <c r="I62" i="4"/>
  <c r="I96" i="4"/>
  <c r="T96" i="4"/>
  <c r="H61" i="18"/>
  <c r="H62" i="4"/>
  <c r="H96" i="4" s="1"/>
  <c r="H104" i="4" s="1"/>
  <c r="M12" i="4"/>
  <c r="D12" i="18"/>
  <c r="P62" i="4"/>
  <c r="P96" i="4"/>
  <c r="P104" i="4"/>
  <c r="B69" i="4"/>
  <c r="G61" i="18"/>
  <c r="G95" i="18"/>
  <c r="G103" i="18"/>
  <c r="G105" i="18"/>
  <c r="F61" i="18"/>
  <c r="F95" i="18"/>
  <c r="F103" i="18"/>
  <c r="F105" i="18"/>
  <c r="D61" i="18"/>
  <c r="D95" i="18"/>
  <c r="D103" i="18"/>
  <c r="S28" i="9"/>
  <c r="AC28" i="9"/>
  <c r="E77" i="15"/>
  <c r="D13" i="15"/>
  <c r="H95" i="18"/>
  <c r="T104" i="4"/>
  <c r="H103" i="18"/>
  <c r="T106" i="4"/>
  <c r="H105" i="18"/>
  <c r="AD11" i="5"/>
  <c r="AD23" i="5" s="1"/>
  <c r="AD26" i="5" s="1"/>
  <c r="AI11" i="27"/>
  <c r="AI11" i="26"/>
  <c r="AD11" i="27"/>
  <c r="AD11" i="26"/>
  <c r="T24" i="27"/>
  <c r="T24" i="26"/>
  <c r="G58" i="9" l="1"/>
  <c r="I58" i="9"/>
  <c r="K53" i="9"/>
  <c r="S62" i="4"/>
  <c r="E61" i="18" s="1"/>
  <c r="R95" i="4"/>
  <c r="B94" i="18"/>
  <c r="D96" i="15"/>
  <c r="C96" i="15"/>
  <c r="E96" i="15" s="1"/>
  <c r="B95" i="4"/>
  <c r="R80" i="4"/>
  <c r="E70" i="15"/>
  <c r="E52" i="18"/>
  <c r="R53" i="4"/>
  <c r="E54" i="15"/>
  <c r="E62" i="4"/>
  <c r="E96" i="4" s="1"/>
  <c r="E104" i="4" s="1"/>
  <c r="R38" i="4"/>
  <c r="R62" i="4" s="1"/>
  <c r="B37" i="18"/>
  <c r="C62" i="4"/>
  <c r="C96" i="4" s="1"/>
  <c r="C97" i="15" s="1"/>
  <c r="B39" i="15"/>
  <c r="E39" i="15" s="1"/>
  <c r="D39" i="15"/>
  <c r="B38" i="4"/>
  <c r="E9" i="15"/>
  <c r="B13" i="15"/>
  <c r="E13" i="15" s="1"/>
  <c r="R12" i="4"/>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K58" i="9" l="1"/>
  <c r="M53" i="9"/>
  <c r="S96" i="4"/>
  <c r="E95" i="18" s="1"/>
  <c r="R96" i="4"/>
  <c r="R104" i="4" s="1"/>
  <c r="D97" i="15"/>
  <c r="B96" i="4"/>
  <c r="B97" i="15"/>
  <c r="E97" i="15" s="1"/>
  <c r="B61" i="18"/>
  <c r="D63" i="15"/>
  <c r="B62" i="4"/>
  <c r="B63" i="15"/>
  <c r="C104" i="4"/>
  <c r="AC448" i="3" s="1"/>
  <c r="C63" i="15"/>
  <c r="B95" i="18"/>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M58" i="9" l="1"/>
  <c r="O53" i="9"/>
  <c r="S104" i="4"/>
  <c r="E103" i="18" s="1"/>
  <c r="E63" i="15"/>
  <c r="D105" i="15"/>
  <c r="B104" i="4"/>
  <c r="AC447" i="3" s="1"/>
  <c r="F450" i="3" s="1"/>
  <c r="B105" i="15"/>
  <c r="B103" i="18"/>
  <c r="C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3" i="9" l="1"/>
  <c r="O58" i="9"/>
  <c r="S106" i="4"/>
  <c r="X1024" i="3" s="1"/>
  <c r="E105" i="15"/>
  <c r="AB46" i="5"/>
  <c r="AB48" i="5" s="1"/>
  <c r="AB53" i="5" s="1"/>
  <c r="AB54" i="5" s="1"/>
  <c r="J58" i="25"/>
  <c r="G71" i="25" s="1"/>
  <c r="G72" i="25" s="1"/>
  <c r="B75" i="2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Q58" i="9" l="1"/>
  <c r="S53" i="9"/>
  <c r="E105" i="18"/>
  <c r="T11" i="5" s="1"/>
  <c r="AC449" i="3"/>
  <c r="B76" i="25"/>
  <c r="O76" i="25" s="1"/>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U53" i="9" l="1"/>
  <c r="S58" i="9"/>
  <c r="T11" i="27"/>
  <c r="T23" i="27" s="1"/>
  <c r="T26" i="27" s="1"/>
  <c r="T28" i="27" s="1"/>
  <c r="Y11" i="26"/>
  <c r="Y23" i="26" s="1"/>
  <c r="Y26" i="26" s="1"/>
  <c r="Y28" i="26" s="1"/>
  <c r="Y63" i="26" s="1"/>
  <c r="Y67" i="26" s="1"/>
  <c r="Y11" i="27"/>
  <c r="Y23" i="27" s="1"/>
  <c r="Y26" i="27" s="1"/>
  <c r="Y28" i="27" s="1"/>
  <c r="Y63" i="27" s="1"/>
  <c r="Y67" i="27" s="1"/>
  <c r="T11" i="26"/>
  <c r="T23" i="26" s="1"/>
  <c r="T26" i="26" s="1"/>
  <c r="T28" i="26" s="1"/>
  <c r="BE16" i="28"/>
  <c r="T23"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3" i="9" l="1"/>
  <c r="U58" i="9"/>
  <c r="AD38" i="26"/>
  <c r="AD40" i="26" s="1"/>
  <c r="Y38" i="27"/>
  <c r="Y40" i="27" s="1"/>
  <c r="AD38" i="27"/>
  <c r="AD40" i="27" s="1"/>
  <c r="T29" i="27"/>
  <c r="Y38" i="26"/>
  <c r="Y40" i="26" s="1"/>
  <c r="T29" i="26"/>
  <c r="Q71" i="25"/>
  <c r="O75" i="25" s="1"/>
  <c r="R75" i="25" s="1"/>
  <c r="T26" i="5"/>
  <c r="T28" i="5"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Y41" i="26"/>
  <c r="AB55" i="26" s="1"/>
  <c r="AB56" i="26" s="1"/>
  <c r="AB58" i="26" s="1"/>
  <c r="F59" i="26" s="1"/>
  <c r="Y41" i="27"/>
  <c r="AB55" i="27" s="1"/>
  <c r="AB56" i="27" s="1"/>
  <c r="AB58" i="27" s="1"/>
  <c r="AB75" i="27" s="1"/>
  <c r="AB76" i="27" s="1"/>
  <c r="AB77" i="27" s="1"/>
  <c r="AB79" i="27" s="1"/>
  <c r="J80" i="27" s="1"/>
  <c r="T29" i="5"/>
  <c r="Y63" i="5"/>
  <c r="Y67" i="5" s="1"/>
  <c r="W4" i="9"/>
  <c r="Y4" i="9" s="1"/>
  <c r="G67" i="9"/>
  <c r="G68" i="9"/>
  <c r="G69" i="9"/>
  <c r="D1026" i="3"/>
  <c r="AD38" i="5"/>
  <c r="AD40" i="5" s="1"/>
  <c r="Y38" i="5"/>
  <c r="Y40" i="5" s="1"/>
  <c r="CD575" i="6"/>
  <c r="BY577" i="6"/>
  <c r="K45" i="9"/>
  <c r="K60" i="9" s="1"/>
  <c r="K69" i="9" s="1"/>
  <c r="Q6" i="9"/>
  <c r="O7" i="9"/>
  <c r="O11" i="9" s="1"/>
  <c r="O37" i="9" s="1"/>
  <c r="I67" i="9"/>
  <c r="I69" i="9"/>
  <c r="I68" i="9"/>
  <c r="AE15" i="9"/>
  <c r="M45" i="9"/>
  <c r="M49" i="9"/>
  <c r="W16" i="9"/>
  <c r="U22" i="9"/>
  <c r="U35" i="9" s="1"/>
  <c r="Y32" i="9"/>
  <c r="U8" i="9"/>
  <c r="S9" i="9"/>
  <c r="Y58" i="9" l="1"/>
  <c r="AA53" i="9"/>
  <c r="AB75" i="26"/>
  <c r="AB76" i="26" s="1"/>
  <c r="AB77" i="26" s="1"/>
  <c r="AB79" i="26" s="1"/>
  <c r="J80" i="26" s="1"/>
  <c r="F59" i="27"/>
  <c r="W5" i="9"/>
  <c r="G70" i="9"/>
  <c r="G72" i="9" s="1"/>
  <c r="AR43" i="5"/>
  <c r="AR42" i="5"/>
  <c r="Y41" i="5" s="1"/>
  <c r="AB55" i="5" s="1"/>
  <c r="CD577" i="6"/>
  <c r="CI576" i="6"/>
  <c r="CI577" i="6" s="1"/>
  <c r="K48" i="9"/>
  <c r="K68" i="9"/>
  <c r="K67" i="9"/>
  <c r="K47"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8" i="9"/>
  <c r="M69" i="9"/>
  <c r="M67" i="9"/>
  <c r="AC32" i="9"/>
  <c r="W9" i="9"/>
  <c r="Y8" i="9"/>
  <c r="AC58" i="9" l="1"/>
  <c r="AE53" i="9"/>
  <c r="AB58" i="5"/>
  <c r="AB75" i="5" s="1"/>
  <c r="AB76" i="5" s="1"/>
  <c r="P203" i="3"/>
  <c r="AT560" i="6"/>
  <c r="AW562" i="6"/>
  <c r="M70" i="9"/>
  <c r="M72" i="9" s="1"/>
  <c r="W6" i="9"/>
  <c r="U7" i="9"/>
  <c r="U11" i="9" s="1"/>
  <c r="U37" i="9" s="1"/>
  <c r="O68"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AE16" i="9"/>
  <c r="AC22" i="9"/>
  <c r="AC35" i="9" s="1"/>
  <c r="AG32" i="9"/>
  <c r="AA9" i="9"/>
  <c r="AC8" i="9"/>
  <c r="D203" i="3" l="1"/>
  <c r="AB79" i="5"/>
  <c r="J80" i="5" s="1"/>
  <c r="W203" i="3"/>
  <c r="AG5" i="9"/>
  <c r="Q70" i="9"/>
  <c r="Q72" i="9" s="1"/>
  <c r="W45" i="9"/>
  <c r="W49" i="9"/>
  <c r="AG16" i="9"/>
  <c r="AG22" i="9" s="1"/>
  <c r="AG35" i="9" s="1"/>
  <c r="AE22" i="9"/>
  <c r="AE35" i="9" s="1"/>
  <c r="S67" i="9"/>
  <c r="S68" i="9"/>
  <c r="S69" i="9"/>
  <c r="U48" i="9"/>
  <c r="U60" i="9"/>
  <c r="U47" i="9"/>
  <c r="Y7" i="9"/>
  <c r="Y11" i="9" s="1"/>
  <c r="Y37" i="9" s="1"/>
  <c r="AA6" i="9"/>
  <c r="AC9" i="9"/>
  <c r="AE8" i="9"/>
  <c r="Y45" i="9" l="1"/>
  <c r="Y49" i="9"/>
  <c r="S70" i="9"/>
  <c r="S72" i="9" s="1"/>
  <c r="AA7" i="9"/>
  <c r="AA11" i="9" s="1"/>
  <c r="AA37" i="9" s="1"/>
  <c r="AC6" i="9"/>
  <c r="U69" i="9"/>
  <c r="U67" i="9"/>
  <c r="U68" i="9"/>
  <c r="W47" i="9"/>
  <c r="W48" i="9"/>
  <c r="W60" i="9"/>
  <c r="AG8" i="9"/>
  <c r="AE9" i="9"/>
  <c r="AA49" i="9" l="1"/>
  <c r="AA45" i="9"/>
  <c r="W68" i="9"/>
  <c r="W67" i="9"/>
  <c r="W69" i="9"/>
  <c r="AE6" i="9"/>
  <c r="AC7" i="9"/>
  <c r="AC11" i="9" s="1"/>
  <c r="AC37" i="9" s="1"/>
  <c r="U70" i="9"/>
  <c r="U72" i="9" s="1"/>
  <c r="Y48" i="9"/>
  <c r="Y60" i="9"/>
  <c r="Y47" i="9"/>
  <c r="AG9" i="9"/>
  <c r="AG6" i="9" l="1"/>
  <c r="AE7" i="9"/>
  <c r="AE11" i="9" s="1"/>
  <c r="AE37" i="9" s="1"/>
  <c r="Y69" i="9"/>
  <c r="Y68" i="9"/>
  <c r="Y67" i="9"/>
  <c r="AC49" i="9"/>
  <c r="AC45" i="9"/>
  <c r="AA47" i="9"/>
  <c r="AA48" i="9"/>
  <c r="AA60" i="9"/>
  <c r="W70" i="9"/>
  <c r="W72" i="9" s="1"/>
  <c r="AG7" i="9" l="1"/>
  <c r="AG11" i="9" s="1"/>
  <c r="AG37" i="9" s="1"/>
  <c r="AG49" i="9" s="1"/>
  <c r="AA68" i="9"/>
  <c r="AA69" i="9"/>
  <c r="AA67" i="9"/>
  <c r="Y70" i="9"/>
  <c r="Y72" i="9" s="1"/>
  <c r="AE49" i="9"/>
  <c r="AE45" i="9"/>
  <c r="AC48" i="9"/>
  <c r="AC60" i="9"/>
  <c r="AC47" i="9"/>
  <c r="AG45" i="9" l="1"/>
  <c r="AE60" i="9"/>
  <c r="AE47" i="9"/>
  <c r="AE48" i="9"/>
  <c r="AC69" i="9"/>
  <c r="AC68" i="9"/>
  <c r="AC62" i="9"/>
  <c r="AC67" i="9"/>
  <c r="AA70" i="9"/>
  <c r="AA72" i="9" s="1"/>
  <c r="AG47" i="9" l="1"/>
  <c r="AG48" i="9"/>
  <c r="AG60" i="9"/>
  <c r="AC70" i="9"/>
  <c r="AC72" i="9" s="1"/>
  <c r="AE62" i="9"/>
  <c r="AE68" i="9"/>
  <c r="AE67" i="9"/>
  <c r="AE69" i="9"/>
  <c r="AG62" i="9" l="1"/>
  <c r="AG67" i="9"/>
  <c r="AG69"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<sst xmlns="http://schemas.openxmlformats.org/spreadsheetml/2006/main" count="4680" uniqueCount="2453">
  <si>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</si>
  <si>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</si>
  <si>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</si>
  <si>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</si>
  <si>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</si>
  <si>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</si>
  <si>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</si>
  <si>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</si>
  <si>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</si>
  <si>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</si>
  <si>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</si>
  <si>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</si>
  <si>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</si>
  <si>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</si>
  <si>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</si>
  <si>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</si>
  <si>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</si>
  <si>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</si>
  <si>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</si>
  <si>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</si>
  <si>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</si>
  <si>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</si>
  <si>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</si>
  <si>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</si>
  <si>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</si>
  <si>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</si>
  <si>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</si>
  <si>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</si>
  <si>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</si>
  <si>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</si>
  <si>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</si>
  <si>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</si>
  <si>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</si>
  <si>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</si>
  <si>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</si>
  <si>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</si>
  <si>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</si>
  <si>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</si>
  <si>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</si>
  <si>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</si>
  <si>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</si>
  <si>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</si>
  <si>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</si>
  <si>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</si>
  <si>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</si>
  <si>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</si>
  <si>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</si>
  <si>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</si>
  <si>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</si>
  <si>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</si>
  <si>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</si>
  <si>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</si>
  <si>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</si>
  <si>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</si>
  <si>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</si>
  <si>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</si>
  <si>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</si>
  <si>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</si>
  <si>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</si>
  <si>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</si>
  <si>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</si>
  <si>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</si>
  <si>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</si>
  <si>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</si>
  <si>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</si>
  <si>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</si>
  <si>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</si>
  <si>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</si>
  <si>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</si>
  <si>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</si>
  <si>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</si>
  <si>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</si>
  <si>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</si>
  <si>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</si>
  <si>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</si>
  <si>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</si>
  <si>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</si>
  <si>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</si>
  <si>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</si>
  <si>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</si>
  <si>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</si>
  <si>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</si>
  <si>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</si>
  <si>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</si>
  <si>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</si>
  <si>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</si>
  <si>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</si>
  <si>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</si>
  <si>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</si>
  <si>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</si>
  <si>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</si>
  <si>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</si>
  <si>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</si>
  <si>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</si>
  <si>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</si>
  <si>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</si>
  <si>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</si>
  <si>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</si>
  <si>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</si>
  <si>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</si>
  <si>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</si>
  <si>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</si>
  <si>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</si>
  <si>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</si>
  <si>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</si>
  <si>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</si>
  <si>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</si>
  <si>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</si>
  <si>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</si>
  <si>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</si>
  <si>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</si>
  <si>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</si>
  <si>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</si>
  <si>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</si>
  <si>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</si>
  <si>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</si>
  <si>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</si>
  <si>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</si>
  <si>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</si>
  <si>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</si>
  <si>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</si>
  <si>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</si>
  <si>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</si>
  <si>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</si>
  <si>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</si>
  <si>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</si>
  <si>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</si>
  <si>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</si>
  <si>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</si>
  <si>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</si>
  <si>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</si>
  <si>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</si>
  <si>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</si>
  <si>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</si>
  <si>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</si>
  <si>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</si>
  <si>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</si>
  <si>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</si>
  <si>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</si>
  <si>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</si>
  <si>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</si>
  <si>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</si>
  <si>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</si>
  <si>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</si>
  <si>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</si>
  <si>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</si>
  <si>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</si>
  <si>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</si>
  <si>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</si>
  <si>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</si>
  <si>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</si>
  <si>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</si>
  <si>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</si>
  <si>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</si>
  <si>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</si>
  <si>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</si>
  <si>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</si>
  <si>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</si>
  <si>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</si>
  <si>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</si>
  <si>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</si>
  <si>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</si>
  <si>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</si>
  <si>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</si>
  <si>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</si>
  <si>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</si>
  <si>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</si>
  <si>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</si>
  <si>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</si>
  <si>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</si>
  <si>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</si>
  <si>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</si>
  <si>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</si>
  <si>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</si>
  <si>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</si>
  <si>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</si>
  <si>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</si>
  <si>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</si>
  <si>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</si>
  <si>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</si>
  <si>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</si>
  <si>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</si>
  <si>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</si>
  <si>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</si>
  <si>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</si>
  <si>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</si>
  <si>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</si>
  <si>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</si>
  <si>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</si>
  <si>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</si>
  <si>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</si>
  <si>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</si>
  <si>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</si>
  <si>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</si>
  <si>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</si>
  <si>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</si>
  <si>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</si>
  <si>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</si>
  <si>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</si>
  <si>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</si>
  <si>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</si>
  <si>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</si>
  <si>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</si>
  <si>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</si>
  <si>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</si>
  <si>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</si>
  <si>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</si>
  <si>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</si>
  <si>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</si>
  <si>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</si>
  <si>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</si>
  <si>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</si>
  <si>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</si>
  <si>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</si>
  <si>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</si>
  <si>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</si>
  <si>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</si>
  <si>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</si>
  <si>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</si>
  <si>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</si>
  <si>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</si>
  <si>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</si>
  <si>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</si>
  <si>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</si>
  <si>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</si>
  <si>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</si>
  <si>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</si>
  <si>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</si>
  <si>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</si>
  <si>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</si>
  <si>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</si>
  <si>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</si>
  <si>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</si>
  <si>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</si>
  <si>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</si>
  <si>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</si>
  <si>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</si>
  <si>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</si>
  <si>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</si>
  <si>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</si>
  <si>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</si>
  <si>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</si>
  <si>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</si>
  <si>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</si>
  <si>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</si>
  <si>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</si>
  <si>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</si>
  <si>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</si>
  <si>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</si>
  <si>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</si>
  <si>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</si>
  <si>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</si>
  <si>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</si>
  <si>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</si>
  <si>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</si>
  <si>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</si>
  <si>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</si>
  <si>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</si>
  <si>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</si>
  <si>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</si>
  <si>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</si>
  <si>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</si>
  <si>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</si>
  <si>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</si>
  <si>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</si>
  <si>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</si>
  <si>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</si>
  <si>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</si>
  <si>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</si>
  <si>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</si>
  <si>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</si>
  <si>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</si>
  <si>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</si>
  <si>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</si>
  <si>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</si>
  <si>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</si>
  <si>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</si>
  <si>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</si>
  <si>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</si>
  <si>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</si>
  <si>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</si>
  <si>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</si>
  <si>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</si>
  <si>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</si>
  <si>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</si>
  <si>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</si>
  <si>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</si>
  <si>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</si>
  <si>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</si>
  <si>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</si>
  <si>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</si>
  <si>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</si>
  <si>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</si>
  <si>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</si>
  <si>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</si>
  <si>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</si>
  <si>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</si>
  <si>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</si>
  <si>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</si>
  <si>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</si>
  <si>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</si>
  <si>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</si>
  <si>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</si>
  <si>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</si>
  <si>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</si>
  <si>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</si>
  <si>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</si>
  <si>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</si>
  <si>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</si>
  <si>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</si>
  <si>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</si>
  <si>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</si>
  <si>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</si>
  <si>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</si>
  <si>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</si>
  <si>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</si>
  <si>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</si>
  <si>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</si>
  <si>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</si>
  <si>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</si>
  <si>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</si>
  <si>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</si>
  <si>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</si>
  <si>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</si>
  <si>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</si>
  <si>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</si>
  <si>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</si>
  <si>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</si>
  <si>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</si>
  <si>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</si>
  <si>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</si>
  <si>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</si>
  <si>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</si>
  <si>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</si>
  <si>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</si>
  <si>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</si>
  <si>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</si>
  <si>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</si>
  <si>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</si>
  <si>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</si>
  <si>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</si>
  <si>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</si>
  <si>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</si>
  <si>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</si>
  <si>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</si>
  <si>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</si>
  <si>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</si>
  <si>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</si>
  <si>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</si>
  <si>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</si>
  <si>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</si>
  <si>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</si>
  <si>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</si>
  <si>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</si>
  <si>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</si>
  <si>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</si>
  <si>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</si>
  <si>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</si>
  <si>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</si>
  <si>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</si>
  <si>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</si>
  <si>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</si>
  <si>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</si>
  <si>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</si>
  <si>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</si>
  <si>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</si>
  <si>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</si>
  <si>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</si>
  <si>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</si>
  <si>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</si>
  <si>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</si>
  <si>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</si>
  <si>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</si>
  <si>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</si>
  <si>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</si>
  <si>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</si>
  <si>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</si>
  <si>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</si>
  <si>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</si>
  <si>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</si>
  <si>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</si>
  <si>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</si>
  <si>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</si>
  <si>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</si>
  <si>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</si>
  <si>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</si>
  <si>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</si>
  <si>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</si>
  <si>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</si>
  <si>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</si>
  <si>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</si>
  <si>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</si>
  <si>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</si>
  <si>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</si>
  <si>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</si>
  <si>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</si>
  <si>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</si>
  <si>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</si>
  <si>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</si>
  <si>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</si>
  <si>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</si>
  <si>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</si>
  <si>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</si>
  <si>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</si>
  <si>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</si>
  <si>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</si>
  <si>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</si>
  <si>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</si>
  <si>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</si>
  <si>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</si>
  <si>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</si>
  <si>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</si>
  <si>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</si>
  <si>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</si>
  <si>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</si>
  <si>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</si>
  <si>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</si>
  <si>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</si>
  <si>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</si>
  <si>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</si>
  <si>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</si>
  <si>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</si>
  <si>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</si>
  <si>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</si>
  <si>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</si>
  <si>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</si>
  <si>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</si>
  <si>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</si>
  <si>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</si>
  <si>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</si>
  <si>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</si>
  <si>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</si>
  <si>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</si>
  <si>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</si>
  <si>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</si>
  <si>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</si>
  <si>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</si>
  <si>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</si>
  <si>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</si>
  <si>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</si>
  <si>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</si>
  <si>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</si>
  <si>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</si>
  <si>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</si>
  <si>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</si>
  <si>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</si>
  <si>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</si>
  <si>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</si>
  <si>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</si>
  <si>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</si>
  <si>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</si>
  <si>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</si>
  <si>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</si>
  <si>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</si>
  <si>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</si>
  <si>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</si>
  <si>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</si>
  <si>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</si>
  <si>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</si>
  <si>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</si>
  <si>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</si>
  <si>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</si>
  <si>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</si>
  <si>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</si>
  <si>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</si>
  <si>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</si>
  <si>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</si>
  <si>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</si>
  <si>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</si>
  <si>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</si>
  <si>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</si>
  <si>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</si>
  <si>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</si>
  <si>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</si>
  <si>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</si>
  <si>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</si>
  <si>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</si>
  <si>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</si>
  <si>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</si>
  <si>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</si>
  <si>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</si>
  <si>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</si>
  <si>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</si>
  <si>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</si>
  <si>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</si>
  <si>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</si>
  <si>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</si>
  <si>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</si>
  <si>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</si>
  <si>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</si>
  <si>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</si>
  <si>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</si>
  <si>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</si>
  <si>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</si>
  <si>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</si>
  <si>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</si>
  <si>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</si>
  <si>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</si>
  <si>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</si>
  <si>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</si>
  <si>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</si>
  <si>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</si>
  <si>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</si>
  <si>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</si>
  <si>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</si>
  <si>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</si>
  <si>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</si>
  <si>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</si>
  <si>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</si>
  <si>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</si>
  <si>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</si>
  <si>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</si>
  <si>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</si>
  <si>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</si>
  <si>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</si>
  <si>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</si>
  <si>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</si>
  <si>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</si>
  <si>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</si>
  <si>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</si>
  <si>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</si>
  <si>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</si>
  <si>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</si>
  <si>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</si>
  <si>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</si>
  <si>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</si>
  <si>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</si>
  <si>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</si>
  <si>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</si>
  <si>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</si>
  <si>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</si>
  <si>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</si>
  <si>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</si>
  <si>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</si>
  <si>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</si>
  <si>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</si>
  <si>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</si>
  <si>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</si>
  <si>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</si>
  <si>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</si>
  <si>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</si>
  <si>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</si>
  <si>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</si>
  <si>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</si>
  <si>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</si>
  <si>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</si>
  <si>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</si>
  <si>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</si>
  <si>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</si>
  <si>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</si>
  <si>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</si>
  <si>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</si>
  <si>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</si>
  <si>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</si>
  <si>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</si>
  <si>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</si>
  <si>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</si>
  <si>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</si>
  <si>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</si>
  <si>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</si>
  <si>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</si>
  <si>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</si>
  <si>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</si>
  <si>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</si>
  <si>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</si>
  <si>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</si>
  <si>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</si>
  <si>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</si>
  <si>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</si>
  <si>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</si>
  <si>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</si>
  <si>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</si>
  <si>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</si>
  <si>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</si>
  <si>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</si>
  <si>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</si>
  <si>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</si>
  <si>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</si>
  <si>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</si>
  <si>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</si>
  <si>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</si>
  <si>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</si>
  <si>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</si>
  <si>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</si>
  <si>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</si>
  <si>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</si>
  <si>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</si>
  <si>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</si>
  <si>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</si>
  <si>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</si>
  <si>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</si>
  <si>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</si>
  <si>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</si>
  <si>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</si>
  <si>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</si>
  <si>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</si>
  <si>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</si>
  <si>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</si>
  <si>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</si>
  <si>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</si>
  <si>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</si>
  <si>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</si>
  <si>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</si>
  <si>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</si>
  <si>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</si>
  <si>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</si>
  <si>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</si>
  <si>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</si>
  <si>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</si>
  <si>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</si>
  <si>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</si>
  <si>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</si>
  <si>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</si>
  <si>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</si>
  <si>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</si>
  <si>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</si>
  <si>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</si>
  <si>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</si>
  <si>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</si>
  <si>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</si>
  <si>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</si>
  <si>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</si>
  <si>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</si>
  <si>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</si>
  <si>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</si>
  <si>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</si>
  <si>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</si>
  <si>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</si>
  <si>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</si>
  <si>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</si>
  <si>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</si>
  <si>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</si>
  <si>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</si>
  <si>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</si>
  <si>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</si>
  <si>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</si>
  <si>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</si>
  <si>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</si>
  <si>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</si>
  <si>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</si>
  <si>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</si>
  <si>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</si>
  <si>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</si>
  <si>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</si>
  <si>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</si>
  <si>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</si>
  <si>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</si>
  <si>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</si>
  <si>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</si>
  <si>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</si>
  <si>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</si>
  <si>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</si>
  <si>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</si>
  <si>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</si>
  <si>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</si>
  <si>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</si>
  <si>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</si>
  <si>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</si>
  <si>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</si>
  <si>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</si>
  <si>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</si>
  <si>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</si>
  <si>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</si>
  <si>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</si>
  <si>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</si>
  <si>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</si>
  <si>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</si>
  <si>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</si>
  <si>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</si>
  <si>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</si>
  <si>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</si>
  <si>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</si>
  <si>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</si>
  <si>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</si>
  <si>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</si>
  <si>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</si>
  <si>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</si>
  <si>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</si>
  <si>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</si>
  <si>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</si>
  <si>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</si>
  <si>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</si>
  <si>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</si>
  <si>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</si>
  <si>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</si>
  <si>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</si>
  <si>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</si>
  <si>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</si>
  <si>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</si>
  <si>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</si>
  <si>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</si>
  <si>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</si>
  <si>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</si>
  <si>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</si>
  <si>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</si>
  <si>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</si>
  <si>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</si>
  <si>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</si>
  <si>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</si>
  <si>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</si>
  <si>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</si>
  <si>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</si>
  <si>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</si>
  <si>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</si>
  <si>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</si>
  <si>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</si>
  <si>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</si>
  <si>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</si>
  <si>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</si>
  <si>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</si>
  <si>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</si>
  <si>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</si>
  <si>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</si>
  <si>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</si>
  <si>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</si>
  <si>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</si>
  <si>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</si>
  <si>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</si>
  <si>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</si>
  <si>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</si>
  <si>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</si>
  <si>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</si>
  <si>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</si>
  <si>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</si>
  <si>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</si>
  <si>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</si>
  <si>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</si>
  <si>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</si>
  <si>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</si>
  <si>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</si>
  <si>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</si>
  <si>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</si>
  <si>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</si>
  <si>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</si>
  <si>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</si>
  <si>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</si>
  <si>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</si>
  <si>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</si>
  <si>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</si>
  <si>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</si>
  <si>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</si>
  <si>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</si>
  <si>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</si>
  <si>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</si>
  <si>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</si>
  <si>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</si>
  <si>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</si>
  <si>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</si>
  <si>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</si>
  <si>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</si>
  <si>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</si>
  <si>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</si>
  <si>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</si>
  <si>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</si>
  <si>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</si>
  <si>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</si>
  <si>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</si>
  <si>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</si>
  <si>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</si>
  <si>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</si>
  <si>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</si>
  <si>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</si>
  <si>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</si>
  <si>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</si>
  <si>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</si>
  <si>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</si>
  <si>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</si>
  <si>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</si>
  <si>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</si>
  <si>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</si>
  <si>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</si>
  <si>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</si>
  <si>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</si>
  <si>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</si>
  <si>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</si>
  <si>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</si>
  <si>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</si>
  <si>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</si>
  <si>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</si>
  <si>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</si>
  <si>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</si>
  <si>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</si>
  <si>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</si>
  <si>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</si>
  <si>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</si>
  <si>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</si>
  <si>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</si>
  <si>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</si>
  <si>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</si>
  <si>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</si>
  <si>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</si>
  <si>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</si>
  <si>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</si>
  <si>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</si>
  <si>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</si>
  <si>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</si>
  <si>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</si>
  <si>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</si>
  <si>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</si>
  <si>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</si>
  <si>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</si>
  <si>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</si>
  <si>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</si>
  <si>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</si>
  <si>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</si>
  <si>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</si>
  <si>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</si>
  <si>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</si>
  <si>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</si>
  <si>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</si>
  <si>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</si>
  <si>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</si>
  <si>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</si>
  <si>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</si>
  <si>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</si>
  <si>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</si>
  <si>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</si>
  <si>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</si>
  <si>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</si>
  <si>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</si>
  <si>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</si>
  <si>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</si>
  <si>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</si>
  <si>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</si>
  <si>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</si>
  <si>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</si>
  <si>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</si>
  <si>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</si>
  <si>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</si>
  <si>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</si>
  <si>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</si>
  <si>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</si>
  <si>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</si>
  <si>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</si>
  <si>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</si>
  <si>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</si>
  <si>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</si>
  <si>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</si>
  <si>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</si>
  <si>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</si>
  <si>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</si>
  <si>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</si>
  <si>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</si>
  <si>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</si>
  <si>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</si>
  <si>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</si>
  <si>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</si>
  <si>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</si>
  <si>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</si>
  <si>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</si>
  <si>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</si>
  <si>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</si>
  <si>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</si>
  <si>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</si>
  <si>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</si>
  <si>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</si>
  <si>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</si>
  <si>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</si>
  <si>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</si>
  <si>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</si>
  <si>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</si>
  <si>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</si>
  <si>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</si>
  <si>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</si>
  <si>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</si>
  <si>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</si>
  <si>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</si>
  <si>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</si>
  <si>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</si>
  <si>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</si>
  <si>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</si>
  <si>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</si>
  <si>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</si>
  <si>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</si>
  <si>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</si>
  <si>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</si>
  <si>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</si>
  <si>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</si>
  <si>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</si>
  <si>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</si>
  <si>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</si>
  <si>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</si>
  <si>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</si>
  <si>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</si>
  <si>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</si>
  <si>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</si>
  <si>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</si>
  <si>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</si>
  <si>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</si>
  <si>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</si>
  <si>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</si>
  <si>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</si>
  <si>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</si>
  <si>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</si>
  <si>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</si>
  <si>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</si>
  <si>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</si>
  <si>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</si>
  <si>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</si>
  <si>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</si>
  <si>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</si>
  <si>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</si>
  <si>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</si>
  <si>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</si>
  <si>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</si>
  <si>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</si>
  <si>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</si>
  <si>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</si>
  <si>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</si>
  <si>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</si>
  <si>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</si>
  <si>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</si>
  <si>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</si>
  <si>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</si>
  <si>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</si>
  <si>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</si>
  <si>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</si>
  <si>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</si>
  <si>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</si>
  <si>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</si>
  <si>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</si>
  <si>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</si>
  <si>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</si>
  <si>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</si>
  <si>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</si>
  <si>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</si>
  <si>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</si>
  <si>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</si>
  <si>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</si>
  <si>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</si>
  <si>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</si>
  <si>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</si>
  <si>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</si>
  <si>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</si>
  <si>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</si>
  <si>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</si>
  <si>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</si>
  <si>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</si>
  <si>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</si>
  <si>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</si>
  <si>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</si>
  <si>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</si>
  <si>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</si>
  <si>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</si>
  <si>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</si>
  <si>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</si>
  <si>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</si>
  <si>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</si>
  <si>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</si>
  <si>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</si>
  <si>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</si>
  <si>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</si>
  <si>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</si>
  <si>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</si>
  <si>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</si>
  <si>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</si>
  <si>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</si>
  <si>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</si>
  <si>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</si>
  <si>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</si>
  <si>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</si>
  <si>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</si>
  <si>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</si>
  <si>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</si>
  <si>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</si>
  <si>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</si>
  <si>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</si>
  <si>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</si>
  <si>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</si>
  <si>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</si>
  <si>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</si>
  <si>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</si>
  <si>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</si>
  <si>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</si>
  <si>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</si>
  <si>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</si>
  <si>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</si>
  <si>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</si>
  <si>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</si>
  <si>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</si>
  <si>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</si>
  <si>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</si>
  <si>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</si>
  <si>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</si>
  <si>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</si>
  <si>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</si>
  <si>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</si>
  <si>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</si>
  <si>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</si>
  <si>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</si>
  <si>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</si>
  <si>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</si>
  <si>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</si>
  <si>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</si>
  <si>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</si>
  <si>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</si>
  <si>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</si>
  <si>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</si>
  <si>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</si>
  <si>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</si>
  <si>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</si>
  <si>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</si>
  <si>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</si>
  <si>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</si>
  <si>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</si>
  <si>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</si>
  <si>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</si>
  <si>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</si>
  <si>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</si>
  <si>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</si>
  <si>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</si>
  <si>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</si>
  <si>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</si>
  <si>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</si>
  <si>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</si>
  <si>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</si>
  <si>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</si>
  <si>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</si>
  <si>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</si>
  <si>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</si>
  <si>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</si>
  <si>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</si>
  <si>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</si>
  <si>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</si>
  <si>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</si>
  <si>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</si>
  <si>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</si>
  <si>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</si>
  <si>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</si>
  <si>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</si>
  <si>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</si>
  <si>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</si>
  <si>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</si>
  <si>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</si>
  <si>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</si>
  <si>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</si>
  <si>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</si>
  <si>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</si>
  <si>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</si>
  <si>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</si>
  <si>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</si>
  <si>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</si>
  <si>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</si>
  <si>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</si>
  <si>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</si>
  <si>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</si>
  <si>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</si>
  <si>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</si>
  <si>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</si>
  <si>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</si>
  <si>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</si>
  <si>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</si>
  <si>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</si>
  <si>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</si>
  <si>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</si>
  <si>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</si>
  <si>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</si>
  <si>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</si>
  <si>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</si>
  <si>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</si>
  <si>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</si>
  <si>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</si>
  <si>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</si>
  <si>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</si>
  <si>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</si>
  <si>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</si>
  <si>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</si>
  <si>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</si>
  <si>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</si>
  <si>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</si>
  <si>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</si>
  <si>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</si>
  <si>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</si>
  <si>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</si>
  <si>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</si>
  <si>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</si>
  <si>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</si>
  <si>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</si>
  <si>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</si>
  <si>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</si>
  <si>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</si>
  <si>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</si>
  <si>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</si>
  <si>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</si>
  <si>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</si>
  <si>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</si>
  <si>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</si>
  <si>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</si>
  <si>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</si>
  <si>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</si>
  <si>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</si>
  <si>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</si>
  <si>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</si>
  <si>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</si>
  <si>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</si>
  <si>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</si>
  <si>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</si>
  <si>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</si>
  <si>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</si>
  <si>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</si>
  <si>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</si>
  <si>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</si>
  <si>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</si>
  <si>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</si>
  <si>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</si>
  <si>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</si>
  <si>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</si>
  <si>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</si>
  <si>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</si>
  <si>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</si>
  <si>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</si>
  <si>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</si>
  <si>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</si>
  <si>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</si>
  <si>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</si>
  <si>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</si>
  <si>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</si>
  <si>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</si>
  <si>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</si>
  <si>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</si>
  <si>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</si>
  <si>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</si>
  <si>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</si>
  <si>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</si>
  <si>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</si>
  <si>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</si>
  <si>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</si>
  <si>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</si>
  <si>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</si>
  <si>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</si>
  <si>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</si>
  <si>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</si>
  <si>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</si>
  <si>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</si>
  <si>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</si>
  <si>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</si>
  <si>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</si>
  <si>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</si>
  <si>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</si>
  <si>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</si>
  <si>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</si>
  <si>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</si>
  <si>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</si>
  <si>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</si>
  <si>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</si>
  <si>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</si>
  <si>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</si>
  <si>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</si>
  <si>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</si>
  <si>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</si>
  <si>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</si>
  <si>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</si>
  <si>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</si>
  <si>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</si>
  <si>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</si>
  <si>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</si>
  <si>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</si>
  <si>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</si>
  <si>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</si>
  <si>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</si>
  <si>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</si>
  <si>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</si>
  <si>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</si>
  <si>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</si>
  <si>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</si>
  <si>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</si>
  <si>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</si>
  <si>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</si>
  <si>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</si>
  <si>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</si>
  <si>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</si>
  <si>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</si>
  <si>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</si>
  <si>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</si>
  <si>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</si>
  <si>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</si>
  <si>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</si>
  <si>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</si>
  <si>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</si>
  <si>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</si>
  <si>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</si>
  <si>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</si>
  <si>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</si>
  <si>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</si>
  <si>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</si>
  <si>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</si>
  <si>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</si>
  <si>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</si>
  <si>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</si>
  <si>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</si>
  <si>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</si>
  <si>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</si>
  <si>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</si>
  <si>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</si>
  <si>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</si>
  <si>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</si>
  <si>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</si>
  <si>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</si>
  <si>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</si>
  <si>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</si>
  <si>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</si>
  <si>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</si>
  <si>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</si>
  <si>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</si>
  <si>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</si>
  <si>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</si>
  <si>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</si>
  <si>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</si>
  <si>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</si>
  <si>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</si>
  <si>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</si>
  <si>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</si>
  <si>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</si>
  <si>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</si>
  <si>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</si>
  <si>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</si>
  <si>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</si>
  <si>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</si>
  <si>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</si>
  <si>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</si>
  <si>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</si>
  <si>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</si>
  <si>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</si>
  <si>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</si>
  <si>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</si>
  <si>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</si>
  <si>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</si>
  <si>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</si>
  <si>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</si>
  <si>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</si>
  <si>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</si>
  <si>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</si>
  <si>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</si>
  <si>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</si>
  <si>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</si>
  <si>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</si>
  <si>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</si>
  <si>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</si>
  <si>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</si>
  <si>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</si>
  <si>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</si>
  <si>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</si>
  <si>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</si>
  <si>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</si>
  <si>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</si>
  <si>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</si>
  <si>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</si>
  <si>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</si>
  <si>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</si>
  <si>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</si>
  <si>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</si>
  <si>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</si>
  <si>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</si>
  <si>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</si>
  <si>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</si>
  <si>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</si>
  <si>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</si>
  <si>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</si>
  <si>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</si>
  <si>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</si>
  <si>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</si>
  <si>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</si>
  <si>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</si>
  <si>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</si>
  <si>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</si>
  <si>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</si>
  <si>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</si>
  <si>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</si>
  <si>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</si>
  <si>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</si>
  <si>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</si>
  <si>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</si>
  <si>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</si>
  <si>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</si>
  <si>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</si>
  <si>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</si>
  <si>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</si>
  <si>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</si>
  <si>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</si>
  <si>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</si>
  <si>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</si>
  <si>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</si>
  <si>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</si>
  <si>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</si>
  <si>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</si>
  <si>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</si>
  <si>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</si>
  <si>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</si>
  <si>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</si>
  <si>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</si>
  <si>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</si>
  <si>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</si>
  <si>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</si>
  <si>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</si>
  <si>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</si>
  <si>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</si>
  <si>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</si>
  <si>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</si>
  <si>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</si>
  <si>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</si>
  <si>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</si>
  <si>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</si>
  <si>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</si>
  <si>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</si>
  <si>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</si>
  <si>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</si>
  <si>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</si>
  <si>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</si>
  <si>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</si>
  <si>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</si>
  <si>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</si>
  <si>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</si>
  <si>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</si>
  <si>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</si>
  <si>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</si>
  <si>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</si>
  <si>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</si>
  <si>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</si>
  <si>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</si>
  <si>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</si>
  <si>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</si>
  <si>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</si>
  <si>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</si>
  <si>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</si>
  <si>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</si>
  <si>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</si>
  <si>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</si>
  <si>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</si>
  <si>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</si>
  <si>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</si>
  <si>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</si>
  <si>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</si>
  <si>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</si>
  <si>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</si>
  <si>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</si>
  <si>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</si>
  <si>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</si>
  <si>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</si>
  <si>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</si>
  <si>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</si>
  <si>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</si>
  <si>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</si>
  <si>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</si>
  <si>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</si>
  <si>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</si>
  <si>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</si>
  <si>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</si>
  <si>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</si>
  <si>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</si>
  <si>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</si>
  <si>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</si>
  <si>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</si>
  <si>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</si>
  <si>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</si>
  <si>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</si>
  <si>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</si>
  <si>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</si>
  <si>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</si>
  <si>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</si>
  <si>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</si>
  <si>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</si>
  <si>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</si>
  <si>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</si>
  <si>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</si>
  <si>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</si>
  <si>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</si>
  <si>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</si>
  <si>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</si>
  <si>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</si>
  <si>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</si>
  <si>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</si>
  <si>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</si>
  <si>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</si>
  <si>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</si>
  <si>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</si>
  <si>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</si>
  <si>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</si>
  <si>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</si>
  <si>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</si>
  <si>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</si>
  <si>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</si>
  <si>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</si>
  <si>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</si>
  <si>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</si>
  <si>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</si>
  <si>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</si>
  <si>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</si>
  <si>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</si>
  <si>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</si>
  <si>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</si>
  <si>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</si>
  <si>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</si>
  <si>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</si>
  <si>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</si>
  <si>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</si>
  <si>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</si>
  <si>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</si>
  <si>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</si>
  <si>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</si>
  <si>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</si>
  <si>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</si>
  <si>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</si>
  <si>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</si>
  <si>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</si>
  <si>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</si>
  <si>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</si>
  <si>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</si>
  <si>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</si>
  <si>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</si>
  <si>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</si>
  <si>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</si>
  <si>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</si>
  <si>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</si>
  <si>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</si>
  <si>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</si>
  <si>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</si>
  <si>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</si>
  <si>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</si>
  <si>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</si>
  <si>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</si>
  <si>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</si>
  <si>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</si>
  <si>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</si>
  <si>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</si>
  <si>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</si>
  <si>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</si>
  <si>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</si>
  <si>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</si>
  <si>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</si>
  <si>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</si>
  <si>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</si>
  <si>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</si>
  <si>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</si>
  <si>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</si>
  <si>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</si>
  <si>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</si>
  <si>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</si>
  <si>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</si>
  <si>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</si>
  <si>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</si>
  <si>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</si>
  <si>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</si>
  <si>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</si>
  <si>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</si>
  <si>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</si>
  <si>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</si>
  <si>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</si>
  <si>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</si>
  <si>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</si>
  <si>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</si>
  <si>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</si>
  <si>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</si>
  <si>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</si>
  <si>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</si>
  <si>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</si>
  <si>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</si>
  <si>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</si>
  <si>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</si>
  <si>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</si>
  <si>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</si>
  <si>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</si>
  <si>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</si>
  <si>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</si>
  <si>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</si>
  <si>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</si>
  <si>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</si>
  <si>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</si>
  <si>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</si>
  <si>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</si>
  <si>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</si>
  <si>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</si>
  <si>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</si>
  <si>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</si>
  <si>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</si>
  <si>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</si>
  <si>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</si>
  <si>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</si>
  <si>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</si>
  <si>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</si>
  <si>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</si>
  <si>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</si>
  <si>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</si>
  <si>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</si>
  <si>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</si>
  <si>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</si>
  <si>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</si>
  <si>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</si>
  <si>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</si>
  <si>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</si>
  <si>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</si>
  <si>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</si>
  <si>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</si>
  <si>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</si>
  <si>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</si>
  <si>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</si>
  <si>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</si>
  <si>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</si>
  <si>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</si>
  <si>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</si>
  <si>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</si>
  <si>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</si>
  <si>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</si>
  <si>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</si>
  <si>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</si>
  <si>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</si>
  <si>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</si>
  <si>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</si>
  <si>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</si>
  <si>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</si>
  <si>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</si>
  <si>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</si>
  <si>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</si>
  <si>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</si>
  <si>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</si>
  <si>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</si>
  <si>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</si>
  <si>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</si>
  <si>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</si>
  <si>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</si>
  <si>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</si>
  <si>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</si>
  <si>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</si>
  <si>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</si>
  <si>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</si>
  <si>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</si>
  <si>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</si>
  <si>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</si>
  <si>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</si>
  <si>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</si>
  <si>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</si>
  <si>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</si>
  <si>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</si>
  <si>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</si>
  <si>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</si>
  <si>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</si>
  <si>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</si>
  <si>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</si>
  <si>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</si>
  <si>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</si>
  <si>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</si>
  <si>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</si>
  <si>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</si>
  <si>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</si>
  <si>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</si>
  <si>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</si>
  <si>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</si>
  <si>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</si>
  <si>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</si>
  <si>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</si>
  <si>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</si>
  <si>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</si>
  <si>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</si>
  <si>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</si>
  <si>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</si>
  <si>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</si>
  <si>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</si>
  <si>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</si>
  <si>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</si>
  <si>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</si>
  <si>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</si>
  <si>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</si>
  <si>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</si>
  <si>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</si>
  <si>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</si>
  <si>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</si>
  <si>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</si>
  <si>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</si>
  <si>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</si>
  <si>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</si>
  <si>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</si>
  <si>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</si>
  <si>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</si>
  <si>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</si>
  <si>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</si>
  <si>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</si>
  <si>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</si>
  <si>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</si>
  <si>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</si>
  <si>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</si>
  <si>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</si>
  <si>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</si>
  <si>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</si>
  <si>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</si>
  <si>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</si>
  <si>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</si>
  <si>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</si>
  <si>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</si>
  <si>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</si>
  <si>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</si>
  <si>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</si>
  <si>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</si>
  <si>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</si>
  <si>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</si>
  <si>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</si>
  <si>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</si>
  <si>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</si>
  <si>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</si>
  <si>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</si>
  <si>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</si>
  <si>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</si>
  <si>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</si>
  <si>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</si>
  <si>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</si>
  <si>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</si>
  <si>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</si>
  <si>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</si>
  <si>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</si>
  <si>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</si>
  <si>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</si>
  <si>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</si>
  <si>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</si>
  <si>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</si>
  <si>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</si>
  <si>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</si>
  <si>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</si>
  <si>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</si>
  <si>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</si>
  <si>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</si>
  <si>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</si>
  <si>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</si>
  <si>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</si>
  <si>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</si>
  <si>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</si>
  <si>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</si>
  <si>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</si>
  <si>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</si>
  <si>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</si>
  <si>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</si>
  <si>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</si>
  <si>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</si>
  <si>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</si>
  <si>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</si>
  <si>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</si>
  <si>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</si>
  <si>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</si>
  <si>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</si>
  <si>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</si>
  <si>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</si>
  <si>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</si>
  <si>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</si>
  <si>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</si>
  <si>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</si>
  <si>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</si>
  <si>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</si>
  <si>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</si>
  <si>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</si>
  <si>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</si>
  <si>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</si>
  <si>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</si>
  <si>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</si>
  <si>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</si>
  <si>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</si>
  <si>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</si>
  <si>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</si>
  <si>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</si>
  <si>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</si>
  <si>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</si>
  <si>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</si>
  <si>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</si>
  <si>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</si>
  <si>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</si>
  <si>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</si>
  <si>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</si>
  <si>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</si>
  <si>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</si>
  <si>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</si>
  <si>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</si>
  <si>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</si>
  <si>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</si>
  <si>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</si>
  <si>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</si>
  <si>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</si>
  <si>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</si>
  <si>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</si>
  <si>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</si>
  <si>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</si>
  <si>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</si>
  <si>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</si>
  <si>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</si>
  <si>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</si>
  <si>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</si>
  <si>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</si>
  <si>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</si>
  <si>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</si>
  <si>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</si>
  <si>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</si>
  <si>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</si>
  <si>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</si>
  <si>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</si>
  <si>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</si>
  <si>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</si>
  <si>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</si>
  <si>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</si>
  <si>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</si>
  <si>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</si>
  <si>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</si>
  <si>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</si>
  <si>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</si>
  <si>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</si>
  <si>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</si>
  <si>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</si>
  <si>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</si>
  <si>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</si>
  <si>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</si>
  <si>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</si>
  <si>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</si>
  <si>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</si>
  <si>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</si>
  <si>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</si>
  <si>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</si>
  <si>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</si>
  <si>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</si>
  <si>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</si>
  <si>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</si>
  <si>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</si>
  <si>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</si>
  <si>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</si>
  <si>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</si>
  <si>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</si>
  <si>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</si>
  <si>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</si>
  <si>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</si>
  <si>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</si>
  <si>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</si>
  <si>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</si>
  <si>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</si>
  <si>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</si>
  <si>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</si>
  <si>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</si>
  <si>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</si>
  <si>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</si>
  <si>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</si>
  <si>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</si>
  <si>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</si>
  <si>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</si>
  <si>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</si>
  <si>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</si>
  <si>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</si>
  <si>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</si>
  <si>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</si>
  <si>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</si>
  <si>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</si>
  <si>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</si>
  <si>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</si>
  <si>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</si>
  <si>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</si>
  <si>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</si>
  <si>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</si>
  <si>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</si>
  <si>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</si>
  <si>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</si>
  <si>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</si>
  <si>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</si>
  <si>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</si>
  <si>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</si>
  <si>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</si>
  <si>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</si>
  <si>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</si>
  <si>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</si>
  <si>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</si>
  <si>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</si>
  <si>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</si>
  <si>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</si>
  <si>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</si>
  <si>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</si>
  <si>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</si>
  <si>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</si>
  <si>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</si>
  <si>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</si>
  <si>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</si>
  <si>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</si>
  <si>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</si>
  <si>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</si>
  <si>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</si>
  <si>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</si>
  <si>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</si>
  <si>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</si>
  <si>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</si>
  <si>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</si>
  <si>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</si>
  <si>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</si>
  <si>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</si>
  <si>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</si>
  <si>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</si>
  <si>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</si>
  <si>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</si>
  <si>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</si>
  <si>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</si>
  <si>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</si>
  <si>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</si>
  <si>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</si>
  <si>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</si>
  <si>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</si>
  <si>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</si>
  <si>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</si>
  <si>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</si>
  <si>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</si>
  <si>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</si>
  <si>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</si>
  <si>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</si>
  <si>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</si>
  <si>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</si>
  <si>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</si>
  <si>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</si>
  <si>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</si>
  <si>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</si>
  <si>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</si>
  <si>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</si>
  <si>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</si>
  <si>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</si>
  <si>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</si>
  <si>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</si>
  <si>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</si>
  <si>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</si>
  <si>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</si>
  <si>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</si>
  <si>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</si>
  <si>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</si>
  <si>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</si>
  <si>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</si>
  <si>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</si>
  <si>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</si>
  <si>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</si>
  <si>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</si>
  <si>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</si>
  <si>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</si>
  <si>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</si>
  <si>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</si>
  <si>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</si>
  <si>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</si>
  <si>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</si>
  <si>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</si>
  <si>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</si>
  <si>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</si>
  <si>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</si>
  <si>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</si>
  <si>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</si>
  <si>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</si>
  <si>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</si>
  <si>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</si>
  <si>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</si>
  <si>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</si>
  <si>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</si>
  <si>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</si>
  <si>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</si>
  <si>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</si>
  <si>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</si>
  <si>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</si>
  <si>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</si>
  <si>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</si>
  <si>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</si>
  <si>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</si>
  <si>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</si>
  <si>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</si>
  <si>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</si>
  <si>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</si>
  <si>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</si>
  <si>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</si>
  <si>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</si>
  <si>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</si>
  <si>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</si>
  <si>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</si>
  <si>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</si>
  <si>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</si>
  <si>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</si>
  <si>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</si>
  <si>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</si>
  <si>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</si>
  <si>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</si>
  <si>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</si>
  <si>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</si>
  <si>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</si>
  <si>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</si>
  <si>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</si>
  <si>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</si>
  <si>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</si>
  <si>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</si>
  <si>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</si>
  <si>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</si>
  <si>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</si>
  <si>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</si>
  <si>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</si>
  <si>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</si>
  <si>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</si>
  <si>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</si>
  <si>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</si>
  <si>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</si>
  <si>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</si>
  <si>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</si>
  <si>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</si>
  <si>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</si>
  <si>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</si>
  <si>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</si>
  <si>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</si>
  <si>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</si>
  <si>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</si>
  <si>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</si>
  <si>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</si>
  <si>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</si>
  <si>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</si>
  <si>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</si>
  <si>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</si>
  <si>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</si>
  <si>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</si>
  <si>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</si>
  <si>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</si>
  <si>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</si>
  <si>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</si>
  <si>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</si>
  <si>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</si>
  <si>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</si>
  <si>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</si>
  <si>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</si>
  <si>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</si>
  <si>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</si>
  <si>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</si>
  <si>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</si>
  <si>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</si>
  <si>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</si>
  <si>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</si>
  <si>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</si>
  <si>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</si>
  <si>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</si>
  <si>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</si>
  <si>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</si>
  <si>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</si>
  <si>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</si>
  <si>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</si>
  <si>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</si>
  <si>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</si>
  <si>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</si>
  <si>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</si>
  <si>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</si>
  <si>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</si>
  <si>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</si>
  <si>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</si>
  <si>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</si>
  <si>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</si>
  <si>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</si>
  <si>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</si>
  <si>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</si>
  <si>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</si>
  <si>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</si>
  <si>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</si>
  <si>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</si>
  <si>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</si>
  <si>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</si>
  <si>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</si>
  <si>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</si>
  <si>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</si>
  <si>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</si>
  <si>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</si>
  <si>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</si>
  <si>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</si>
  <si>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</si>
  <si>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</si>
  <si>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</si>
  <si>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</si>
  <si>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</si>
  <si>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</si>
  <si>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</si>
  <si>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</si>
  <si>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</si>
  <si>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</si>
  <si>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</si>
  <si>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</si>
  <si>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</si>
  <si>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</si>
  <si>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</si>
  <si>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</si>
  <si>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</si>
  <si>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</si>
  <si>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</si>
  <si>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</si>
  <si>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</si>
  <si>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</si>
  <si>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</si>
  <si>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</si>
  <si>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</si>
  <si>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</si>
  <si>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</si>
  <si>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</si>
  <si>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</si>
  <si>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</si>
  <si>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</si>
  <si>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</si>
  <si>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</si>
  <si>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</si>
  <si>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</si>
  <si>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</si>
  <si>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</si>
  <si>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</si>
  <si>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</si>
  <si>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</si>
  <si>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</si>
  <si>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</si>
  <si>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</si>
  <si>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</si>
  <si>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</si>
  <si>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</si>
  <si>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</si>
  <si>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</si>
  <si>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</si>
  <si>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</si>
  <si>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</si>
  <si>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</si>
  <si>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</si>
  <si>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</si>
  <si>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</si>
  <si>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</si>
  <si>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</si>
  <si>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</si>
  <si>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</si>
  <si>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</si>
  <si>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</si>
  <si>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</si>
  <si>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</si>
  <si>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</si>
  <si>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</si>
  <si>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</si>
  <si>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</si>
  <si>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</si>
  <si>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</si>
  <si>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</si>
  <si>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</si>
  <si>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</si>
  <si>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</si>
  <si>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</si>
  <si>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</si>
  <si>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</si>
  <si>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</si>
  <si>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</si>
  <si>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</si>
  <si>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</si>
  <si>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</si>
  <si>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</si>
  <si>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</si>
  <si>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</si>
  <si>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</si>
  <si>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</si>
  <si>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</si>
  <si>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</si>
  <si>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</si>
  <si>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</si>
  <si>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</si>
  <si>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</si>
  <si>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</si>
  <si>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</si>
  <si>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</si>
  <si>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</si>
  <si>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</si>
  <si>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</si>
  <si>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</si>
  <si>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</si>
  <si>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</si>
  <si>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</si>
  <si>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</si>
  <si>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</si>
  <si>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</si>
  <si>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</si>
  <si>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</si>
  <si>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</si>
  <si>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</si>
  <si>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</si>
  <si>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</si>
  <si>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</si>
  <si>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</si>
  <si>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</si>
  <si>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</si>
  <si>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</si>
  <si>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</si>
  <si>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</si>
  <si>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</si>
  <si>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</si>
  <si>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</si>
  <si>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</si>
  <si>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</si>
  <si>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</si>
  <si>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</si>
  <si>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</si>
  <si>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</si>
  <si>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</si>
  <si>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</si>
  <si>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</si>
  <si>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</si>
  <si>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</si>
  <si>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</si>
  <si>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</si>
  <si>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</si>
  <si>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</si>
  <si>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</si>
  <si>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</si>
  <si>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</si>
  <si>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</si>
  <si>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</si>
  <si>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</si>
  <si>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</si>
  <si>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</si>
  <si>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</si>
  <si>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</si>
  <si>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</si>
  <si>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</si>
  <si>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</si>
  <si>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</si>
  <si>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</si>
  <si>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</si>
  <si>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</si>
  <si>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</si>
  <si>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</si>
  <si>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</si>
  <si>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</si>
  <si>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</si>
  <si>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</si>
  <si>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</si>
  <si>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</si>
  <si>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</si>
  <si>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</si>
  <si>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</si>
  <si>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</si>
  <si>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</si>
  <si>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</si>
  <si>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</si>
  <si>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</si>
  <si>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</si>
  <si>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</si>
  <si>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</si>
  <si>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</si>
  <si>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</si>
  <si>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</si>
  <si>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</si>
  <si>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</si>
  <si>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</si>
  <si>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</si>
  <si>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</si>
  <si>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</si>
  <si>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</si>
  <si>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</si>
  <si>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</si>
  <si>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</si>
  <si>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</si>
  <si>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</si>
  <si>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</si>
  <si>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</si>
  <si>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</si>
  <si>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</si>
  <si>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</si>
  <si>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</si>
  <si>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</si>
  <si>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</si>
  <si>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</si>
  <si>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</si>
  <si>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</si>
  <si>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</si>
  <si>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</si>
  <si>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</si>
  <si>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</si>
  <si>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</si>
  <si>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</si>
  <si>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</si>
  <si>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</si>
  <si>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</si>
  <si>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</si>
  <si>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</si>
  <si>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</si>
  <si>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</si>
  <si>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</si>
  <si>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</si>
  <si>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</si>
  <si>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</si>
  <si>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</si>
  <si>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</si>
  <si>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</si>
  <si>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</si>
  <si>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</si>
  <si>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</si>
  <si>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</si>
  <si>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</si>
  <si>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</si>
  <si>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</si>
  <si>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</si>
  <si>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</si>
  <si>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</si>
  <si>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</si>
  <si>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</si>
  <si>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</si>
  <si>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</si>
  <si>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</si>
  <si>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</si>
  <si>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</si>
  <si>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</si>
  <si>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</si>
  <si>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</si>
  <si>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</si>
  <si>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</si>
  <si>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</si>
  <si>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</si>
  <si>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</si>
  <si>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</si>
  <si>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</si>
  <si>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</si>
  <si>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</si>
  <si>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</si>
  <si>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</si>
  <si>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</si>
  <si>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</si>
  <si>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</si>
  <si>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</si>
  <si>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</si>
  <si>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</si>
  <si>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</si>
  <si>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</si>
  <si>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</si>
  <si>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</si>
  <si>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</si>
  <si>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</si>
  <si>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</si>
  <si>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</si>
  <si>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</si>
  <si>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</si>
  <si>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</si>
  <si>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</si>
  <si>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</si>
  <si>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</si>
  <si>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</si>
  <si>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</si>
  <si>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</si>
  <si>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</si>
  <si>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</si>
  <si>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</si>
  <si>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</si>
  <si>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</si>
  <si>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</si>
  <si>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</si>
  <si>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</si>
  <si>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</si>
  <si>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</si>
  <si>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</si>
  <si>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</si>
  <si>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</si>
  <si>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</si>
  <si>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</si>
  <si>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</si>
  <si>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</si>
  <si>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</si>
  <si>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</si>
  <si>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</si>
  <si>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</si>
  <si>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</si>
  <si>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</si>
  <si>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</si>
  <si>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</si>
  <si>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</si>
  <si>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</si>
  <si>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</si>
  <si>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</si>
  <si>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</si>
  <si>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</si>
  <si>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</si>
  <si>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</si>
  <si>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</si>
  <si>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</si>
  <si>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</si>
  <si>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</si>
  <si>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</si>
  <si>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</si>
  <si>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</si>
  <si>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</si>
  <si>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</si>
  <si>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</si>
  <si>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</si>
  <si>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</si>
  <si>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</si>
  <si>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</si>
  <si>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</si>
  <si>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</si>
  <si>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</si>
  <si>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</si>
  <si>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</si>
  <si>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</si>
  <si>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</si>
  <si>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</si>
  <si>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</si>
  <si>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</si>
  <si>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</si>
  <si>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</si>
  <si>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</si>
  <si>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</si>
  <si>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</si>
  <si>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</si>
  <si>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</si>
  <si>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</si>
  <si>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</si>
  <si>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</si>
  <si>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</si>
  <si>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</si>
  <si>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</si>
  <si>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</si>
  <si>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</si>
  <si>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</si>
  <si>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</si>
  <si>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</si>
  <si>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</si>
  <si>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</si>
  <si>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</si>
  <si>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</si>
  <si>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</si>
  <si>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</si>
  <si>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</si>
  <si>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</si>
  <si>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</si>
  <si>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</si>
  <si>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</si>
  <si>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</si>
  <si>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</si>
  <si>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</si>
  <si>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</si>
  <si>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</si>
  <si>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</si>
  <si>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</si>
  <si>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</si>
  <si>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</si>
  <si>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</si>
  <si>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FCTC Family II, LP</t>
  </si>
  <si>
    <t>Sarah's Court Apartments - Phase II</t>
  </si>
  <si>
    <t>Salvador Gonzales</t>
  </si>
  <si>
    <t>President</t>
  </si>
  <si>
    <t>City of Fresno</t>
  </si>
  <si>
    <t>Georgeanne White</t>
  </si>
  <si>
    <t>2600 Fresno Street, Room 2064</t>
  </si>
  <si>
    <t>(559) 621-8000</t>
  </si>
  <si>
    <t>georgeanne.white@fresno.gov</t>
  </si>
  <si>
    <t xml:space="preserve">200 N Salma Avenue </t>
  </si>
  <si>
    <t>462-420-06 thru 09, and common space Parcel G</t>
  </si>
  <si>
    <t>40%/60%</t>
  </si>
  <si>
    <t>CA</t>
  </si>
  <si>
    <t>559-712-1204</t>
  </si>
  <si>
    <t>sgonzales@lance-kashian.com</t>
  </si>
  <si>
    <t>Dominus Consortium Family LLC</t>
  </si>
  <si>
    <t>Negocios De Familia, LLC / Essayons, a Limited partnership</t>
  </si>
  <si>
    <t>Community Revitalization and Development Corporation</t>
  </si>
  <si>
    <t>1918 West Street</t>
  </si>
  <si>
    <t>Redding</t>
  </si>
  <si>
    <t>David Rutledge</t>
  </si>
  <si>
    <t>(530) 241-7831</t>
  </si>
  <si>
    <t>david@crdc-housing.org</t>
  </si>
  <si>
    <t>Sabelhaus and Strain PC</t>
  </si>
  <si>
    <t>1724 10th Street, Ste. 110</t>
  </si>
  <si>
    <t>Stephen A. Strain</t>
  </si>
  <si>
    <t>Attorney / Consultant</t>
  </si>
  <si>
    <t>sstrain@sabelhauslaw.com</t>
  </si>
  <si>
    <t>255 E. River Park Circle, Ste. 120</t>
  </si>
  <si>
    <t>Administrative GP</t>
  </si>
  <si>
    <t>Managing GP</t>
  </si>
  <si>
    <t>Fresno, CA 93720</t>
  </si>
  <si>
    <t>Sal Gonzales</t>
  </si>
  <si>
    <t>Scott Beck Architect</t>
  </si>
  <si>
    <t>10474 Santa Monica Blvd. Ste. 306</t>
  </si>
  <si>
    <t>Los Angles, CA 90025</t>
  </si>
  <si>
    <t xml:space="preserve">Scott Beck  </t>
  </si>
  <si>
    <t>scott@scottbeckaia.com</t>
  </si>
  <si>
    <t>Sacramento, CA 95811</t>
  </si>
  <si>
    <t>(916) 444-0286</t>
  </si>
  <si>
    <t>(916) 444-3408</t>
  </si>
  <si>
    <t>Bernie Rea, CPA</t>
  </si>
  <si>
    <t>Aubrey, TX 76227</t>
  </si>
  <si>
    <t>P.O. Box 492</t>
  </si>
  <si>
    <t>Bernie Rea</t>
  </si>
  <si>
    <t>breacpa@aol.com</t>
  </si>
  <si>
    <t>Gregg Palmer, MAI</t>
  </si>
  <si>
    <t>5132 N. Palm #86</t>
  </si>
  <si>
    <t>Fresno, CA 93704</t>
  </si>
  <si>
    <t>Gregg Palmer</t>
  </si>
  <si>
    <t>gregg@jgpinc.com</t>
  </si>
  <si>
    <t>GSF Properties, Inc.</t>
  </si>
  <si>
    <t>6485 N. Palm Avenue, Ste. 101</t>
  </si>
  <si>
    <t>Levon Baladjanian</t>
  </si>
  <si>
    <t>(559) 440-1974</t>
  </si>
  <si>
    <t>lbalad@gsfpi.com</t>
  </si>
  <si>
    <t xml:space="preserve">Laurin Associates </t>
  </si>
  <si>
    <t>1501 Sports Drive</t>
  </si>
  <si>
    <t>Sacramento, CA 95834</t>
  </si>
  <si>
    <t>Stefanie Williams</t>
  </si>
  <si>
    <t>swilliams@laurinassociates.com</t>
  </si>
  <si>
    <t>WNC &amp; Associates, Inc.</t>
  </si>
  <si>
    <t>17782 Sky Park Circle</t>
  </si>
  <si>
    <t>Irvine, CA 92614</t>
  </si>
  <si>
    <t>Jessica Captanis</t>
  </si>
  <si>
    <t>jcaptanis@wncinc.com</t>
  </si>
  <si>
    <t>Fancher Creek Town Center, LLC</t>
  </si>
  <si>
    <t xml:space="preserve">Edward M. Kashian </t>
  </si>
  <si>
    <t xml:space="preserve">Chief Executive Officer </t>
  </si>
  <si>
    <t>255 E River Park Circle, Suite 120</t>
  </si>
  <si>
    <t>Thomas G. Richards</t>
  </si>
  <si>
    <t>(559) 438-4800</t>
  </si>
  <si>
    <t>Secured by Fee Interest</t>
  </si>
  <si>
    <t>Other (Specify below)</t>
  </si>
  <si>
    <t>Family</t>
  </si>
  <si>
    <t xml:space="preserve">CR - Commercial Regional </t>
  </si>
  <si>
    <t>CR - Commercial Regional - 740 Residential units max per DA</t>
  </si>
  <si>
    <t>60' Maximum</t>
  </si>
  <si>
    <t>1 to 1 ratio</t>
  </si>
  <si>
    <t>City of Fresno - CBGD</t>
  </si>
  <si>
    <t>City of Fresno - HOME</t>
  </si>
  <si>
    <t>Banner Bank</t>
  </si>
  <si>
    <t>City of Fresno - CDBG</t>
  </si>
  <si>
    <t xml:space="preserve">WNC &amp; Associates </t>
  </si>
  <si>
    <t>701 B Street, Suite 100</t>
  </si>
  <si>
    <t>Waheed Karim</t>
  </si>
  <si>
    <t>(619) 518-2610</t>
  </si>
  <si>
    <t>Construction Loan</t>
  </si>
  <si>
    <t>(559) 712-1204</t>
  </si>
  <si>
    <t>Deferred Reserves</t>
  </si>
  <si>
    <t>Deferred Developer Fee</t>
  </si>
  <si>
    <t>Irvine</t>
  </si>
  <si>
    <t xml:space="preserve">Jessica Captanis </t>
  </si>
  <si>
    <t>(949) 439-2616</t>
  </si>
  <si>
    <t>LIHTC Tax Credit Equity</t>
  </si>
  <si>
    <t>2600 Fresno Street</t>
  </si>
  <si>
    <t xml:space="preserve">Georgeann White </t>
  </si>
  <si>
    <t>CDBG Loan</t>
  </si>
  <si>
    <t xml:space="preserve">City of Fresno - CDBG </t>
  </si>
  <si>
    <t>City of Fresno - HOME Funds</t>
  </si>
  <si>
    <t>Permanent Loan</t>
  </si>
  <si>
    <t>HOME Loan</t>
  </si>
  <si>
    <t>air conditioning</t>
  </si>
  <si>
    <t>Housing Authority of the City &amp; County of Fresno</t>
  </si>
  <si>
    <t>Fresno Area Express - Route 22</t>
  </si>
  <si>
    <t>E. Tulare Avenue &amp; S Clovis Avenue</t>
  </si>
  <si>
    <t>Fresno, 93727</t>
  </si>
  <si>
    <t>Customer Service</t>
  </si>
  <si>
    <t>(559) 621-7433</t>
  </si>
  <si>
    <t>https://www.fresno.gov/transportation/fax/rider-tools/routes/#route-22</t>
  </si>
  <si>
    <t xml:space="preserve">Al Radka Park </t>
  </si>
  <si>
    <t>5897 E. Belmont</t>
  </si>
  <si>
    <t xml:space="preserve">Customer Service </t>
  </si>
  <si>
    <t>(559) 621-2900</t>
  </si>
  <si>
    <t xml:space="preserve">https://cityoffresno.maps.arcgis.com/apps/webappviewer/index.html?id=53f212b20a0f47efb6681df6c8ad2eaa </t>
  </si>
  <si>
    <t>Sunnyside Regional Library</t>
  </si>
  <si>
    <t>5566 E Kings Canyon Road</t>
  </si>
  <si>
    <t>(559) 600-6594</t>
  </si>
  <si>
    <t xml:space="preserve">https://www.fresnolibrary.org/branch/sun.html </t>
  </si>
  <si>
    <t>FoodMaxx</t>
  </si>
  <si>
    <t>5671 E. Kings Canyon Road</t>
  </si>
  <si>
    <t>(559) 253-1220</t>
  </si>
  <si>
    <t>https://foodmaxx.com/stores/ab7a232a-b697-4282-bfad-090a21185e47/KINGS%20CANYON/499/KINGS%20CANYON</t>
  </si>
  <si>
    <t xml:space="preserve">Walgreens </t>
  </si>
  <si>
    <t>626 S. Clovis Avenue</t>
  </si>
  <si>
    <t>(559) 251-0163</t>
  </si>
  <si>
    <t>https://www.walgreens.com/locator/walgreens-626+s+clovis+ave-fresno-ca-93727/id=6082</t>
  </si>
  <si>
    <t xml:space="preserve">June </t>
  </si>
  <si>
    <t>Supplies</t>
  </si>
  <si>
    <t>City of Fresno - CDBG Funds</t>
  </si>
  <si>
    <t>Interior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</si>
</sst>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20928">
    <xf numFmtId="0" fontId="0" fillId="0" borderId="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4"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8" fillId="25" borderId="0" applyNumberFormat="0" applyBorder="0" applyAlignment="0" applyProtection="0"/>
    <xf numFmtId="0" fontId="89" fillId="26" borderId="0" applyNumberFormat="0" applyBorder="0" applyAlignment="0" applyProtection="0"/>
    <xf numFmtId="0" fontId="89" fillId="26" borderId="0" applyNumberFormat="0" applyBorder="0" applyAlignment="0" applyProtection="0"/>
    <xf numFmtId="0" fontId="89" fillId="27" borderId="0" applyNumberFormat="0" applyBorder="0" applyAlignment="0" applyProtection="0"/>
    <xf numFmtId="0" fontId="89" fillId="28" borderId="0" applyNumberFormat="0" applyBorder="0" applyAlignment="0" applyProtection="0"/>
    <xf numFmtId="0" fontId="89" fillId="28"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30" borderId="0" applyNumberFormat="0" applyBorder="0" applyAlignment="0" applyProtection="0"/>
    <xf numFmtId="0" fontId="89" fillId="31" borderId="0" applyNumberFormat="0" applyBorder="0" applyAlignment="0" applyProtection="0"/>
    <xf numFmtId="0" fontId="89" fillId="31" borderId="0" applyNumberFormat="0" applyBorder="0" applyAlignment="0" applyProtection="0"/>
    <xf numFmtId="0" fontId="89" fillId="32" borderId="0" applyNumberFormat="0" applyBorder="0" applyAlignment="0" applyProtection="0"/>
    <xf numFmtId="0" fontId="89" fillId="32" borderId="0" applyNumberFormat="0" applyBorder="0" applyAlignment="0" applyProtection="0"/>
    <xf numFmtId="0" fontId="89" fillId="33" borderId="0" applyNumberFormat="0" applyBorder="0" applyAlignment="0" applyProtection="0"/>
    <xf numFmtId="0" fontId="89" fillId="33" borderId="0" applyNumberFormat="0" applyBorder="0" applyAlignment="0" applyProtection="0"/>
    <xf numFmtId="0" fontId="89" fillId="34" borderId="0" applyNumberFormat="0" applyBorder="0" applyAlignment="0" applyProtection="0"/>
    <xf numFmtId="0" fontId="89" fillId="34" borderId="0" applyNumberFormat="0" applyBorder="0" applyAlignment="0" applyProtection="0"/>
    <xf numFmtId="0" fontId="89" fillId="35" borderId="0" applyNumberFormat="0" applyBorder="0" applyAlignment="0" applyProtection="0"/>
    <xf numFmtId="0" fontId="89" fillId="35" borderId="0" applyNumberFormat="0" applyBorder="0" applyAlignment="0" applyProtection="0"/>
    <xf numFmtId="0" fontId="89" fillId="36" borderId="0" applyNumberFormat="0" applyBorder="0" applyAlignment="0" applyProtection="0"/>
    <xf numFmtId="0" fontId="89" fillId="37"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1" fillId="39" borderId="33" applyNumberFormat="0" applyAlignment="0" applyProtection="0"/>
    <xf numFmtId="0" fontId="91" fillId="39" borderId="33" applyNumberFormat="0" applyAlignment="0" applyProtection="0"/>
    <xf numFmtId="0" fontId="92" fillId="40" borderId="34" applyNumberForma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77"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64" fillId="0" borderId="0" applyFont="0" applyFill="0" applyBorder="0" applyAlignment="0" applyProtection="0"/>
    <xf numFmtId="43" fontId="14" fillId="0" borderId="0" applyFont="0" applyFill="0" applyBorder="0" applyAlignment="0" applyProtection="0"/>
    <xf numFmtId="43" fontId="64" fillId="0" borderId="0" applyFont="0" applyFill="0" applyBorder="0" applyAlignment="0" applyProtection="0"/>
    <xf numFmtId="44" fontId="5" fillId="0" borderId="0" applyFont="0" applyFill="0" applyBorder="0" applyAlignment="0" applyProtection="0"/>
    <xf numFmtId="44" fontId="7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7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alignment vertical="top"/>
    </xf>
    <xf numFmtId="44" fontId="14" fillId="0" borderId="0" applyFont="0" applyFill="0" applyBorder="0" applyAlignment="0" applyProtection="0"/>
    <xf numFmtId="44" fontId="64" fillId="0" borderId="0" applyFont="0" applyFill="0" applyBorder="0" applyAlignment="0" applyProtection="0">
      <alignment vertical="top"/>
    </xf>
    <xf numFmtId="44" fontId="64" fillId="0" borderId="0" applyFont="0" applyFill="0" applyBorder="0" applyAlignment="0" applyProtection="0"/>
    <xf numFmtId="44" fontId="77"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77"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4"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77"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4"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88" fillId="0" borderId="0" applyFont="0" applyFill="0" applyBorder="0" applyAlignment="0" applyProtection="0"/>
    <xf numFmtId="44" fontId="14" fillId="0" borderId="0" applyFont="0" applyFill="0" applyBorder="0" applyAlignment="0" applyProtection="0"/>
    <xf numFmtId="44" fontId="64" fillId="0" borderId="0" applyFont="0" applyFill="0" applyBorder="0" applyAlignment="0" applyProtection="0"/>
    <xf numFmtId="44" fontId="14" fillId="0" borderId="0" applyFont="0" applyFill="0" applyBorder="0" applyAlignment="0" applyProtection="0"/>
    <xf numFmtId="44" fontId="7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93" fillId="0" borderId="0" applyNumberFormat="0" applyFill="0" applyBorder="0" applyAlignment="0" applyProtection="0"/>
    <xf numFmtId="0" fontId="94" fillId="41" borderId="0" applyNumberFormat="0" applyBorder="0" applyAlignment="0" applyProtection="0"/>
    <xf numFmtId="0" fontId="95" fillId="0" borderId="35" applyNumberFormat="0" applyFill="0" applyAlignment="0" applyProtection="0"/>
    <xf numFmtId="0" fontId="95" fillId="0" borderId="35" applyNumberFormat="0" applyFill="0" applyAlignment="0" applyProtection="0"/>
    <xf numFmtId="0" fontId="96" fillId="0" borderId="36" applyNumberFormat="0" applyFill="0" applyAlignment="0" applyProtection="0"/>
    <xf numFmtId="0" fontId="96" fillId="0" borderId="36" applyNumberFormat="0" applyFill="0" applyAlignment="0" applyProtection="0"/>
    <xf numFmtId="0" fontId="97" fillId="0" borderId="37" applyNumberFormat="0" applyFill="0" applyAlignment="0" applyProtection="0"/>
    <xf numFmtId="0" fontId="97" fillId="0" borderId="37"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80" fillId="0" borderId="0" applyNumberFormat="0" applyFill="0" applyBorder="0" applyAlignment="0" applyProtection="0">
      <alignment vertical="top"/>
      <protection locked="0"/>
    </xf>
    <xf numFmtId="0" fontId="98" fillId="42" borderId="33" applyNumberFormat="0" applyAlignment="0" applyProtection="0"/>
    <xf numFmtId="0" fontId="7" fillId="0" borderId="0" applyNumberFormat="0" applyBorder="0"/>
    <xf numFmtId="0" fontId="8" fillId="0" borderId="0" applyBorder="0" applyAlignment="0"/>
    <xf numFmtId="0" fontId="9" fillId="0" borderId="0" applyFill="0" applyBorder="0" applyAlignment="0"/>
    <xf numFmtId="0" fontId="99" fillId="0" borderId="38" applyNumberFormat="0" applyFill="0" applyAlignment="0" applyProtection="0"/>
    <xf numFmtId="0" fontId="100" fillId="43" borderId="0" applyNumberFormat="0" applyBorder="0" applyAlignment="0" applyProtection="0"/>
    <xf numFmtId="0" fontId="101" fillId="0" borderId="0"/>
    <xf numFmtId="0" fontId="64" fillId="0" borderId="0"/>
    <xf numFmtId="0" fontId="101" fillId="0" borderId="0"/>
    <xf numFmtId="0" fontId="64" fillId="0" borderId="0"/>
    <xf numFmtId="0" fontId="64" fillId="0" borderId="0"/>
    <xf numFmtId="0" fontId="14" fillId="0" borderId="0"/>
    <xf numFmtId="0" fontId="1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02" fillId="0" borderId="0"/>
    <xf numFmtId="0" fontId="64" fillId="0" borderId="0"/>
    <xf numFmtId="170" fontId="65" fillId="0" borderId="0"/>
    <xf numFmtId="0" fontId="88" fillId="0" borderId="0"/>
    <xf numFmtId="0" fontId="14" fillId="0" borderId="0"/>
    <xf numFmtId="0" fontId="14" fillId="0" borderId="0"/>
    <xf numFmtId="0" fontId="70" fillId="0" borderId="0"/>
    <xf numFmtId="0" fontId="64" fillId="0" borderId="0"/>
    <xf numFmtId="0" fontId="70" fillId="0" borderId="0"/>
    <xf numFmtId="0" fontId="14" fillId="0" borderId="0"/>
    <xf numFmtId="0" fontId="64" fillId="0" borderId="0"/>
    <xf numFmtId="0" fontId="74" fillId="0" borderId="0"/>
    <xf numFmtId="0" fontId="64" fillId="0" borderId="0"/>
    <xf numFmtId="0" fontId="88" fillId="0" borderId="0"/>
    <xf numFmtId="0" fontId="64"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4" fillId="0" borderId="0"/>
    <xf numFmtId="0" fontId="88" fillId="0" borderId="0"/>
    <xf numFmtId="0" fontId="88" fillId="0" borderId="0"/>
    <xf numFmtId="0" fontId="88" fillId="0" borderId="0"/>
    <xf numFmtId="0" fontId="88" fillId="0" borderId="0"/>
    <xf numFmtId="0" fontId="64"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4" fillId="0" borderId="0"/>
    <xf numFmtId="0" fontId="88" fillId="0" borderId="0"/>
    <xf numFmtId="0" fontId="88" fillId="0" borderId="0"/>
    <xf numFmtId="0" fontId="88" fillId="0" borderId="0"/>
    <xf numFmtId="0" fontId="88" fillId="0" borderId="0"/>
    <xf numFmtId="0" fontId="74" fillId="0" borderId="0"/>
    <xf numFmtId="0" fontId="64" fillId="0" borderId="0">
      <alignment vertical="top"/>
    </xf>
    <xf numFmtId="0" fontId="88" fillId="0" borderId="0"/>
    <xf numFmtId="0" fontId="88" fillId="0" borderId="0"/>
    <xf numFmtId="0" fontId="88" fillId="0" borderId="0"/>
    <xf numFmtId="0" fontId="88" fillId="0" borderId="0"/>
    <xf numFmtId="0" fontId="74" fillId="0" borderId="0"/>
    <xf numFmtId="0" fontId="14" fillId="0" borderId="0"/>
    <xf numFmtId="0" fontId="88" fillId="0" borderId="0"/>
    <xf numFmtId="0" fontId="14" fillId="0" borderId="0"/>
    <xf numFmtId="0" fontId="88" fillId="0" borderId="0"/>
    <xf numFmtId="0" fontId="88" fillId="0" borderId="0"/>
    <xf numFmtId="0" fontId="88" fillId="0" borderId="0"/>
    <xf numFmtId="0" fontId="88" fillId="0" borderId="0"/>
    <xf numFmtId="0" fontId="70" fillId="0" borderId="0"/>
    <xf numFmtId="0" fontId="64" fillId="0" borderId="0">
      <alignment vertical="top"/>
    </xf>
    <xf numFmtId="0" fontId="70" fillId="0" borderId="0"/>
    <xf numFmtId="0" fontId="64" fillId="0" borderId="0">
      <alignment vertical="top"/>
    </xf>
    <xf numFmtId="0" fontId="64" fillId="0" borderId="0">
      <alignment vertical="top"/>
    </xf>
    <xf numFmtId="0" fontId="70" fillId="0" borderId="0"/>
    <xf numFmtId="0" fontId="70" fillId="0" borderId="0"/>
    <xf numFmtId="0" fontId="88" fillId="0" borderId="0"/>
    <xf numFmtId="0" fontId="64" fillId="0" borderId="0">
      <alignment vertical="top"/>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0"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4" fillId="0" borderId="0"/>
    <xf numFmtId="0" fontId="64" fillId="0" borderId="0">
      <alignment vertical="top"/>
    </xf>
    <xf numFmtId="0" fontId="88" fillId="0" borderId="0"/>
    <xf numFmtId="0" fontId="88" fillId="0" borderId="0"/>
    <xf numFmtId="0" fontId="88" fillId="0" borderId="0"/>
    <xf numFmtId="0" fontId="88" fillId="0" borderId="0"/>
    <xf numFmtId="0" fontId="1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70"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64" fillId="0" borderId="0"/>
    <xf numFmtId="0" fontId="64" fillId="0" borderId="0">
      <alignment vertical="top"/>
    </xf>
    <xf numFmtId="0" fontId="64" fillId="0" borderId="0">
      <alignment vertical="top"/>
    </xf>
    <xf numFmtId="0" fontId="64" fillId="0" borderId="0"/>
    <xf numFmtId="0" fontId="64" fillId="0" borderId="0">
      <alignment vertical="top"/>
    </xf>
    <xf numFmtId="0" fontId="64" fillId="0" borderId="0"/>
    <xf numFmtId="0" fontId="6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4"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14" fillId="0" borderId="0"/>
    <xf numFmtId="0" fontId="88" fillId="0" borderId="0"/>
    <xf numFmtId="0" fontId="88" fillId="0" borderId="0"/>
    <xf numFmtId="0" fontId="88" fillId="0" borderId="0"/>
    <xf numFmtId="0" fontId="5" fillId="0" borderId="0" applyProtection="0">
      <protection locked="0"/>
    </xf>
    <xf numFmtId="0" fontId="14" fillId="0" borderId="0" applyProtection="0">
      <protection locked="0"/>
    </xf>
    <xf numFmtId="0" fontId="14" fillId="0" borderId="0" applyProtection="0">
      <protection locked="0"/>
    </xf>
    <xf numFmtId="0" fontId="65" fillId="0" borderId="0"/>
    <xf numFmtId="0" fontId="5" fillId="0" borderId="0"/>
    <xf numFmtId="0" fontId="14" fillId="0" borderId="0"/>
    <xf numFmtId="0" fontId="77"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77"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88" fillId="44" borderId="39" applyNumberFormat="0" applyFont="0" applyAlignment="0" applyProtection="0"/>
    <xf numFmtId="0" fontId="103" fillId="39" borderId="40" applyNumberFormat="0" applyAlignment="0" applyProtection="0"/>
    <xf numFmtId="0" fontId="103" fillId="39" borderId="40" applyNumberFormat="0" applyAlignment="0" applyProtection="0"/>
    <xf numFmtId="0" fontId="10" fillId="0" borderId="0" applyNumberFormat="0" applyFill="0" applyBorder="0">
      <alignment horizontal="left"/>
    </xf>
    <xf numFmtId="0" fontId="104" fillId="0" borderId="0" applyNumberFormat="0" applyFill="0" applyBorder="0" applyAlignment="0" applyProtection="0"/>
    <xf numFmtId="0" fontId="105" fillId="0" borderId="41" applyNumberFormat="0" applyFill="0" applyAlignment="0" applyProtection="0"/>
    <xf numFmtId="0" fontId="105" fillId="0" borderId="41" applyNumberFormat="0" applyFill="0" applyAlignment="0" applyProtection="0"/>
    <xf numFmtId="0" fontId="106" fillId="0" borderId="0" applyNumberFormat="0" applyFill="0" applyBorder="0" applyAlignment="0" applyProtection="0"/>
    <xf numFmtId="9" fontId="114"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0" fontId="3" fillId="44" borderId="39" applyNumberFormat="0" applyFont="0" applyAlignment="0" applyProtection="0"/>
    <xf numFmtId="9" fontId="5" fillId="0" borderId="0" applyFont="0" applyFill="0" applyBorder="0" applyAlignment="0" applyProtection="0"/>
    <xf numFmtId="170" fontId="142" fillId="0" borderId="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2" fillId="0" borderId="0" xfId="0" applyFont="1"/>
    <xf numFmtId="0" fontId="13" fillId="0" borderId="0" xfId="0" applyFont="1"/>
    <xf numFmtId="0" fontId="14"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4" fillId="0" borderId="0" xfId="0" applyFont="1" applyAlignment="1">
      <alignment horizontal="center"/>
    </xf>
    <xf numFmtId="0" fontId="5"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2" fillId="0" borderId="0" xfId="0" applyFont="1" applyAlignment="1">
      <alignment vertical="top" wrapText="1"/>
    </xf>
    <xf numFmtId="0" fontId="33" fillId="0" borderId="0" xfId="0" applyFont="1"/>
    <xf numFmtId="0" fontId="13" fillId="0" borderId="6" xfId="0" applyFont="1" applyBorder="1" applyAlignment="1">
      <alignment horizontal="center"/>
    </xf>
    <xf numFmtId="0" fontId="12" fillId="0" borderId="0" xfId="0" applyFont="1" applyAlignment="1">
      <alignment horizontal="center"/>
    </xf>
    <xf numFmtId="0" fontId="13" fillId="0" borderId="0" xfId="0" applyFont="1" applyAlignment="1">
      <alignment horizontal="left" vertical="top"/>
    </xf>
    <xf numFmtId="0" fontId="22" fillId="0" borderId="0" xfId="0" applyFont="1"/>
    <xf numFmtId="0" fontId="5" fillId="0" borderId="0" xfId="546"/>
    <xf numFmtId="0" fontId="32" fillId="0" borderId="0" xfId="0" applyFont="1"/>
    <xf numFmtId="0" fontId="11" fillId="0" borderId="0" xfId="0" applyFont="1" applyAlignment="1">
      <alignment horizontal="center" vertical="center"/>
    </xf>
    <xf numFmtId="0" fontId="14" fillId="0" borderId="0" xfId="0" applyFont="1" applyAlignment="1">
      <alignment horizontal="left" vertical="top" wrapText="1"/>
    </xf>
    <xf numFmtId="0" fontId="21" fillId="0" borderId="0" xfId="0" applyFont="1"/>
    <xf numFmtId="0" fontId="13" fillId="0" borderId="0" xfId="0" applyFont="1" applyAlignment="1">
      <alignment vertical="top"/>
    </xf>
    <xf numFmtId="0" fontId="13" fillId="0" borderId="0" xfId="0" applyFont="1" applyAlignment="1">
      <alignment vertical="top" wrapText="1"/>
    </xf>
    <xf numFmtId="0" fontId="14" fillId="0" borderId="0" xfId="0" applyFont="1" applyAlignment="1">
      <alignment horizontal="left" indent="4"/>
    </xf>
    <xf numFmtId="0" fontId="13" fillId="0" borderId="0" xfId="0" applyFont="1" applyAlignment="1">
      <alignment horizontal="left"/>
    </xf>
    <xf numFmtId="0" fontId="26" fillId="0" borderId="0" xfId="546" applyFont="1"/>
    <xf numFmtId="1" fontId="13" fillId="0" borderId="0" xfId="0" applyNumberFormat="1" applyFont="1" applyAlignment="1">
      <alignment horizontal="left"/>
    </xf>
    <xf numFmtId="0" fontId="15" fillId="0" borderId="0" xfId="0" applyFont="1"/>
    <xf numFmtId="1" fontId="13" fillId="0" borderId="0" xfId="0" applyNumberFormat="1" applyFont="1" applyAlignment="1">
      <alignment horizontal="right"/>
    </xf>
    <xf numFmtId="0" fontId="0" fillId="0" borderId="0" xfId="0" applyAlignment="1">
      <alignment horizontal="right"/>
    </xf>
    <xf numFmtId="0" fontId="13" fillId="0" borderId="0" xfId="0" applyFont="1" applyAlignment="1">
      <alignment horizontal="right"/>
    </xf>
    <xf numFmtId="0" fontId="25" fillId="0" borderId="0" xfId="0" applyFont="1"/>
    <xf numFmtId="0" fontId="17" fillId="0" borderId="0" xfId="0" applyFont="1"/>
    <xf numFmtId="173" fontId="5" fillId="0" borderId="0" xfId="546" applyNumberFormat="1"/>
    <xf numFmtId="9" fontId="5" fillId="0" borderId="0" xfId="546" applyNumberFormat="1" applyAlignment="1">
      <alignment horizontal="left"/>
    </xf>
    <xf numFmtId="169" fontId="5" fillId="0" borderId="0" xfId="546" applyNumberFormat="1"/>
    <xf numFmtId="0" fontId="5" fillId="0" borderId="0" xfId="0" applyFont="1"/>
    <xf numFmtId="0" fontId="14" fillId="0" borderId="0" xfId="0" applyFont="1" applyAlignment="1">
      <alignment horizontal="right"/>
    </xf>
    <xf numFmtId="0" fontId="34" fillId="0" borderId="0" xfId="0" applyFont="1"/>
    <xf numFmtId="0" fontId="14" fillId="0" borderId="0" xfId="0" applyFont="1" applyAlignment="1">
      <alignment horizontal="left"/>
    </xf>
    <xf numFmtId="0" fontId="16" fillId="0" borderId="0" xfId="0" applyFont="1"/>
    <xf numFmtId="0" fontId="18" fillId="0" borderId="0" xfId="0" applyFont="1"/>
    <xf numFmtId="0" fontId="12"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2" fillId="0" borderId="1" xfId="0" applyFont="1" applyBorder="1" applyAlignment="1">
      <alignment horizontal="center" wrapText="1"/>
    </xf>
    <xf numFmtId="0" fontId="12"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2" fillId="0" borderId="4" xfId="0" applyFont="1" applyBorder="1" applyAlignment="1">
      <alignment horizontal="center"/>
    </xf>
    <xf numFmtId="0" fontId="22" fillId="0" borderId="3" xfId="0" applyFont="1" applyBorder="1" applyAlignment="1">
      <alignment horizontal="left"/>
    </xf>
    <xf numFmtId="0" fontId="22" fillId="0" borderId="9" xfId="0" applyFont="1" applyBorder="1" applyAlignment="1">
      <alignment horizontal="left"/>
    </xf>
    <xf numFmtId="0" fontId="12" fillId="0" borderId="4" xfId="0" applyFont="1" applyBorder="1" applyAlignment="1">
      <alignment horizontal="right"/>
    </xf>
    <xf numFmtId="0" fontId="12" fillId="0" borderId="8" xfId="0" applyFont="1" applyBorder="1" applyAlignment="1">
      <alignment horizontal="right"/>
    </xf>
    <xf numFmtId="0" fontId="22" fillId="0" borderId="0" xfId="0" applyFont="1" applyAlignment="1">
      <alignment horizontal="left"/>
    </xf>
    <xf numFmtId="0" fontId="12" fillId="0" borderId="0" xfId="0" applyFont="1" applyAlignment="1">
      <alignment horizontal="right"/>
    </xf>
    <xf numFmtId="0" fontId="12"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0" borderId="12" xfId="0" applyFont="1" applyBorder="1" applyAlignment="1">
      <alignment horizontal="left"/>
    </xf>
    <xf numFmtId="0" fontId="12" fillId="0" borderId="9" xfId="0" applyFont="1" applyBorder="1"/>
    <xf numFmtId="164" fontId="0" fillId="0" borderId="0" xfId="0" applyNumberFormat="1" applyAlignment="1">
      <alignment horizontal="center"/>
    </xf>
    <xf numFmtId="0" fontId="0" fillId="0" borderId="13" xfId="0" applyBorder="1"/>
    <xf numFmtId="0" fontId="14" fillId="0" borderId="3" xfId="0" applyFont="1" applyBorder="1"/>
    <xf numFmtId="0" fontId="14" fillId="0" borderId="0" xfId="546" applyFont="1"/>
    <xf numFmtId="0" fontId="36" fillId="0" borderId="0" xfId="546" applyFont="1"/>
    <xf numFmtId="49" fontId="5" fillId="0" borderId="0" xfId="546" applyNumberFormat="1"/>
    <xf numFmtId="0" fontId="34" fillId="0" borderId="0" xfId="546" applyFont="1"/>
    <xf numFmtId="169" fontId="26" fillId="0" borderId="5" xfId="546" applyNumberFormat="1" applyFont="1" applyBorder="1" applyAlignment="1">
      <alignment horizontal="left"/>
    </xf>
    <xf numFmtId="169" fontId="26" fillId="0" borderId="5" xfId="546" applyNumberFormat="1" applyFont="1" applyBorder="1" applyAlignment="1">
      <alignment horizontal="center"/>
    </xf>
    <xf numFmtId="0" fontId="5" fillId="0" borderId="7" xfId="546" applyBorder="1"/>
    <xf numFmtId="0" fontId="5" fillId="0" borderId="9" xfId="546" applyBorder="1"/>
    <xf numFmtId="0" fontId="5" fillId="0" borderId="10" xfId="546" applyBorder="1"/>
    <xf numFmtId="0" fontId="5" fillId="0" borderId="1" xfId="546" applyBorder="1"/>
    <xf numFmtId="0" fontId="5" fillId="0" borderId="13" xfId="546" applyBorder="1"/>
    <xf numFmtId="0" fontId="5" fillId="0" borderId="2" xfId="546" applyBorder="1"/>
    <xf numFmtId="0" fontId="5" fillId="0" borderId="11" xfId="546" applyBorder="1"/>
    <xf numFmtId="0" fontId="25" fillId="0" borderId="0" xfId="546" applyFont="1"/>
    <xf numFmtId="0" fontId="5" fillId="0" borderId="0" xfId="546" applyAlignment="1">
      <alignment horizontal="center"/>
    </xf>
    <xf numFmtId="0" fontId="13" fillId="0" borderId="5" xfId="546" applyFont="1" applyBorder="1" applyAlignment="1">
      <alignment vertical="top" wrapText="1"/>
    </xf>
    <xf numFmtId="0" fontId="14" fillId="0" borderId="4" xfId="0" applyFont="1" applyBorder="1"/>
    <xf numFmtId="0" fontId="28" fillId="0" borderId="0" xfId="0" applyFont="1"/>
    <xf numFmtId="0" fontId="29" fillId="0" borderId="0" xfId="0" applyFont="1"/>
    <xf numFmtId="0" fontId="13" fillId="0" borderId="3" xfId="0" applyFont="1" applyBorder="1"/>
    <xf numFmtId="0" fontId="13" fillId="0" borderId="4" xfId="0" applyFont="1" applyBorder="1"/>
    <xf numFmtId="164" fontId="0" fillId="0" borderId="4" xfId="0" applyNumberFormat="1" applyBorder="1" applyAlignment="1">
      <alignment horizontal="right"/>
    </xf>
    <xf numFmtId="0" fontId="14" fillId="0" borderId="4" xfId="0" applyFont="1" applyBorder="1" applyAlignment="1">
      <alignment horizontal="right"/>
    </xf>
    <xf numFmtId="0" fontId="13" fillId="0" borderId="3" xfId="0" applyFont="1" applyBorder="1" applyAlignment="1">
      <alignment vertical="top" wrapText="1"/>
    </xf>
    <xf numFmtId="0" fontId="13" fillId="0" borderId="4" xfId="0" applyFont="1" applyBorder="1" applyAlignment="1">
      <alignment vertical="top" wrapText="1"/>
    </xf>
    <xf numFmtId="0" fontId="14" fillId="0" borderId="6" xfId="0" applyFont="1" applyBorder="1"/>
    <xf numFmtId="0" fontId="14" fillId="0" borderId="6" xfId="0" applyFont="1" applyBorder="1" applyAlignment="1">
      <alignment horizontal="left" vertical="top"/>
    </xf>
    <xf numFmtId="0" fontId="13" fillId="0" borderId="6" xfId="0" applyFont="1" applyBorder="1" applyAlignment="1">
      <alignment horizontal="left" vertical="top" wrapText="1"/>
    </xf>
    <xf numFmtId="0" fontId="13" fillId="0" borderId="6" xfId="0" applyFont="1" applyBorder="1"/>
    <xf numFmtId="0" fontId="14" fillId="0" borderId="0" xfId="0" applyFont="1" applyAlignment="1">
      <alignment horizontal="left" vertical="top"/>
    </xf>
    <xf numFmtId="0" fontId="13" fillId="0" borderId="0" xfId="0" applyFont="1" applyAlignment="1">
      <alignment horizontal="left" vertical="top" wrapText="1"/>
    </xf>
    <xf numFmtId="0" fontId="12" fillId="0" borderId="0" xfId="0" applyFont="1" applyAlignment="1">
      <alignment vertical="top"/>
    </xf>
    <xf numFmtId="0" fontId="24" fillId="0" borderId="0" xfId="0" applyFont="1" applyAlignment="1">
      <alignment vertical="top" wrapText="1"/>
    </xf>
    <xf numFmtId="0" fontId="12" fillId="0" borderId="0" xfId="0" applyFont="1" applyAlignment="1">
      <alignment horizontal="left" vertical="top" wrapText="1"/>
    </xf>
    <xf numFmtId="0" fontId="24" fillId="0" borderId="0" xfId="0" applyFont="1" applyAlignment="1">
      <alignment vertical="top"/>
    </xf>
    <xf numFmtId="0" fontId="12" fillId="0" borderId="0" xfId="0" applyFont="1" applyAlignment="1">
      <alignment horizontal="center" vertical="top"/>
    </xf>
    <xf numFmtId="0" fontId="14" fillId="0" borderId="6" xfId="0" applyFont="1" applyBorder="1" applyAlignment="1">
      <alignment horizontal="center"/>
    </xf>
    <xf numFmtId="0" fontId="22" fillId="0" borderId="6" xfId="0" applyFont="1" applyBorder="1"/>
    <xf numFmtId="0" fontId="22" fillId="0" borderId="0" xfId="0" applyFont="1" applyAlignment="1">
      <alignment horizontal="right"/>
    </xf>
    <xf numFmtId="0" fontId="29" fillId="0" borderId="0" xfId="0" applyFont="1" applyAlignment="1">
      <alignment horizontal="left" vertical="top" wrapText="1"/>
    </xf>
    <xf numFmtId="0" fontId="22" fillId="0" borderId="0" xfId="0" applyFont="1" applyAlignment="1">
      <alignment horizontal="left" vertical="top"/>
    </xf>
    <xf numFmtId="0" fontId="13" fillId="0" borderId="0" xfId="0" applyFont="1" applyAlignment="1">
      <alignment vertical="top" wrapText="1" shrinkToFit="1"/>
    </xf>
    <xf numFmtId="0" fontId="30" fillId="0" borderId="0" xfId="0" applyFont="1"/>
    <xf numFmtId="0" fontId="13" fillId="0" borderId="0" xfId="0" applyFont="1" applyAlignment="1">
      <alignment horizontal="left" vertical="top" wrapText="1" shrinkToFit="1"/>
    </xf>
    <xf numFmtId="0" fontId="30" fillId="0" borderId="4" xfId="0" applyFont="1" applyBorder="1"/>
    <xf numFmtId="0" fontId="13" fillId="0" borderId="4" xfId="0" applyFont="1" applyBorder="1" applyAlignment="1">
      <alignment horizontal="left" vertical="top" wrapText="1" shrinkToFit="1"/>
    </xf>
    <xf numFmtId="0" fontId="13" fillId="0" borderId="3" xfId="0" applyFont="1" applyBorder="1" applyAlignment="1">
      <alignment horizontal="center"/>
    </xf>
    <xf numFmtId="0" fontId="13" fillId="0" borderId="0" xfId="0" applyFont="1" applyAlignment="1">
      <alignment horizontal="center"/>
    </xf>
    <xf numFmtId="0" fontId="16" fillId="0" borderId="0" xfId="0" applyFont="1" applyAlignment="1">
      <alignment horizontal="left" vertical="top"/>
    </xf>
    <xf numFmtId="0" fontId="13" fillId="0" borderId="0" xfId="0" applyFont="1" applyAlignment="1">
      <alignment horizontal="left" vertical="top" shrinkToFit="1"/>
    </xf>
    <xf numFmtId="0" fontId="16" fillId="0" borderId="4" xfId="0" applyFont="1" applyBorder="1"/>
    <xf numFmtId="0" fontId="13" fillId="0" borderId="4" xfId="0" applyFont="1" applyBorder="1" applyAlignment="1">
      <alignment horizontal="left" vertical="top" shrinkToFit="1"/>
    </xf>
    <xf numFmtId="0" fontId="13" fillId="0" borderId="4" xfId="0" applyFont="1" applyBorder="1" applyAlignment="1">
      <alignment horizontal="left" vertical="top"/>
    </xf>
    <xf numFmtId="0" fontId="31" fillId="0" borderId="0" xfId="0" applyFont="1"/>
    <xf numFmtId="0" fontId="13" fillId="0" borderId="0" xfId="0" quotePrefix="1" applyFont="1"/>
    <xf numFmtId="0" fontId="12" fillId="0" borderId="0" xfId="0" applyFont="1" applyAlignment="1">
      <alignment horizontal="left" vertical="top"/>
    </xf>
    <xf numFmtId="0" fontId="35" fillId="0" borderId="0" xfId="0" applyFont="1"/>
    <xf numFmtId="0" fontId="16" fillId="0" borderId="0" xfId="0" applyFont="1" applyAlignment="1">
      <alignment horizontal="center"/>
    </xf>
    <xf numFmtId="0" fontId="13" fillId="0" borderId="4" xfId="0" applyFont="1" applyBorder="1" applyAlignment="1">
      <alignment horizontal="left" vertical="top" wrapText="1"/>
    </xf>
    <xf numFmtId="44" fontId="13" fillId="0" borderId="0" xfId="164" applyFont="1" applyFill="1" applyBorder="1" applyAlignment="1" applyProtection="1">
      <alignment horizontal="left" vertical="top" wrapText="1"/>
    </xf>
    <xf numFmtId="44" fontId="13" fillId="0" borderId="4" xfId="164" applyFont="1" applyFill="1" applyBorder="1" applyAlignment="1" applyProtection="1">
      <alignment horizontal="left" vertical="top" wrapText="1"/>
    </xf>
    <xf numFmtId="164" fontId="35" fillId="0" borderId="0" xfId="0" applyNumberFormat="1" applyFont="1" applyAlignment="1">
      <alignment horizontal="left"/>
    </xf>
    <xf numFmtId="0" fontId="16" fillId="0" borderId="0" xfId="0" applyFont="1" applyAlignment="1">
      <alignment horizontal="left"/>
    </xf>
    <xf numFmtId="0" fontId="12" fillId="0" borderId="4" xfId="0" applyFont="1" applyBorder="1" applyAlignment="1">
      <alignment horizontal="center" vertical="top"/>
    </xf>
    <xf numFmtId="0" fontId="29" fillId="0" borderId="0" xfId="0" applyFont="1" applyAlignment="1">
      <alignment horizontal="left" vertical="top"/>
    </xf>
    <xf numFmtId="0" fontId="14" fillId="0" borderId="4" xfId="0" applyFont="1" applyBorder="1" applyAlignment="1">
      <alignment horizontal="left" vertical="top"/>
    </xf>
    <xf numFmtId="0" fontId="29" fillId="0" borderId="4" xfId="0" applyFont="1" applyBorder="1" applyAlignment="1">
      <alignment horizontal="left" vertical="top"/>
    </xf>
    <xf numFmtId="0" fontId="13" fillId="0" borderId="6" xfId="0" applyFont="1" applyBorder="1" applyAlignment="1">
      <alignment horizontal="left" vertical="top"/>
    </xf>
    <xf numFmtId="0" fontId="5" fillId="0" borderId="14" xfId="546" applyBorder="1"/>
    <xf numFmtId="0" fontId="5" fillId="0" borderId="6" xfId="546" applyBorder="1"/>
    <xf numFmtId="0" fontId="13"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8" fillId="0" borderId="0" xfId="0" applyFont="1"/>
    <xf numFmtId="0" fontId="22" fillId="0" borderId="12" xfId="0" applyFont="1" applyBorder="1" applyAlignment="1">
      <alignment horizontal="center"/>
    </xf>
    <xf numFmtId="166" fontId="13" fillId="2" borderId="12" xfId="0" applyNumberFormat="1" applyFont="1" applyFill="1" applyBorder="1" applyAlignment="1">
      <alignment horizontal="center"/>
    </xf>
    <xf numFmtId="1" fontId="13" fillId="2" borderId="12" xfId="0" applyNumberFormat="1" applyFont="1" applyFill="1" applyBorder="1" applyAlignment="1">
      <alignment horizontal="center"/>
    </xf>
    <xf numFmtId="164" fontId="13" fillId="0" borderId="0" xfId="0" applyNumberFormat="1" applyFont="1" applyAlignment="1">
      <alignment horizontal="left" vertical="top"/>
    </xf>
    <xf numFmtId="164" fontId="13" fillId="0" borderId="0" xfId="0" applyNumberFormat="1" applyFont="1" applyAlignment="1">
      <alignment vertical="top" wrapText="1"/>
    </xf>
    <xf numFmtId="164" fontId="13" fillId="0" borderId="0" xfId="0" applyNumberFormat="1" applyFont="1" applyAlignment="1">
      <alignment horizontal="right"/>
    </xf>
    <xf numFmtId="164" fontId="13" fillId="0" borderId="0" xfId="0" applyNumberFormat="1" applyFont="1" applyAlignment="1">
      <alignment vertical="top"/>
    </xf>
    <xf numFmtId="2" fontId="13" fillId="0" borderId="0" xfId="0" applyNumberFormat="1" applyFont="1" applyAlignment="1">
      <alignment horizontal="right"/>
    </xf>
    <xf numFmtId="0" fontId="22" fillId="0" borderId="0" xfId="0" applyFont="1" applyAlignment="1">
      <alignment horizontal="center"/>
    </xf>
    <xf numFmtId="0" fontId="12" fillId="0" borderId="4" xfId="0" applyFont="1" applyBorder="1"/>
    <xf numFmtId="0" fontId="13" fillId="0" borderId="8" xfId="0" applyFont="1" applyBorder="1"/>
    <xf numFmtId="0" fontId="13" fillId="0" borderId="5" xfId="0" applyFont="1" applyBorder="1"/>
    <xf numFmtId="0" fontId="12" fillId="0" borderId="5" xfId="0" applyFont="1" applyBorder="1" applyAlignment="1">
      <alignment horizontal="right"/>
    </xf>
    <xf numFmtId="0" fontId="13" fillId="0" borderId="10" xfId="0" applyFont="1" applyBorder="1"/>
    <xf numFmtId="0" fontId="13" fillId="4" borderId="0" xfId="0" applyFont="1" applyFill="1" applyAlignment="1">
      <alignment horizontal="center"/>
    </xf>
    <xf numFmtId="164" fontId="12" fillId="0" borderId="0" xfId="0" applyNumberFormat="1" applyFont="1" applyAlignment="1">
      <alignment horizontal="left"/>
    </xf>
    <xf numFmtId="164" fontId="13" fillId="0" borderId="0" xfId="0" applyNumberFormat="1" applyFont="1" applyAlignment="1">
      <alignment horizontal="left" vertical="top" wrapText="1"/>
    </xf>
    <xf numFmtId="0" fontId="13" fillId="0" borderId="0" xfId="0" applyFont="1" applyAlignment="1">
      <alignment wrapText="1"/>
    </xf>
    <xf numFmtId="0" fontId="5" fillId="0" borderId="3" xfId="546" applyBorder="1"/>
    <xf numFmtId="0" fontId="5"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4" fillId="0" borderId="0" xfId="0" applyFont="1"/>
    <xf numFmtId="0" fontId="6" fillId="0" borderId="0" xfId="245" applyBorder="1" applyProtection="1"/>
    <xf numFmtId="0" fontId="6" fillId="0" borderId="0" xfId="245" applyFill="1" applyBorder="1" applyAlignment="1">
      <alignment horizontal="center" vertical="center"/>
    </xf>
    <xf numFmtId="49" fontId="13" fillId="0" borderId="0" xfId="0" applyNumberFormat="1" applyFont="1" applyAlignment="1">
      <alignment horizontal="left" vertical="top"/>
    </xf>
    <xf numFmtId="0" fontId="6" fillId="0" borderId="0" xfId="245" applyFill="1" applyBorder="1" applyAlignment="1" applyProtection="1">
      <alignment horizontal="left" vertical="top"/>
    </xf>
    <xf numFmtId="0" fontId="6" fillId="0" borderId="0" xfId="245" applyFill="1" applyBorder="1" applyAlignment="1" applyProtection="1">
      <alignment horizontal="left" vertical="top" wrapText="1"/>
    </xf>
    <xf numFmtId="49" fontId="14" fillId="0" borderId="0" xfId="0" applyNumberFormat="1" applyFont="1"/>
    <xf numFmtId="0" fontId="13" fillId="0" borderId="0" xfId="0" quotePrefix="1" applyFont="1" applyAlignment="1">
      <alignment horizontal="center" vertical="top"/>
    </xf>
    <xf numFmtId="0" fontId="24" fillId="0" borderId="0" xfId="0" applyFont="1" applyAlignment="1">
      <alignment horizontal="center"/>
    </xf>
    <xf numFmtId="49" fontId="12" fillId="0" borderId="0" xfId="0" applyNumberFormat="1" applyFont="1" applyAlignment="1">
      <alignment horizontal="center"/>
    </xf>
    <xf numFmtId="0" fontId="24" fillId="0" borderId="0" xfId="0" applyFont="1" applyAlignment="1">
      <alignment horizontal="left"/>
    </xf>
    <xf numFmtId="0" fontId="14" fillId="0" borderId="5" xfId="0" applyFont="1" applyBorder="1"/>
    <xf numFmtId="1" fontId="13" fillId="0" borderId="0" xfId="0" applyNumberFormat="1" applyFont="1" applyAlignment="1">
      <alignment horizontal="center" vertical="top"/>
    </xf>
    <xf numFmtId="0" fontId="14" fillId="0" borderId="2" xfId="0" applyFont="1" applyBorder="1"/>
    <xf numFmtId="0" fontId="14" fillId="0" borderId="11" xfId="0" applyFont="1" applyBorder="1"/>
    <xf numFmtId="0" fontId="14" fillId="0" borderId="13" xfId="0" applyFont="1" applyBorder="1"/>
    <xf numFmtId="0" fontId="14" fillId="0" borderId="9" xfId="0" applyFont="1" applyBorder="1"/>
    <xf numFmtId="0" fontId="14" fillId="0" borderId="10" xfId="0" applyFont="1" applyBorder="1"/>
    <xf numFmtId="0" fontId="19" fillId="0" borderId="5" xfId="0" applyFont="1" applyBorder="1" applyAlignment="1">
      <alignment vertical="top" wrapText="1"/>
    </xf>
    <xf numFmtId="0" fontId="19" fillId="0" borderId="8" xfId="0" applyFont="1" applyBorder="1" applyAlignment="1">
      <alignment vertical="top" wrapText="1"/>
    </xf>
    <xf numFmtId="0" fontId="19" fillId="0" borderId="4" xfId="0" applyFont="1" applyBorder="1" applyAlignment="1">
      <alignment vertical="top" wrapText="1"/>
    </xf>
    <xf numFmtId="0" fontId="19" fillId="2" borderId="5" xfId="0" applyFont="1" applyFill="1" applyBorder="1" applyAlignment="1">
      <alignment vertical="top" wrapText="1"/>
    </xf>
    <xf numFmtId="0" fontId="0" fillId="0" borderId="7" xfId="0" applyBorder="1"/>
    <xf numFmtId="0" fontId="12" fillId="0" borderId="2" xfId="0" applyFont="1" applyBorder="1"/>
    <xf numFmtId="1" fontId="5" fillId="0" borderId="0" xfId="546" applyNumberFormat="1"/>
    <xf numFmtId="49" fontId="14" fillId="0" borderId="0" xfId="0" applyNumberFormat="1" applyFont="1" applyAlignment="1">
      <alignment horizontal="center"/>
    </xf>
    <xf numFmtId="0" fontId="14" fillId="0" borderId="0" xfId="0" applyFont="1" applyAlignment="1">
      <alignment vertical="top"/>
    </xf>
    <xf numFmtId="0" fontId="14" fillId="0" borderId="0" xfId="0" applyFont="1" applyAlignment="1">
      <alignment vertical="top" wrapText="1"/>
    </xf>
    <xf numFmtId="0" fontId="5" fillId="0" borderId="0" xfId="0" applyFont="1" applyAlignment="1">
      <alignment horizontal="left" vertical="top" wrapText="1"/>
    </xf>
    <xf numFmtId="49" fontId="13" fillId="0" borderId="0" xfId="0" applyNumberFormat="1" applyFont="1" applyAlignment="1">
      <alignment vertical="top"/>
    </xf>
    <xf numFmtId="0" fontId="14" fillId="0" borderId="0" xfId="0" quotePrefix="1" applyFont="1" applyAlignment="1">
      <alignment horizontal="left"/>
    </xf>
    <xf numFmtId="0" fontId="14" fillId="0" borderId="0" xfId="0" quotePrefix="1" applyFont="1"/>
    <xf numFmtId="0" fontId="5" fillId="0" borderId="3" xfId="0" applyFont="1" applyBorder="1"/>
    <xf numFmtId="0" fontId="5" fillId="0" borderId="8" xfId="0" applyFont="1" applyBorder="1"/>
    <xf numFmtId="164" fontId="13" fillId="0" borderId="1" xfId="0" applyNumberFormat="1" applyFont="1" applyBorder="1" applyAlignment="1">
      <alignment vertical="top"/>
    </xf>
    <xf numFmtId="164" fontId="13" fillId="0" borderId="2" xfId="0" applyNumberFormat="1" applyFont="1" applyBorder="1" applyAlignment="1">
      <alignment vertical="top"/>
    </xf>
    <xf numFmtId="0" fontId="13" fillId="0" borderId="2" xfId="0" applyFont="1" applyBorder="1"/>
    <xf numFmtId="0" fontId="13" fillId="0" borderId="11" xfId="0" applyFont="1" applyBorder="1"/>
    <xf numFmtId="164" fontId="13" fillId="0" borderId="7" xfId="0" applyNumberFormat="1" applyFont="1" applyBorder="1" applyAlignment="1">
      <alignment horizontal="left" vertical="top"/>
    </xf>
    <xf numFmtId="0" fontId="12" fillId="0" borderId="13" xfId="0" applyFont="1" applyBorder="1" applyAlignment="1">
      <alignment horizontal="center"/>
    </xf>
    <xf numFmtId="164" fontId="13" fillId="0" borderId="9" xfId="0" applyNumberFormat="1" applyFont="1" applyBorder="1" applyAlignment="1">
      <alignment horizontal="left" vertical="top"/>
    </xf>
    <xf numFmtId="164" fontId="13" fillId="0" borderId="5" xfId="0" applyNumberFormat="1" applyFont="1" applyBorder="1" applyAlignment="1">
      <alignment horizontal="left" vertical="top"/>
    </xf>
    <xf numFmtId="164" fontId="22" fillId="0" borderId="0" xfId="0" applyNumberFormat="1" applyFont="1" applyAlignment="1">
      <alignment horizontal="left" vertical="top"/>
    </xf>
    <xf numFmtId="1" fontId="13" fillId="0" borderId="0" xfId="0" quotePrefix="1" applyNumberFormat="1" applyFont="1" applyAlignment="1">
      <alignment horizontal="center" vertical="top"/>
    </xf>
    <xf numFmtId="0" fontId="0" fillId="0" borderId="5" xfId="0" applyBorder="1" applyAlignment="1">
      <alignment horizontal="right"/>
    </xf>
    <xf numFmtId="0" fontId="19" fillId="5" borderId="4" xfId="0" applyFont="1" applyFill="1" applyBorder="1" applyAlignment="1">
      <alignment vertical="top" wrapText="1"/>
    </xf>
    <xf numFmtId="0" fontId="19" fillId="5" borderId="8" xfId="0" applyFont="1" applyFill="1" applyBorder="1" applyAlignment="1">
      <alignment vertical="top" wrapText="1"/>
    </xf>
    <xf numFmtId="0" fontId="12" fillId="0" borderId="9" xfId="0" applyFont="1" applyBorder="1" applyAlignment="1">
      <alignment horizontal="left"/>
    </xf>
    <xf numFmtId="0" fontId="12" fillId="0" borderId="2" xfId="0" applyFont="1" applyBorder="1" applyAlignment="1">
      <alignment horizontal="center"/>
    </xf>
    <xf numFmtId="0" fontId="49" fillId="0" borderId="3" xfId="0" applyFont="1" applyBorder="1" applyAlignment="1">
      <alignment horizontal="left" vertical="top"/>
    </xf>
    <xf numFmtId="0" fontId="49" fillId="0" borderId="15" xfId="0" applyFont="1" applyBorder="1" applyAlignment="1">
      <alignment horizontal="center" wrapText="1"/>
    </xf>
    <xf numFmtId="0" fontId="49" fillId="0" borderId="15" xfId="0" applyFont="1" applyBorder="1" applyAlignment="1">
      <alignment horizontal="center" vertical="top" wrapText="1"/>
    </xf>
    <xf numFmtId="0" fontId="49" fillId="2" borderId="15" xfId="0" applyFont="1" applyFill="1" applyBorder="1" applyAlignment="1">
      <alignment horizontal="center" wrapText="1"/>
    </xf>
    <xf numFmtId="0" fontId="50" fillId="2" borderId="12" xfId="0" applyFont="1" applyFill="1" applyBorder="1" applyAlignment="1">
      <alignment horizontal="left" vertical="top" wrapText="1"/>
    </xf>
    <xf numFmtId="0" fontId="28" fillId="6" borderId="12" xfId="0" applyFont="1" applyFill="1" applyBorder="1" applyAlignment="1">
      <alignment vertical="top" wrapText="1"/>
    </xf>
    <xf numFmtId="0" fontId="28" fillId="2" borderId="12" xfId="0" applyFont="1" applyFill="1" applyBorder="1" applyAlignment="1">
      <alignment vertical="top" wrapText="1"/>
    </xf>
    <xf numFmtId="0" fontId="28" fillId="0" borderId="12" xfId="0" applyFont="1" applyBorder="1" applyAlignment="1">
      <alignment vertical="top" wrapText="1"/>
    </xf>
    <xf numFmtId="0" fontId="28" fillId="0" borderId="12" xfId="0" applyFont="1" applyBorder="1" applyAlignment="1">
      <alignment horizontal="right" vertical="top" wrapText="1"/>
    </xf>
    <xf numFmtId="169" fontId="28" fillId="0" borderId="12" xfId="0" applyNumberFormat="1" applyFont="1" applyBorder="1" applyAlignment="1">
      <alignment vertical="top" wrapText="1"/>
    </xf>
    <xf numFmtId="169" fontId="28" fillId="7" borderId="12" xfId="0" applyNumberFormat="1" applyFont="1" applyFill="1" applyBorder="1" applyAlignment="1" applyProtection="1">
      <alignment vertical="top" wrapText="1"/>
      <protection locked="0"/>
    </xf>
    <xf numFmtId="169" fontId="28" fillId="8" borderId="12" xfId="0" applyNumberFormat="1" applyFont="1" applyFill="1" applyBorder="1" applyAlignment="1">
      <alignment horizontal="center" vertical="top" wrapText="1"/>
    </xf>
    <xf numFmtId="0" fontId="49" fillId="0" borderId="12" xfId="0" applyFont="1" applyBorder="1" applyAlignment="1">
      <alignment horizontal="right" vertical="top" wrapText="1"/>
    </xf>
    <xf numFmtId="169" fontId="49" fillId="0" borderId="12" xfId="0" applyNumberFormat="1" applyFont="1" applyBorder="1" applyAlignment="1">
      <alignment vertical="top" wrapText="1"/>
    </xf>
    <xf numFmtId="169" fontId="28" fillId="6" borderId="12" xfId="0" applyNumberFormat="1" applyFont="1" applyFill="1" applyBorder="1" applyAlignment="1">
      <alignment vertical="top" wrapText="1"/>
    </xf>
    <xf numFmtId="0" fontId="28" fillId="7" borderId="12" xfId="0" applyFont="1" applyFill="1" applyBorder="1" applyAlignment="1" applyProtection="1">
      <alignment horizontal="right" vertical="top" wrapText="1"/>
      <protection locked="0"/>
    </xf>
    <xf numFmtId="0" fontId="49" fillId="2" borderId="12" xfId="0" applyFont="1" applyFill="1" applyBorder="1" applyAlignment="1">
      <alignment vertical="top" wrapText="1"/>
    </xf>
    <xf numFmtId="0" fontId="49" fillId="0" borderId="12" xfId="0" applyFont="1" applyBorder="1" applyAlignment="1">
      <alignment vertical="top" wrapText="1"/>
    </xf>
    <xf numFmtId="0" fontId="8" fillId="0" borderId="12" xfId="0" applyFont="1" applyBorder="1" applyAlignment="1">
      <alignment horizontal="right" vertical="top" wrapText="1"/>
    </xf>
    <xf numFmtId="0" fontId="28" fillId="0" borderId="12" xfId="0" applyFont="1" applyBorder="1" applyAlignment="1" applyProtection="1">
      <alignment horizontal="right" vertical="top" wrapText="1"/>
      <protection locked="0"/>
    </xf>
    <xf numFmtId="0" fontId="49" fillId="0" borderId="0" xfId="0" applyFont="1" applyAlignment="1">
      <alignment horizontal="left" vertical="top"/>
    </xf>
    <xf numFmtId="0" fontId="28" fillId="0" borderId="0" xfId="0" applyFont="1" applyAlignment="1">
      <alignment horizontal="left" vertical="top"/>
    </xf>
    <xf numFmtId="0" fontId="28" fillId="0" borderId="0" xfId="0" applyFont="1" applyAlignment="1">
      <alignment vertical="top" wrapText="1"/>
    </xf>
    <xf numFmtId="0" fontId="28" fillId="0" borderId="0" xfId="0" applyFont="1" applyAlignment="1">
      <alignment vertical="top"/>
    </xf>
    <xf numFmtId="0" fontId="49" fillId="0" borderId="0" xfId="0" applyFont="1" applyAlignment="1">
      <alignment horizontal="right" vertical="top"/>
    </xf>
    <xf numFmtId="0" fontId="28" fillId="2" borderId="0" xfId="0" applyFont="1" applyFill="1" applyAlignment="1">
      <alignment vertical="top" wrapText="1"/>
    </xf>
    <xf numFmtId="0" fontId="49" fillId="0" borderId="0" xfId="0" applyFont="1" applyAlignment="1">
      <alignment vertical="top"/>
    </xf>
    <xf numFmtId="0" fontId="28" fillId="0" borderId="15" xfId="0" applyFont="1" applyBorder="1" applyAlignment="1">
      <alignment vertical="top" wrapText="1"/>
    </xf>
    <xf numFmtId="167" fontId="14" fillId="0" borderId="0" xfId="0" applyNumberFormat="1" applyFont="1" applyAlignment="1">
      <alignment horizontal="left"/>
    </xf>
    <xf numFmtId="0" fontId="51" fillId="0" borderId="0" xfId="0" applyFont="1"/>
    <xf numFmtId="0" fontId="5" fillId="0" borderId="0" xfId="245" applyFont="1" applyFill="1" applyBorder="1" applyAlignment="1" applyProtection="1">
      <alignment horizontal="left"/>
    </xf>
    <xf numFmtId="0" fontId="41" fillId="0" borderId="0" xfId="0" applyFont="1"/>
    <xf numFmtId="0" fontId="41" fillId="0" borderId="0" xfId="245" applyFont="1" applyFill="1" applyBorder="1" applyAlignment="1" applyProtection="1">
      <alignment horizontal="left"/>
    </xf>
    <xf numFmtId="0" fontId="11" fillId="5" borderId="12" xfId="0" applyFont="1" applyFill="1" applyBorder="1" applyAlignment="1">
      <alignment vertical="top"/>
    </xf>
    <xf numFmtId="173" fontId="12" fillId="0" borderId="0" xfId="546" applyNumberFormat="1" applyFont="1"/>
    <xf numFmtId="0" fontId="12" fillId="0" borderId="0" xfId="546" applyFont="1"/>
    <xf numFmtId="49" fontId="0" fillId="0" borderId="0" xfId="0" applyNumberFormat="1"/>
    <xf numFmtId="49" fontId="40" fillId="0" borderId="0" xfId="0" applyNumberFormat="1" applyFont="1" applyAlignment="1">
      <alignment horizontal="center"/>
    </xf>
    <xf numFmtId="0" fontId="40" fillId="0" borderId="0" xfId="0" applyFont="1"/>
    <xf numFmtId="0" fontId="5" fillId="0" borderId="0" xfId="0" applyFont="1" applyAlignment="1">
      <alignment horizontal="left"/>
    </xf>
    <xf numFmtId="0" fontId="46" fillId="0" borderId="0" xfId="0" applyFont="1" applyAlignment="1">
      <alignment horizontal="center"/>
    </xf>
    <xf numFmtId="0" fontId="12" fillId="0" borderId="4" xfId="0" applyFont="1" applyBorder="1" applyAlignment="1">
      <alignment horizontal="left"/>
    </xf>
    <xf numFmtId="2" fontId="5" fillId="0" borderId="2" xfId="0" applyNumberFormat="1" applyFont="1" applyBorder="1" applyAlignment="1">
      <alignment horizontal="left"/>
    </xf>
    <xf numFmtId="0" fontId="0" fillId="0" borderId="2" xfId="0" applyBorder="1" applyAlignment="1">
      <alignment horizontal="left"/>
    </xf>
    <xf numFmtId="2" fontId="5" fillId="0" borderId="0" xfId="0" applyNumberFormat="1" applyFont="1" applyAlignment="1">
      <alignment horizontal="left"/>
    </xf>
    <xf numFmtId="169" fontId="0" fillId="0" borderId="0" xfId="0" applyNumberFormat="1" applyAlignment="1">
      <alignment horizontal="right"/>
    </xf>
    <xf numFmtId="0" fontId="55" fillId="0" borderId="0" xfId="0" applyFont="1" applyAlignment="1">
      <alignment wrapText="1"/>
    </xf>
    <xf numFmtId="0" fontId="55" fillId="0" borderId="0" xfId="0" applyFont="1" applyAlignment="1">
      <alignment horizontal="left" wrapText="1"/>
    </xf>
    <xf numFmtId="0" fontId="13" fillId="0" borderId="5" xfId="0" applyFont="1" applyBorder="1" applyAlignment="1">
      <alignment horizontal="right"/>
    </xf>
    <xf numFmtId="0" fontId="13" fillId="0" borderId="1" xfId="0" applyFont="1" applyBorder="1"/>
    <xf numFmtId="0" fontId="13" fillId="0" borderId="7" xfId="0" applyFont="1" applyBorder="1"/>
    <xf numFmtId="0" fontId="13" fillId="0" borderId="16" xfId="0" applyFont="1" applyBorder="1"/>
    <xf numFmtId="0" fontId="12" fillId="0" borderId="16" xfId="0" applyFont="1" applyBorder="1"/>
    <xf numFmtId="0" fontId="13" fillId="0" borderId="16" xfId="0" applyFont="1" applyBorder="1" applyAlignment="1">
      <alignment horizontal="left" vertical="top"/>
    </xf>
    <xf numFmtId="0" fontId="14" fillId="0" borderId="16" xfId="0" applyFont="1" applyBorder="1" applyAlignment="1">
      <alignment horizontal="left" vertical="top"/>
    </xf>
    <xf numFmtId="0" fontId="12" fillId="0" borderId="16" xfId="0" applyFont="1" applyBorder="1" applyAlignment="1">
      <alignment horizontal="right"/>
    </xf>
    <xf numFmtId="0" fontId="14" fillId="0" borderId="16" xfId="0" applyFont="1" applyBorder="1" applyAlignment="1">
      <alignment horizontal="center"/>
    </xf>
    <xf numFmtId="0" fontId="10" fillId="0" borderId="0" xfId="0" applyFont="1" applyProtection="1">
      <protection locked="0"/>
    </xf>
    <xf numFmtId="4" fontId="46" fillId="0" borderId="0" xfId="0" applyNumberFormat="1" applyFont="1" applyAlignment="1">
      <alignment horizontal="center"/>
    </xf>
    <xf numFmtId="4" fontId="14" fillId="0" borderId="0" xfId="0" applyNumberFormat="1" applyFont="1" applyAlignment="1">
      <alignment horizontal="center"/>
    </xf>
    <xf numFmtId="4" fontId="14" fillId="0" borderId="0" xfId="0" applyNumberFormat="1" applyFont="1" applyAlignment="1">
      <alignment horizontal="left"/>
    </xf>
    <xf numFmtId="4" fontId="14" fillId="0" borderId="0" xfId="0" applyNumberFormat="1" applyFont="1"/>
    <xf numFmtId="169" fontId="14" fillId="0" borderId="0" xfId="0" applyNumberFormat="1" applyFont="1" applyAlignment="1">
      <alignment horizontal="center"/>
    </xf>
    <xf numFmtId="0" fontId="28" fillId="2" borderId="10" xfId="0" applyFont="1" applyFill="1" applyBorder="1" applyAlignment="1">
      <alignment vertical="top" wrapText="1"/>
    </xf>
    <xf numFmtId="0" fontId="28" fillId="2" borderId="8" xfId="0" applyFont="1" applyFill="1" applyBorder="1" applyAlignment="1">
      <alignment vertical="top" wrapText="1"/>
    </xf>
    <xf numFmtId="0" fontId="52" fillId="0" borderId="15" xfId="0" applyFont="1" applyBorder="1" applyAlignment="1">
      <alignment vertical="top" wrapText="1"/>
    </xf>
    <xf numFmtId="0" fontId="62" fillId="0" borderId="0" xfId="0" applyFont="1" applyAlignment="1">
      <alignment horizontal="left" vertical="top"/>
    </xf>
    <xf numFmtId="0" fontId="22" fillId="0" borderId="7" xfId="0" applyFont="1" applyBorder="1"/>
    <xf numFmtId="0" fontId="0" fillId="0" borderId="5" xfId="0" applyBorder="1" applyAlignment="1">
      <alignment vertical="top" wrapText="1"/>
    </xf>
    <xf numFmtId="0" fontId="61" fillId="0" borderId="12" xfId="0" applyFont="1" applyBorder="1" applyAlignment="1">
      <alignment horizontal="right" vertical="top" wrapText="1"/>
    </xf>
    <xf numFmtId="0" fontId="63" fillId="0" borderId="12" xfId="0" applyFont="1" applyBorder="1" applyAlignment="1">
      <alignment horizontal="right" vertical="top" wrapText="1"/>
    </xf>
    <xf numFmtId="0" fontId="0" fillId="0" borderId="0" xfId="0" applyAlignment="1">
      <alignment wrapText="1"/>
    </xf>
    <xf numFmtId="0" fontId="46" fillId="0" borderId="0" xfId="0" applyFont="1" applyAlignment="1">
      <alignment horizontal="center" vertical="top"/>
    </xf>
    <xf numFmtId="0" fontId="26" fillId="0" borderId="0" xfId="0" applyFont="1" applyAlignment="1">
      <alignment vertical="top" wrapText="1"/>
    </xf>
    <xf numFmtId="0" fontId="11" fillId="0" borderId="0" xfId="0" applyFont="1" applyAlignment="1">
      <alignment horizontal="center" vertical="center" wrapText="1"/>
    </xf>
    <xf numFmtId="0" fontId="49" fillId="0" borderId="4" xfId="0" applyFont="1" applyBorder="1" applyAlignment="1">
      <alignment horizontal="right"/>
    </xf>
    <xf numFmtId="169" fontId="25" fillId="0" borderId="0" xfId="0" applyNumberFormat="1" applyFont="1" applyAlignment="1">
      <alignment horizontal="left" vertical="top" wrapText="1"/>
    </xf>
    <xf numFmtId="0" fontId="64" fillId="0" borderId="0" xfId="0" applyFont="1"/>
    <xf numFmtId="0" fontId="5" fillId="0" borderId="0" xfId="0" applyFont="1" applyProtection="1">
      <protection locked="0"/>
    </xf>
    <xf numFmtId="169" fontId="5" fillId="0" borderId="0" xfId="0" applyNumberFormat="1" applyFont="1" applyAlignment="1">
      <alignment horizontal="left" vertical="top"/>
    </xf>
    <xf numFmtId="169" fontId="12" fillId="0" borderId="0" xfId="0" applyNumberFormat="1" applyFont="1" applyAlignment="1">
      <alignment horizontal="left" vertical="top"/>
    </xf>
    <xf numFmtId="0" fontId="5" fillId="0" borderId="0" xfId="0" applyFont="1" applyAlignment="1">
      <alignment horizontal="left" vertical="top"/>
    </xf>
    <xf numFmtId="169" fontId="14" fillId="0" borderId="0" xfId="0" applyNumberFormat="1" applyFont="1" applyAlignment="1">
      <alignment horizontal="left" vertical="top"/>
    </xf>
    <xf numFmtId="0" fontId="26" fillId="9" borderId="0" xfId="542" applyFont="1" applyFill="1" applyAlignment="1" applyProtection="1">
      <alignment horizontal="centerContinuous"/>
    </xf>
    <xf numFmtId="0" fontId="5" fillId="0" borderId="0" xfId="542" applyProtection="1"/>
    <xf numFmtId="0" fontId="14" fillId="0" borderId="0" xfId="0" applyFont="1" applyAlignment="1">
      <alignment horizontal="center" vertical="center"/>
    </xf>
    <xf numFmtId="169" fontId="26" fillId="0" borderId="0" xfId="546" applyNumberFormat="1" applyFont="1" applyAlignment="1">
      <alignment horizontal="left"/>
    </xf>
    <xf numFmtId="169" fontId="26" fillId="0" borderId="0" xfId="546" applyNumberFormat="1" applyFont="1" applyAlignment="1">
      <alignment horizontal="center"/>
    </xf>
    <xf numFmtId="1" fontId="14" fillId="0" borderId="0" xfId="0" applyNumberFormat="1" applyFont="1" applyAlignment="1">
      <alignment horizontal="center"/>
    </xf>
    <xf numFmtId="0" fontId="12" fillId="4" borderId="0" xfId="0" applyFont="1" applyFill="1" applyAlignment="1">
      <alignment horizontal="center" wrapText="1"/>
    </xf>
    <xf numFmtId="1" fontId="12" fillId="0" borderId="0" xfId="0" applyNumberFormat="1" applyFont="1" applyAlignment="1">
      <alignment horizontal="left"/>
    </xf>
    <xf numFmtId="0" fontId="12" fillId="0" borderId="9" xfId="0" applyFont="1" applyBorder="1" applyAlignment="1">
      <alignment horizontal="center" wrapText="1"/>
    </xf>
    <xf numFmtId="0" fontId="0" fillId="0" borderId="0" xfId="0" applyAlignment="1">
      <alignment vertical="center"/>
    </xf>
    <xf numFmtId="0" fontId="19" fillId="5" borderId="4" xfId="0" applyFont="1" applyFill="1" applyBorder="1" applyAlignment="1" applyProtection="1">
      <alignment vertical="top" wrapText="1"/>
      <protection locked="0"/>
    </xf>
    <xf numFmtId="0" fontId="19" fillId="5" borderId="8" xfId="0" applyFont="1" applyFill="1" applyBorder="1" applyAlignment="1" applyProtection="1">
      <alignment vertical="top" wrapText="1"/>
      <protection locked="0"/>
    </xf>
    <xf numFmtId="0" fontId="12" fillId="0" borderId="15" xfId="0" applyFont="1" applyBorder="1" applyAlignment="1">
      <alignment horizontal="center" wrapText="1"/>
    </xf>
    <xf numFmtId="0" fontId="42" fillId="2" borderId="12" xfId="0" applyFont="1" applyFill="1" applyBorder="1" applyAlignment="1">
      <alignment horizontal="left" vertical="top" wrapText="1"/>
    </xf>
    <xf numFmtId="0" fontId="14" fillId="0" borderId="12" xfId="0" applyFont="1" applyBorder="1" applyAlignment="1" applyProtection="1">
      <alignment vertical="top" wrapText="1"/>
      <protection locked="0"/>
    </xf>
    <xf numFmtId="169" fontId="14" fillId="7" borderId="12" xfId="0" applyNumberFormat="1" applyFont="1" applyFill="1" applyBorder="1" applyAlignment="1" applyProtection="1">
      <alignment vertical="top" wrapText="1"/>
      <protection locked="0"/>
    </xf>
    <xf numFmtId="0" fontId="14" fillId="7" borderId="12" xfId="0" applyFont="1" applyFill="1" applyBorder="1" applyAlignment="1" applyProtection="1">
      <alignment vertical="top" wrapText="1"/>
      <protection locked="0"/>
    </xf>
    <xf numFmtId="169" fontId="14" fillId="0" borderId="12" xfId="0" applyNumberFormat="1" applyFont="1" applyBorder="1" applyAlignment="1">
      <alignment vertical="top" wrapText="1"/>
    </xf>
    <xf numFmtId="0" fontId="12" fillId="0" borderId="12" xfId="0" applyFont="1" applyBorder="1" applyAlignment="1">
      <alignment horizontal="right" vertical="top" wrapText="1"/>
    </xf>
    <xf numFmtId="0" fontId="19" fillId="0" borderId="0" xfId="0" applyFont="1" applyAlignment="1" applyProtection="1">
      <alignment horizontal="right" vertical="top" wrapText="1"/>
      <protection locked="0"/>
    </xf>
    <xf numFmtId="0" fontId="19" fillId="0" borderId="0" xfId="0" applyFont="1" applyAlignment="1" applyProtection="1">
      <alignment vertical="top" wrapText="1"/>
      <protection locked="0"/>
    </xf>
    <xf numFmtId="0" fontId="14" fillId="0" borderId="8" xfId="0" applyFont="1" applyBorder="1" applyAlignment="1" applyProtection="1">
      <alignment vertical="top" wrapText="1"/>
      <protection locked="0"/>
    </xf>
    <xf numFmtId="0" fontId="12" fillId="0" borderId="3" xfId="0" applyFont="1" applyBorder="1" applyAlignment="1">
      <alignment horizontal="left" vertical="top"/>
    </xf>
    <xf numFmtId="0" fontId="14" fillId="0" borderId="4" xfId="0" applyFont="1" applyBorder="1" applyAlignment="1" applyProtection="1">
      <alignment horizontal="left" vertical="top"/>
      <protection locked="0"/>
    </xf>
    <xf numFmtId="0" fontId="14" fillId="0" borderId="4" xfId="0" applyFont="1" applyBorder="1" applyAlignment="1" applyProtection="1">
      <alignment vertical="top" wrapText="1"/>
      <protection locked="0"/>
    </xf>
    <xf numFmtId="0" fontId="0" fillId="0" borderId="0" xfId="0" applyProtection="1">
      <protection locked="0"/>
    </xf>
    <xf numFmtId="1" fontId="14" fillId="0" borderId="0" xfId="0" applyNumberFormat="1" applyFont="1"/>
    <xf numFmtId="0" fontId="13" fillId="0" borderId="0" xfId="0" applyFont="1" applyAlignment="1">
      <alignment horizontal="left" vertical="center" wrapText="1"/>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54" fillId="0" borderId="0" xfId="0" applyFont="1"/>
    <xf numFmtId="0" fontId="22" fillId="0" borderId="0" xfId="0" applyFont="1" applyAlignment="1">
      <alignment vertical="top"/>
    </xf>
    <xf numFmtId="0" fontId="22" fillId="0" borderId="0" xfId="0" applyFont="1" applyAlignment="1">
      <alignment vertical="center"/>
    </xf>
    <xf numFmtId="9" fontId="13" fillId="0" borderId="0" xfId="0" applyNumberFormat="1" applyFont="1" applyAlignment="1">
      <alignment horizontal="left"/>
    </xf>
    <xf numFmtId="9" fontId="5" fillId="0" borderId="0" xfId="546" applyNumberFormat="1" applyAlignment="1">
      <alignment vertical="center"/>
    </xf>
    <xf numFmtId="0" fontId="14" fillId="0" borderId="0" xfId="546" applyFont="1" applyAlignment="1">
      <alignment horizontal="left"/>
    </xf>
    <xf numFmtId="0" fontId="14" fillId="0" borderId="18" xfId="0" applyFont="1" applyBorder="1"/>
    <xf numFmtId="0" fontId="19" fillId="0" borderId="0" xfId="0" applyFont="1" applyAlignment="1">
      <alignment vertical="top" wrapText="1"/>
    </xf>
    <xf numFmtId="0" fontId="14" fillId="0" borderId="4" xfId="0" applyFont="1" applyBorder="1" applyAlignment="1">
      <alignment vertical="top" wrapText="1"/>
    </xf>
    <xf numFmtId="0" fontId="14" fillId="0" borderId="0" xfId="0" applyFont="1" applyAlignment="1">
      <alignment wrapText="1"/>
    </xf>
    <xf numFmtId="0" fontId="46" fillId="0" borderId="0" xfId="0" applyFont="1" applyAlignment="1">
      <alignment horizontal="center" vertical="center"/>
    </xf>
    <xf numFmtId="49" fontId="12" fillId="0" borderId="0" xfId="0" applyNumberFormat="1" applyFont="1" applyAlignment="1">
      <alignment horizontal="center" vertical="center"/>
    </xf>
    <xf numFmtId="0" fontId="14" fillId="0" borderId="0" xfId="0" applyFont="1" applyAlignment="1">
      <alignment vertical="center"/>
    </xf>
    <xf numFmtId="49" fontId="14" fillId="0" borderId="0" xfId="0" applyNumberFormat="1" applyFont="1" applyAlignment="1">
      <alignment vertical="center"/>
    </xf>
    <xf numFmtId="49" fontId="0" fillId="0" borderId="0" xfId="0" applyNumberFormat="1" applyAlignment="1">
      <alignment vertical="center"/>
    </xf>
    <xf numFmtId="0" fontId="6" fillId="0" borderId="0" xfId="245" applyFill="1" applyBorder="1" applyProtection="1">
      <protection locked="0"/>
    </xf>
    <xf numFmtId="0" fontId="14" fillId="0" borderId="0" xfId="273"/>
    <xf numFmtId="3" fontId="14" fillId="0" borderId="0" xfId="0" applyNumberFormat="1" applyFont="1" applyAlignment="1">
      <alignment horizontal="center"/>
    </xf>
    <xf numFmtId="0" fontId="27" fillId="0" borderId="0" xfId="546" applyFont="1" applyAlignment="1">
      <alignment horizontal="right" vertical="top" wrapText="1"/>
    </xf>
    <xf numFmtId="0" fontId="26" fillId="0" borderId="0" xfId="546" applyFont="1" applyAlignment="1">
      <alignment horizontal="right" vertical="top" wrapText="1"/>
    </xf>
    <xf numFmtId="169" fontId="12" fillId="0" borderId="0" xfId="546" applyNumberFormat="1" applyFont="1" applyAlignment="1">
      <alignment horizontal="center" vertical="center"/>
    </xf>
    <xf numFmtId="0" fontId="24" fillId="0" borderId="0" xfId="546" applyFont="1" applyAlignment="1">
      <alignment horizontal="left" vertical="center"/>
    </xf>
    <xf numFmtId="0" fontId="12" fillId="0" borderId="0" xfId="546" applyFont="1" applyAlignment="1">
      <alignment horizontal="right" vertical="top" wrapText="1"/>
    </xf>
    <xf numFmtId="0" fontId="14" fillId="0" borderId="0" xfId="546" applyFont="1" applyAlignment="1">
      <alignment horizontal="left" vertical="center"/>
    </xf>
    <xf numFmtId="0" fontId="14" fillId="0" borderId="0" xfId="546" applyFont="1" applyAlignment="1">
      <alignment horizontal="right" vertical="top" wrapText="1"/>
    </xf>
    <xf numFmtId="0" fontId="14" fillId="0" borderId="0" xfId="273" applyAlignment="1">
      <alignment horizontal="center"/>
    </xf>
    <xf numFmtId="4" fontId="14" fillId="0" borderId="0" xfId="273" applyNumberFormat="1" applyAlignment="1">
      <alignment horizontal="left"/>
    </xf>
    <xf numFmtId="4" fontId="14" fillId="0" borderId="0" xfId="273" applyNumberFormat="1"/>
    <xf numFmtId="0" fontId="12" fillId="0" borderId="0" xfId="273" applyFont="1"/>
    <xf numFmtId="169" fontId="14" fillId="0" borderId="0" xfId="273" applyNumberFormat="1"/>
    <xf numFmtId="0" fontId="20" fillId="0" borderId="0" xfId="273" applyFont="1" applyAlignment="1">
      <alignment horizontal="center"/>
    </xf>
    <xf numFmtId="0" fontId="10" fillId="0" borderId="0" xfId="273" applyFont="1"/>
    <xf numFmtId="0" fontId="68" fillId="0" borderId="0" xfId="273" applyFont="1"/>
    <xf numFmtId="0" fontId="20" fillId="0" borderId="0" xfId="273" applyFont="1"/>
    <xf numFmtId="0" fontId="12" fillId="0" borderId="0" xfId="273" applyFont="1" applyAlignment="1">
      <alignment horizontal="center"/>
    </xf>
    <xf numFmtId="3" fontId="14" fillId="0" borderId="0" xfId="273" applyNumberFormat="1"/>
    <xf numFmtId="169" fontId="12" fillId="0" borderId="0" xfId="273" applyNumberFormat="1" applyFont="1" applyAlignment="1">
      <alignment horizontal="center"/>
    </xf>
    <xf numFmtId="3" fontId="14" fillId="0" borderId="0" xfId="273" applyNumberFormat="1" applyAlignment="1">
      <alignment horizontal="center"/>
    </xf>
    <xf numFmtId="0" fontId="58" fillId="0" borderId="0" xfId="273" applyFont="1"/>
    <xf numFmtId="169" fontId="10" fillId="0" borderId="0" xfId="273" applyNumberFormat="1" applyFont="1"/>
    <xf numFmtId="10" fontId="10" fillId="0" borderId="0" xfId="273" applyNumberFormat="1" applyFont="1" applyAlignment="1">
      <alignment horizontal="center"/>
    </xf>
    <xf numFmtId="3" fontId="71" fillId="0" borderId="0" xfId="273" applyNumberFormat="1" applyFont="1"/>
    <xf numFmtId="3" fontId="10" fillId="0" borderId="0" xfId="273" applyNumberFormat="1" applyFont="1"/>
    <xf numFmtId="169" fontId="58" fillId="0" borderId="0" xfId="273" applyNumberFormat="1" applyFont="1"/>
    <xf numFmtId="169" fontId="58" fillId="0" borderId="0" xfId="273" applyNumberFormat="1" applyFont="1" applyAlignment="1">
      <alignment horizontal="center"/>
    </xf>
    <xf numFmtId="0" fontId="10" fillId="7" borderId="0" xfId="273" applyFont="1" applyFill="1" applyAlignment="1">
      <alignment horizontal="left"/>
    </xf>
    <xf numFmtId="0" fontId="10" fillId="7" borderId="0" xfId="273" applyFont="1" applyFill="1"/>
    <xf numFmtId="10" fontId="10" fillId="0" borderId="0" xfId="273" applyNumberFormat="1" applyFont="1"/>
    <xf numFmtId="173" fontId="10" fillId="0" borderId="0" xfId="273" applyNumberFormat="1" applyFont="1"/>
    <xf numFmtId="173" fontId="10" fillId="0" borderId="0" xfId="273" applyNumberFormat="1" applyFont="1" applyAlignment="1">
      <alignment horizontal="center"/>
    </xf>
    <xf numFmtId="0" fontId="10" fillId="0" borderId="5" xfId="273" applyFont="1" applyBorder="1"/>
    <xf numFmtId="10" fontId="10" fillId="0" borderId="5" xfId="273" applyNumberFormat="1" applyFont="1" applyBorder="1" applyAlignment="1">
      <alignment horizontal="center"/>
    </xf>
    <xf numFmtId="3" fontId="10" fillId="0" borderId="5" xfId="273" applyNumberFormat="1" applyFont="1" applyBorder="1"/>
    <xf numFmtId="10" fontId="14" fillId="0" borderId="0" xfId="273" applyNumberFormat="1" applyAlignment="1">
      <alignment horizontal="center"/>
    </xf>
    <xf numFmtId="169" fontId="14" fillId="0" borderId="0" xfId="273" applyNumberFormat="1" applyAlignment="1">
      <alignment horizontal="center"/>
    </xf>
    <xf numFmtId="0" fontId="14" fillId="7" borderId="0" xfId="273" applyFill="1"/>
    <xf numFmtId="169" fontId="14" fillId="7" borderId="0" xfId="273" applyNumberFormat="1" applyFill="1"/>
    <xf numFmtId="3" fontId="14" fillId="7" borderId="0" xfId="273" applyNumberFormat="1" applyFill="1"/>
    <xf numFmtId="3" fontId="14" fillId="0" borderId="0" xfId="273" applyNumberFormat="1" applyAlignment="1">
      <alignment vertical="top"/>
    </xf>
    <xf numFmtId="10" fontId="12" fillId="0" borderId="0" xfId="273" applyNumberFormat="1" applyFont="1" applyAlignment="1">
      <alignment horizontal="center"/>
    </xf>
    <xf numFmtId="0" fontId="20" fillId="0" borderId="5" xfId="273" applyFont="1" applyBorder="1" applyAlignment="1">
      <alignment horizontal="center"/>
    </xf>
    <xf numFmtId="3" fontId="14" fillId="7" borderId="5" xfId="273" applyNumberFormat="1" applyFill="1" applyBorder="1"/>
    <xf numFmtId="173" fontId="14" fillId="0" borderId="0" xfId="273" applyNumberFormat="1" applyAlignment="1">
      <alignment horizontal="center"/>
    </xf>
    <xf numFmtId="10" fontId="72" fillId="0" borderId="0" xfId="273" applyNumberFormat="1" applyFont="1" applyAlignment="1">
      <alignment horizontal="center"/>
    </xf>
    <xf numFmtId="2" fontId="14" fillId="0" borderId="0" xfId="273" applyNumberFormat="1" applyAlignment="1">
      <alignment horizontal="center"/>
    </xf>
    <xf numFmtId="0" fontId="5" fillId="0" borderId="5" xfId="0" applyFont="1" applyBorder="1"/>
    <xf numFmtId="0" fontId="5" fillId="0" borderId="4" xfId="0" applyFont="1" applyBorder="1"/>
    <xf numFmtId="0" fontId="14" fillId="10" borderId="5" xfId="0" applyFont="1" applyFill="1" applyBorder="1"/>
    <xf numFmtId="169" fontId="28" fillId="0" borderId="0" xfId="0" applyNumberFormat="1" applyFont="1" applyAlignment="1">
      <alignment vertical="top" wrapText="1"/>
    </xf>
    <xf numFmtId="0" fontId="14" fillId="0" borderId="1" xfId="0" applyFont="1" applyBorder="1"/>
    <xf numFmtId="169" fontId="14" fillId="0" borderId="3" xfId="0" applyNumberFormat="1" applyFont="1" applyBorder="1" applyAlignment="1">
      <alignment vertical="top"/>
    </xf>
    <xf numFmtId="169" fontId="5" fillId="0" borderId="4" xfId="0" applyNumberFormat="1" applyFont="1" applyBorder="1" applyAlignment="1">
      <alignment vertical="top"/>
    </xf>
    <xf numFmtId="169" fontId="5" fillId="0" borderId="8" xfId="0" applyNumberFormat="1" applyFont="1" applyBorder="1" applyAlignment="1">
      <alignment vertical="top"/>
    </xf>
    <xf numFmtId="0" fontId="14" fillId="0" borderId="0" xfId="0" applyFont="1" applyAlignment="1">
      <alignment horizontal="left" wrapText="1"/>
    </xf>
    <xf numFmtId="0" fontId="40" fillId="0" borderId="0" xfId="0" applyFont="1" applyAlignment="1">
      <alignment horizontal="left"/>
    </xf>
    <xf numFmtId="0" fontId="14"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3" fillId="0" borderId="0" xfId="273" applyFont="1" applyAlignment="1">
      <alignment vertical="top"/>
    </xf>
    <xf numFmtId="164" fontId="14" fillId="0" borderId="0" xfId="273" applyNumberFormat="1" applyAlignment="1">
      <alignment horizontal="right"/>
    </xf>
    <xf numFmtId="0" fontId="14" fillId="0" borderId="0" xfId="547"/>
    <xf numFmtId="49" fontId="14" fillId="0" borderId="0" xfId="273" applyNumberFormat="1" applyAlignment="1">
      <alignment horizontal="center"/>
    </xf>
    <xf numFmtId="0" fontId="12" fillId="0" borderId="3" xfId="0" applyFont="1" applyBorder="1"/>
    <xf numFmtId="0" fontId="13" fillId="0" borderId="4" xfId="0" applyFont="1" applyBorder="1" applyAlignment="1">
      <alignment horizontal="right"/>
    </xf>
    <xf numFmtId="0" fontId="12" fillId="0" borderId="5" xfId="0" applyFont="1" applyBorder="1"/>
    <xf numFmtId="4" fontId="14"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4" fillId="0" borderId="18" xfId="0" applyNumberFormat="1" applyFont="1" applyBorder="1"/>
    <xf numFmtId="1" fontId="34" fillId="0" borderId="17" xfId="0" applyNumberFormat="1" applyFont="1" applyBorder="1"/>
    <xf numFmtId="1" fontId="34" fillId="0" borderId="15" xfId="0" applyNumberFormat="1" applyFont="1" applyBorder="1"/>
    <xf numFmtId="4" fontId="0" fillId="0" borderId="0" xfId="0" applyNumberFormat="1"/>
    <xf numFmtId="49" fontId="14" fillId="0" borderId="0" xfId="273" applyNumberFormat="1"/>
    <xf numFmtId="0" fontId="13" fillId="0" borderId="5" xfId="273" applyFont="1" applyBorder="1" applyAlignment="1">
      <alignment horizontal="center"/>
    </xf>
    <xf numFmtId="0" fontId="13" fillId="0" borderId="0" xfId="273" applyFont="1"/>
    <xf numFmtId="165" fontId="34" fillId="0" borderId="0" xfId="0" applyNumberFormat="1" applyFont="1"/>
    <xf numFmtId="171" fontId="34" fillId="0" borderId="17" xfId="0" applyNumberFormat="1" applyFont="1" applyBorder="1"/>
    <xf numFmtId="1" fontId="12" fillId="0" borderId="12" xfId="0" applyNumberFormat="1" applyFont="1" applyBorder="1"/>
    <xf numFmtId="165" fontId="12" fillId="0" borderId="12" xfId="0" applyNumberFormat="1" applyFont="1" applyBorder="1"/>
    <xf numFmtId="0" fontId="28" fillId="0" borderId="12" xfId="0" applyFont="1" applyBorder="1" applyAlignment="1">
      <alignment horizontal="right" vertical="top"/>
    </xf>
    <xf numFmtId="0" fontId="12" fillId="0" borderId="0" xfId="545" applyFont="1"/>
    <xf numFmtId="0" fontId="23" fillId="9" borderId="0" xfId="545" applyFont="1" applyFill="1"/>
    <xf numFmtId="0" fontId="14" fillId="9" borderId="0" xfId="545" quotePrefix="1" applyFont="1" applyFill="1" applyAlignment="1">
      <alignment horizontal="left"/>
    </xf>
    <xf numFmtId="0" fontId="14" fillId="9" borderId="0" xfId="545" applyFont="1" applyFill="1"/>
    <xf numFmtId="0" fontId="65" fillId="0" borderId="0" xfId="545"/>
    <xf numFmtId="5" fontId="14" fillId="0" borderId="0" xfId="545" applyNumberFormat="1" applyFont="1"/>
    <xf numFmtId="0" fontId="13" fillId="0" borderId="5" xfId="273" applyFont="1" applyBorder="1" applyAlignment="1">
      <alignment horizontal="left"/>
    </xf>
    <xf numFmtId="0" fontId="13" fillId="0" borderId="5" xfId="273" applyFont="1" applyBorder="1" applyAlignment="1">
      <alignment horizontal="right"/>
    </xf>
    <xf numFmtId="0" fontId="17" fillId="0" borderId="0" xfId="0" applyFont="1" applyAlignment="1">
      <alignment vertical="center"/>
    </xf>
    <xf numFmtId="0" fontId="5" fillId="0" borderId="18" xfId="0" applyFont="1" applyBorder="1"/>
    <xf numFmtId="0" fontId="5" fillId="0" borderId="12" xfId="0" applyFont="1" applyBorder="1"/>
    <xf numFmtId="0" fontId="12" fillId="0" borderId="19" xfId="0" applyFont="1" applyBorder="1"/>
    <xf numFmtId="0" fontId="10" fillId="0" borderId="12" xfId="254" applyFont="1" applyBorder="1" applyAlignment="1" applyProtection="1">
      <alignment horizontal="center" wrapText="1"/>
      <protection locked="0"/>
    </xf>
    <xf numFmtId="0" fontId="14" fillId="0" borderId="0" xfId="273" quotePrefix="1" applyAlignment="1">
      <alignment horizontal="center"/>
    </xf>
    <xf numFmtId="1" fontId="14" fillId="0" borderId="0" xfId="273" applyNumberFormat="1"/>
    <xf numFmtId="0" fontId="13" fillId="0" borderId="0" xfId="0" quotePrefix="1" applyFont="1" applyAlignment="1">
      <alignment horizontal="right"/>
    </xf>
    <xf numFmtId="1" fontId="5" fillId="0" borderId="12" xfId="546" applyNumberFormat="1" applyBorder="1"/>
    <xf numFmtId="0" fontId="18" fillId="0" borderId="1" xfId="0" applyFont="1" applyBorder="1"/>
    <xf numFmtId="0" fontId="18" fillId="0" borderId="7" xfId="0" applyFont="1" applyBorder="1"/>
    <xf numFmtId="0" fontId="18" fillId="0" borderId="9" xfId="0" applyFont="1" applyBorder="1"/>
    <xf numFmtId="0" fontId="5" fillId="0" borderId="10" xfId="0" applyFont="1" applyBorder="1"/>
    <xf numFmtId="0" fontId="28" fillId="2" borderId="11" xfId="0" applyFont="1" applyFill="1" applyBorder="1" applyAlignment="1">
      <alignment vertical="top" wrapText="1"/>
    </xf>
    <xf numFmtId="0" fontId="28" fillId="0" borderId="18" xfId="0" applyFont="1" applyBorder="1" applyAlignment="1">
      <alignment vertical="top" wrapText="1"/>
    </xf>
    <xf numFmtId="0" fontId="52" fillId="2" borderId="15" xfId="0" applyFont="1" applyFill="1" applyBorder="1" applyAlignment="1">
      <alignment vertical="top" wrapText="1"/>
    </xf>
    <xf numFmtId="0" fontId="52" fillId="0" borderId="0" xfId="0" applyFont="1" applyAlignment="1">
      <alignment vertical="top" wrapText="1"/>
    </xf>
    <xf numFmtId="0" fontId="52" fillId="2" borderId="0" xfId="0" applyFont="1" applyFill="1" applyAlignment="1">
      <alignment vertical="top" wrapText="1"/>
    </xf>
    <xf numFmtId="0" fontId="52" fillId="0" borderId="0" xfId="0" applyFont="1" applyAlignment="1">
      <alignment horizontal="right" vertical="top" wrapText="1"/>
    </xf>
    <xf numFmtId="0" fontId="0" fillId="7" borderId="3" xfId="0" applyFill="1" applyBorder="1"/>
    <xf numFmtId="0" fontId="75" fillId="0" borderId="0" xfId="0" applyFont="1" applyAlignment="1">
      <alignment vertical="center"/>
    </xf>
    <xf numFmtId="0" fontId="75" fillId="0" borderId="0" xfId="0" applyFont="1" applyAlignment="1">
      <alignment horizontal="left" vertical="center" indent="1"/>
    </xf>
    <xf numFmtId="0" fontId="75" fillId="0" borderId="0" xfId="0" applyFont="1" applyAlignment="1">
      <alignment vertical="center" wrapText="1"/>
    </xf>
    <xf numFmtId="173" fontId="14" fillId="7" borderId="0" xfId="273" applyNumberFormat="1" applyFill="1" applyAlignment="1">
      <alignment horizontal="center"/>
    </xf>
    <xf numFmtId="0" fontId="5" fillId="0" borderId="0" xfId="0" applyFont="1" applyAlignment="1">
      <alignment horizontal="center"/>
    </xf>
    <xf numFmtId="0" fontId="35" fillId="0" borderId="0" xfId="0" applyFont="1" applyAlignment="1">
      <alignment vertical="center" wrapText="1"/>
    </xf>
    <xf numFmtId="0" fontId="13" fillId="0" borderId="0" xfId="0" applyFont="1" applyProtection="1">
      <protection locked="0"/>
    </xf>
    <xf numFmtId="0" fontId="12" fillId="0" borderId="0" xfId="273" applyFont="1" applyAlignment="1">
      <alignment horizontal="left"/>
    </xf>
    <xf numFmtId="0" fontId="12" fillId="0" borderId="0" xfId="273" applyFont="1" applyAlignment="1">
      <alignment horizontal="right"/>
    </xf>
    <xf numFmtId="1" fontId="14" fillId="0" borderId="0" xfId="273" applyNumberFormat="1" applyAlignment="1">
      <alignment horizontal="center"/>
    </xf>
    <xf numFmtId="0" fontId="14" fillId="0" borderId="0" xfId="0" quotePrefix="1" applyFont="1" applyAlignment="1">
      <alignment horizontal="center" vertical="top"/>
    </xf>
    <xf numFmtId="49" fontId="13" fillId="0" borderId="0" xfId="0" applyNumberFormat="1" applyFont="1" applyAlignment="1">
      <alignment horizontal="left" vertical="center" wrapText="1"/>
    </xf>
    <xf numFmtId="9" fontId="10" fillId="7" borderId="0" xfId="273" applyNumberFormat="1" applyFont="1" applyFill="1" applyAlignment="1" applyProtection="1">
      <alignment horizontal="right"/>
      <protection locked="0"/>
    </xf>
    <xf numFmtId="1" fontId="10" fillId="7" borderId="0" xfId="273" applyNumberFormat="1" applyFont="1" applyFill="1" applyAlignment="1" applyProtection="1">
      <alignment horizontal="center"/>
      <protection locked="0"/>
    </xf>
    <xf numFmtId="169" fontId="10" fillId="7" borderId="0" xfId="273" applyNumberFormat="1" applyFont="1" applyFill="1" applyAlignment="1" applyProtection="1">
      <alignment horizontal="center"/>
      <protection locked="0"/>
    </xf>
    <xf numFmtId="0" fontId="46" fillId="0" borderId="0" xfId="273" applyFont="1" applyAlignment="1">
      <alignment horizontal="center"/>
    </xf>
    <xf numFmtId="0" fontId="6" fillId="0" borderId="0" xfId="245"/>
    <xf numFmtId="0" fontId="55" fillId="0" borderId="0" xfId="0" applyFont="1"/>
    <xf numFmtId="0" fontId="55" fillId="0" borderId="0" xfId="0" applyFont="1" applyAlignment="1">
      <alignment vertical="top"/>
    </xf>
    <xf numFmtId="0" fontId="10" fillId="7" borderId="0" xfId="273" applyFont="1" applyFill="1" applyAlignment="1" applyProtection="1">
      <alignment horizontal="left"/>
      <protection locked="0"/>
    </xf>
    <xf numFmtId="0" fontId="28" fillId="0" borderId="0" xfId="273" applyFont="1"/>
    <xf numFmtId="0" fontId="13" fillId="0" borderId="0" xfId="0" applyFont="1" applyAlignment="1">
      <alignment horizontal="left" vertical="center" shrinkToFit="1"/>
    </xf>
    <xf numFmtId="49" fontId="57" fillId="0" borderId="0" xfId="273" applyNumberFormat="1" applyFont="1" applyAlignment="1">
      <alignment horizontal="center" vertical="center"/>
    </xf>
    <xf numFmtId="0" fontId="58" fillId="0" borderId="0" xfId="273" applyFont="1" applyAlignment="1">
      <alignment vertical="center"/>
    </xf>
    <xf numFmtId="0" fontId="10" fillId="0" borderId="5" xfId="273" applyFont="1" applyBorder="1" applyAlignment="1">
      <alignment vertical="center"/>
    </xf>
    <xf numFmtId="0" fontId="10" fillId="0" borderId="0" xfId="273" applyFont="1" applyAlignment="1">
      <alignment vertical="center"/>
    </xf>
    <xf numFmtId="0" fontId="10" fillId="0" borderId="5" xfId="273" applyFont="1" applyBorder="1" applyAlignment="1">
      <alignment horizontal="center"/>
    </xf>
    <xf numFmtId="0" fontId="10" fillId="0" borderId="5" xfId="273" applyFont="1" applyBorder="1" applyAlignment="1">
      <alignment horizontal="center" vertical="center"/>
    </xf>
    <xf numFmtId="0" fontId="67" fillId="0" borderId="5" xfId="273" applyFont="1" applyBorder="1" applyAlignment="1">
      <alignment horizontal="right" vertical="center"/>
    </xf>
    <xf numFmtId="0" fontId="10" fillId="0" borderId="5" xfId="273" applyFont="1" applyBorder="1" applyAlignment="1">
      <alignment horizontal="right" vertical="center"/>
    </xf>
    <xf numFmtId="0" fontId="68" fillId="0" borderId="0" xfId="273" applyFont="1" applyAlignment="1">
      <alignment horizontal="right" vertical="center"/>
    </xf>
    <xf numFmtId="0" fontId="60" fillId="0" borderId="0" xfId="273" applyFont="1"/>
    <xf numFmtId="0" fontId="68" fillId="0" borderId="0" xfId="273" applyFont="1" applyAlignment="1">
      <alignment horizontal="left" vertical="center"/>
    </xf>
    <xf numFmtId="169" fontId="10" fillId="0" borderId="5" xfId="273" applyNumberFormat="1" applyFont="1" applyBorder="1"/>
    <xf numFmtId="169" fontId="10" fillId="0" borderId="13" xfId="273" applyNumberFormat="1" applyFont="1" applyBorder="1"/>
    <xf numFmtId="169" fontId="10" fillId="0" borderId="0" xfId="273" applyNumberFormat="1" applyFont="1" applyAlignment="1">
      <alignment horizontal="right"/>
    </xf>
    <xf numFmtId="0" fontId="44" fillId="0" borderId="0" xfId="273" applyFont="1" applyAlignment="1">
      <alignment horizontal="right" vertical="center"/>
    </xf>
    <xf numFmtId="169" fontId="10" fillId="0" borderId="5" xfId="273" applyNumberFormat="1" applyFont="1" applyBorder="1" applyAlignment="1">
      <alignment horizontal="right"/>
    </xf>
    <xf numFmtId="0" fontId="58" fillId="0" borderId="0" xfId="273" applyFont="1" applyAlignment="1">
      <alignment horizontal="right"/>
    </xf>
    <xf numFmtId="169" fontId="10" fillId="0" borderId="2" xfId="273" applyNumberFormat="1" applyFont="1" applyBorder="1"/>
    <xf numFmtId="0" fontId="58" fillId="0" borderId="5" xfId="273" applyFont="1" applyBorder="1" applyAlignment="1">
      <alignment horizontal="right"/>
    </xf>
    <xf numFmtId="0" fontId="59" fillId="0" borderId="0" xfId="273" applyFont="1"/>
    <xf numFmtId="0" fontId="10" fillId="0" borderId="0" xfId="273" applyFont="1" applyAlignment="1">
      <alignment horizontal="right" vertical="center"/>
    </xf>
    <xf numFmtId="0" fontId="10" fillId="0" borderId="0" xfId="273" applyFont="1" applyAlignment="1">
      <alignment horizontal="right"/>
    </xf>
    <xf numFmtId="0" fontId="58" fillId="0" borderId="0" xfId="273" applyFont="1" applyAlignment="1">
      <alignment vertical="center" wrapText="1"/>
    </xf>
    <xf numFmtId="0" fontId="10" fillId="0" borderId="7" xfId="273" applyFont="1" applyBorder="1"/>
    <xf numFmtId="0" fontId="44" fillId="0" borderId="0" xfId="273" applyFont="1" applyAlignment="1">
      <alignment horizontal="left"/>
    </xf>
    <xf numFmtId="9" fontId="10" fillId="0" borderId="5" xfId="273" applyNumberFormat="1" applyFont="1" applyBorder="1" applyAlignment="1">
      <alignment horizontal="center"/>
    </xf>
    <xf numFmtId="9" fontId="10" fillId="0" borderId="5" xfId="273" quotePrefix="1" applyNumberFormat="1" applyFont="1" applyBorder="1" applyAlignment="1">
      <alignment horizontal="center"/>
    </xf>
    <xf numFmtId="6" fontId="10" fillId="0" borderId="0" xfId="273" applyNumberFormat="1" applyFont="1"/>
    <xf numFmtId="9" fontId="10" fillId="0" borderId="0" xfId="273" applyNumberFormat="1" applyFont="1"/>
    <xf numFmtId="165" fontId="10" fillId="0" borderId="5" xfId="273" applyNumberFormat="1" applyFont="1" applyBorder="1" applyAlignment="1">
      <alignment horizontal="right"/>
    </xf>
    <xf numFmtId="165" fontId="10" fillId="0" borderId="0" xfId="273" applyNumberFormat="1" applyFont="1" applyAlignment="1">
      <alignment horizontal="right"/>
    </xf>
    <xf numFmtId="2" fontId="10" fillId="0" borderId="0" xfId="273" applyNumberFormat="1" applyFont="1"/>
    <xf numFmtId="0" fontId="10" fillId="0" borderId="0" xfId="273" applyFont="1" applyAlignment="1">
      <alignment horizontal="center"/>
    </xf>
    <xf numFmtId="169" fontId="10" fillId="0" borderId="0" xfId="273" applyNumberFormat="1" applyFont="1" applyAlignment="1">
      <alignment horizontal="center"/>
    </xf>
    <xf numFmtId="5" fontId="79" fillId="45" borderId="12" xfId="544" applyNumberFormat="1" applyFont="1" applyFill="1" applyBorder="1" applyAlignment="1" applyProtection="1">
      <alignment horizontal="center"/>
    </xf>
    <xf numFmtId="5" fontId="79" fillId="0" borderId="12" xfId="544" applyNumberFormat="1" applyFont="1" applyBorder="1" applyAlignment="1" applyProtection="1">
      <alignment horizontal="center"/>
    </xf>
    <xf numFmtId="5" fontId="79" fillId="2" borderId="12" xfId="544" applyNumberFormat="1" applyFont="1" applyFill="1" applyBorder="1" applyAlignment="1" applyProtection="1">
      <alignment horizontal="center"/>
    </xf>
    <xf numFmtId="0" fontId="28" fillId="0" borderId="0" xfId="0" applyFont="1" applyAlignment="1">
      <alignment horizontal="right" vertical="top" wrapText="1"/>
    </xf>
    <xf numFmtId="0" fontId="19" fillId="0" borderId="0" xfId="0" applyFont="1" applyAlignment="1">
      <alignment horizontal="right" vertical="top" wrapText="1"/>
    </xf>
    <xf numFmtId="169" fontId="28" fillId="7" borderId="5" xfId="0" applyNumberFormat="1" applyFont="1" applyFill="1" applyBorder="1" applyAlignment="1" applyProtection="1">
      <alignment horizontal="right" vertical="top" wrapText="1"/>
      <protection locked="0"/>
    </xf>
    <xf numFmtId="169" fontId="28" fillId="0" borderId="5" xfId="0" applyNumberFormat="1" applyFont="1" applyBorder="1" applyAlignment="1">
      <alignment horizontal="right" vertical="top" wrapText="1"/>
    </xf>
    <xf numFmtId="0" fontId="14" fillId="0" borderId="0" xfId="0" applyFont="1" applyAlignment="1">
      <alignment horizontal="right" vertical="top" wrapText="1"/>
    </xf>
    <xf numFmtId="0" fontId="52" fillId="0" borderId="18" xfId="0" applyFont="1" applyBorder="1" applyAlignment="1">
      <alignment vertical="top" wrapText="1"/>
    </xf>
    <xf numFmtId="0" fontId="52" fillId="2" borderId="18" xfId="0" applyFont="1" applyFill="1" applyBorder="1" applyAlignment="1">
      <alignment vertical="top" wrapText="1"/>
    </xf>
    <xf numFmtId="0" fontId="20" fillId="0" borderId="0" xfId="0" applyFont="1" applyAlignment="1">
      <alignment horizontal="left" vertical="center"/>
    </xf>
    <xf numFmtId="0" fontId="21" fillId="0" borderId="0" xfId="0" applyFont="1" applyAlignment="1">
      <alignment vertical="top" wrapText="1"/>
    </xf>
    <xf numFmtId="0" fontId="21" fillId="2" borderId="0" xfId="0" applyFont="1" applyFill="1" applyAlignment="1">
      <alignment vertical="top" wrapText="1"/>
    </xf>
    <xf numFmtId="0" fontId="81" fillId="0" borderId="0" xfId="546" applyFont="1"/>
    <xf numFmtId="0" fontId="12" fillId="0" borderId="2" xfId="546" applyFont="1" applyBorder="1" applyAlignment="1">
      <alignment horizontal="center"/>
    </xf>
    <xf numFmtId="0" fontId="12" fillId="0" borderId="0" xfId="546" applyFont="1" applyAlignment="1">
      <alignment horizontal="center"/>
    </xf>
    <xf numFmtId="0" fontId="81" fillId="0" borderId="0" xfId="0" applyFont="1"/>
    <xf numFmtId="169" fontId="81" fillId="0" borderId="0" xfId="0" applyNumberFormat="1" applyFont="1" applyAlignment="1">
      <alignment horizontal="left" vertical="top"/>
    </xf>
    <xf numFmtId="169" fontId="13" fillId="0" borderId="0" xfId="0" applyNumberFormat="1" applyFont="1" applyAlignment="1">
      <alignment horizontal="left" vertical="top" wrapText="1"/>
    </xf>
    <xf numFmtId="0" fontId="6" fillId="0" borderId="0" xfId="245" quotePrefix="1" applyAlignment="1" applyProtection="1">
      <alignment horizontal="left"/>
    </xf>
    <xf numFmtId="0" fontId="107" fillId="0" borderId="0" xfId="0" applyFont="1" applyAlignment="1">
      <alignment horizontal="left" vertical="top"/>
    </xf>
    <xf numFmtId="0" fontId="49" fillId="0" borderId="0" xfId="0" applyFont="1" applyAlignment="1">
      <alignment horizontal="center"/>
    </xf>
    <xf numFmtId="0" fontId="76" fillId="0" borderId="0" xfId="0" applyFont="1" applyAlignment="1">
      <alignment horizontal="left" vertical="top"/>
    </xf>
    <xf numFmtId="0" fontId="75" fillId="0" borderId="0" xfId="0" applyFont="1"/>
    <xf numFmtId="0" fontId="40" fillId="0" borderId="0" xfId="273" applyFont="1" applyAlignment="1">
      <alignment horizontal="left"/>
    </xf>
    <xf numFmtId="0" fontId="19" fillId="0" borderId="13" xfId="0" applyFont="1" applyBorder="1" applyAlignment="1" applyProtection="1">
      <alignment vertical="top" wrapText="1"/>
      <protection locked="0"/>
    </xf>
    <xf numFmtId="0" fontId="12" fillId="0" borderId="0" xfId="0" applyFont="1" applyAlignment="1" applyProtection="1">
      <alignment horizontal="center" wrapText="1"/>
      <protection locked="0"/>
    </xf>
    <xf numFmtId="0" fontId="14" fillId="0" borderId="0" xfId="0" applyFont="1" applyAlignment="1" applyProtection="1">
      <alignment vertical="top" wrapText="1"/>
      <protection locked="0"/>
    </xf>
    <xf numFmtId="0" fontId="12" fillId="0" borderId="0" xfId="0" applyFont="1" applyAlignment="1" applyProtection="1">
      <alignment vertical="top" wrapText="1"/>
      <protection locked="0"/>
    </xf>
    <xf numFmtId="0" fontId="12" fillId="9" borderId="12" xfId="545" applyFont="1" applyFill="1" applyBorder="1" applyAlignment="1">
      <alignment horizontal="left"/>
    </xf>
    <xf numFmtId="0" fontId="12" fillId="9" borderId="12" xfId="545" applyFont="1" applyFill="1" applyBorder="1" applyAlignment="1">
      <alignment horizontal="center"/>
    </xf>
    <xf numFmtId="0" fontId="66" fillId="9" borderId="12" xfId="545" applyFont="1" applyFill="1" applyBorder="1" applyAlignment="1">
      <alignment horizontal="left"/>
    </xf>
    <xf numFmtId="169" fontId="14" fillId="0" borderId="12" xfId="543" applyNumberFormat="1" applyBorder="1" applyAlignment="1" applyProtection="1">
      <alignment horizontal="center"/>
    </xf>
    <xf numFmtId="0" fontId="66" fillId="0" borderId="12" xfId="545" applyFont="1" applyBorder="1" applyAlignment="1">
      <alignment horizontal="left"/>
    </xf>
    <xf numFmtId="0" fontId="52" fillId="0" borderId="13" xfId="0" applyFont="1" applyBorder="1" applyAlignment="1">
      <alignment vertical="top" wrapText="1"/>
    </xf>
    <xf numFmtId="0" fontId="85" fillId="0" borderId="0" xfId="0" applyFont="1" applyAlignment="1">
      <alignment horizontal="left"/>
    </xf>
    <xf numFmtId="0" fontId="49" fillId="0" borderId="0" xfId="0" applyFont="1" applyAlignment="1">
      <alignment vertical="top" wrapText="1"/>
    </xf>
    <xf numFmtId="0" fontId="19" fillId="0" borderId="7" xfId="0" applyFont="1" applyBorder="1" applyAlignment="1">
      <alignment vertical="top" wrapText="1"/>
    </xf>
    <xf numFmtId="0" fontId="28" fillId="0" borderId="7" xfId="0" applyFont="1" applyBorder="1" applyAlignment="1">
      <alignment vertical="top" wrapText="1"/>
    </xf>
    <xf numFmtId="0" fontId="49" fillId="0" borderId="7" xfId="0" applyFont="1" applyBorder="1" applyAlignment="1">
      <alignment vertical="top" wrapText="1"/>
    </xf>
    <xf numFmtId="0" fontId="52" fillId="0" borderId="7" xfId="0" applyFont="1" applyBorder="1" applyAlignment="1">
      <alignment vertical="top" wrapText="1"/>
    </xf>
    <xf numFmtId="0" fontId="28" fillId="0" borderId="13" xfId="0" applyFont="1" applyBorder="1" applyAlignment="1">
      <alignment vertical="top" wrapText="1"/>
    </xf>
    <xf numFmtId="6" fontId="28" fillId="6" borderId="12" xfId="0" applyNumberFormat="1" applyFont="1" applyFill="1" applyBorder="1" applyAlignment="1">
      <alignment vertical="top" wrapText="1"/>
    </xf>
    <xf numFmtId="6" fontId="28" fillId="0" borderId="12" xfId="0" applyNumberFormat="1" applyFont="1" applyBorder="1" applyAlignment="1">
      <alignment vertical="top" wrapText="1"/>
    </xf>
    <xf numFmtId="6" fontId="28" fillId="7" borderId="12" xfId="0" applyNumberFormat="1" applyFont="1" applyFill="1" applyBorder="1" applyAlignment="1" applyProtection="1">
      <alignment vertical="top" wrapText="1"/>
      <protection locked="0"/>
    </xf>
    <xf numFmtId="6" fontId="28" fillId="8" borderId="12" xfId="0" applyNumberFormat="1" applyFont="1" applyFill="1" applyBorder="1" applyAlignment="1">
      <alignment horizontal="center" vertical="top" wrapText="1"/>
    </xf>
    <xf numFmtId="6" fontId="49" fillId="0" borderId="12" xfId="0" applyNumberFormat="1" applyFont="1" applyBorder="1" applyAlignment="1">
      <alignment vertical="top" wrapText="1"/>
    </xf>
    <xf numFmtId="6" fontId="28" fillId="0" borderId="0" xfId="0" applyNumberFormat="1" applyFont="1" applyAlignment="1">
      <alignment horizontal="left" vertical="top"/>
    </xf>
    <xf numFmtId="6" fontId="28" fillId="0" borderId="0" xfId="0" applyNumberFormat="1" applyFont="1" applyAlignment="1">
      <alignment vertical="top" wrapText="1"/>
    </xf>
    <xf numFmtId="0" fontId="6" fillId="0" borderId="0" xfId="245" applyAlignment="1">
      <alignment horizontal="center"/>
    </xf>
    <xf numFmtId="0" fontId="6" fillId="0" borderId="0" xfId="245" applyBorder="1" applyAlignment="1">
      <alignment horizontal="center"/>
    </xf>
    <xf numFmtId="0" fontId="6" fillId="0" borderId="0" xfId="245" applyBorder="1" applyAlignment="1" applyProtection="1">
      <alignment horizontal="left"/>
    </xf>
    <xf numFmtId="0" fontId="14" fillId="0" borderId="3" xfId="259" applyBorder="1"/>
    <xf numFmtId="0" fontId="49" fillId="0" borderId="3" xfId="0" applyFont="1" applyBorder="1" applyAlignment="1">
      <alignment horizontal="left"/>
    </xf>
    <xf numFmtId="0" fontId="49" fillId="0" borderId="7" xfId="0" applyFont="1" applyBorder="1" applyAlignment="1">
      <alignment horizontal="center" wrapText="1"/>
    </xf>
    <xf numFmtId="0" fontId="49" fillId="0" borderId="0" xfId="0" applyFont="1" applyAlignment="1">
      <alignment horizontal="center" wrapText="1"/>
    </xf>
    <xf numFmtId="0" fontId="25" fillId="0" borderId="0" xfId="0" applyFont="1" applyAlignment="1">
      <alignment vertical="top" wrapText="1"/>
    </xf>
    <xf numFmtId="169" fontId="0" fillId="0" borderId="0" xfId="0" applyNumberFormat="1" applyAlignment="1">
      <alignment wrapText="1"/>
    </xf>
    <xf numFmtId="0" fontId="10" fillId="0" borderId="0" xfId="0" applyFont="1"/>
    <xf numFmtId="0" fontId="10" fillId="0" borderId="12" xfId="254" applyFont="1" applyBorder="1" applyAlignment="1">
      <alignment horizontal="center" wrapText="1"/>
    </xf>
    <xf numFmtId="0" fontId="10" fillId="0" borderId="0" xfId="254" applyFont="1" applyAlignment="1">
      <alignment horizontal="center" wrapText="1"/>
    </xf>
    <xf numFmtId="3" fontId="10" fillId="0" borderId="12" xfId="0" applyNumberFormat="1" applyFont="1" applyBorder="1"/>
    <xf numFmtId="3" fontId="10" fillId="0" borderId="0" xfId="0" applyNumberFormat="1" applyFont="1"/>
    <xf numFmtId="0" fontId="58" fillId="0" borderId="0" xfId="0" applyFont="1" applyAlignment="1">
      <alignment horizontal="left"/>
    </xf>
    <xf numFmtId="0" fontId="58" fillId="0" borderId="0" xfId="0" applyFont="1" applyAlignment="1">
      <alignment horizontal="right"/>
    </xf>
    <xf numFmtId="169" fontId="10" fillId="0" borderId="12" xfId="0" applyNumberFormat="1" applyFont="1" applyBorder="1"/>
    <xf numFmtId="169" fontId="10" fillId="0" borderId="0" xfId="0" applyNumberFormat="1" applyFont="1"/>
    <xf numFmtId="0" fontId="14" fillId="0" borderId="0" xfId="273" applyAlignment="1">
      <alignment horizontal="left" wrapText="1"/>
    </xf>
    <xf numFmtId="0" fontId="0" fillId="7" borderId="5" xfId="0" applyFill="1" applyBorder="1" applyProtection="1">
      <protection locked="0"/>
    </xf>
    <xf numFmtId="0" fontId="24" fillId="0" borderId="0" xfId="0" applyFont="1" applyAlignment="1">
      <alignment wrapText="1"/>
    </xf>
    <xf numFmtId="0" fontId="14" fillId="0" borderId="4" xfId="0" applyFont="1" applyBorder="1" applyAlignment="1">
      <alignment horizontal="left"/>
    </xf>
    <xf numFmtId="0" fontId="69" fillId="0" borderId="0" xfId="0" applyFont="1"/>
    <xf numFmtId="4" fontId="14" fillId="0" borderId="0" xfId="273" applyNumberFormat="1" applyAlignment="1">
      <alignment horizontal="left" vertical="top" wrapText="1"/>
    </xf>
    <xf numFmtId="0" fontId="28" fillId="0" borderId="7" xfId="0" applyFont="1" applyBorder="1"/>
    <xf numFmtId="0" fontId="28" fillId="0" borderId="4" xfId="0" applyFont="1" applyBorder="1"/>
    <xf numFmtId="0" fontId="28" fillId="0" borderId="3" xfId="0" applyFont="1" applyBorder="1"/>
    <xf numFmtId="0" fontId="28" fillId="0" borderId="1" xfId="0" applyFont="1" applyBorder="1"/>
    <xf numFmtId="0" fontId="49" fillId="0" borderId="0" xfId="0" applyFont="1" applyAlignment="1">
      <alignment horizontal="right"/>
    </xf>
    <xf numFmtId="0" fontId="49" fillId="0" borderId="9" xfId="0" applyFont="1" applyBorder="1" applyAlignment="1">
      <alignment horizontal="left"/>
    </xf>
    <xf numFmtId="0" fontId="49" fillId="0" borderId="4" xfId="0" applyFont="1" applyBorder="1"/>
    <xf numFmtId="0" fontId="28" fillId="0" borderId="5" xfId="0" applyFont="1" applyBorder="1"/>
    <xf numFmtId="0" fontId="49" fillId="0" borderId="5" xfId="0" applyFont="1" applyBorder="1" applyAlignment="1">
      <alignment horizontal="right"/>
    </xf>
    <xf numFmtId="0" fontId="28" fillId="0" borderId="9" xfId="0" applyFont="1" applyBorder="1"/>
    <xf numFmtId="0" fontId="13" fillId="0" borderId="12" xfId="0" applyFont="1" applyBorder="1" applyAlignment="1">
      <alignment horizontal="center"/>
    </xf>
    <xf numFmtId="0" fontId="6" fillId="0" borderId="0" xfId="245" applyNumberFormat="1" applyFill="1" applyAlignment="1" applyProtection="1">
      <alignment horizontal="left"/>
      <protection locked="0"/>
    </xf>
    <xf numFmtId="0" fontId="14" fillId="0" borderId="0" xfId="259" applyAlignment="1">
      <alignment horizontal="left" vertical="top" wrapText="1"/>
    </xf>
    <xf numFmtId="0" fontId="14" fillId="0" borderId="0" xfId="273" applyAlignment="1">
      <alignment horizontal="left" vertical="top" wrapText="1"/>
    </xf>
    <xf numFmtId="0" fontId="10" fillId="7" borderId="0" xfId="273" applyFont="1" applyFill="1" applyProtection="1">
      <protection locked="0"/>
    </xf>
    <xf numFmtId="0" fontId="108" fillId="0" borderId="4" xfId="273" applyFont="1" applyBorder="1"/>
    <xf numFmtId="0" fontId="108" fillId="0" borderId="5" xfId="273" applyFont="1" applyBorder="1"/>
    <xf numFmtId="169" fontId="108" fillId="7" borderId="5" xfId="273" applyNumberFormat="1" applyFont="1" applyFill="1" applyBorder="1" applyAlignment="1" applyProtection="1">
      <alignment horizontal="right"/>
      <protection locked="0"/>
    </xf>
    <xf numFmtId="169" fontId="10" fillId="7" borderId="4" xfId="273" applyNumberFormat="1" applyFont="1" applyFill="1" applyBorder="1" applyAlignment="1" applyProtection="1">
      <alignment horizontal="right"/>
      <protection locked="0"/>
    </xf>
    <xf numFmtId="0" fontId="108" fillId="0" borderId="0" xfId="273" applyFont="1"/>
    <xf numFmtId="0" fontId="10" fillId="7" borderId="5" xfId="273" applyFont="1" applyFill="1" applyBorder="1" applyProtection="1">
      <protection locked="0"/>
    </xf>
    <xf numFmtId="0" fontId="10" fillId="0" borderId="2" xfId="273" applyFont="1" applyBorder="1"/>
    <xf numFmtId="0" fontId="58" fillId="0" borderId="2" xfId="273" applyFont="1" applyBorder="1" applyAlignment="1">
      <alignment vertical="center"/>
    </xf>
    <xf numFmtId="6" fontId="10" fillId="0" borderId="12" xfId="273" applyNumberFormat="1" applyFont="1" applyBorder="1" applyAlignment="1">
      <alignment horizontal="right"/>
    </xf>
    <xf numFmtId="1" fontId="10" fillId="0" borderId="4" xfId="273" applyNumberFormat="1" applyFont="1" applyBorder="1" applyAlignment="1">
      <alignment horizontal="center" vertical="center"/>
    </xf>
    <xf numFmtId="2" fontId="10" fillId="0" borderId="5" xfId="273" applyNumberFormat="1" applyFont="1" applyBorder="1" applyAlignment="1">
      <alignment horizontal="center" vertical="center"/>
    </xf>
    <xf numFmtId="0" fontId="14" fillId="0" borderId="0" xfId="0" quotePrefix="1" applyFont="1" applyAlignment="1">
      <alignment horizontal="left" vertical="top"/>
    </xf>
    <xf numFmtId="169" fontId="14" fillId="0" borderId="0" xfId="547" applyNumberFormat="1"/>
    <xf numFmtId="1" fontId="0" fillId="0" borderId="0" xfId="0" applyNumberFormat="1"/>
    <xf numFmtId="165" fontId="10" fillId="0" borderId="0" xfId="273" applyNumberFormat="1" applyFont="1"/>
    <xf numFmtId="0" fontId="5" fillId="0" borderId="0" xfId="546" applyAlignment="1">
      <alignment vertical="top"/>
    </xf>
    <xf numFmtId="0" fontId="13" fillId="0" borderId="0" xfId="0" applyFont="1" applyAlignment="1">
      <alignment horizontal="right" vertical="top"/>
    </xf>
    <xf numFmtId="169" fontId="5" fillId="0" borderId="0" xfId="546" applyNumberFormat="1" applyAlignment="1">
      <alignment vertical="top"/>
    </xf>
    <xf numFmtId="0" fontId="67" fillId="0" borderId="0" xfId="273" applyFont="1" applyAlignment="1">
      <alignment horizontal="right" vertical="center"/>
    </xf>
    <xf numFmtId="0" fontId="10" fillId="0" borderId="0" xfId="273" applyFont="1" applyAlignment="1">
      <alignment horizontal="center" vertical="center"/>
    </xf>
    <xf numFmtId="0" fontId="58" fillId="0" borderId="0" xfId="273" applyFont="1" applyAlignment="1">
      <alignment horizontal="left" vertical="top" wrapText="1"/>
    </xf>
    <xf numFmtId="0" fontId="10" fillId="0" borderId="0" xfId="273" applyFont="1" applyAlignment="1">
      <alignment horizontal="left"/>
    </xf>
    <xf numFmtId="0" fontId="10" fillId="0" borderId="0" xfId="273" applyFont="1" applyAlignment="1">
      <alignment horizontal="left" vertical="top" wrapText="1"/>
    </xf>
    <xf numFmtId="169" fontId="10" fillId="7" borderId="5" xfId="273" applyNumberFormat="1" applyFont="1" applyFill="1" applyBorder="1" applyAlignment="1" applyProtection="1">
      <alignment horizontal="right"/>
      <protection locked="0"/>
    </xf>
    <xf numFmtId="49" fontId="14" fillId="0" borderId="0" xfId="0" applyNumberFormat="1" applyFont="1" applyAlignment="1">
      <alignment horizontal="left" vertical="top" wrapText="1"/>
    </xf>
    <xf numFmtId="4" fontId="14" fillId="0" borderId="0" xfId="0" applyNumberFormat="1" applyFont="1" applyAlignment="1">
      <alignment horizontal="left" vertical="top" wrapText="1"/>
    </xf>
    <xf numFmtId="1" fontId="10" fillId="7" borderId="5" xfId="273" applyNumberFormat="1" applyFont="1" applyFill="1" applyBorder="1" applyAlignment="1" applyProtection="1">
      <alignment vertical="center"/>
      <protection locked="0"/>
    </xf>
    <xf numFmtId="3" fontId="10" fillId="0" borderId="0" xfId="273" applyNumberFormat="1" applyFont="1" applyAlignment="1">
      <alignment horizontal="center"/>
    </xf>
    <xf numFmtId="3" fontId="10" fillId="0" borderId="5" xfId="273" applyNumberFormat="1" applyFont="1" applyBorder="1" applyAlignment="1">
      <alignment horizontal="center"/>
    </xf>
    <xf numFmtId="0" fontId="43" fillId="0" borderId="0" xfId="0" applyFont="1"/>
    <xf numFmtId="0" fontId="23" fillId="0" borderId="0" xfId="0" applyFont="1"/>
    <xf numFmtId="0" fontId="42" fillId="0" borderId="0" xfId="0" applyFont="1"/>
    <xf numFmtId="0" fontId="38" fillId="0" borderId="0" xfId="273" applyFont="1"/>
    <xf numFmtId="0" fontId="26" fillId="0" borderId="0" xfId="0" applyFont="1"/>
    <xf numFmtId="0" fontId="47" fillId="0" borderId="0" xfId="0" applyFont="1"/>
    <xf numFmtId="0" fontId="49" fillId="0" borderId="12" xfId="0" applyFont="1" applyBorder="1" applyAlignment="1">
      <alignment horizontal="center" wrapText="1"/>
    </xf>
    <xf numFmtId="0" fontId="112" fillId="0" borderId="0" xfId="0" applyFont="1" applyAlignment="1">
      <alignment horizontal="left" vertical="top"/>
    </xf>
    <xf numFmtId="169" fontId="28" fillId="47" borderId="12" xfId="0" applyNumberFormat="1" applyFont="1" applyFill="1" applyBorder="1" applyAlignment="1">
      <alignment vertical="top" wrapText="1"/>
    </xf>
    <xf numFmtId="6" fontId="28" fillId="47" borderId="12" xfId="0" applyNumberFormat="1" applyFont="1" applyFill="1" applyBorder="1" applyAlignment="1">
      <alignment vertical="top" wrapText="1"/>
    </xf>
    <xf numFmtId="0" fontId="6" fillId="0" borderId="0" xfId="245" applyAlignment="1" applyProtection="1"/>
    <xf numFmtId="173" fontId="5" fillId="0" borderId="7" xfId="546" applyNumberFormat="1" applyBorder="1"/>
    <xf numFmtId="0" fontId="14" fillId="0" borderId="7" xfId="0" applyFont="1" applyBorder="1"/>
    <xf numFmtId="0" fontId="12" fillId="0" borderId="7" xfId="0" applyFont="1" applyBorder="1"/>
    <xf numFmtId="0" fontId="15" fillId="0" borderId="7" xfId="0" applyFont="1" applyBorder="1" applyAlignment="1">
      <alignment horizontal="center"/>
    </xf>
    <xf numFmtId="0" fontId="12" fillId="0" borderId="7" xfId="0" applyFont="1" applyBorder="1" applyAlignment="1">
      <alignment vertical="top"/>
    </xf>
    <xf numFmtId="2" fontId="13" fillId="0" borderId="7" xfId="0" applyNumberFormat="1" applyFont="1" applyBorder="1" applyAlignment="1">
      <alignment horizontal="left"/>
    </xf>
    <xf numFmtId="0" fontId="13" fillId="0" borderId="7" xfId="0" applyFont="1" applyBorder="1" applyAlignment="1">
      <alignment horizontal="right"/>
    </xf>
    <xf numFmtId="2" fontId="13" fillId="0" borderId="7" xfId="0" applyNumberFormat="1" applyFont="1" applyBorder="1" applyAlignment="1">
      <alignment horizontal="right"/>
    </xf>
    <xf numFmtId="173" fontId="12" fillId="0" borderId="7" xfId="546" applyNumberFormat="1" applyFont="1" applyBorder="1"/>
    <xf numFmtId="0" fontId="5" fillId="0" borderId="7" xfId="546" applyBorder="1" applyAlignment="1">
      <alignment vertical="top"/>
    </xf>
    <xf numFmtId="1" fontId="13" fillId="0" borderId="7" xfId="0" applyNumberFormat="1" applyFont="1" applyBorder="1"/>
    <xf numFmtId="164" fontId="22" fillId="0" borderId="0" xfId="0" applyNumberFormat="1" applyFont="1" applyAlignment="1">
      <alignment vertical="top" wrapText="1"/>
    </xf>
    <xf numFmtId="0" fontId="22" fillId="46" borderId="7" xfId="0" applyFont="1" applyFill="1" applyBorder="1"/>
    <xf numFmtId="0" fontId="22" fillId="46" borderId="0" xfId="0" applyFont="1" applyFill="1"/>
    <xf numFmtId="0" fontId="13" fillId="0" borderId="0" xfId="0" applyFont="1" applyAlignment="1">
      <alignment vertical="center" wrapText="1" shrinkToFit="1"/>
    </xf>
    <xf numFmtId="0" fontId="10" fillId="0" borderId="0" xfId="273" applyFont="1" applyAlignment="1">
      <alignment horizontal="right" vertical="top" wrapText="1"/>
    </xf>
    <xf numFmtId="0" fontId="60" fillId="0" borderId="0" xfId="273" applyFont="1" applyAlignment="1">
      <alignment horizontal="left" vertical="top" wrapText="1"/>
    </xf>
    <xf numFmtId="0" fontId="58" fillId="0" borderId="0" xfId="273" applyFont="1" applyAlignment="1">
      <alignment horizontal="left"/>
    </xf>
    <xf numFmtId="0" fontId="10" fillId="0" borderId="5" xfId="273" applyFont="1" applyBorder="1" applyAlignment="1">
      <alignment horizontal="left"/>
    </xf>
    <xf numFmtId="1" fontId="13" fillId="0" borderId="7" xfId="0" applyNumberFormat="1" applyFont="1" applyBorder="1" applyAlignment="1">
      <alignment horizontal="center" vertical="top"/>
    </xf>
    <xf numFmtId="0" fontId="13" fillId="0" borderId="9" xfId="0" applyFont="1" applyBorder="1"/>
    <xf numFmtId="0" fontId="22" fillId="0" borderId="4" xfId="0" applyFont="1" applyBorder="1"/>
    <xf numFmtId="0" fontId="22" fillId="0" borderId="1" xfId="0" applyFont="1" applyBorder="1"/>
    <xf numFmtId="0" fontId="55" fillId="0" borderId="2" xfId="0" applyFont="1" applyBorder="1" applyAlignment="1">
      <alignment horizontal="left" wrapText="1"/>
    </xf>
    <xf numFmtId="0" fontId="55" fillId="0" borderId="2" xfId="0" applyFont="1" applyBorder="1" applyAlignment="1">
      <alignment horizontal="left"/>
    </xf>
    <xf numFmtId="0" fontId="55" fillId="0" borderId="11" xfId="0" applyFont="1" applyBorder="1" applyAlignment="1">
      <alignment horizontal="left" wrapText="1"/>
    </xf>
    <xf numFmtId="0" fontId="22" fillId="0" borderId="9" xfId="0" applyFont="1" applyBorder="1"/>
    <xf numFmtId="0" fontId="13" fillId="0" borderId="46" xfId="0" applyFont="1" applyBorder="1"/>
    <xf numFmtId="0" fontId="13" fillId="0" borderId="47" xfId="0" applyFont="1" applyBorder="1"/>
    <xf numFmtId="1" fontId="13" fillId="0" borderId="47" xfId="0" quotePrefix="1" applyNumberFormat="1" applyFont="1" applyBorder="1" applyAlignment="1">
      <alignment horizontal="center" vertical="top"/>
    </xf>
    <xf numFmtId="0" fontId="14"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3" fillId="0" borderId="53" xfId="0" quotePrefix="1" applyNumberFormat="1" applyFont="1" applyBorder="1" applyAlignment="1">
      <alignment horizontal="center" vertical="top"/>
    </xf>
    <xf numFmtId="0" fontId="13" fillId="0" borderId="53" xfId="0" applyFont="1" applyBorder="1" applyAlignment="1">
      <alignment vertical="top" wrapText="1"/>
    </xf>
    <xf numFmtId="0" fontId="5" fillId="0" borderId="49" xfId="546" applyBorder="1"/>
    <xf numFmtId="0" fontId="13" fillId="0" borderId="50" xfId="0" applyFont="1" applyBorder="1"/>
    <xf numFmtId="0" fontId="22" fillId="0" borderId="53" xfId="0" applyFont="1" applyBorder="1" applyAlignment="1">
      <alignment vertical="center"/>
    </xf>
    <xf numFmtId="0" fontId="13" fillId="0" borderId="49" xfId="0" applyFont="1" applyBorder="1"/>
    <xf numFmtId="0" fontId="5" fillId="0" borderId="52" xfId="546" applyBorder="1"/>
    <xf numFmtId="0" fontId="5" fillId="0" borderId="53" xfId="546" applyBorder="1"/>
    <xf numFmtId="1" fontId="13" fillId="0" borderId="53" xfId="0" applyNumberFormat="1" applyFont="1" applyBorder="1" applyAlignment="1">
      <alignment horizontal="center" vertical="top"/>
    </xf>
    <xf numFmtId="0" fontId="13" fillId="0" borderId="53" xfId="0" applyFont="1" applyBorder="1" applyAlignment="1">
      <alignment vertical="top"/>
    </xf>
    <xf numFmtId="0" fontId="14" fillId="0" borderId="53" xfId="0" applyFont="1" applyBorder="1"/>
    <xf numFmtId="0" fontId="12" fillId="0" borderId="53" xfId="0" applyFont="1" applyBorder="1"/>
    <xf numFmtId="0" fontId="13" fillId="0" borderId="53" xfId="0" applyFont="1" applyBorder="1"/>
    <xf numFmtId="0" fontId="13" fillId="0" borderId="54" xfId="0" applyFont="1" applyBorder="1"/>
    <xf numFmtId="0" fontId="13" fillId="0" borderId="52" xfId="0" applyFont="1" applyBorder="1"/>
    <xf numFmtId="0" fontId="5" fillId="0" borderId="46" xfId="546" applyBorder="1"/>
    <xf numFmtId="0" fontId="5" fillId="0" borderId="47" xfId="546" applyBorder="1"/>
    <xf numFmtId="0" fontId="5" fillId="0" borderId="48" xfId="546" applyBorder="1"/>
    <xf numFmtId="0" fontId="22" fillId="0" borderId="53" xfId="0" applyFont="1" applyBorder="1" applyAlignment="1">
      <alignment vertical="top"/>
    </xf>
    <xf numFmtId="0" fontId="13" fillId="0" borderId="48" xfId="0" applyFont="1" applyBorder="1"/>
    <xf numFmtId="0" fontId="14" fillId="0" borderId="49" xfId="546" applyFont="1" applyBorder="1"/>
    <xf numFmtId="0" fontId="0" fillId="0" borderId="49" xfId="0" applyBorder="1" applyAlignment="1">
      <alignment horizontal="center"/>
    </xf>
    <xf numFmtId="0" fontId="14" fillId="0" borderId="52" xfId="546" applyFont="1" applyBorder="1"/>
    <xf numFmtId="0" fontId="14" fillId="0" borderId="53" xfId="546" applyFont="1" applyBorder="1"/>
    <xf numFmtId="0" fontId="13" fillId="0" borderId="49" xfId="0" applyFont="1" applyBorder="1" applyAlignment="1">
      <alignment horizontal="left" vertical="top"/>
    </xf>
    <xf numFmtId="0" fontId="13" fillId="0" borderId="52" xfId="0" applyFont="1" applyBorder="1" applyAlignment="1">
      <alignment horizontal="left" vertical="top"/>
    </xf>
    <xf numFmtId="0" fontId="13" fillId="0" borderId="53" xfId="0" applyFont="1" applyBorder="1" applyAlignment="1">
      <alignment horizontal="center" vertical="top"/>
    </xf>
    <xf numFmtId="0" fontId="0" fillId="0" borderId="53" xfId="0" applyBorder="1"/>
    <xf numFmtId="0" fontId="13" fillId="0" borderId="53" xfId="0" applyFont="1" applyBorder="1" applyAlignment="1">
      <alignment horizontal="left" vertical="top"/>
    </xf>
    <xf numFmtId="0" fontId="12" fillId="0" borderId="53" xfId="0" applyFont="1" applyBorder="1" applyAlignment="1">
      <alignment vertical="top"/>
    </xf>
    <xf numFmtId="0" fontId="12" fillId="0" borderId="53" xfId="0" applyFont="1" applyBorder="1" applyAlignment="1">
      <alignment horizontal="left" vertical="top"/>
    </xf>
    <xf numFmtId="0" fontId="12" fillId="0" borderId="47" xfId="0" applyFont="1" applyBorder="1" applyAlignment="1">
      <alignment horizontal="left" vertical="top"/>
    </xf>
    <xf numFmtId="0" fontId="13" fillId="0" borderId="47" xfId="0" applyFont="1" applyBorder="1" applyAlignment="1">
      <alignment horizontal="left" vertical="top"/>
    </xf>
    <xf numFmtId="0" fontId="12" fillId="0" borderId="49" xfId="0" applyFont="1" applyBorder="1" applyAlignment="1">
      <alignment horizontal="left" vertical="top"/>
    </xf>
    <xf numFmtId="0" fontId="76" fillId="0" borderId="0" xfId="0" applyFont="1"/>
    <xf numFmtId="0" fontId="22" fillId="0" borderId="49" xfId="0" applyFont="1" applyBorder="1"/>
    <xf numFmtId="0" fontId="0" fillId="0" borderId="49" xfId="0" applyBorder="1"/>
    <xf numFmtId="1" fontId="12" fillId="0" borderId="53" xfId="0" applyNumberFormat="1" applyFont="1" applyBorder="1" applyAlignment="1">
      <alignment vertical="top"/>
    </xf>
    <xf numFmtId="0" fontId="12" fillId="0" borderId="46" xfId="0" applyFont="1" applyBorder="1" applyAlignment="1">
      <alignment horizontal="left" vertical="top"/>
    </xf>
    <xf numFmtId="0" fontId="28" fillId="0" borderId="47" xfId="0" applyFont="1" applyBorder="1" applyAlignment="1">
      <alignment horizontal="left" vertical="top"/>
    </xf>
    <xf numFmtId="0" fontId="14" fillId="0" borderId="47" xfId="0" quotePrefix="1" applyFont="1" applyBorder="1" applyAlignment="1">
      <alignment horizontal="center" vertical="top"/>
    </xf>
    <xf numFmtId="0" fontId="12" fillId="0" borderId="47" xfId="0" applyFont="1" applyBorder="1"/>
    <xf numFmtId="0" fontId="12" fillId="0" borderId="47" xfId="0" applyFont="1" applyBorder="1" applyAlignment="1">
      <alignment horizontal="center"/>
    </xf>
    <xf numFmtId="0" fontId="12" fillId="0" borderId="47" xfId="0" applyFont="1" applyBorder="1" applyAlignment="1">
      <alignment vertical="top"/>
    </xf>
    <xf numFmtId="0" fontId="12" fillId="0" borderId="49" xfId="0" applyFont="1" applyBorder="1"/>
    <xf numFmtId="0" fontId="14" fillId="0" borderId="52" xfId="0" applyFont="1" applyBorder="1"/>
    <xf numFmtId="0" fontId="5" fillId="0" borderId="50" xfId="546" applyBorder="1"/>
    <xf numFmtId="0" fontId="5" fillId="0" borderId="47" xfId="0" quotePrefix="1" applyFont="1" applyBorder="1" applyAlignment="1">
      <alignment horizontal="center" vertical="top"/>
    </xf>
    <xf numFmtId="0" fontId="24" fillId="0" borderId="46" xfId="0" applyFont="1" applyBorder="1"/>
    <xf numFmtId="0" fontId="13" fillId="0" borderId="47" xfId="0" applyFont="1" applyBorder="1" applyAlignment="1">
      <alignment horizontal="center" vertical="top"/>
    </xf>
    <xf numFmtId="0" fontId="13" fillId="0" borderId="47" xfId="0" applyFont="1" applyBorder="1" applyAlignment="1">
      <alignment vertical="top" wrapText="1"/>
    </xf>
    <xf numFmtId="0" fontId="13" fillId="0" borderId="47" xfId="0" applyFont="1" applyBorder="1" applyAlignment="1">
      <alignment horizontal="left" vertical="top" wrapText="1"/>
    </xf>
    <xf numFmtId="0" fontId="5" fillId="0" borderId="0" xfId="273" applyFont="1"/>
    <xf numFmtId="0" fontId="10" fillId="0" borderId="0" xfId="273" applyFont="1" applyAlignment="1">
      <alignment horizontal="left" vertical="top"/>
    </xf>
    <xf numFmtId="0" fontId="10" fillId="0" borderId="0" xfId="273" applyFont="1" applyAlignment="1">
      <alignment vertical="top"/>
    </xf>
    <xf numFmtId="0" fontId="10" fillId="0" borderId="57" xfId="273" applyFont="1" applyBorder="1"/>
    <xf numFmtId="0" fontId="10" fillId="0" borderId="50" xfId="273" applyFont="1" applyBorder="1"/>
    <xf numFmtId="0" fontId="58" fillId="0" borderId="50" xfId="273" applyFont="1" applyBorder="1" applyAlignment="1">
      <alignment vertical="center" wrapText="1"/>
    </xf>
    <xf numFmtId="0" fontId="10" fillId="0" borderId="58" xfId="273" applyFont="1" applyBorder="1"/>
    <xf numFmtId="0" fontId="28" fillId="0" borderId="47" xfId="273" applyFont="1" applyBorder="1" applyAlignment="1">
      <alignment horizontal="center"/>
    </xf>
    <xf numFmtId="0" fontId="10" fillId="0" borderId="53" xfId="273" applyFont="1" applyBorder="1" applyAlignment="1">
      <alignment horizontal="center"/>
    </xf>
    <xf numFmtId="0" fontId="10" fillId="0" borderId="54" xfId="273" applyFont="1" applyBorder="1" applyAlignment="1">
      <alignment horizontal="center"/>
    </xf>
    <xf numFmtId="0" fontId="10" fillId="0" borderId="47" xfId="273" applyFont="1" applyBorder="1" applyAlignment="1">
      <alignment horizontal="center"/>
    </xf>
    <xf numFmtId="0" fontId="10" fillId="0" borderId="59" xfId="273" applyFont="1" applyBorder="1" applyAlignment="1">
      <alignment horizontal="center"/>
    </xf>
    <xf numFmtId="0" fontId="5" fillId="0" borderId="47" xfId="273" applyFont="1" applyBorder="1"/>
    <xf numFmtId="0" fontId="5" fillId="0" borderId="48" xfId="273" applyFont="1" applyBorder="1"/>
    <xf numFmtId="0" fontId="5" fillId="0" borderId="53" xfId="273" applyFont="1" applyBorder="1"/>
    <xf numFmtId="0" fontId="5" fillId="0" borderId="54" xfId="273" applyFont="1" applyBorder="1"/>
    <xf numFmtId="0" fontId="5" fillId="0" borderId="59" xfId="273" applyFont="1" applyBorder="1"/>
    <xf numFmtId="0" fontId="5" fillId="0" borderId="60" xfId="273" applyFont="1" applyBorder="1"/>
    <xf numFmtId="0" fontId="117" fillId="0" borderId="46" xfId="273" applyFont="1" applyBorder="1" applyAlignment="1">
      <alignment horizontal="left"/>
    </xf>
    <xf numFmtId="0" fontId="117" fillId="0" borderId="52" xfId="273" applyFont="1" applyBorder="1" applyAlignment="1">
      <alignment horizontal="left"/>
    </xf>
    <xf numFmtId="0" fontId="118" fillId="0" borderId="46" xfId="273" applyFont="1" applyBorder="1" applyAlignment="1">
      <alignment horizontal="left"/>
    </xf>
    <xf numFmtId="0" fontId="118" fillId="0" borderId="5" xfId="273" applyFont="1" applyBorder="1" applyAlignment="1">
      <alignment horizontal="center"/>
    </xf>
    <xf numFmtId="0" fontId="5" fillId="0" borderId="0" xfId="0" applyFont="1" applyAlignment="1">
      <alignment vertical="top" wrapText="1"/>
    </xf>
    <xf numFmtId="0" fontId="0" fillId="0" borderId="6" xfId="0" applyBorder="1"/>
    <xf numFmtId="0" fontId="12" fillId="0" borderId="0" xfId="0" applyFont="1" applyAlignment="1">
      <alignment horizontal="center" wrapText="1"/>
    </xf>
    <xf numFmtId="166" fontId="20" fillId="0" borderId="0" xfId="0" applyNumberFormat="1" applyFont="1" applyAlignment="1">
      <alignment horizontal="center" vertical="center"/>
    </xf>
    <xf numFmtId="0" fontId="120" fillId="0" borderId="0" xfId="0" applyFont="1" applyAlignment="1">
      <alignment horizontal="left" vertical="top"/>
    </xf>
    <xf numFmtId="0" fontId="12" fillId="0" borderId="50" xfId="0" applyFont="1" applyBorder="1" applyAlignment="1">
      <alignment horizontal="center"/>
    </xf>
    <xf numFmtId="0" fontId="12" fillId="0" borderId="53" xfId="0" applyFont="1" applyBorder="1" applyAlignment="1">
      <alignment horizontal="center"/>
    </xf>
    <xf numFmtId="0" fontId="12" fillId="0" borderId="54" xfId="0" applyFont="1" applyBorder="1" applyAlignment="1">
      <alignment horizontal="center"/>
    </xf>
    <xf numFmtId="0" fontId="12" fillId="0" borderId="50" xfId="0" applyFont="1" applyBorder="1" applyAlignment="1">
      <alignment horizontal="center" vertical="top"/>
    </xf>
    <xf numFmtId="0" fontId="12" fillId="0" borderId="48" xfId="0" applyFont="1" applyBorder="1" applyAlignment="1">
      <alignment horizontal="center"/>
    </xf>
    <xf numFmtId="0" fontId="55" fillId="0" borderId="0" xfId="0" applyFont="1" applyAlignment="1">
      <alignment vertical="top" wrapText="1"/>
    </xf>
    <xf numFmtId="0" fontId="14" fillId="0" borderId="47" xfId="0" applyFont="1" applyBorder="1"/>
    <xf numFmtId="0" fontId="10" fillId="0" borderId="0" xfId="273" applyFont="1" applyAlignment="1">
      <alignment wrapText="1"/>
    </xf>
    <xf numFmtId="0" fontId="59" fillId="0" borderId="0" xfId="273" applyFont="1" applyAlignment="1">
      <alignment horizontal="center" vertical="top"/>
    </xf>
    <xf numFmtId="0" fontId="108" fillId="0" borderId="47" xfId="273" applyFont="1" applyBorder="1" applyAlignment="1">
      <alignment horizontal="left"/>
    </xf>
    <xf numFmtId="0" fontId="117" fillId="0" borderId="47" xfId="273" applyFont="1" applyBorder="1" applyAlignment="1">
      <alignment horizontal="left"/>
    </xf>
    <xf numFmtId="0" fontId="5" fillId="0" borderId="61" xfId="273" applyFont="1" applyBorder="1"/>
    <xf numFmtId="4" fontId="14" fillId="0" borderId="0" xfId="0" applyNumberFormat="1" applyFont="1" applyAlignment="1">
      <alignment vertical="top" wrapText="1"/>
    </xf>
    <xf numFmtId="0" fontId="12" fillId="0" borderId="10" xfId="0" applyFont="1" applyBorder="1" applyAlignment="1">
      <alignment horizontal="right"/>
    </xf>
    <xf numFmtId="0" fontId="28" fillId="0" borderId="0" xfId="0" applyFont="1" applyAlignment="1">
      <alignment vertical="center" wrapText="1"/>
    </xf>
    <xf numFmtId="0" fontId="28" fillId="0" borderId="0" xfId="0" applyFont="1" applyAlignment="1">
      <alignment vertical="center"/>
    </xf>
    <xf numFmtId="0" fontId="28" fillId="0" borderId="0" xfId="0" applyFont="1" applyAlignment="1">
      <alignment horizontal="left"/>
    </xf>
    <xf numFmtId="4" fontId="5" fillId="0" borderId="0" xfId="0" applyNumberFormat="1" applyFont="1" applyAlignment="1">
      <alignment horizontal="center"/>
    </xf>
    <xf numFmtId="4" fontId="5"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3" fillId="0" borderId="53" xfId="0" applyFont="1" applyBorder="1" applyAlignment="1">
      <alignment horizontal="left" vertical="top" wrapText="1"/>
    </xf>
    <xf numFmtId="0" fontId="5" fillId="0" borderId="0" xfId="0" applyFont="1" applyAlignment="1">
      <alignment wrapText="1"/>
    </xf>
    <xf numFmtId="0" fontId="0" fillId="0" borderId="5" xfId="0" applyBorder="1" applyAlignment="1">
      <alignment horizontal="left" wrapText="1"/>
    </xf>
    <xf numFmtId="10" fontId="5" fillId="0" borderId="0" xfId="0" applyNumberFormat="1" applyFont="1" applyAlignment="1">
      <alignment horizontal="center"/>
    </xf>
    <xf numFmtId="169" fontId="10" fillId="51" borderId="0" xfId="0" applyNumberFormat="1" applyFont="1" applyFill="1"/>
    <xf numFmtId="2" fontId="14" fillId="0" borderId="12" xfId="273" applyNumberFormat="1" applyBorder="1" applyAlignment="1">
      <alignment horizontal="center"/>
    </xf>
    <xf numFmtId="3" fontId="5" fillId="0" borderId="0" xfId="273" applyNumberFormat="1" applyFont="1"/>
    <xf numFmtId="169" fontId="5" fillId="0" borderId="0" xfId="273" applyNumberFormat="1" applyFont="1"/>
    <xf numFmtId="3" fontId="5" fillId="0" borderId="5" xfId="273" applyNumberFormat="1" applyFont="1" applyBorder="1"/>
    <xf numFmtId="169" fontId="5" fillId="0" borderId="0" xfId="0" applyNumberFormat="1" applyFont="1"/>
    <xf numFmtId="169" fontId="14" fillId="0" borderId="12" xfId="273" applyNumberFormat="1" applyBorder="1" applyAlignment="1">
      <alignment horizontal="center"/>
    </xf>
    <xf numFmtId="10" fontId="14" fillId="0" borderId="12" xfId="273" applyNumberFormat="1" applyBorder="1" applyAlignment="1">
      <alignment horizontal="center"/>
    </xf>
    <xf numFmtId="3" fontId="5" fillId="0" borderId="0" xfId="0" applyNumberFormat="1" applyFont="1"/>
    <xf numFmtId="3" fontId="5" fillId="0" borderId="5" xfId="0" applyNumberFormat="1" applyFont="1" applyBorder="1"/>
    <xf numFmtId="164" fontId="5" fillId="0" borderId="0" xfId="574" applyNumberFormat="1" applyAlignment="1">
      <alignment vertical="top" wrapText="1"/>
    </xf>
    <xf numFmtId="0" fontId="12" fillId="0" borderId="13" xfId="0" applyFont="1" applyBorder="1"/>
    <xf numFmtId="0" fontId="13" fillId="0" borderId="13" xfId="0" applyFont="1" applyBorder="1"/>
    <xf numFmtId="0" fontId="13" fillId="0" borderId="74" xfId="0" applyFont="1" applyBorder="1"/>
    <xf numFmtId="0" fontId="12" fillId="0" borderId="54" xfId="0" applyFont="1" applyBorder="1" applyAlignment="1">
      <alignment vertical="top"/>
    </xf>
    <xf numFmtId="0" fontId="0" fillId="0" borderId="52" xfId="0" applyBorder="1"/>
    <xf numFmtId="169" fontId="5" fillId="0" borderId="0" xfId="0" applyNumberFormat="1" applyFont="1" applyAlignment="1">
      <alignment horizontal="right"/>
    </xf>
    <xf numFmtId="0" fontId="5" fillId="0" borderId="9" xfId="0" applyFont="1" applyBorder="1" applyAlignment="1">
      <alignment horizontal="left"/>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0" fillId="0" borderId="13" xfId="0" applyBorder="1" applyAlignment="1">
      <alignment horizontal="center"/>
    </xf>
    <xf numFmtId="0" fontId="5" fillId="0" borderId="9" xfId="0" applyFont="1" applyBorder="1"/>
    <xf numFmtId="0" fontId="110" fillId="0" borderId="0" xfId="0" applyFont="1"/>
    <xf numFmtId="0" fontId="5" fillId="0" borderId="12" xfId="546" applyBorder="1"/>
    <xf numFmtId="0" fontId="5" fillId="0" borderId="8" xfId="546" applyBorder="1"/>
    <xf numFmtId="0" fontId="12" fillId="0" borderId="8" xfId="0" applyFont="1" applyBorder="1"/>
    <xf numFmtId="0" fontId="12" fillId="0" borderId="3" xfId="574" applyFont="1" applyBorder="1"/>
    <xf numFmtId="0" fontId="12" fillId="0" borderId="4" xfId="574" applyFont="1" applyBorder="1"/>
    <xf numFmtId="0" fontId="12" fillId="0" borderId="8" xfId="574" applyFont="1" applyBorder="1"/>
    <xf numFmtId="0" fontId="12" fillId="0" borderId="0" xfId="574" applyFont="1"/>
    <xf numFmtId="0" fontId="5" fillId="0" borderId="0" xfId="574"/>
    <xf numFmtId="0" fontId="13" fillId="0" borderId="0" xfId="574" applyFont="1" applyAlignment="1">
      <alignment horizontal="center"/>
    </xf>
    <xf numFmtId="0" fontId="13" fillId="0" borderId="5" xfId="574" applyFont="1" applyBorder="1" applyAlignment="1">
      <alignment horizontal="right"/>
    </xf>
    <xf numFmtId="0" fontId="13" fillId="0" borderId="5" xfId="574" applyFont="1" applyBorder="1" applyAlignment="1">
      <alignment horizontal="left"/>
    </xf>
    <xf numFmtId="1" fontId="5" fillId="0" borderId="18" xfId="574" applyNumberFormat="1" applyBorder="1"/>
    <xf numFmtId="1" fontId="12" fillId="0" borderId="15" xfId="574" applyNumberFormat="1" applyFont="1" applyBorder="1"/>
    <xf numFmtId="165" fontId="12" fillId="0" borderId="12" xfId="574" applyNumberFormat="1" applyFont="1" applyBorder="1"/>
    <xf numFmtId="1" fontId="5" fillId="0" borderId="12" xfId="574" applyNumberFormat="1" applyBorder="1"/>
    <xf numFmtId="165" fontId="5" fillId="0" borderId="12" xfId="574" applyNumberFormat="1" applyBorder="1"/>
    <xf numFmtId="171" fontId="5" fillId="0" borderId="12" xfId="574" applyNumberFormat="1" applyBorder="1"/>
    <xf numFmtId="0" fontId="24" fillId="0" borderId="11" xfId="546" applyFont="1" applyBorder="1"/>
    <xf numFmtId="0" fontId="5" fillId="0" borderId="13" xfId="546" quotePrefix="1" applyBorder="1"/>
    <xf numFmtId="0" fontId="12" fillId="0" borderId="13" xfId="546" applyFont="1" applyBorder="1" applyAlignment="1">
      <alignment horizontal="center" vertical="top"/>
    </xf>
    <xf numFmtId="0" fontId="13" fillId="0" borderId="7" xfId="546" applyFont="1" applyBorder="1" applyAlignment="1">
      <alignment horizontal="left" vertical="top" wrapText="1"/>
    </xf>
    <xf numFmtId="0" fontId="13" fillId="0" borderId="13" xfId="546" applyFont="1" applyBorder="1" applyAlignment="1">
      <alignment horizontal="center" vertical="top" wrapText="1"/>
    </xf>
    <xf numFmtId="0" fontId="13" fillId="0" borderId="1" xfId="546" applyFont="1" applyBorder="1" applyAlignment="1">
      <alignment horizontal="left" vertical="top" wrapText="1"/>
    </xf>
    <xf numFmtId="0" fontId="13" fillId="0" borderId="2" xfId="546" applyFont="1" applyBorder="1" applyAlignment="1">
      <alignment horizontal="center" vertical="top" wrapText="1"/>
    </xf>
    <xf numFmtId="0" fontId="13" fillId="0" borderId="0" xfId="546" applyFont="1" applyAlignment="1">
      <alignment horizontal="center" vertical="top" wrapText="1"/>
    </xf>
    <xf numFmtId="0" fontId="13" fillId="0" borderId="9" xfId="546" applyFont="1" applyBorder="1" applyAlignment="1">
      <alignment horizontal="left" vertical="top" wrapText="1"/>
    </xf>
    <xf numFmtId="0" fontId="13" fillId="0" borderId="5" xfId="546" applyFont="1" applyBorder="1" applyAlignment="1">
      <alignment horizontal="center" vertical="top" wrapText="1"/>
    </xf>
    <xf numFmtId="0" fontId="22" fillId="0" borderId="9" xfId="546" applyFont="1" applyBorder="1" applyAlignment="1">
      <alignment horizontal="left" vertical="top" wrapText="1"/>
    </xf>
    <xf numFmtId="0" fontId="22" fillId="0" borderId="7" xfId="546" applyFont="1" applyBorder="1" applyAlignment="1">
      <alignment horizontal="left" vertical="top" wrapText="1"/>
    </xf>
    <xf numFmtId="0" fontId="22" fillId="0" borderId="0" xfId="546" applyFont="1" applyAlignment="1">
      <alignment horizontal="center" vertical="top" wrapText="1"/>
    </xf>
    <xf numFmtId="0" fontId="50" fillId="0" borderId="9" xfId="546" applyFont="1" applyBorder="1" applyAlignment="1">
      <alignment vertical="top"/>
    </xf>
    <xf numFmtId="0" fontId="32" fillId="0" borderId="7" xfId="546" applyFont="1" applyBorder="1" applyAlignment="1">
      <alignment vertical="center" wrapText="1"/>
    </xf>
    <xf numFmtId="0" fontId="32" fillId="0" borderId="0" xfId="546" applyFont="1" applyAlignment="1">
      <alignment vertical="center" wrapText="1"/>
    </xf>
    <xf numFmtId="0" fontId="32" fillId="0" borderId="13" xfId="546" applyFont="1" applyBorder="1" applyAlignment="1">
      <alignment vertical="center" wrapText="1"/>
    </xf>
    <xf numFmtId="0" fontId="32" fillId="0" borderId="9" xfId="546" applyFont="1" applyBorder="1" applyAlignment="1">
      <alignment vertical="center" wrapText="1"/>
    </xf>
    <xf numFmtId="0" fontId="32" fillId="0" borderId="5" xfId="546" applyFont="1" applyBorder="1" applyAlignment="1">
      <alignment vertical="center" wrapText="1"/>
    </xf>
    <xf numFmtId="0" fontId="32" fillId="0" borderId="10" xfId="546" applyFont="1" applyBorder="1" applyAlignment="1">
      <alignment vertical="center" wrapText="1"/>
    </xf>
    <xf numFmtId="0" fontId="12" fillId="0" borderId="11" xfId="546" applyFont="1" applyBorder="1" applyAlignment="1">
      <alignment horizontal="right"/>
    </xf>
    <xf numFmtId="0" fontId="22" fillId="0" borderId="4" xfId="546" applyFont="1" applyBorder="1" applyAlignment="1">
      <alignment horizontal="right" vertical="top" wrapText="1"/>
    </xf>
    <xf numFmtId="0" fontId="25" fillId="0" borderId="0" xfId="0" applyFont="1" applyAlignment="1">
      <alignment horizontal="left"/>
    </xf>
    <xf numFmtId="0" fontId="5" fillId="0" borderId="0" xfId="259" applyFont="1" applyAlignment="1">
      <alignment horizontal="center"/>
    </xf>
    <xf numFmtId="0" fontId="46" fillId="0" borderId="0" xfId="259" applyFont="1" applyAlignment="1">
      <alignment horizontal="center"/>
    </xf>
    <xf numFmtId="0" fontId="5" fillId="0" borderId="0" xfId="259" applyFont="1" applyAlignment="1">
      <alignment horizontal="left" vertical="top" wrapText="1"/>
    </xf>
    <xf numFmtId="0" fontId="42" fillId="2" borderId="12" xfId="574" applyFont="1" applyFill="1" applyBorder="1" applyAlignment="1">
      <alignment horizontal="left" vertical="top" wrapText="1"/>
    </xf>
    <xf numFmtId="0" fontId="28" fillId="0" borderId="12" xfId="259" applyFont="1" applyBorder="1" applyAlignment="1">
      <alignment horizontal="right" vertical="top" wrapText="1"/>
    </xf>
    <xf numFmtId="0" fontId="49" fillId="0" borderId="12" xfId="259" applyFont="1" applyBorder="1" applyAlignment="1">
      <alignment horizontal="right" vertical="top" wrapText="1"/>
    </xf>
    <xf numFmtId="0" fontId="28" fillId="0" borderId="12" xfId="259" applyFont="1" applyBorder="1" applyAlignment="1">
      <alignment horizontal="right" vertical="top"/>
    </xf>
    <xf numFmtId="0" fontId="12" fillId="0" borderId="12" xfId="574" applyFont="1" applyBorder="1" applyAlignment="1">
      <alignment horizontal="right" vertical="top" wrapText="1"/>
    </xf>
    <xf numFmtId="0" fontId="5" fillId="0" borderId="12" xfId="574" applyBorder="1" applyAlignment="1">
      <alignment horizontal="right" vertical="top" wrapText="1"/>
    </xf>
    <xf numFmtId="0" fontId="5" fillId="0" borderId="12" xfId="574" applyBorder="1" applyAlignment="1" applyProtection="1">
      <alignment horizontal="right" vertical="top" wrapText="1"/>
      <protection locked="0"/>
    </xf>
    <xf numFmtId="0" fontId="23" fillId="0" borderId="12" xfId="574" applyFont="1" applyBorder="1" applyAlignment="1">
      <alignment horizontal="right" vertical="top" wrapText="1"/>
    </xf>
    <xf numFmtId="0" fontId="28" fillId="0" borderId="12" xfId="574" applyFont="1" applyBorder="1" applyAlignment="1">
      <alignment horizontal="right" vertical="top"/>
    </xf>
    <xf numFmtId="0" fontId="5" fillId="7" borderId="12" xfId="574" applyFill="1" applyBorder="1" applyAlignment="1" applyProtection="1">
      <alignment horizontal="right" vertical="top" wrapText="1"/>
      <protection locked="0"/>
    </xf>
    <xf numFmtId="0" fontId="14" fillId="7" borderId="8" xfId="0" applyFont="1" applyFill="1" applyBorder="1" applyAlignment="1" applyProtection="1">
      <alignment vertical="top" wrapText="1"/>
      <protection locked="0"/>
    </xf>
    <xf numFmtId="169" fontId="14" fillId="0" borderId="12" xfId="0" applyNumberFormat="1" applyFont="1" applyBorder="1" applyAlignment="1" applyProtection="1">
      <alignment vertical="top" wrapText="1"/>
      <protection locked="0"/>
    </xf>
    <xf numFmtId="0" fontId="6" fillId="0" borderId="0" xfId="245" applyProtection="1"/>
    <xf numFmtId="0" fontId="128" fillId="0" borderId="0" xfId="575" applyFont="1"/>
    <xf numFmtId="0" fontId="128" fillId="0" borderId="0" xfId="575" applyFont="1" applyAlignment="1">
      <alignment wrapText="1"/>
    </xf>
    <xf numFmtId="0" fontId="129" fillId="0" borderId="0" xfId="575" applyFont="1"/>
    <xf numFmtId="180" fontId="130" fillId="0" borderId="0" xfId="576" applyNumberFormat="1" applyFont="1"/>
    <xf numFmtId="0" fontId="131" fillId="0" borderId="0" xfId="575" applyFont="1" applyAlignment="1">
      <alignment vertical="center" wrapText="1"/>
    </xf>
    <xf numFmtId="49" fontId="128" fillId="0" borderId="0" xfId="575" applyNumberFormat="1" applyFont="1" applyAlignment="1">
      <alignment horizontal="center"/>
    </xf>
    <xf numFmtId="169" fontId="128" fillId="0" borderId="0" xfId="577" applyNumberFormat="1" applyFont="1" applyFill="1" applyBorder="1" applyAlignment="1">
      <alignment vertical="center"/>
    </xf>
    <xf numFmtId="181" fontId="128" fillId="0" borderId="0" xfId="575" applyNumberFormat="1" applyFont="1"/>
    <xf numFmtId="0" fontId="128" fillId="0" borderId="0" xfId="575" applyFont="1" applyAlignment="1">
      <alignment horizontal="center"/>
    </xf>
    <xf numFmtId="0" fontId="133" fillId="0" borderId="0" xfId="575" applyFont="1"/>
    <xf numFmtId="0" fontId="134" fillId="0" borderId="0" xfId="575" applyFont="1"/>
    <xf numFmtId="0" fontId="128" fillId="0" borderId="0" xfId="575" applyFont="1" applyAlignment="1">
      <alignment horizontal="left"/>
    </xf>
    <xf numFmtId="2" fontId="128" fillId="0" borderId="0" xfId="575" applyNumberFormat="1" applyFont="1" applyAlignment="1">
      <alignment horizontal="center"/>
    </xf>
    <xf numFmtId="180" fontId="128" fillId="0" borderId="0" xfId="575" applyNumberFormat="1" applyFont="1"/>
    <xf numFmtId="7" fontId="129" fillId="0" borderId="0" xfId="575" applyNumberFormat="1" applyFont="1"/>
    <xf numFmtId="165" fontId="130" fillId="0" borderId="0" xfId="577" applyNumberFormat="1" applyFont="1"/>
    <xf numFmtId="165" fontId="130" fillId="0" borderId="0" xfId="577" applyNumberFormat="1" applyFont="1" applyFill="1" applyBorder="1"/>
    <xf numFmtId="0" fontId="128" fillId="0" borderId="0" xfId="575" applyFont="1" applyAlignment="1">
      <alignment vertical="top" wrapText="1"/>
    </xf>
    <xf numFmtId="0" fontId="5" fillId="50" borderId="0" xfId="574" applyFill="1"/>
    <xf numFmtId="0" fontId="5" fillId="50" borderId="0" xfId="766" applyFill="1"/>
    <xf numFmtId="169" fontId="128" fillId="0" borderId="0" xfId="577" applyNumberFormat="1" applyFont="1" applyFill="1" applyBorder="1" applyAlignment="1" applyProtection="1">
      <alignment vertical="center"/>
    </xf>
    <xf numFmtId="5" fontId="128" fillId="51" borderId="5" xfId="164" applyNumberFormat="1" applyFont="1" applyFill="1" applyBorder="1" applyAlignment="1" applyProtection="1">
      <protection locked="0"/>
    </xf>
    <xf numFmtId="0" fontId="129" fillId="0" borderId="0" xfId="575" applyFont="1" applyAlignment="1">
      <alignment wrapText="1"/>
    </xf>
    <xf numFmtId="0" fontId="135" fillId="0" borderId="0" xfId="0" applyFont="1"/>
    <xf numFmtId="0" fontId="5" fillId="0" borderId="0" xfId="273" applyFont="1" applyAlignment="1">
      <alignment vertical="top" wrapText="1"/>
    </xf>
    <xf numFmtId="0" fontId="12" fillId="0" borderId="0" xfId="0" applyFont="1" applyAlignment="1">
      <alignment vertical="center"/>
    </xf>
    <xf numFmtId="0" fontId="5" fillId="0" borderId="0" xfId="0" applyFont="1" applyAlignment="1">
      <alignment horizontal="right"/>
    </xf>
    <xf numFmtId="1" fontId="5" fillId="0" borderId="0" xfId="0" applyNumberFormat="1" applyFont="1" applyAlignment="1">
      <alignment horizontal="center"/>
    </xf>
    <xf numFmtId="169" fontId="5" fillId="0" borderId="0" xfId="0" applyNumberFormat="1" applyFont="1" applyAlignment="1">
      <alignment horizontal="center"/>
    </xf>
    <xf numFmtId="0" fontId="5" fillId="0" borderId="0" xfId="273" applyFont="1" applyAlignment="1">
      <alignment horizontal="left"/>
    </xf>
    <xf numFmtId="0" fontId="5" fillId="0" borderId="0" xfId="0" applyFont="1" applyAlignment="1">
      <alignment vertical="top"/>
    </xf>
    <xf numFmtId="0" fontId="12" fillId="0" borderId="0" xfId="766" applyFont="1" applyAlignment="1">
      <alignment vertical="top"/>
    </xf>
    <xf numFmtId="0" fontId="12" fillId="0" borderId="0" xfId="245" applyFont="1" applyAlignment="1"/>
    <xf numFmtId="0" fontId="5" fillId="0" borderId="0" xfId="766" applyAlignment="1">
      <alignment vertical="top"/>
    </xf>
    <xf numFmtId="0" fontId="5" fillId="0" borderId="0" xfId="766" applyAlignment="1">
      <alignment vertical="top" wrapText="1"/>
    </xf>
    <xf numFmtId="0" fontId="5" fillId="0" borderId="0" xfId="766"/>
    <xf numFmtId="0" fontId="12" fillId="0" borderId="0" xfId="766" applyFont="1"/>
    <xf numFmtId="0" fontId="14" fillId="0" borderId="0" xfId="259" applyAlignment="1">
      <alignment vertical="top" wrapText="1"/>
    </xf>
    <xf numFmtId="0" fontId="116" fillId="0" borderId="0" xfId="0" applyFont="1"/>
    <xf numFmtId="0" fontId="10" fillId="51" borderId="0" xfId="273" applyFont="1" applyFill="1"/>
    <xf numFmtId="3" fontId="71" fillId="51" borderId="5" xfId="273" applyNumberFormat="1" applyFont="1" applyFill="1" applyBorder="1"/>
    <xf numFmtId="0" fontId="137" fillId="0" borderId="0" xfId="0" applyFont="1"/>
    <xf numFmtId="0" fontId="139" fillId="0" borderId="0" xfId="0" applyFont="1"/>
    <xf numFmtId="0" fontId="140" fillId="0" borderId="0" xfId="0" applyFont="1" applyAlignment="1">
      <alignment horizontal="center"/>
    </xf>
    <xf numFmtId="0" fontId="14" fillId="0" borderId="0" xfId="273" applyAlignment="1">
      <alignment horizontal="right"/>
    </xf>
    <xf numFmtId="0" fontId="14" fillId="51" borderId="3" xfId="259" applyFill="1" applyBorder="1"/>
    <xf numFmtId="3" fontId="10" fillId="51" borderId="12" xfId="0" applyNumberFormat="1" applyFont="1" applyFill="1" applyBorder="1" applyProtection="1">
      <protection locked="0"/>
    </xf>
    <xf numFmtId="3" fontId="10" fillId="0" borderId="12" xfId="0" applyNumberFormat="1" applyFont="1" applyBorder="1" applyAlignment="1" applyProtection="1">
      <alignment horizontal="center"/>
      <protection locked="0"/>
    </xf>
    <xf numFmtId="3" fontId="10" fillId="0" borderId="12" xfId="0" applyNumberFormat="1" applyFont="1" applyBorder="1" applyAlignment="1">
      <alignment horizontal="center"/>
    </xf>
    <xf numFmtId="0" fontId="58" fillId="0" borderId="0" xfId="0" applyFont="1" applyAlignment="1">
      <alignment horizontal="center" vertical="center"/>
    </xf>
    <xf numFmtId="0" fontId="141" fillId="0" borderId="0" xfId="0" applyFont="1" applyAlignment="1">
      <alignment horizontal="center" vertical="center"/>
    </xf>
    <xf numFmtId="0" fontId="14" fillId="51" borderId="5" xfId="0" applyFont="1" applyFill="1" applyBorder="1" applyAlignment="1" applyProtection="1">
      <alignment vertical="top" wrapText="1"/>
      <protection locked="0"/>
    </xf>
    <xf numFmtId="3" fontId="37" fillId="4" borderId="0" xfId="546" applyNumberFormat="1" applyFont="1" applyFill="1" applyAlignment="1">
      <alignment vertical="center" wrapText="1"/>
    </xf>
    <xf numFmtId="169" fontId="14" fillId="0" borderId="3" xfId="273" applyNumberFormat="1" applyBorder="1" applyAlignment="1">
      <alignment vertical="top"/>
    </xf>
    <xf numFmtId="169" fontId="14" fillId="0" borderId="4" xfId="273" applyNumberFormat="1" applyBorder="1" applyAlignment="1">
      <alignment vertical="top"/>
    </xf>
    <xf numFmtId="2" fontId="10" fillId="0" borderId="31" xfId="273" applyNumberFormat="1" applyFont="1" applyBorder="1" applyAlignment="1">
      <alignment vertical="center"/>
    </xf>
    <xf numFmtId="0" fontId="10" fillId="0" borderId="0" xfId="0" applyFont="1" applyAlignment="1">
      <alignment vertical="center"/>
    </xf>
    <xf numFmtId="2" fontId="5" fillId="0" borderId="0" xfId="573" applyNumberFormat="1" applyFont="1" applyFill="1"/>
    <xf numFmtId="9" fontId="5" fillId="0" borderId="0" xfId="273" applyNumberFormat="1" applyFont="1"/>
    <xf numFmtId="1" fontId="5" fillId="0" borderId="0" xfId="546" applyNumberFormat="1" applyAlignment="1">
      <alignment horizontal="center"/>
    </xf>
    <xf numFmtId="0" fontId="5" fillId="0" borderId="0" xfId="546" quotePrefix="1"/>
    <xf numFmtId="169" fontId="143" fillId="0" borderId="0" xfId="0" applyNumberFormat="1" applyFont="1" applyAlignment="1">
      <alignment vertical="center"/>
    </xf>
    <xf numFmtId="169" fontId="5" fillId="0" borderId="0" xfId="0" applyNumberFormat="1" applyFont="1" applyAlignment="1">
      <alignment vertical="center"/>
    </xf>
    <xf numFmtId="1" fontId="13" fillId="0" borderId="0" xfId="0" applyNumberFormat="1" applyFont="1"/>
    <xf numFmtId="0" fontId="11" fillId="0" borderId="0" xfId="0" applyFont="1" applyAlignment="1">
      <alignment vertical="center"/>
    </xf>
    <xf numFmtId="2" fontId="34" fillId="0" borderId="19" xfId="0" applyNumberFormat="1" applyFont="1" applyBorder="1"/>
    <xf numFmtId="0" fontId="127" fillId="0" borderId="7" xfId="546" applyFont="1" applyBorder="1" applyAlignment="1">
      <alignment vertical="top" wrapText="1"/>
    </xf>
    <xf numFmtId="0" fontId="127" fillId="0" borderId="0" xfId="546" applyFont="1" applyAlignment="1">
      <alignment vertical="top" wrapText="1"/>
    </xf>
    <xf numFmtId="0" fontId="45" fillId="0" borderId="0" xfId="0" applyFont="1" applyAlignment="1">
      <alignment vertical="center"/>
    </xf>
    <xf numFmtId="169" fontId="143" fillId="0" borderId="0" xfId="0" applyNumberFormat="1" applyFont="1" applyAlignment="1">
      <alignment vertical="center" wrapText="1"/>
    </xf>
    <xf numFmtId="169" fontId="143" fillId="0" borderId="13" xfId="0" applyNumberFormat="1" applyFont="1" applyBorder="1" applyAlignment="1">
      <alignment vertical="center" wrapText="1"/>
    </xf>
    <xf numFmtId="0" fontId="12" fillId="0" borderId="0" xfId="0" applyFont="1" applyAlignment="1">
      <alignment horizontal="center" vertical="center"/>
    </xf>
    <xf numFmtId="167" fontId="14" fillId="7" borderId="4" xfId="0" applyNumberFormat="1" applyFont="1" applyFill="1" applyBorder="1" applyAlignment="1" applyProtection="1">
      <alignment horizontal="left"/>
      <protection locked="0"/>
    </xf>
    <xf numFmtId="0" fontId="5" fillId="7" borderId="5" xfId="245" applyFont="1" applyFill="1" applyBorder="1" applyAlignment="1" applyProtection="1">
      <alignment horizontal="left"/>
      <protection locked="0"/>
    </xf>
    <xf numFmtId="167" fontId="5" fillId="7" borderId="4" xfId="0" applyNumberFormat="1" applyFont="1" applyFill="1" applyBorder="1" applyAlignment="1" applyProtection="1">
      <alignment horizontal="left"/>
      <protection locked="0"/>
    </xf>
    <xf numFmtId="0" fontId="10" fillId="7" borderId="5" xfId="778" applyFont="1" applyFill="1" applyBorder="1" applyProtection="1">
      <protection locked="0"/>
    </xf>
    <xf numFmtId="0" fontId="5" fillId="0" borderId="0" xfId="0" applyFont="1" applyAlignment="1">
      <alignment horizontal="left" vertical="top" wrapText="1"/>
    </xf>
    <xf numFmtId="0" fontId="110" fillId="0" borderId="0" xfId="0" applyFont="1" applyAlignment="1">
      <alignment horizontal="left" vertical="top" wrapText="1"/>
    </xf>
    <xf numFmtId="0" fontId="6" fillId="0" borderId="0" xfId="245" applyFill="1" applyBorder="1" applyAlignment="1" applyProtection="1">
      <alignment horizontal="left"/>
    </xf>
    <xf numFmtId="0" fontId="6" fillId="0" borderId="0" xfId="245" applyBorder="1" applyAlignment="1" applyProtection="1">
      <alignment horizontal="left"/>
    </xf>
    <xf numFmtId="0" fontId="5" fillId="0" borderId="0" xfId="0" applyFont="1" applyAlignment="1">
      <alignment horizontal="left" wrapText="1"/>
    </xf>
    <xf numFmtId="0" fontId="14" fillId="0" borderId="0" xfId="0" applyFont="1" applyAlignment="1">
      <alignment horizontal="left" wrapText="1"/>
    </xf>
    <xf numFmtId="0" fontId="113" fillId="0" borderId="0" xfId="0" applyFont="1" applyAlignment="1">
      <alignment horizontal="left" wrapText="1"/>
    </xf>
    <xf numFmtId="0" fontId="14" fillId="0" borderId="0" xfId="0" applyFont="1" applyAlignment="1">
      <alignment horizontal="left" vertical="top" wrapText="1"/>
    </xf>
    <xf numFmtId="0" fontId="12" fillId="0" borderId="0" xfId="0" applyFont="1" applyAlignment="1">
      <alignment horizontal="left" vertical="top" wrapText="1"/>
    </xf>
    <xf numFmtId="0" fontId="38" fillId="0" borderId="0" xfId="0" applyFont="1" applyAlignment="1">
      <alignment horizontal="left" vertical="top" wrapText="1"/>
    </xf>
    <xf numFmtId="0" fontId="11" fillId="5" borderId="0" xfId="0" applyFont="1" applyFill="1" applyAlignment="1">
      <alignment horizontal="center" vertical="center" wrapText="1"/>
    </xf>
    <xf numFmtId="0" fontId="11" fillId="5" borderId="13"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5" fillId="0" borderId="0" xfId="273" applyFont="1" applyAlignment="1">
      <alignment horizontal="left" vertical="top" wrapText="1"/>
    </xf>
    <xf numFmtId="0" fontId="6" fillId="0" borderId="0" xfId="245" applyAlignment="1" applyProtection="1">
      <alignment horizontal="left"/>
    </xf>
    <xf numFmtId="0" fontId="12" fillId="0" borderId="0" xfId="0" applyFont="1" applyAlignment="1">
      <alignment wrapText="1"/>
    </xf>
    <xf numFmtId="0" fontId="20" fillId="0" borderId="0" xfId="0" applyFont="1" applyAlignment="1">
      <alignment horizontal="center"/>
    </xf>
    <xf numFmtId="0" fontId="0" fillId="0" borderId="0" xfId="0"/>
    <xf numFmtId="0" fontId="21" fillId="0" borderId="0" xfId="0" applyFont="1" applyAlignment="1">
      <alignment horizontal="center"/>
    </xf>
    <xf numFmtId="0" fontId="5" fillId="0" borderId="0" xfId="0" applyFont="1" applyAlignment="1">
      <alignment wrapText="1"/>
    </xf>
    <xf numFmtId="0" fontId="14" fillId="0" borderId="0" xfId="0" applyFont="1" applyAlignment="1">
      <alignment wrapText="1"/>
    </xf>
    <xf numFmtId="0" fontId="0" fillId="0" borderId="0" xfId="0" applyAlignment="1">
      <alignment wrapText="1"/>
    </xf>
    <xf numFmtId="0" fontId="14" fillId="0" borderId="0" xfId="0" applyFont="1"/>
    <xf numFmtId="0" fontId="5" fillId="0" borderId="0" xfId="0" applyFont="1" applyAlignment="1">
      <alignment vertical="top" wrapText="1"/>
    </xf>
    <xf numFmtId="4" fontId="14" fillId="0" borderId="0" xfId="0" applyNumberFormat="1" applyFont="1" applyAlignment="1">
      <alignment horizontal="left" vertical="top" wrapText="1"/>
    </xf>
    <xf numFmtId="4" fontId="14" fillId="0" borderId="0" xfId="0" applyNumberFormat="1" applyFont="1" applyAlignment="1">
      <alignment horizontal="left"/>
    </xf>
    <xf numFmtId="0" fontId="14" fillId="0" borderId="0" xfId="0" applyFont="1" applyAlignment="1">
      <alignment horizontal="left"/>
    </xf>
    <xf numFmtId="0" fontId="24" fillId="0" borderId="0" xfId="0" applyFont="1" applyAlignment="1">
      <alignment horizontal="left"/>
    </xf>
    <xf numFmtId="0" fontId="5" fillId="0" borderId="0" xfId="0" applyFont="1" applyAlignment="1">
      <alignment horizontal="left"/>
    </xf>
    <xf numFmtId="4" fontId="14" fillId="0" borderId="0" xfId="273" applyNumberFormat="1" applyAlignment="1">
      <alignment horizontal="left" vertical="top" wrapText="1"/>
    </xf>
    <xf numFmtId="4" fontId="24" fillId="0" borderId="0" xfId="0" applyNumberFormat="1" applyFont="1" applyAlignment="1">
      <alignment horizontal="left"/>
    </xf>
    <xf numFmtId="49" fontId="5" fillId="0" borderId="0" xfId="0" applyNumberFormat="1" applyFont="1" applyAlignment="1">
      <alignment horizontal="left" vertical="top" wrapText="1"/>
    </xf>
    <xf numFmtId="49" fontId="14" fillId="0" borderId="0" xfId="0" applyNumberFormat="1" applyFont="1" applyAlignment="1">
      <alignment horizontal="left" vertical="top" wrapText="1"/>
    </xf>
    <xf numFmtId="0" fontId="24" fillId="0" borderId="0" xfId="0" applyFont="1" applyAlignment="1">
      <alignment horizontal="left" vertical="top" wrapText="1"/>
    </xf>
    <xf numFmtId="0" fontId="12" fillId="0" borderId="0" xfId="273" applyFont="1" applyAlignment="1">
      <alignment horizontal="left" vertical="top" wrapText="1"/>
    </xf>
    <xf numFmtId="0" fontId="24" fillId="0" borderId="0" xfId="273" applyFont="1" applyAlignment="1">
      <alignment horizontal="left" vertical="top" wrapText="1"/>
    </xf>
    <xf numFmtId="0" fontId="14" fillId="0" borderId="0" xfId="0" applyFont="1" applyAlignment="1">
      <alignment horizontal="left" vertical="top"/>
    </xf>
    <xf numFmtId="49" fontId="12" fillId="0" borderId="0" xfId="0" applyNumberFormat="1" applyFont="1" applyAlignment="1">
      <alignment horizontal="left" vertical="top"/>
    </xf>
    <xf numFmtId="0" fontId="12" fillId="0" borderId="4" xfId="0" applyFont="1" applyBorder="1" applyAlignment="1">
      <alignment horizontal="left" vertical="top"/>
    </xf>
    <xf numFmtId="49" fontId="12" fillId="0" borderId="0" xfId="0" applyNumberFormat="1" applyFont="1" applyAlignment="1">
      <alignment horizontal="left"/>
    </xf>
    <xf numFmtId="0" fontId="5" fillId="0" borderId="0" xfId="0" quotePrefix="1" applyFont="1" applyAlignment="1">
      <alignment horizontal="left" vertical="top"/>
    </xf>
    <xf numFmtId="0" fontId="14" fillId="0" borderId="0" xfId="0" quotePrefix="1" applyFont="1" applyAlignment="1">
      <alignment horizontal="left" vertical="top"/>
    </xf>
    <xf numFmtId="4" fontId="24" fillId="0" borderId="0" xfId="0" applyNumberFormat="1" applyFont="1" applyAlignment="1">
      <alignment horizontal="left" vertical="top" wrapText="1"/>
    </xf>
    <xf numFmtId="0" fontId="14" fillId="0" borderId="0" xfId="273" applyAlignment="1">
      <alignment horizontal="left"/>
    </xf>
    <xf numFmtId="0" fontId="24" fillId="0" borderId="0" xfId="259" applyFont="1" applyAlignment="1">
      <alignment horizontal="left"/>
    </xf>
    <xf numFmtId="0" fontId="14" fillId="0" borderId="0" xfId="259" applyAlignment="1">
      <alignment horizontal="left" vertical="top" wrapText="1"/>
    </xf>
    <xf numFmtId="0" fontId="14" fillId="0" borderId="0" xfId="259" applyAlignment="1">
      <alignment horizontal="left"/>
    </xf>
    <xf numFmtId="0" fontId="5" fillId="0" borderId="0" xfId="259" applyFont="1" applyAlignment="1">
      <alignment horizontal="left" vertical="top" wrapText="1"/>
    </xf>
    <xf numFmtId="4" fontId="6" fillId="0" borderId="0" xfId="245" applyNumberFormat="1" applyFill="1" applyAlignment="1" applyProtection="1">
      <alignment horizontal="left"/>
    </xf>
    <xf numFmtId="4" fontId="5" fillId="0" borderId="0" xfId="0" applyNumberFormat="1" applyFont="1" applyAlignment="1">
      <alignment horizontal="left" vertical="top" wrapText="1"/>
    </xf>
    <xf numFmtId="0" fontId="6" fillId="0" borderId="0" xfId="245" quotePrefix="1" applyAlignment="1" applyProtection="1">
      <alignment horizontal="left"/>
    </xf>
    <xf numFmtId="0" fontId="12" fillId="0" borderId="0" xfId="0" applyFont="1" applyAlignment="1">
      <alignment horizontal="left"/>
    </xf>
    <xf numFmtId="0" fontId="14" fillId="0" borderId="0" xfId="0" quotePrefix="1" applyFont="1" applyAlignment="1">
      <alignment horizontal="left" vertical="top" wrapText="1"/>
    </xf>
    <xf numFmtId="0" fontId="5" fillId="0" borderId="0" xfId="278" applyFont="1" applyAlignment="1">
      <alignment horizontal="left" vertical="top" wrapText="1"/>
    </xf>
    <xf numFmtId="0" fontId="14" fillId="0" borderId="0" xfId="278" applyAlignment="1">
      <alignment horizontal="left" vertical="top" wrapText="1"/>
    </xf>
    <xf numFmtId="0" fontId="6" fillId="0" borderId="0" xfId="245" applyNumberFormat="1" applyFill="1" applyAlignment="1" applyProtection="1">
      <alignment horizontal="left"/>
      <protection locked="0"/>
    </xf>
    <xf numFmtId="0" fontId="24" fillId="0" borderId="0" xfId="0" applyFont="1" applyAlignment="1">
      <alignment horizontal="left" vertical="top"/>
    </xf>
    <xf numFmtId="4" fontId="14" fillId="0" borderId="0" xfId="278" applyNumberFormat="1" applyAlignment="1">
      <alignment horizontal="left" vertical="top" wrapText="1"/>
    </xf>
    <xf numFmtId="0" fontId="14" fillId="0" borderId="0" xfId="0" applyFont="1" applyAlignment="1">
      <alignment vertical="top"/>
    </xf>
    <xf numFmtId="0" fontId="5" fillId="0" borderId="0" xfId="0" applyFont="1" applyAlignment="1">
      <alignment horizontal="left" vertical="top"/>
    </xf>
    <xf numFmtId="0" fontId="12" fillId="0" borderId="4" xfId="0" applyFont="1" applyBorder="1" applyAlignment="1">
      <alignment horizontal="left"/>
    </xf>
    <xf numFmtId="0" fontId="40" fillId="0" borderId="0" xfId="0" applyFont="1" applyAlignment="1">
      <alignment horizontal="left" vertical="top"/>
    </xf>
    <xf numFmtId="49" fontId="14" fillId="0" borderId="0" xfId="273" applyNumberFormat="1" applyAlignment="1">
      <alignment horizontal="left" vertical="top" wrapText="1"/>
    </xf>
    <xf numFmtId="0" fontId="14" fillId="0" borderId="0" xfId="273" applyAlignment="1">
      <alignment horizontal="left" vertical="top" wrapText="1"/>
    </xf>
    <xf numFmtId="0" fontId="40" fillId="0" borderId="0" xfId="0" applyFont="1" applyAlignment="1">
      <alignment horizontal="left"/>
    </xf>
    <xf numFmtId="4" fontId="5" fillId="0" borderId="0" xfId="0" applyNumberFormat="1" applyFont="1" applyAlignment="1">
      <alignment horizontal="left"/>
    </xf>
    <xf numFmtId="0" fontId="12" fillId="0" borderId="0" xfId="0" applyFont="1" applyAlignment="1">
      <alignment horizontal="left" vertical="top"/>
    </xf>
    <xf numFmtId="0" fontId="5" fillId="0" borderId="0" xfId="766" applyAlignment="1">
      <alignment horizontal="left"/>
    </xf>
    <xf numFmtId="0" fontId="14" fillId="0" borderId="0" xfId="273" applyAlignment="1">
      <alignment horizontal="left" wrapText="1"/>
    </xf>
    <xf numFmtId="0" fontId="0" fillId="0" borderId="0" xfId="0" applyAlignment="1">
      <alignment horizontal="left" vertical="top" wrapText="1"/>
    </xf>
    <xf numFmtId="0" fontId="24" fillId="0" borderId="0" xfId="0" applyFont="1" applyAlignment="1">
      <alignment horizontal="center"/>
    </xf>
    <xf numFmtId="0" fontId="12" fillId="0" borderId="0" xfId="273" applyFont="1" applyAlignment="1">
      <alignment horizontal="center"/>
    </xf>
    <xf numFmtId="0" fontId="14" fillId="0" borderId="0" xfId="273"/>
    <xf numFmtId="0" fontId="24" fillId="0" borderId="0" xfId="0" applyFont="1" applyAlignment="1">
      <alignment horizontal="left" wrapText="1"/>
    </xf>
    <xf numFmtId="0" fontId="24" fillId="0" borderId="0" xfId="0" applyFont="1" applyAlignment="1">
      <alignment horizontal="center" wrapText="1"/>
    </xf>
    <xf numFmtId="0" fontId="12" fillId="0" borderId="6" xfId="0" applyFont="1" applyBorder="1" applyAlignment="1">
      <alignment horizontal="left"/>
    </xf>
    <xf numFmtId="0" fontId="14" fillId="0" borderId="42" xfId="0" applyFont="1" applyBorder="1" applyAlignment="1">
      <alignment horizontal="left"/>
    </xf>
    <xf numFmtId="0" fontId="24" fillId="0" borderId="0" xfId="273" applyFont="1" applyAlignment="1">
      <alignment horizontal="left"/>
    </xf>
    <xf numFmtId="4" fontId="5" fillId="0" borderId="0" xfId="273" applyNumberFormat="1" applyFont="1" applyAlignment="1">
      <alignment horizontal="left" vertical="top" wrapText="1"/>
    </xf>
    <xf numFmtId="0" fontId="5" fillId="0" borderId="0" xfId="259" applyFont="1" applyAlignment="1">
      <alignment vertical="top" wrapText="1"/>
    </xf>
    <xf numFmtId="0" fontId="14" fillId="0" borderId="0" xfId="259" applyAlignment="1">
      <alignment vertical="top" wrapText="1"/>
    </xf>
    <xf numFmtId="0" fontId="12" fillId="0" borderId="0" xfId="0" applyFont="1" applyAlignment="1">
      <alignment vertical="top" wrapText="1"/>
    </xf>
    <xf numFmtId="0" fontId="6" fillId="0" borderId="0" xfId="245" applyAlignment="1" applyProtection="1">
      <alignment horizontal="left" vertical="top" wrapText="1"/>
    </xf>
    <xf numFmtId="167" fontId="5" fillId="7" borderId="5" xfId="0" applyNumberFormat="1" applyFont="1" applyFill="1" applyBorder="1" applyAlignment="1" applyProtection="1">
      <alignment horizontal="left"/>
      <protection locked="0"/>
    </xf>
    <xf numFmtId="0" fontId="5" fillId="7" borderId="5" xfId="0" applyFont="1" applyFill="1" applyBorder="1" applyAlignment="1" applyProtection="1">
      <alignment horizontal="left" wrapText="1"/>
      <protection locked="0"/>
    </xf>
    <xf numFmtId="0" fontId="5" fillId="7" borderId="5" xfId="0" applyFont="1" applyFill="1" applyBorder="1" applyAlignment="1" applyProtection="1">
      <alignment horizontal="left"/>
      <protection locked="0"/>
    </xf>
    <xf numFmtId="167" fontId="5" fillId="7" borderId="4" xfId="0" applyNumberFormat="1" applyFont="1" applyFill="1" applyBorder="1" applyAlignment="1" applyProtection="1">
      <alignment horizontal="left"/>
      <protection locked="0"/>
    </xf>
    <xf numFmtId="0" fontId="5"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5" fillId="7" borderId="5" xfId="245" applyFont="1" applyFill="1" applyBorder="1" applyAlignment="1" applyProtection="1">
      <alignment horizontal="lef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0" fontId="0" fillId="7" borderId="5" xfId="0" applyFill="1" applyBorder="1" applyAlignment="1" applyProtection="1">
      <alignment horizontal="center"/>
      <protection locked="0"/>
    </xf>
    <xf numFmtId="0" fontId="0" fillId="7" borderId="4" xfId="0" applyFill="1" applyBorder="1" applyAlignment="1" applyProtection="1">
      <alignment horizontal="left"/>
      <protection locked="0"/>
    </xf>
    <xf numFmtId="0" fontId="5" fillId="7" borderId="5" xfId="0" applyFont="1" applyFill="1" applyBorder="1" applyAlignment="1" applyProtection="1">
      <alignment horizontal="right"/>
      <protection locked="0"/>
    </xf>
    <xf numFmtId="0" fontId="14" fillId="7" borderId="5" xfId="0" applyFont="1" applyFill="1" applyBorder="1" applyAlignment="1" applyProtection="1">
      <alignment horizontal="right"/>
      <protection locked="0"/>
    </xf>
    <xf numFmtId="0" fontId="14" fillId="7" borderId="5" xfId="0" applyFont="1" applyFill="1" applyBorder="1" applyAlignment="1" applyProtection="1">
      <alignment horizontal="center"/>
      <protection locked="0"/>
    </xf>
    <xf numFmtId="0" fontId="13" fillId="0" borderId="0" xfId="0" applyFont="1" applyAlignment="1">
      <alignment horizontal="center"/>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169" fontId="0" fillId="7" borderId="15" xfId="0" applyNumberFormat="1" applyFill="1" applyBorder="1" applyAlignment="1" applyProtection="1">
      <alignment horizontal="righ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5" fillId="7" borderId="3" xfId="0" applyNumberFormat="1" applyFont="1" applyFill="1" applyBorder="1" applyAlignment="1" applyProtection="1">
      <alignment horizontal="left"/>
      <protection locked="0"/>
    </xf>
    <xf numFmtId="164" fontId="25" fillId="7" borderId="4" xfId="0" applyNumberFormat="1" applyFont="1" applyFill="1" applyBorder="1" applyAlignment="1" applyProtection="1">
      <alignment horizontal="left"/>
      <protection locked="0"/>
    </xf>
    <xf numFmtId="164" fontId="25"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1" fillId="5" borderId="0" xfId="0" applyFont="1" applyFill="1" applyAlignment="1">
      <alignment horizontal="center" vertical="center"/>
    </xf>
    <xf numFmtId="0" fontId="127" fillId="0" borderId="7" xfId="546" applyFont="1" applyBorder="1" applyAlignment="1">
      <alignment horizontal="center" vertical="top" wrapText="1"/>
    </xf>
    <xf numFmtId="0" fontId="127" fillId="0" borderId="0" xfId="546" applyFont="1" applyAlignment="1">
      <alignment horizontal="center" vertical="top" wrapText="1"/>
    </xf>
    <xf numFmtId="0" fontId="127" fillId="0" borderId="13" xfId="546" applyFont="1" applyBorder="1" applyAlignment="1">
      <alignment horizontal="center" vertical="top" wrapText="1"/>
    </xf>
    <xf numFmtId="0" fontId="127" fillId="0" borderId="9" xfId="546" applyFont="1" applyBorder="1" applyAlignment="1">
      <alignment horizontal="center" vertical="top" wrapText="1"/>
    </xf>
    <xf numFmtId="0" fontId="127" fillId="0" borderId="5" xfId="546" applyFont="1" applyBorder="1" applyAlignment="1">
      <alignment horizontal="center" vertical="top" wrapText="1"/>
    </xf>
    <xf numFmtId="0" fontId="127" fillId="0" borderId="10" xfId="546" applyFont="1" applyBorder="1" applyAlignment="1">
      <alignment horizontal="center" vertical="top" wrapText="1"/>
    </xf>
    <xf numFmtId="169" fontId="143" fillId="0" borderId="0" xfId="0" applyNumberFormat="1" applyFont="1" applyAlignment="1">
      <alignment horizontal="center" vertical="center" wrapText="1"/>
    </xf>
    <xf numFmtId="0" fontId="14" fillId="7" borderId="12" xfId="0" applyFon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8" xfId="0" applyFont="1" applyBorder="1" applyAlignment="1">
      <alignment horizontal="left"/>
    </xf>
    <xf numFmtId="169" fontId="5" fillId="0" borderId="3" xfId="0" applyNumberFormat="1" applyFont="1" applyBorder="1" applyAlignment="1">
      <alignment horizontal="left" vertical="top"/>
    </xf>
    <xf numFmtId="169" fontId="5" fillId="0" borderId="4" xfId="0" applyNumberFormat="1" applyFont="1" applyBorder="1" applyAlignment="1">
      <alignment horizontal="left" vertical="top"/>
    </xf>
    <xf numFmtId="169" fontId="5" fillId="0" borderId="8" xfId="0" applyNumberFormat="1" applyFont="1" applyBorder="1" applyAlignment="1">
      <alignment horizontal="left" vertical="top"/>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3" fontId="14" fillId="7" borderId="12" xfId="0" applyNumberFormat="1" applyFont="1" applyFill="1" applyBorder="1" applyAlignment="1" applyProtection="1">
      <alignment horizontal="center"/>
      <protection locked="0"/>
    </xf>
    <xf numFmtId="1" fontId="5" fillId="7" borderId="3" xfId="0" applyNumberFormat="1" applyFont="1" applyFill="1" applyBorder="1" applyAlignment="1" applyProtection="1">
      <alignment horizontal="right" vertical="top"/>
      <protection locked="0"/>
    </xf>
    <xf numFmtId="1" fontId="5" fillId="7" borderId="4" xfId="0" applyNumberFormat="1" applyFont="1" applyFill="1" applyBorder="1" applyAlignment="1" applyProtection="1">
      <alignment horizontal="right" vertical="top"/>
      <protection locked="0"/>
    </xf>
    <xf numFmtId="1" fontId="5" fillId="7" borderId="8" xfId="0" applyNumberFormat="1" applyFont="1" applyFill="1" applyBorder="1" applyAlignment="1" applyProtection="1">
      <alignment horizontal="right" vertical="top"/>
      <protection locked="0"/>
    </xf>
    <xf numFmtId="0" fontId="12" fillId="0" borderId="1" xfId="546" applyFont="1" applyBorder="1" applyAlignment="1">
      <alignment horizontal="left" vertical="center" wrapText="1"/>
    </xf>
    <xf numFmtId="0" fontId="12" fillId="0" borderId="2" xfId="546" applyFont="1" applyBorder="1" applyAlignment="1">
      <alignment horizontal="left" vertical="center" wrapText="1"/>
    </xf>
    <xf numFmtId="0" fontId="12" fillId="0" borderId="11" xfId="546" applyFont="1" applyBorder="1" applyAlignment="1">
      <alignment horizontal="left" vertical="center" wrapText="1"/>
    </xf>
    <xf numFmtId="0" fontId="13" fillId="7" borderId="3" xfId="546" applyFont="1" applyFill="1" applyBorder="1" applyAlignment="1" applyProtection="1">
      <alignment horizontal="center"/>
      <protection locked="0"/>
    </xf>
    <xf numFmtId="0" fontId="13" fillId="7" borderId="8" xfId="546" applyFont="1" applyFill="1" applyBorder="1" applyAlignment="1" applyProtection="1">
      <alignment horizontal="center"/>
      <protection locked="0"/>
    </xf>
    <xf numFmtId="0" fontId="13" fillId="7" borderId="3" xfId="546" applyFont="1" applyFill="1" applyBorder="1" applyAlignment="1" applyProtection="1">
      <alignment horizontal="center" vertical="top"/>
      <protection locked="0"/>
    </xf>
    <xf numFmtId="0" fontId="13" fillId="7" borderId="8" xfId="546" applyFont="1" applyFill="1" applyBorder="1" applyAlignment="1" applyProtection="1">
      <alignment horizontal="center" vertical="top"/>
      <protection locked="0"/>
    </xf>
    <xf numFmtId="0" fontId="12" fillId="0" borderId="3" xfId="546" applyFont="1" applyBorder="1" applyAlignment="1">
      <alignment horizontal="right"/>
    </xf>
    <xf numFmtId="0" fontId="12" fillId="0" borderId="4" xfId="546" applyFont="1" applyBorder="1" applyAlignment="1">
      <alignment horizontal="right"/>
    </xf>
    <xf numFmtId="0" fontId="12" fillId="0" borderId="8" xfId="546" applyFont="1" applyBorder="1" applyAlignment="1">
      <alignment horizontal="right"/>
    </xf>
    <xf numFmtId="0" fontId="14" fillId="7" borderId="3" xfId="0" applyFont="1" applyFill="1" applyBorder="1" applyAlignment="1" applyProtection="1">
      <alignment horizontal="center"/>
      <protection locked="0"/>
    </xf>
    <xf numFmtId="0" fontId="14" fillId="7" borderId="4" xfId="0" applyFont="1" applyFill="1" applyBorder="1" applyAlignment="1" applyProtection="1">
      <alignment horizontal="center"/>
      <protection locked="0"/>
    </xf>
    <xf numFmtId="0" fontId="14" fillId="7" borderId="8" xfId="0" applyFont="1" applyFill="1" applyBorder="1" applyAlignment="1" applyProtection="1">
      <alignment horizontal="center"/>
      <protection locked="0"/>
    </xf>
    <xf numFmtId="0" fontId="5" fillId="0" borderId="3" xfId="0" applyFont="1" applyBorder="1"/>
    <xf numFmtId="0" fontId="5" fillId="0" borderId="4" xfId="0" applyFont="1" applyBorder="1"/>
    <xf numFmtId="0" fontId="5" fillId="0" borderId="8" xfId="0" applyFont="1" applyBorder="1"/>
    <xf numFmtId="0" fontId="5" fillId="0" borderId="9" xfId="546" applyBorder="1" applyAlignment="1">
      <alignment horizontal="left" vertical="top" wrapText="1"/>
    </xf>
    <xf numFmtId="0" fontId="5" fillId="0" borderId="5" xfId="546" applyBorder="1" applyAlignment="1">
      <alignment horizontal="left" vertical="top" wrapText="1"/>
    </xf>
    <xf numFmtId="0" fontId="5" fillId="0" borderId="10" xfId="546" applyBorder="1" applyAlignment="1">
      <alignment horizontal="left" vertical="top" wrapText="1"/>
    </xf>
    <xf numFmtId="1" fontId="5" fillId="0" borderId="3" xfId="546" applyNumberFormat="1" applyBorder="1" applyAlignment="1">
      <alignment horizontal="center"/>
    </xf>
    <xf numFmtId="1" fontId="5" fillId="0" borderId="4" xfId="546" applyNumberFormat="1" applyBorder="1" applyAlignment="1">
      <alignment horizontal="center"/>
    </xf>
    <xf numFmtId="1" fontId="5" fillId="0" borderId="8" xfId="546" applyNumberFormat="1" applyBorder="1" applyAlignment="1">
      <alignment horizontal="center"/>
    </xf>
    <xf numFmtId="0" fontId="12" fillId="0" borderId="1" xfId="546" applyFont="1" applyBorder="1" applyAlignment="1">
      <alignment horizontal="right"/>
    </xf>
    <xf numFmtId="0" fontId="12" fillId="0" borderId="2" xfId="546" applyFont="1" applyBorder="1" applyAlignment="1">
      <alignment horizontal="right"/>
    </xf>
    <xf numFmtId="0" fontId="12" fillId="0" borderId="11" xfId="546" applyFont="1" applyBorder="1" applyAlignment="1">
      <alignment horizontal="right"/>
    </xf>
    <xf numFmtId="0" fontId="12" fillId="0" borderId="7" xfId="546" applyFont="1" applyBorder="1" applyAlignment="1">
      <alignment horizontal="left" vertical="center" wrapText="1"/>
    </xf>
    <xf numFmtId="0" fontId="12" fillId="0" borderId="0" xfId="546" applyFont="1" applyAlignment="1">
      <alignment horizontal="left" vertical="center" wrapText="1"/>
    </xf>
    <xf numFmtId="0" fontId="12" fillId="0" borderId="13" xfId="546" applyFont="1" applyBorder="1" applyAlignment="1">
      <alignment horizontal="left" vertical="center" wrapText="1"/>
    </xf>
    <xf numFmtId="164" fontId="13" fillId="7" borderId="3" xfId="0" applyNumberFormat="1" applyFont="1" applyFill="1" applyBorder="1" applyAlignment="1" applyProtection="1">
      <alignment horizontal="left"/>
      <protection locked="0"/>
    </xf>
    <xf numFmtId="164" fontId="13" fillId="7" borderId="4" xfId="0" applyNumberFormat="1" applyFont="1" applyFill="1" applyBorder="1" applyAlignment="1" applyProtection="1">
      <alignment horizontal="left"/>
      <protection locked="0"/>
    </xf>
    <xf numFmtId="164" fontId="13" fillId="7" borderId="8" xfId="0" applyNumberFormat="1" applyFont="1" applyFill="1" applyBorder="1" applyAlignment="1" applyProtection="1">
      <alignment horizontal="left"/>
      <protection locked="0"/>
    </xf>
    <xf numFmtId="0" fontId="48" fillId="0" borderId="3" xfId="0" applyFont="1" applyBorder="1"/>
    <xf numFmtId="0" fontId="48" fillId="0" borderId="4" xfId="0" applyFont="1" applyBorder="1"/>
    <xf numFmtId="0" fontId="48" fillId="0" borderId="8" xfId="0" applyFont="1" applyBorder="1"/>
    <xf numFmtId="0" fontId="13" fillId="7" borderId="9" xfId="546" applyFont="1" applyFill="1" applyBorder="1" applyAlignment="1" applyProtection="1">
      <alignment horizontal="center"/>
      <protection locked="0"/>
    </xf>
    <xf numFmtId="0" fontId="13" fillId="7" borderId="10" xfId="546" applyFont="1" applyFill="1" applyBorder="1" applyAlignment="1" applyProtection="1">
      <alignment horizontal="center"/>
      <protection locked="0"/>
    </xf>
    <xf numFmtId="169" fontId="5" fillId="0" borderId="1" xfId="546" applyNumberFormat="1" applyBorder="1" applyAlignment="1">
      <alignment horizontal="center" vertical="center"/>
    </xf>
    <xf numFmtId="169" fontId="5" fillId="0" borderId="2" xfId="546" applyNumberFormat="1" applyBorder="1" applyAlignment="1">
      <alignment horizontal="center" vertical="center"/>
    </xf>
    <xf numFmtId="169" fontId="5" fillId="0" borderId="11" xfId="546" applyNumberFormat="1" applyBorder="1" applyAlignment="1">
      <alignment horizontal="center" vertical="center"/>
    </xf>
    <xf numFmtId="169" fontId="5" fillId="0" borderId="7" xfId="546" applyNumberFormat="1" applyBorder="1" applyAlignment="1">
      <alignment horizontal="center" vertical="center"/>
    </xf>
    <xf numFmtId="169" fontId="5" fillId="0" borderId="0" xfId="546" applyNumberFormat="1" applyAlignment="1">
      <alignment horizontal="center" vertical="center"/>
    </xf>
    <xf numFmtId="169" fontId="5" fillId="0" borderId="13" xfId="546" applyNumberFormat="1" applyBorder="1" applyAlignment="1">
      <alignment horizontal="center" vertical="center"/>
    </xf>
    <xf numFmtId="0" fontId="5" fillId="0" borderId="7" xfId="0" applyFont="1" applyBorder="1" applyAlignment="1">
      <alignment horizontal="left" wrapText="1"/>
    </xf>
    <xf numFmtId="0" fontId="5" fillId="0" borderId="13" xfId="0" applyFont="1" applyBorder="1" applyAlignment="1">
      <alignment horizontal="left" wrapText="1"/>
    </xf>
    <xf numFmtId="0" fontId="5" fillId="0" borderId="9" xfId="0" applyFont="1" applyBorder="1" applyAlignment="1">
      <alignment horizontal="left" wrapText="1"/>
    </xf>
    <xf numFmtId="0" fontId="5" fillId="0" borderId="5" xfId="0" applyFont="1" applyBorder="1" applyAlignment="1">
      <alignment horizontal="left" wrapText="1"/>
    </xf>
    <xf numFmtId="0" fontId="5" fillId="0" borderId="10" xfId="0" applyFont="1" applyBorder="1" applyAlignment="1">
      <alignment horizontal="left" wrapText="1"/>
    </xf>
    <xf numFmtId="0" fontId="5" fillId="0" borderId="7" xfId="546" applyBorder="1" applyAlignment="1">
      <alignment horizontal="left" vertical="top" wrapText="1"/>
    </xf>
    <xf numFmtId="0" fontId="5" fillId="0" borderId="0" xfId="546" applyAlignment="1">
      <alignment horizontal="left" vertical="top" wrapText="1"/>
    </xf>
    <xf numFmtId="0" fontId="5" fillId="0" borderId="13" xfId="546" applyBorder="1" applyAlignment="1">
      <alignment horizontal="left" vertical="top" wrapText="1"/>
    </xf>
    <xf numFmtId="0" fontId="12" fillId="0" borderId="0" xfId="0" applyFont="1" applyAlignment="1">
      <alignment horizontal="center"/>
    </xf>
    <xf numFmtId="169" fontId="5" fillId="0" borderId="9" xfId="546" applyNumberFormat="1" applyBorder="1" applyAlignment="1">
      <alignment horizontal="center" vertical="center"/>
    </xf>
    <xf numFmtId="169" fontId="5" fillId="0" borderId="5" xfId="546" applyNumberFormat="1" applyBorder="1" applyAlignment="1">
      <alignment horizontal="center" vertical="center"/>
    </xf>
    <xf numFmtId="169" fontId="5" fillId="0" borderId="10" xfId="546" applyNumberFormat="1" applyBorder="1" applyAlignment="1">
      <alignment horizontal="center" vertical="center"/>
    </xf>
    <xf numFmtId="0" fontId="12" fillId="0" borderId="1" xfId="546" applyFont="1" applyBorder="1" applyAlignment="1">
      <alignment horizontal="left" vertical="top" wrapText="1"/>
    </xf>
    <xf numFmtId="0" fontId="12" fillId="0" borderId="2" xfId="546" applyFont="1" applyBorder="1" applyAlignment="1">
      <alignment horizontal="left" vertical="top" wrapText="1"/>
    </xf>
    <xf numFmtId="0" fontId="12" fillId="0" borderId="11" xfId="546" applyFont="1" applyBorder="1" applyAlignment="1">
      <alignment horizontal="left" vertical="top" wrapText="1"/>
    </xf>
    <xf numFmtId="0" fontId="12" fillId="0" borderId="7" xfId="546" applyFont="1" applyBorder="1" applyAlignment="1">
      <alignment horizontal="left" vertical="top" wrapText="1"/>
    </xf>
    <xf numFmtId="0" fontId="12" fillId="0" borderId="0" xfId="546" applyFont="1" applyAlignment="1">
      <alignment horizontal="left" vertical="top" wrapText="1"/>
    </xf>
    <xf numFmtId="0" fontId="12" fillId="0" borderId="13" xfId="546" applyFont="1" applyBorder="1" applyAlignment="1">
      <alignment horizontal="left" vertical="top" wrapText="1"/>
    </xf>
    <xf numFmtId="0" fontId="13" fillId="7" borderId="3" xfId="546" applyFont="1" applyFill="1" applyBorder="1" applyAlignment="1" applyProtection="1">
      <alignment horizontal="left" vertical="top" wrapText="1"/>
      <protection locked="0"/>
    </xf>
    <xf numFmtId="0" fontId="13" fillId="7" borderId="4" xfId="546" applyFont="1" applyFill="1" applyBorder="1" applyAlignment="1" applyProtection="1">
      <alignment horizontal="left" vertical="top" wrapText="1"/>
      <protection locked="0"/>
    </xf>
    <xf numFmtId="0" fontId="13" fillId="7" borderId="8" xfId="546" applyFont="1" applyFill="1" applyBorder="1" applyAlignment="1" applyProtection="1">
      <alignment horizontal="left" vertical="top" wrapText="1"/>
      <protection locked="0"/>
    </xf>
    <xf numFmtId="0" fontId="127" fillId="0" borderId="7" xfId="546" applyFont="1" applyBorder="1" applyAlignment="1">
      <alignment horizontal="center" vertical="center" wrapText="1"/>
    </xf>
    <xf numFmtId="0" fontId="127" fillId="0" borderId="0" xfId="546" applyFont="1" applyAlignment="1">
      <alignment horizontal="center" vertical="center" wrapText="1"/>
    </xf>
    <xf numFmtId="0" fontId="127" fillId="0" borderId="13" xfId="546" applyFont="1" applyBorder="1" applyAlignment="1">
      <alignment horizontal="center" vertical="center" wrapText="1"/>
    </xf>
    <xf numFmtId="0" fontId="127" fillId="0" borderId="9" xfId="546" applyFont="1" applyBorder="1" applyAlignment="1">
      <alignment horizontal="center" vertical="center" wrapText="1"/>
    </xf>
    <xf numFmtId="0" fontId="127" fillId="0" borderId="5" xfId="546" applyFont="1" applyBorder="1" applyAlignment="1">
      <alignment horizontal="center" vertical="center" wrapText="1"/>
    </xf>
    <xf numFmtId="0" fontId="127" fillId="0" borderId="10" xfId="546" applyFont="1" applyBorder="1" applyAlignment="1">
      <alignment horizontal="center" vertical="center" wrapText="1"/>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2"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2" fillId="7" borderId="3" xfId="0" applyFont="1" applyFill="1" applyBorder="1" applyAlignment="1" applyProtection="1">
      <alignment horizontal="right"/>
      <protection locked="0"/>
    </xf>
    <xf numFmtId="0" fontId="12" fillId="7" borderId="4" xfId="0" applyFont="1" applyFill="1" applyBorder="1" applyAlignment="1" applyProtection="1">
      <alignment horizontal="right"/>
      <protection locked="0"/>
    </xf>
    <xf numFmtId="0" fontId="12" fillId="7" borderId="8" xfId="0" applyFont="1" applyFill="1" applyBorder="1" applyAlignment="1" applyProtection="1">
      <alignment horizontal="right"/>
      <protection locked="0"/>
    </xf>
    <xf numFmtId="0" fontId="14" fillId="0" borderId="3" xfId="0" applyFont="1" applyBorder="1"/>
    <xf numFmtId="0" fontId="14" fillId="0" borderId="4" xfId="0" applyFont="1" applyBorder="1"/>
    <xf numFmtId="0" fontId="14" fillId="0" borderId="8" xfId="0" applyFont="1" applyBorder="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5" fillId="0" borderId="7" xfId="546" applyBorder="1" applyAlignment="1">
      <alignment horizontal="left" vertical="center" wrapText="1"/>
    </xf>
    <xf numFmtId="0" fontId="5" fillId="0" borderId="0" xfId="546" applyAlignment="1">
      <alignment horizontal="left" vertical="center" wrapText="1"/>
    </xf>
    <xf numFmtId="0" fontId="5" fillId="0" borderId="13" xfId="546" applyBorder="1" applyAlignment="1">
      <alignment horizontal="left" vertical="center" wrapText="1"/>
    </xf>
    <xf numFmtId="0" fontId="5" fillId="0" borderId="9" xfId="546" applyBorder="1" applyAlignment="1">
      <alignment horizontal="left" vertical="center" wrapText="1"/>
    </xf>
    <xf numFmtId="0" fontId="5" fillId="0" borderId="5" xfId="546" applyBorder="1" applyAlignment="1">
      <alignment horizontal="left" vertical="center" wrapText="1"/>
    </xf>
    <xf numFmtId="0" fontId="5" fillId="0" borderId="10" xfId="546" applyBorder="1" applyAlignment="1">
      <alignment horizontal="left" vertical="center" wrapText="1"/>
    </xf>
    <xf numFmtId="169" fontId="14" fillId="7" borderId="9" xfId="0" applyNumberFormat="1" applyFont="1" applyFill="1" applyBorder="1" applyAlignment="1" applyProtection="1">
      <alignment horizontal="right"/>
      <protection locked="0"/>
    </xf>
    <xf numFmtId="169" fontId="14" fillId="7" borderId="5" xfId="0" applyNumberFormat="1" applyFont="1" applyFill="1" applyBorder="1" applyAlignment="1" applyProtection="1">
      <alignment horizontal="right"/>
      <protection locked="0"/>
    </xf>
    <xf numFmtId="169" fontId="14" fillId="7" borderId="10" xfId="0" applyNumberFormat="1" applyFont="1" applyFill="1" applyBorder="1" applyAlignment="1" applyProtection="1">
      <alignment horizontal="right"/>
      <protection locked="0"/>
    </xf>
    <xf numFmtId="169" fontId="5"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5" fillId="7" borderId="3" xfId="0" applyNumberFormat="1" applyFont="1" applyFill="1" applyBorder="1" applyAlignment="1" applyProtection="1">
      <alignment horizontal="right"/>
      <protection locked="0"/>
    </xf>
    <xf numFmtId="169" fontId="5" fillId="7" borderId="4" xfId="0" applyNumberFormat="1" applyFont="1" applyFill="1" applyBorder="1" applyAlignment="1" applyProtection="1">
      <alignment horizontal="right"/>
      <protection locked="0"/>
    </xf>
    <xf numFmtId="169" fontId="5" fillId="7" borderId="8" xfId="0" applyNumberFormat="1" applyFont="1" applyFill="1" applyBorder="1" applyAlignment="1" applyProtection="1">
      <alignment horizontal="right"/>
      <protection locked="0"/>
    </xf>
    <xf numFmtId="0" fontId="5" fillId="0" borderId="3" xfId="546" applyBorder="1" applyAlignment="1">
      <alignment horizontal="center"/>
    </xf>
    <xf numFmtId="0" fontId="5" fillId="0" borderId="4" xfId="546" applyBorder="1" applyAlignment="1">
      <alignment horizontal="center"/>
    </xf>
    <xf numFmtId="0" fontId="5" fillId="0" borderId="8" xfId="546" applyBorder="1" applyAlignment="1">
      <alignment horizontal="center"/>
    </xf>
    <xf numFmtId="169" fontId="5" fillId="0" borderId="12" xfId="546" applyNumberFormat="1" applyBorder="1" applyAlignment="1">
      <alignment horizontal="center"/>
    </xf>
    <xf numFmtId="169" fontId="5" fillId="4" borderId="3" xfId="546" applyNumberFormat="1" applyFill="1" applyBorder="1" applyAlignment="1">
      <alignment horizontal="center"/>
    </xf>
    <xf numFmtId="169" fontId="5" fillId="4" borderId="4" xfId="546" applyNumberFormat="1" applyFill="1" applyBorder="1" applyAlignment="1">
      <alignment horizontal="center"/>
    </xf>
    <xf numFmtId="169" fontId="5" fillId="4" borderId="8" xfId="546" applyNumberFormat="1" applyFill="1" applyBorder="1" applyAlignment="1">
      <alignment horizontal="center"/>
    </xf>
    <xf numFmtId="172" fontId="5" fillId="0" borderId="0" xfId="546" applyNumberFormat="1" applyAlignment="1">
      <alignment horizontal="center"/>
    </xf>
    <xf numFmtId="169" fontId="5" fillId="7" borderId="3" xfId="0" applyNumberFormat="1" applyFont="1" applyFill="1" applyBorder="1" applyAlignment="1" applyProtection="1">
      <alignment horizontal="center"/>
      <protection locked="0"/>
    </xf>
    <xf numFmtId="169" fontId="5" fillId="7" borderId="4" xfId="0" applyNumberFormat="1" applyFont="1" applyFill="1" applyBorder="1" applyAlignment="1" applyProtection="1">
      <alignment horizontal="center"/>
      <protection locked="0"/>
    </xf>
    <xf numFmtId="169" fontId="5" fillId="7" borderId="8" xfId="0" applyNumberFormat="1" applyFont="1" applyFill="1" applyBorder="1" applyAlignment="1" applyProtection="1">
      <alignment horizontal="center"/>
      <protection locked="0"/>
    </xf>
    <xf numFmtId="169" fontId="5" fillId="0" borderId="3" xfId="0" applyNumberFormat="1" applyFont="1" applyBorder="1" applyAlignment="1">
      <alignment horizontal="center"/>
    </xf>
    <xf numFmtId="169" fontId="5" fillId="0" borderId="4" xfId="0" applyNumberFormat="1" applyFont="1" applyBorder="1" applyAlignment="1">
      <alignment horizontal="center"/>
    </xf>
    <xf numFmtId="169" fontId="5" fillId="0" borderId="8" xfId="0" applyNumberFormat="1" applyFont="1" applyBorder="1" applyAlignment="1">
      <alignment horizontal="center"/>
    </xf>
    <xf numFmtId="9" fontId="5" fillId="7" borderId="3" xfId="0" applyNumberFormat="1" applyFont="1" applyFill="1" applyBorder="1" applyAlignment="1" applyProtection="1">
      <alignment horizontal="center"/>
      <protection locked="0"/>
    </xf>
    <xf numFmtId="9" fontId="5" fillId="7" borderId="4" xfId="0" applyNumberFormat="1" applyFont="1" applyFill="1" applyBorder="1" applyAlignment="1" applyProtection="1">
      <alignment horizontal="center"/>
      <protection locked="0"/>
    </xf>
    <xf numFmtId="9" fontId="5" fillId="7" borderId="8" xfId="0" applyNumberFormat="1" applyFont="1" applyFill="1" applyBorder="1" applyAlignment="1" applyProtection="1">
      <alignment horizontal="center"/>
      <protection locked="0"/>
    </xf>
    <xf numFmtId="165" fontId="5" fillId="0" borderId="1" xfId="0" applyNumberFormat="1" applyFont="1" applyBorder="1" applyAlignment="1">
      <alignment horizontal="right"/>
    </xf>
    <xf numFmtId="165" fontId="5" fillId="0" borderId="2" xfId="0" applyNumberFormat="1" applyFont="1" applyBorder="1" applyAlignment="1">
      <alignment horizontal="right"/>
    </xf>
    <xf numFmtId="165" fontId="5" fillId="0" borderId="11" xfId="0" applyNumberFormat="1" applyFont="1" applyBorder="1" applyAlignment="1">
      <alignment horizontal="right"/>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5" fontId="12" fillId="0" borderId="3" xfId="574" applyNumberFormat="1" applyFont="1" applyBorder="1" applyAlignment="1">
      <alignment horizontal="center"/>
    </xf>
    <xf numFmtId="165" fontId="12" fillId="0" borderId="4" xfId="574" applyNumberFormat="1" applyFont="1" applyBorder="1" applyAlignment="1">
      <alignment horizontal="center"/>
    </xf>
    <xf numFmtId="165" fontId="12" fillId="0" borderId="8" xfId="574" applyNumberFormat="1" applyFont="1" applyBorder="1" applyAlignment="1">
      <alignment horizontal="center"/>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11"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Alignment="1">
      <alignment horizontal="center" vertical="top" wrapText="1"/>
    </xf>
    <xf numFmtId="0" fontId="5" fillId="0" borderId="13"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5" fillId="0" borderId="10" xfId="0" applyFont="1" applyBorder="1" applyAlignment="1">
      <alignment horizontal="center" vertical="top" wrapText="1"/>
    </xf>
    <xf numFmtId="167" fontId="14" fillId="7" borderId="4" xfId="0" applyNumberFormat="1" applyFont="1" applyFill="1" applyBorder="1" applyAlignment="1" applyProtection="1">
      <alignment horizontal="left"/>
      <protection locked="0"/>
    </xf>
    <xf numFmtId="0" fontId="5" fillId="7" borderId="3" xfId="0" applyFont="1" applyFill="1" applyBorder="1" applyAlignment="1" applyProtection="1">
      <alignment horizontal="center"/>
      <protection locked="0"/>
    </xf>
    <xf numFmtId="0" fontId="5" fillId="7" borderId="4" xfId="0" applyFont="1" applyFill="1" applyBorder="1" applyAlignment="1" applyProtection="1">
      <alignment horizontal="center"/>
      <protection locked="0"/>
    </xf>
    <xf numFmtId="0" fontId="5" fillId="7" borderId="8" xfId="0" applyFont="1" applyFill="1" applyBorder="1" applyAlignment="1" applyProtection="1">
      <alignment horizontal="center"/>
      <protection locked="0"/>
    </xf>
    <xf numFmtId="0" fontId="0" fillId="0" borderId="5" xfId="0" applyBorder="1" applyAlignment="1">
      <alignment horizontal="left"/>
    </xf>
    <xf numFmtId="0" fontId="14" fillId="7" borderId="4" xfId="0" applyFont="1" applyFill="1" applyBorder="1" applyAlignment="1" applyProtection="1">
      <alignment horizontal="left"/>
      <protection locked="0"/>
    </xf>
    <xf numFmtId="1" fontId="5" fillId="7" borderId="3" xfId="0" applyNumberFormat="1" applyFont="1" applyFill="1" applyBorder="1" applyAlignment="1" applyProtection="1">
      <alignment horizontal="center"/>
      <protection locked="0"/>
    </xf>
    <xf numFmtId="1" fontId="5" fillId="7" borderId="4" xfId="0" applyNumberFormat="1" applyFont="1" applyFill="1" applyBorder="1" applyAlignment="1" applyProtection="1">
      <alignment horizontal="center"/>
      <protection locked="0"/>
    </xf>
    <xf numFmtId="1" fontId="5" fillId="7" borderId="8" xfId="0" applyNumberFormat="1" applyFont="1" applyFill="1" applyBorder="1" applyAlignment="1" applyProtection="1">
      <alignment horizontal="center"/>
      <protection locked="0"/>
    </xf>
    <xf numFmtId="0" fontId="14" fillId="0" borderId="3" xfId="0" applyFont="1" applyBorder="1" applyAlignment="1">
      <alignment horizontal="center"/>
    </xf>
    <xf numFmtId="0" fontId="14" fillId="0" borderId="4" xfId="0" applyFont="1" applyBorder="1" applyAlignment="1">
      <alignment horizontal="center"/>
    </xf>
    <xf numFmtId="0" fontId="14" fillId="0" borderId="8" xfId="0" applyFont="1" applyBorder="1" applyAlignment="1">
      <alignment horizontal="center"/>
    </xf>
    <xf numFmtId="0" fontId="34" fillId="0" borderId="3" xfId="0" applyFont="1" applyBorder="1" applyAlignment="1">
      <alignment horizontal="center"/>
    </xf>
    <xf numFmtId="0" fontId="34" fillId="0" borderId="4" xfId="0" applyFont="1" applyBorder="1" applyAlignment="1">
      <alignment horizontal="center"/>
    </xf>
    <xf numFmtId="0" fontId="34" fillId="0" borderId="8"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8" xfId="0" applyFont="1" applyBorder="1" applyAlignment="1">
      <alignment horizontal="center"/>
    </xf>
    <xf numFmtId="0" fontId="14" fillId="0" borderId="9" xfId="0" applyFont="1" applyBorder="1" applyAlignment="1">
      <alignment horizontal="center"/>
    </xf>
    <xf numFmtId="0" fontId="14" fillId="0" borderId="5" xfId="0" applyFont="1" applyBorder="1" applyAlignment="1">
      <alignment horizontal="center"/>
    </xf>
    <xf numFmtId="0" fontId="14" fillId="0" borderId="10" xfId="0" applyFont="1" applyBorder="1" applyAlignment="1">
      <alignment horizont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3" fillId="51" borderId="3" xfId="0" applyNumberFormat="1" applyFont="1" applyFill="1" applyBorder="1" applyAlignment="1" applyProtection="1">
      <alignment horizontal="center"/>
      <protection locked="0"/>
    </xf>
    <xf numFmtId="1" fontId="13" fillId="51" borderId="4" xfId="0" applyNumberFormat="1" applyFont="1" applyFill="1" applyBorder="1" applyAlignment="1" applyProtection="1">
      <alignment horizontal="center"/>
      <protection locked="0"/>
    </xf>
    <xf numFmtId="1" fontId="13" fillId="51" borderId="8" xfId="0" applyNumberFormat="1" applyFont="1" applyFill="1" applyBorder="1" applyAlignment="1" applyProtection="1">
      <alignment horizontal="center"/>
      <protection locked="0"/>
    </xf>
    <xf numFmtId="169" fontId="5" fillId="51" borderId="3" xfId="0" applyNumberFormat="1" applyFont="1" applyFill="1" applyBorder="1" applyAlignment="1" applyProtection="1">
      <alignment horizontal="center"/>
      <protection locked="0"/>
    </xf>
    <xf numFmtId="169" fontId="5" fillId="51" borderId="4" xfId="0" applyNumberFormat="1" applyFont="1" applyFill="1" applyBorder="1" applyAlignment="1" applyProtection="1">
      <alignment horizontal="center"/>
      <protection locked="0"/>
    </xf>
    <xf numFmtId="169" fontId="5" fillId="51" borderId="8" xfId="0" applyNumberFormat="1" applyFont="1" applyFill="1" applyBorder="1" applyAlignment="1" applyProtection="1">
      <alignment horizontal="center"/>
      <protection locked="0"/>
    </xf>
    <xf numFmtId="176" fontId="5" fillId="51" borderId="3" xfId="0" applyNumberFormat="1" applyFont="1" applyFill="1" applyBorder="1" applyAlignment="1" applyProtection="1">
      <alignment horizontal="center"/>
      <protection locked="0"/>
    </xf>
    <xf numFmtId="176" fontId="5" fillId="51" borderId="4" xfId="0" applyNumberFormat="1" applyFont="1" applyFill="1" applyBorder="1" applyAlignment="1" applyProtection="1">
      <alignment horizontal="center"/>
      <protection locked="0"/>
    </xf>
    <xf numFmtId="176" fontId="5" fillId="51" borderId="8" xfId="0" applyNumberFormat="1" applyFont="1" applyFill="1" applyBorder="1" applyAlignment="1" applyProtection="1">
      <alignment horizontal="center"/>
      <protection locked="0"/>
    </xf>
    <xf numFmtId="1" fontId="14"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5"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4" fillId="7" borderId="3" xfId="0" applyNumberFormat="1" applyFont="1" applyFill="1" applyBorder="1" applyAlignment="1" applyProtection="1">
      <alignment horizontal="right" vertical="top"/>
      <protection locked="0"/>
    </xf>
    <xf numFmtId="1" fontId="14" fillId="7" borderId="4" xfId="0" applyNumberFormat="1" applyFont="1" applyFill="1" applyBorder="1" applyAlignment="1" applyProtection="1">
      <alignment horizontal="right" vertical="top"/>
      <protection locked="0"/>
    </xf>
    <xf numFmtId="1" fontId="14" fillId="7" borderId="8" xfId="0" applyNumberFormat="1" applyFont="1" applyFill="1" applyBorder="1" applyAlignment="1" applyProtection="1">
      <alignment horizontal="right" vertical="top"/>
      <protection locked="0"/>
    </xf>
    <xf numFmtId="9" fontId="14" fillId="0" borderId="12" xfId="0" applyNumberFormat="1" applyFont="1" applyBorder="1" applyAlignment="1">
      <alignment horizontal="center"/>
    </xf>
    <xf numFmtId="49" fontId="14" fillId="7" borderId="5" xfId="273" applyNumberFormat="1" applyFill="1" applyBorder="1" applyAlignment="1" applyProtection="1">
      <alignment horizontal="center"/>
      <protection locked="0"/>
    </xf>
    <xf numFmtId="169" fontId="14" fillId="0" borderId="4" xfId="0" applyNumberFormat="1" applyFont="1" applyBorder="1" applyAlignment="1">
      <alignment horizontal="left" vertical="top"/>
    </xf>
    <xf numFmtId="169" fontId="14"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0" fillId="0" borderId="4" xfId="0" applyBorder="1" applyAlignment="1">
      <alignment horizontal="left"/>
    </xf>
    <xf numFmtId="0" fontId="0" fillId="0" borderId="8" xfId="0" applyBorder="1" applyAlignment="1">
      <alignment horizontal="left"/>
    </xf>
    <xf numFmtId="0" fontId="14" fillId="7" borderId="9" xfId="0" applyFont="1" applyFill="1" applyBorder="1" applyAlignment="1" applyProtection="1">
      <alignment horizontal="center"/>
      <protection locked="0"/>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4" fillId="0" borderId="3" xfId="0" applyNumberFormat="1" applyFont="1" applyBorder="1" applyAlignment="1">
      <alignment horizontal="left" vertical="top"/>
    </xf>
    <xf numFmtId="0" fontId="12" fillId="0" borderId="3" xfId="0" applyFont="1" applyBorder="1" applyAlignment="1">
      <alignment horizontal="center"/>
    </xf>
    <xf numFmtId="0" fontId="12" fillId="0" borderId="4" xfId="0" applyFont="1" applyBorder="1" applyAlignment="1">
      <alignment horizontal="center"/>
    </xf>
    <xf numFmtId="0" fontId="5" fillId="51" borderId="5" xfId="0" applyFont="1" applyFill="1" applyBorder="1" applyAlignment="1" applyProtection="1">
      <alignment horizontal="left"/>
      <protection locked="0"/>
    </xf>
    <xf numFmtId="0" fontId="12"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3" fontId="14" fillId="0" borderId="12" xfId="0" applyNumberFormat="1" applyFont="1" applyBorder="1" applyAlignment="1">
      <alignment horizontal="center"/>
    </xf>
    <xf numFmtId="169" fontId="28" fillId="0" borderId="2" xfId="0" applyNumberFormat="1" applyFont="1" applyBorder="1" applyAlignment="1">
      <alignment horizontal="left" vertical="top" wrapText="1"/>
    </xf>
    <xf numFmtId="169" fontId="28" fillId="0" borderId="0" xfId="0" applyNumberFormat="1" applyFont="1" applyAlignment="1">
      <alignment horizontal="left" vertical="top" wrapText="1"/>
    </xf>
    <xf numFmtId="169" fontId="14" fillId="0" borderId="12" xfId="0" applyNumberFormat="1" applyFont="1" applyBorder="1" applyAlignment="1">
      <alignment horizontal="center"/>
    </xf>
    <xf numFmtId="165" fontId="5" fillId="7" borderId="3" xfId="0" applyNumberFormat="1" applyFont="1" applyFill="1" applyBorder="1" applyAlignment="1" applyProtection="1">
      <alignment horizontal="center"/>
      <protection locked="0"/>
    </xf>
    <xf numFmtId="165" fontId="5" fillId="7" borderId="4" xfId="0" applyNumberFormat="1" applyFont="1" applyFill="1" applyBorder="1" applyAlignment="1" applyProtection="1">
      <alignment horizontal="center"/>
      <protection locked="0"/>
    </xf>
    <xf numFmtId="165" fontId="5" fillId="7" borderId="8" xfId="0" applyNumberFormat="1" applyFont="1" applyFill="1" applyBorder="1" applyAlignment="1" applyProtection="1">
      <alignment horizontal="center"/>
      <protection locked="0"/>
    </xf>
    <xf numFmtId="0" fontId="12" fillId="0" borderId="8" xfId="0" applyFont="1" applyBorder="1" applyAlignment="1">
      <alignment horizontal="center"/>
    </xf>
    <xf numFmtId="3" fontId="14" fillId="0" borderId="0" xfId="0" applyNumberFormat="1" applyFont="1" applyAlignment="1">
      <alignment horizontal="center"/>
    </xf>
    <xf numFmtId="0" fontId="0" fillId="0" borderId="0" xfId="0" applyAlignment="1">
      <alignment horizontal="center"/>
    </xf>
    <xf numFmtId="0" fontId="0" fillId="0" borderId="13" xfId="0" applyBorder="1" applyAlignment="1">
      <alignment horizontal="center"/>
    </xf>
    <xf numFmtId="0" fontId="5" fillId="7" borderId="12" xfId="0" applyFont="1" applyFill="1" applyBorder="1" applyProtection="1">
      <protection locked="0"/>
    </xf>
    <xf numFmtId="169" fontId="13" fillId="0" borderId="0" xfId="0" applyNumberFormat="1" applyFont="1" applyAlignment="1">
      <alignment horizontal="left" vertical="top" wrapText="1"/>
    </xf>
    <xf numFmtId="0" fontId="12" fillId="0" borderId="12" xfId="0" applyFont="1" applyBorder="1" applyAlignment="1">
      <alignment horizontal="center" vertical="center" wrapText="1"/>
    </xf>
    <xf numFmtId="0" fontId="5" fillId="7" borderId="12" xfId="0" applyFont="1" applyFill="1" applyBorder="1" applyAlignment="1" applyProtection="1">
      <alignment horizontal="left" vertical="center"/>
      <protection locked="0"/>
    </xf>
    <xf numFmtId="0" fontId="5"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0" borderId="3" xfId="0" applyBorder="1" applyAlignment="1">
      <alignment horizontal="left"/>
    </xf>
    <xf numFmtId="176" fontId="14" fillId="0" borderId="3" xfId="546" applyNumberFormat="1" applyFont="1" applyBorder="1" applyAlignment="1">
      <alignment horizontal="center" vertical="center" wrapText="1"/>
    </xf>
    <xf numFmtId="176" fontId="14" fillId="0" borderId="4" xfId="546" applyNumberFormat="1" applyFont="1" applyBorder="1" applyAlignment="1">
      <alignment horizontal="center" vertical="center" wrapText="1"/>
    </xf>
    <xf numFmtId="176" fontId="14" fillId="0" borderId="8" xfId="546" applyNumberFormat="1" applyFont="1" applyBorder="1" applyAlignment="1">
      <alignment horizontal="center" vertical="center" wrapText="1"/>
    </xf>
    <xf numFmtId="3" fontId="37" fillId="4" borderId="0" xfId="546" applyNumberFormat="1" applyFont="1" applyFill="1" applyAlignment="1">
      <alignment horizontal="left" vertical="center" wrapText="1"/>
    </xf>
    <xf numFmtId="169" fontId="14" fillId="0" borderId="0" xfId="546" applyNumberFormat="1" applyFont="1" applyAlignment="1">
      <alignment horizontal="right" vertical="center" wrapText="1"/>
    </xf>
    <xf numFmtId="0" fontId="28" fillId="7" borderId="3" xfId="0" applyFont="1" applyFill="1" applyBorder="1" applyAlignment="1" applyProtection="1">
      <alignment horizontal="left"/>
      <protection locked="0"/>
    </xf>
    <xf numFmtId="0" fontId="28" fillId="7" borderId="4" xfId="0" applyFont="1" applyFill="1" applyBorder="1" applyAlignment="1" applyProtection="1">
      <alignment horizontal="left"/>
      <protection locked="0"/>
    </xf>
    <xf numFmtId="0" fontId="28" fillId="7" borderId="8" xfId="0" applyFont="1" applyFill="1" applyBorder="1" applyAlignment="1" applyProtection="1">
      <alignment horizontal="left"/>
      <protection locked="0"/>
    </xf>
    <xf numFmtId="0" fontId="14" fillId="7" borderId="3" xfId="0" applyFont="1" applyFill="1" applyBorder="1" applyProtection="1">
      <protection locked="0"/>
    </xf>
    <xf numFmtId="0" fontId="14" fillId="0" borderId="4" xfId="0" applyFont="1" applyBorder="1" applyProtection="1">
      <protection locked="0"/>
    </xf>
    <xf numFmtId="0" fontId="14" fillId="0" borderId="8" xfId="0" applyFont="1" applyBorder="1" applyProtection="1">
      <protection locked="0"/>
    </xf>
    <xf numFmtId="169" fontId="0" fillId="0" borderId="0" xfId="0" applyNumberFormat="1" applyAlignment="1">
      <alignment horizontal="right"/>
    </xf>
    <xf numFmtId="169" fontId="5" fillId="7" borderId="5" xfId="0" applyNumberFormat="1" applyFont="1" applyFill="1" applyBorder="1" applyAlignment="1" applyProtection="1">
      <alignment horizontal="right"/>
      <protection locked="0"/>
    </xf>
    <xf numFmtId="173" fontId="0" fillId="7" borderId="5" xfId="0" applyNumberFormat="1" applyFill="1" applyBorder="1" applyAlignment="1" applyProtection="1">
      <alignment horizontal="center"/>
      <protection locked="0"/>
    </xf>
    <xf numFmtId="0" fontId="25" fillId="7" borderId="5" xfId="0" applyFont="1" applyFill="1" applyBorder="1" applyAlignment="1" applyProtection="1">
      <alignment horizontal="left"/>
      <protection locked="0"/>
    </xf>
    <xf numFmtId="0" fontId="13" fillId="51" borderId="5" xfId="0" applyFont="1" applyFill="1" applyBorder="1" applyAlignment="1" applyProtection="1">
      <alignment horizontal="left"/>
      <protection locked="0"/>
    </xf>
    <xf numFmtId="14" fontId="5" fillId="7" borderId="4" xfId="0" applyNumberFormat="1" applyFont="1" applyFill="1" applyBorder="1" applyAlignment="1" applyProtection="1">
      <alignment horizontal="right"/>
      <protection locked="0"/>
    </xf>
    <xf numFmtId="0" fontId="5" fillId="51" borderId="4" xfId="0" applyFont="1" applyFill="1" applyBorder="1" applyAlignment="1" applyProtection="1">
      <alignment horizontal="left" wrapText="1"/>
      <protection locked="0"/>
    </xf>
    <xf numFmtId="0" fontId="14" fillId="7" borderId="5" xfId="0" applyFont="1" applyFill="1" applyBorder="1" applyAlignment="1" applyProtection="1">
      <alignment horizontal="left"/>
      <protection locked="0"/>
    </xf>
    <xf numFmtId="0" fontId="5" fillId="7" borderId="12" xfId="0" applyFont="1" applyFill="1" applyBorder="1" applyAlignment="1" applyProtection="1">
      <alignment horizontal="center"/>
      <protection locked="0"/>
    </xf>
    <xf numFmtId="0" fontId="5" fillId="7" borderId="9" xfId="0" applyFont="1" applyFill="1" applyBorder="1" applyAlignment="1" applyProtection="1">
      <alignment horizontal="center"/>
      <protection locked="0"/>
    </xf>
    <xf numFmtId="0" fontId="5"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7" fontId="14" fillId="7" borderId="5" xfId="0" applyNumberFormat="1" applyFont="1" applyFill="1" applyBorder="1" applyAlignment="1" applyProtection="1">
      <alignment horizontal="left"/>
      <protection locked="0"/>
    </xf>
    <xf numFmtId="0" fontId="5" fillId="7" borderId="4" xfId="0" applyFont="1" applyFill="1" applyBorder="1" applyAlignment="1" applyProtection="1">
      <alignment horizontal="right"/>
      <protection locked="0"/>
    </xf>
    <xf numFmtId="0" fontId="139" fillId="0" borderId="0" xfId="0" applyFont="1" applyAlignment="1" applyProtection="1">
      <alignment horizontal="left" vertical="top" wrapText="1"/>
      <protection locked="0"/>
    </xf>
    <xf numFmtId="0" fontId="14" fillId="7" borderId="0" xfId="0" applyFont="1" applyFill="1" applyAlignment="1" applyProtection="1">
      <alignment horizontal="left" vertical="top" wrapText="1"/>
      <protection locked="0"/>
    </xf>
    <xf numFmtId="0" fontId="14" fillId="7" borderId="5" xfId="0" applyFont="1" applyFill="1" applyBorder="1" applyAlignment="1" applyProtection="1">
      <alignment horizontal="left" vertical="top" wrapText="1"/>
      <protection locked="0"/>
    </xf>
    <xf numFmtId="14" fontId="0" fillId="7" borderId="4" xfId="0" applyNumberFormat="1" applyFill="1" applyBorder="1" applyAlignment="1" applyProtection="1">
      <alignment horizontal="right"/>
      <protection locked="0"/>
    </xf>
    <xf numFmtId="14" fontId="0" fillId="7" borderId="5" xfId="0" applyNumberFormat="1" applyFill="1" applyBorder="1" applyAlignment="1" applyProtection="1">
      <alignment horizontal="center"/>
      <protection locked="0"/>
    </xf>
    <xf numFmtId="169" fontId="14" fillId="0" borderId="5" xfId="0" applyNumberFormat="1" applyFont="1" applyBorder="1" applyAlignment="1">
      <alignment horizontal="center"/>
    </xf>
    <xf numFmtId="0" fontId="14" fillId="0" borderId="5" xfId="0" applyFont="1" applyBorder="1" applyAlignment="1">
      <alignment horizontal="left" wrapText="1"/>
    </xf>
    <xf numFmtId="0" fontId="25" fillId="0" borderId="2" xfId="0" applyFont="1" applyBorder="1" applyAlignment="1">
      <alignment horizontal="center"/>
    </xf>
    <xf numFmtId="0" fontId="5" fillId="7" borderId="4" xfId="0" applyFont="1" applyFill="1" applyBorder="1" applyAlignment="1" applyProtection="1">
      <alignment vertical="center"/>
      <protection locked="0"/>
    </xf>
    <xf numFmtId="10" fontId="5" fillId="7" borderId="4" xfId="0" applyNumberFormat="1" applyFont="1" applyFill="1" applyBorder="1" applyAlignment="1" applyProtection="1">
      <alignment horizontal="right"/>
      <protection locked="0"/>
    </xf>
    <xf numFmtId="0" fontId="13" fillId="7" borderId="3" xfId="0" applyFont="1" applyFill="1" applyBorder="1" applyProtection="1">
      <protection locked="0"/>
    </xf>
    <xf numFmtId="0" fontId="13" fillId="7" borderId="4" xfId="0" applyFont="1" applyFill="1" applyBorder="1" applyProtection="1">
      <protection locked="0"/>
    </xf>
    <xf numFmtId="0" fontId="13" fillId="7" borderId="8"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9" fillId="0" borderId="13" xfId="0" applyFont="1" applyBorder="1" applyAlignment="1">
      <alignment horizontal="center" vertical="center" wrapText="1"/>
    </xf>
    <xf numFmtId="0" fontId="49" fillId="0" borderId="9" xfId="0" applyFont="1" applyBorder="1" applyAlignment="1">
      <alignment horizontal="center" vertical="center" wrapText="1"/>
    </xf>
    <xf numFmtId="0" fontId="49" fillId="0" borderId="5" xfId="0" applyFont="1" applyBorder="1" applyAlignment="1">
      <alignment horizontal="center" vertical="center" wrapText="1"/>
    </xf>
    <xf numFmtId="0" fontId="49" fillId="0" borderId="10" xfId="0" applyFont="1" applyBorder="1" applyAlignment="1">
      <alignment horizontal="center" vertical="center" wrapText="1"/>
    </xf>
    <xf numFmtId="176" fontId="28" fillId="7" borderId="3" xfId="0" applyNumberFormat="1" applyFont="1" applyFill="1" applyBorder="1" applyProtection="1">
      <protection locked="0"/>
    </xf>
    <xf numFmtId="176" fontId="28" fillId="7" borderId="4" xfId="0" applyNumberFormat="1" applyFont="1" applyFill="1" applyBorder="1" applyProtection="1">
      <protection locked="0"/>
    </xf>
    <xf numFmtId="176" fontId="28" fillId="7" borderId="8" xfId="0" applyNumberFormat="1" applyFont="1" applyFill="1" applyBorder="1" applyProtection="1">
      <protection locked="0"/>
    </xf>
    <xf numFmtId="173" fontId="12" fillId="0" borderId="2" xfId="0" applyNumberFormat="1" applyFont="1" applyBorder="1" applyAlignment="1">
      <alignment horizontal="center" vertical="center" wrapText="1"/>
    </xf>
    <xf numFmtId="173" fontId="12" fillId="0" borderId="11" xfId="0" applyNumberFormat="1" applyFont="1" applyBorder="1" applyAlignment="1">
      <alignment horizontal="center" vertical="center" wrapText="1"/>
    </xf>
    <xf numFmtId="173" fontId="12" fillId="0" borderId="0" xfId="0" applyNumberFormat="1" applyFont="1" applyAlignment="1">
      <alignment horizontal="center" vertical="center" wrapText="1"/>
    </xf>
    <xf numFmtId="173" fontId="12" fillId="0" borderId="13" xfId="0" applyNumberFormat="1" applyFont="1" applyBorder="1" applyAlignment="1">
      <alignment horizontal="center" vertical="center" wrapText="1"/>
    </xf>
    <xf numFmtId="173" fontId="12" fillId="0" borderId="5" xfId="0" applyNumberFormat="1" applyFont="1" applyBorder="1" applyAlignment="1">
      <alignment horizontal="center" vertical="center" wrapText="1"/>
    </xf>
    <xf numFmtId="173" fontId="12" fillId="0" borderId="10" xfId="0" applyNumberFormat="1" applyFont="1" applyBorder="1" applyAlignment="1">
      <alignment horizontal="center" vertical="center" wrapText="1"/>
    </xf>
    <xf numFmtId="1" fontId="17" fillId="7" borderId="3" xfId="0" applyNumberFormat="1" applyFont="1" applyFill="1" applyBorder="1" applyProtection="1">
      <protection locked="0"/>
    </xf>
    <xf numFmtId="1" fontId="17" fillId="7" borderId="4" xfId="0" applyNumberFormat="1" applyFont="1" applyFill="1" applyBorder="1" applyProtection="1">
      <protection locked="0"/>
    </xf>
    <xf numFmtId="1" fontId="17" fillId="7" borderId="8" xfId="0" applyNumberFormat="1" applyFont="1" applyFill="1" applyBorder="1" applyProtection="1">
      <protection locked="0"/>
    </xf>
    <xf numFmtId="0" fontId="12" fillId="4" borderId="3" xfId="546" applyFont="1" applyFill="1" applyBorder="1" applyAlignment="1">
      <alignment horizontal="center"/>
    </xf>
    <xf numFmtId="0" fontId="12" fillId="4" borderId="4" xfId="546" applyFont="1" applyFill="1" applyBorder="1" applyAlignment="1">
      <alignment horizontal="center"/>
    </xf>
    <xf numFmtId="0" fontId="12" fillId="4" borderId="8" xfId="546" applyFont="1" applyFill="1" applyBorder="1" applyAlignment="1">
      <alignment horizontal="center"/>
    </xf>
    <xf numFmtId="0" fontId="5" fillId="2" borderId="3" xfId="546" applyFill="1" applyBorder="1" applyAlignment="1">
      <alignment horizontal="center"/>
    </xf>
    <xf numFmtId="0" fontId="5" fillId="2" borderId="4" xfId="546" applyFill="1" applyBorder="1" applyAlignment="1">
      <alignment horizontal="center"/>
    </xf>
    <xf numFmtId="0" fontId="5" fillId="2" borderId="8" xfId="546" applyFill="1" applyBorder="1" applyAlignment="1">
      <alignment horizontal="center"/>
    </xf>
    <xf numFmtId="1" fontId="5" fillId="7" borderId="12" xfId="0" applyNumberFormat="1" applyFont="1" applyFill="1" applyBorder="1" applyAlignment="1" applyProtection="1">
      <alignment horizontal="center"/>
      <protection locked="0"/>
    </xf>
    <xf numFmtId="0" fontId="5" fillId="7" borderId="3" xfId="546" applyFill="1" applyBorder="1" applyAlignment="1" applyProtection="1">
      <alignment horizontal="left" vertical="top" wrapText="1"/>
      <protection locked="0"/>
    </xf>
    <xf numFmtId="0" fontId="5" fillId="7" borderId="4" xfId="546" applyFill="1" applyBorder="1" applyAlignment="1" applyProtection="1">
      <alignment horizontal="left" vertical="top" wrapText="1"/>
      <protection locked="0"/>
    </xf>
    <xf numFmtId="0" fontId="5" fillId="7" borderId="8" xfId="546" applyFill="1" applyBorder="1" applyAlignment="1" applyProtection="1">
      <alignment horizontal="left" vertical="top" wrapText="1"/>
      <protection locked="0"/>
    </xf>
    <xf numFmtId="0" fontId="24" fillId="0" borderId="3" xfId="546" applyFont="1" applyBorder="1" applyAlignment="1">
      <alignment horizontal="center"/>
    </xf>
    <xf numFmtId="0" fontId="24" fillId="0" borderId="4" xfId="546" applyFont="1" applyBorder="1" applyAlignment="1">
      <alignment horizontal="center"/>
    </xf>
    <xf numFmtId="0" fontId="24" fillId="0" borderId="8" xfId="546" applyFont="1" applyBorder="1" applyAlignment="1">
      <alignment horizontal="center"/>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0" fontId="12" fillId="0" borderId="0" xfId="0" applyFont="1" applyAlignment="1">
      <alignment horizontal="center" vertical="center"/>
    </xf>
    <xf numFmtId="9" fontId="5" fillId="7" borderId="3" xfId="1030" applyFont="1" applyFill="1" applyBorder="1" applyAlignment="1" applyProtection="1">
      <alignment horizontal="center"/>
      <protection locked="0"/>
    </xf>
    <xf numFmtId="9" fontId="5" fillId="7" borderId="4" xfId="1030" applyFont="1" applyFill="1" applyBorder="1" applyAlignment="1" applyProtection="1">
      <alignment horizontal="center"/>
      <protection locked="0"/>
    </xf>
    <xf numFmtId="9" fontId="5" fillId="7" borderId="8" xfId="1030" applyFont="1" applyFill="1" applyBorder="1" applyAlignment="1" applyProtection="1">
      <alignment horizontal="center"/>
      <protection locked="0"/>
    </xf>
    <xf numFmtId="0" fontId="5" fillId="51" borderId="12" xfId="0" applyFont="1" applyFill="1" applyBorder="1" applyAlignment="1" applyProtection="1">
      <alignment horizontal="center"/>
      <protection locked="0"/>
    </xf>
    <xf numFmtId="0" fontId="12" fillId="0" borderId="9" xfId="0" applyFont="1" applyBorder="1" applyAlignment="1">
      <alignment horizontal="right"/>
    </xf>
    <xf numFmtId="0" fontId="12" fillId="0" borderId="5" xfId="0" applyFont="1" applyBorder="1" applyAlignment="1">
      <alignment horizontal="right"/>
    </xf>
    <xf numFmtId="0" fontId="12" fillId="0" borderId="10" xfId="0" applyFont="1" applyBorder="1" applyAlignment="1">
      <alignment horizontal="right"/>
    </xf>
    <xf numFmtId="0" fontId="14" fillId="7" borderId="5" xfId="0" applyFont="1" applyFill="1" applyBorder="1" applyAlignment="1" applyProtection="1">
      <alignment horizontal="left" wrapText="1"/>
      <protection locked="0"/>
    </xf>
    <xf numFmtId="0" fontId="14" fillId="0" borderId="4" xfId="0" applyFont="1" applyBorder="1" applyAlignment="1" applyProtection="1">
      <alignment horizontal="left"/>
      <protection locked="0"/>
    </xf>
    <xf numFmtId="0" fontId="0" fillId="7" borderId="5" xfId="0" applyFill="1" applyBorder="1" applyProtection="1">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6" fillId="7" borderId="5" xfId="0" applyFont="1" applyFill="1" applyBorder="1" applyAlignment="1">
      <alignment horizontal="center"/>
    </xf>
    <xf numFmtId="0" fontId="14" fillId="7" borderId="5" xfId="273" applyFill="1" applyBorder="1" applyAlignment="1" applyProtection="1">
      <alignment horizontal="center"/>
      <protection locked="0"/>
    </xf>
    <xf numFmtId="169" fontId="14" fillId="7" borderId="5" xfId="273" applyNumberFormat="1" applyFill="1" applyBorder="1" applyAlignment="1" applyProtection="1">
      <alignment horizontal="right"/>
      <protection locked="0"/>
    </xf>
    <xf numFmtId="9" fontId="13"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3" fillId="7" borderId="5" xfId="0" applyNumberFormat="1" applyFont="1" applyFill="1" applyBorder="1" applyAlignment="1" applyProtection="1">
      <alignment horizontal="center"/>
      <protection locked="0"/>
    </xf>
    <xf numFmtId="0" fontId="6"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5" fillId="0" borderId="3" xfId="0" applyNumberFormat="1" applyFont="1" applyBorder="1" applyAlignment="1">
      <alignment horizontal="center"/>
    </xf>
    <xf numFmtId="1" fontId="5" fillId="0" borderId="4" xfId="0" applyNumberFormat="1" applyFont="1" applyBorder="1" applyAlignment="1">
      <alignment horizontal="center"/>
    </xf>
    <xf numFmtId="1" fontId="5" fillId="0" borderId="8" xfId="0" applyNumberFormat="1" applyFont="1" applyBorder="1" applyAlignment="1">
      <alignment horizontal="center"/>
    </xf>
    <xf numFmtId="0" fontId="12" fillId="7" borderId="12" xfId="0" applyFont="1" applyFill="1" applyBorder="1" applyAlignment="1" applyProtection="1">
      <alignment horizontal="center"/>
      <protection locked="0"/>
    </xf>
    <xf numFmtId="0" fontId="14" fillId="7" borderId="5" xfId="273" applyFill="1" applyBorder="1" applyProtection="1">
      <protection locked="0"/>
    </xf>
    <xf numFmtId="0" fontId="5" fillId="0" borderId="12" xfId="0" applyFont="1" applyBorder="1" applyAlignment="1">
      <alignment horizontal="center" vertical="top" wrapText="1"/>
    </xf>
    <xf numFmtId="14" fontId="0" fillId="7" borderId="3" xfId="0" quotePrefix="1"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5" fillId="0" borderId="12" xfId="0" applyFont="1" applyBorder="1" applyAlignment="1">
      <alignment horizontal="center"/>
    </xf>
    <xf numFmtId="0" fontId="12" fillId="0" borderId="12" xfId="0" applyFont="1" applyBorder="1" applyAlignment="1">
      <alignment horizontal="center"/>
    </xf>
    <xf numFmtId="179" fontId="5" fillId="7" borderId="4" xfId="0" applyNumberFormat="1" applyFont="1" applyFill="1" applyBorder="1" applyAlignment="1" applyProtection="1">
      <alignment horizontal="right"/>
      <protection locked="0"/>
    </xf>
    <xf numFmtId="169" fontId="0" fillId="0" borderId="12" xfId="0" applyNumberFormat="1" applyBorder="1"/>
    <xf numFmtId="0" fontId="25" fillId="7" borderId="3" xfId="546" applyFont="1" applyFill="1" applyBorder="1" applyAlignment="1">
      <alignment horizontal="center"/>
    </xf>
    <xf numFmtId="0" fontId="25" fillId="7" borderId="4" xfId="546" applyFont="1" applyFill="1" applyBorder="1" applyAlignment="1">
      <alignment horizontal="center"/>
    </xf>
    <xf numFmtId="0" fontId="25" fillId="7" borderId="8" xfId="546" applyFont="1" applyFill="1" applyBorder="1" applyAlignment="1">
      <alignment horizontal="center"/>
    </xf>
    <xf numFmtId="49" fontId="5" fillId="7" borderId="3" xfId="546" applyNumberFormat="1" applyFill="1" applyBorder="1" applyAlignment="1">
      <alignment horizontal="center"/>
    </xf>
    <xf numFmtId="49" fontId="5"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5" fillId="7" borderId="3" xfId="0" applyFont="1" applyFill="1" applyBorder="1" applyAlignment="1" applyProtection="1">
      <alignment horizontal="right"/>
      <protection locked="0"/>
    </xf>
    <xf numFmtId="0" fontId="5" fillId="7" borderId="8" xfId="0" applyFont="1" applyFill="1" applyBorder="1" applyAlignment="1" applyProtection="1">
      <alignment horizontal="right"/>
      <protection locked="0"/>
    </xf>
    <xf numFmtId="1" fontId="5" fillId="0" borderId="0" xfId="546" applyNumberFormat="1" applyAlignment="1">
      <alignment horizontal="center"/>
    </xf>
    <xf numFmtId="0" fontId="0" fillId="7" borderId="5" xfId="0" applyFill="1" applyBorder="1" applyAlignment="1" applyProtection="1">
      <alignment horizontal="center" vertical="center"/>
      <protection locked="0"/>
    </xf>
    <xf numFmtId="0" fontId="12" fillId="0" borderId="63" xfId="0" applyFont="1" applyBorder="1" applyAlignment="1">
      <alignment horizontal="right"/>
    </xf>
    <xf numFmtId="0" fontId="12" fillId="0" borderId="14" xfId="0" applyFont="1" applyBorder="1" applyAlignment="1">
      <alignment horizontal="right"/>
    </xf>
    <xf numFmtId="0" fontId="12" fillId="0" borderId="64" xfId="0" applyFont="1" applyBorder="1" applyAlignment="1">
      <alignment horizontal="right"/>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0" fontId="12" fillId="0" borderId="4" xfId="546" applyFont="1" applyBorder="1" applyAlignment="1">
      <alignment horizontal="right" vertical="top" wrapText="1"/>
    </xf>
    <xf numFmtId="0" fontId="12" fillId="0" borderId="8" xfId="546" applyFont="1" applyBorder="1" applyAlignment="1">
      <alignment horizontal="right" vertical="top" wrapText="1"/>
    </xf>
    <xf numFmtId="169" fontId="12" fillId="0" borderId="3" xfId="546" applyNumberFormat="1" applyFont="1" applyBorder="1" applyAlignment="1">
      <alignment horizontal="center" vertical="center"/>
    </xf>
    <xf numFmtId="169" fontId="12" fillId="0" borderId="4" xfId="546" applyNumberFormat="1" applyFont="1" applyBorder="1" applyAlignment="1">
      <alignment horizontal="center" vertical="center"/>
    </xf>
    <xf numFmtId="169" fontId="12" fillId="0" borderId="8" xfId="546" applyNumberFormat="1" applyFont="1" applyBorder="1" applyAlignment="1">
      <alignment horizontal="center" vertic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5" fontId="13" fillId="51" borderId="12" xfId="164" applyNumberFormat="1" applyFont="1" applyFill="1" applyBorder="1" applyAlignment="1" applyProtection="1">
      <alignment horizontal="center" vertical="center" wrapText="1"/>
      <protection locked="0"/>
    </xf>
    <xf numFmtId="0" fontId="32" fillId="0" borderId="9" xfId="546" applyFont="1" applyBorder="1" applyAlignment="1">
      <alignment horizontal="center" vertical="center"/>
    </xf>
    <xf numFmtId="0" fontId="32" fillId="0" borderId="5" xfId="546" applyFont="1" applyBorder="1" applyAlignment="1">
      <alignment horizontal="center" vertical="center"/>
    </xf>
    <xf numFmtId="0" fontId="32" fillId="0" borderId="10" xfId="546" applyFont="1" applyBorder="1" applyAlignment="1">
      <alignment horizontal="center" vertical="center"/>
    </xf>
    <xf numFmtId="0" fontId="12" fillId="0" borderId="7" xfId="0" applyFont="1" applyBorder="1" applyAlignment="1">
      <alignment horizontal="center" wrapText="1"/>
    </xf>
    <xf numFmtId="0" fontId="12" fillId="0" borderId="0" xfId="0" applyFont="1" applyAlignment="1">
      <alignment horizontal="center" wrapText="1"/>
    </xf>
    <xf numFmtId="0" fontId="12" fillId="0" borderId="13" xfId="0" applyFont="1" applyBorder="1" applyAlignment="1">
      <alignment horizontal="center" wrapText="1"/>
    </xf>
    <xf numFmtId="0" fontId="12" fillId="0" borderId="9" xfId="0" applyFont="1" applyBorder="1" applyAlignment="1">
      <alignment horizontal="center" wrapText="1"/>
    </xf>
    <xf numFmtId="0" fontId="12" fillId="0" borderId="5" xfId="0" applyFont="1" applyBorder="1" applyAlignment="1">
      <alignment horizontal="center" wrapText="1"/>
    </xf>
    <xf numFmtId="0" fontId="12" fillId="0" borderId="10" xfId="0" applyFont="1" applyBorder="1" applyAlignment="1">
      <alignment horizontal="center" wrapText="1"/>
    </xf>
    <xf numFmtId="0" fontId="12" fillId="0" borderId="1" xfId="0" applyFont="1" applyBorder="1" applyAlignment="1">
      <alignment horizontal="center"/>
    </xf>
    <xf numFmtId="0" fontId="12" fillId="0" borderId="2" xfId="0" applyFont="1" applyBorder="1" applyAlignment="1">
      <alignment horizontal="center"/>
    </xf>
    <xf numFmtId="0" fontId="12" fillId="0" borderId="11" xfId="0" applyFont="1" applyBorder="1" applyAlignment="1">
      <alignment horizontal="center"/>
    </xf>
    <xf numFmtId="0" fontId="12" fillId="0" borderId="2" xfId="0" applyFont="1" applyBorder="1" applyAlignment="1">
      <alignment horizontal="center" wrapText="1"/>
    </xf>
    <xf numFmtId="0" fontId="12" fillId="0" borderId="11" xfId="0" applyFont="1" applyBorder="1" applyAlignment="1">
      <alignment horizontal="center" wrapText="1"/>
    </xf>
    <xf numFmtId="0" fontId="12"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51" borderId="10" xfId="0" applyFill="1" applyBorder="1" applyAlignment="1" applyProtection="1">
      <alignment horizontal="left"/>
      <protection locked="0"/>
    </xf>
    <xf numFmtId="169" fontId="5" fillId="7" borderId="3" xfId="0" applyNumberFormat="1" applyFont="1" applyFill="1" applyBorder="1" applyAlignment="1" applyProtection="1">
      <alignment horizontal="left" vertical="top"/>
      <protection locked="0"/>
    </xf>
    <xf numFmtId="169" fontId="14" fillId="7" borderId="4" xfId="0" applyNumberFormat="1" applyFont="1" applyFill="1" applyBorder="1" applyAlignment="1" applyProtection="1">
      <alignment horizontal="left" vertical="top"/>
      <protection locked="0"/>
    </xf>
    <xf numFmtId="169" fontId="14" fillId="7" borderId="8" xfId="0" applyNumberFormat="1" applyFont="1" applyFill="1" applyBorder="1" applyAlignment="1" applyProtection="1">
      <alignment horizontal="left" vertical="top"/>
      <protection locked="0"/>
    </xf>
    <xf numFmtId="1" fontId="14" fillId="7" borderId="12" xfId="0" quotePrefix="1" applyNumberFormat="1" applyFont="1" applyFill="1" applyBorder="1" applyAlignment="1" applyProtection="1">
      <alignment horizontal="center"/>
      <protection locked="0"/>
    </xf>
    <xf numFmtId="1" fontId="14"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 fontId="5" fillId="7" borderId="5" xfId="0" applyNumberFormat="1" applyFont="1" applyFill="1" applyBorder="1" applyAlignment="1" applyProtection="1">
      <alignment horizontal="right"/>
      <protection locked="0"/>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Alignment="1">
      <alignment horizontal="center" vertical="center" wrapText="1"/>
    </xf>
    <xf numFmtId="0" fontId="22" fillId="0" borderId="13"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0" xfId="0" applyFont="1" applyBorder="1" applyAlignment="1">
      <alignment horizontal="center" vertic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45" fillId="0" borderId="0" xfId="0" applyFont="1" applyAlignment="1">
      <alignment horizontal="center" vertical="center"/>
    </xf>
    <xf numFmtId="0" fontId="23"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top"/>
    </xf>
    <xf numFmtId="0" fontId="0" fillId="0" borderId="0" xfId="0" applyAlignment="1">
      <alignment vertical="top" wrapText="1"/>
    </xf>
    <xf numFmtId="0" fontId="14" fillId="0" borderId="5" xfId="0" applyFont="1" applyBorder="1" applyAlignment="1">
      <alignment horizontal="left"/>
    </xf>
    <xf numFmtId="0" fontId="14" fillId="0" borderId="2" xfId="0" applyFont="1" applyBorder="1" applyAlignment="1">
      <alignment horizontal="left" vertical="top" wrapText="1"/>
    </xf>
    <xf numFmtId="178" fontId="14" fillId="7" borderId="5" xfId="0" applyNumberFormat="1" applyFont="1" applyFill="1" applyBorder="1" applyAlignment="1" applyProtection="1">
      <alignment horizontal="left" vertical="top" wrapText="1"/>
      <protection locked="0"/>
    </xf>
    <xf numFmtId="0" fontId="49" fillId="0" borderId="0" xfId="0" applyFont="1" applyAlignment="1">
      <alignment vertical="top" wrapText="1"/>
    </xf>
    <xf numFmtId="0" fontId="14" fillId="0" borderId="0" xfId="0" applyFont="1" applyAlignment="1">
      <alignment vertical="top" wrapText="1"/>
    </xf>
    <xf numFmtId="0" fontId="14" fillId="0" borderId="5" xfId="0" applyFont="1" applyBorder="1" applyAlignment="1">
      <alignment horizontal="right" vertical="top" wrapText="1"/>
    </xf>
    <xf numFmtId="0" fontId="14" fillId="0" borderId="5" xfId="0" applyFont="1" applyBorder="1" applyAlignment="1">
      <alignment vertical="top" wrapText="1"/>
    </xf>
    <xf numFmtId="0" fontId="53" fillId="2" borderId="3" xfId="0" applyFont="1" applyFill="1" applyBorder="1" applyAlignment="1">
      <alignment horizontal="center" vertical="top"/>
    </xf>
    <xf numFmtId="0" fontId="53" fillId="2" borderId="4" xfId="0" applyFont="1" applyFill="1" applyBorder="1" applyAlignment="1">
      <alignment horizontal="center" vertical="top"/>
    </xf>
    <xf numFmtId="0" fontId="53" fillId="2" borderId="8" xfId="0" applyFont="1" applyFill="1" applyBorder="1" applyAlignment="1">
      <alignment horizontal="center" vertical="top"/>
    </xf>
    <xf numFmtId="0" fontId="14" fillId="0" borderId="2" xfId="0" applyFont="1" applyBorder="1" applyAlignment="1">
      <alignment vertical="top" wrapText="1"/>
    </xf>
    <xf numFmtId="0" fontId="28" fillId="0" borderId="0" xfId="0" applyFont="1" applyAlignment="1">
      <alignment vertical="top" wrapText="1"/>
    </xf>
    <xf numFmtId="0" fontId="13" fillId="7" borderId="4" xfId="0" applyFont="1" applyFill="1" applyBorder="1" applyAlignment="1" applyProtection="1">
      <alignment horizontal="left"/>
      <protection locked="0"/>
    </xf>
    <xf numFmtId="0" fontId="13" fillId="7" borderId="8" xfId="0" applyFont="1" applyFill="1" applyBorder="1" applyAlignment="1" applyProtection="1">
      <alignment horizontal="left"/>
      <protection locked="0"/>
    </xf>
    <xf numFmtId="0" fontId="13" fillId="0" borderId="3" xfId="0" applyFont="1" applyBorder="1" applyAlignment="1">
      <alignment horizontal="right"/>
    </xf>
    <xf numFmtId="0" fontId="13" fillId="0" borderId="4" xfId="0" applyFont="1" applyBorder="1" applyAlignment="1">
      <alignment horizontal="right"/>
    </xf>
    <xf numFmtId="0" fontId="13" fillId="0" borderId="8" xfId="0" applyFont="1" applyBorder="1" applyAlignment="1">
      <alignment horizontal="right"/>
    </xf>
    <xf numFmtId="0" fontId="25" fillId="0" borderId="3" xfId="0" applyFont="1" applyBorder="1" applyAlignment="1">
      <alignment horizontal="right"/>
    </xf>
    <xf numFmtId="0" fontId="25" fillId="0" borderId="4" xfId="0" applyFont="1" applyBorder="1" applyAlignment="1">
      <alignment horizontal="right"/>
    </xf>
    <xf numFmtId="0" fontId="25"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5"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2" fillId="0" borderId="12" xfId="0" applyFont="1" applyBorder="1" applyAlignment="1">
      <alignment horizontal="center" wrapText="1"/>
    </xf>
    <xf numFmtId="169" fontId="0" fillId="0" borderId="18" xfId="0" applyNumberFormat="1" applyBorder="1" applyAlignment="1">
      <alignment horizontal="center"/>
    </xf>
    <xf numFmtId="0" fontId="12" fillId="0" borderId="3" xfId="0" applyFont="1" applyBorder="1" applyAlignment="1">
      <alignment horizontal="left"/>
    </xf>
    <xf numFmtId="0" fontId="12" fillId="0" borderId="8" xfId="0" applyFont="1" applyBorder="1" applyAlignment="1">
      <alignment horizontal="left"/>
    </xf>
    <xf numFmtId="0" fontId="13" fillId="0" borderId="4" xfId="0" applyFont="1" applyBorder="1" applyAlignment="1">
      <alignment horizontal="left"/>
    </xf>
    <xf numFmtId="0" fontId="25" fillId="0" borderId="4" xfId="0" applyFont="1" applyBorder="1" applyAlignment="1">
      <alignment horizontal="left"/>
    </xf>
    <xf numFmtId="0" fontId="25" fillId="0" borderId="8" xfId="0" applyFont="1" applyBorder="1" applyAlignment="1">
      <alignment horizontal="left"/>
    </xf>
    <xf numFmtId="0" fontId="13"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5" borderId="2" xfId="0" applyFont="1" applyFill="1" applyBorder="1" applyAlignment="1">
      <alignment horizontal="center" vertical="center" wrapText="1"/>
    </xf>
    <xf numFmtId="0" fontId="11" fillId="5" borderId="2" xfId="0" applyFont="1" applyFill="1" applyBorder="1" applyAlignment="1">
      <alignment horizontal="center" vertical="center"/>
    </xf>
    <xf numFmtId="0" fontId="11" fillId="5" borderId="6" xfId="0" applyFont="1" applyFill="1" applyBorder="1" applyAlignment="1">
      <alignment horizontal="center" vertical="center"/>
    </xf>
    <xf numFmtId="169" fontId="5"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6" fillId="0" borderId="0" xfId="0" applyFont="1" applyAlignment="1">
      <alignment horizontal="left" vertical="top" wrapText="1"/>
    </xf>
    <xf numFmtId="0" fontId="28" fillId="0" borderId="2" xfId="0" applyFont="1" applyBorder="1" applyAlignment="1">
      <alignment horizontal="left" vertical="top"/>
    </xf>
    <xf numFmtId="0" fontId="76" fillId="0" borderId="0" xfId="0" applyFont="1" applyAlignment="1">
      <alignment horizontal="left" wrapText="1"/>
    </xf>
    <xf numFmtId="0" fontId="13" fillId="0" borderId="2" xfId="0" applyFont="1" applyBorder="1" applyAlignment="1">
      <alignment horizontal="left"/>
    </xf>
    <xf numFmtId="0" fontId="13" fillId="0" borderId="0" xfId="0" applyFont="1" applyAlignment="1">
      <alignment horizontal="left"/>
    </xf>
    <xf numFmtId="0" fontId="12" fillId="0" borderId="6" xfId="0" applyFont="1" applyBorder="1" applyAlignment="1">
      <alignment horizontal="center" wrapText="1"/>
    </xf>
    <xf numFmtId="0" fontId="28" fillId="0" borderId="0" xfId="0" applyFont="1" applyAlignment="1">
      <alignment horizontal="left" vertical="center" wrapText="1"/>
    </xf>
    <xf numFmtId="10" fontId="0" fillId="0" borderId="12" xfId="0" applyNumberFormat="1" applyBorder="1" applyAlignment="1">
      <alignment horizontal="center"/>
    </xf>
    <xf numFmtId="0" fontId="11" fillId="5" borderId="3" xfId="0" applyFont="1" applyFill="1" applyBorder="1" applyAlignment="1">
      <alignment horizontal="left" vertical="top"/>
    </xf>
    <xf numFmtId="0" fontId="11" fillId="5" borderId="4" xfId="0" applyFont="1" applyFill="1" applyBorder="1" applyAlignment="1">
      <alignment horizontal="left" vertical="top"/>
    </xf>
    <xf numFmtId="0" fontId="11" fillId="5" borderId="8" xfId="0" applyFont="1" applyFill="1" applyBorder="1" applyAlignment="1">
      <alignment horizontal="left" vertical="top"/>
    </xf>
    <xf numFmtId="0" fontId="13" fillId="7" borderId="5" xfId="0" applyFont="1" applyFill="1" applyBorder="1" applyAlignment="1" applyProtection="1">
      <alignment horizontal="left"/>
      <protection locked="0"/>
    </xf>
    <xf numFmtId="0" fontId="13" fillId="0" borderId="0" xfId="0" applyFont="1" applyAlignment="1">
      <alignment vertical="center" wrapText="1"/>
    </xf>
    <xf numFmtId="169" fontId="143" fillId="0" borderId="13" xfId="0" applyNumberFormat="1" applyFont="1" applyBorder="1" applyAlignment="1">
      <alignment horizontal="center" vertical="center" wrapText="1"/>
    </xf>
    <xf numFmtId="0" fontId="13" fillId="0" borderId="0" xfId="0" applyFont="1" applyAlignment="1">
      <alignment horizontal="left" wrapText="1"/>
    </xf>
    <xf numFmtId="0" fontId="14" fillId="0" borderId="13" xfId="0" applyFont="1" applyBorder="1" applyAlignment="1">
      <alignment horizontal="left" vertical="top" wrapText="1"/>
    </xf>
    <xf numFmtId="166" fontId="13" fillId="46" borderId="12" xfId="0" applyNumberFormat="1" applyFont="1" applyFill="1" applyBorder="1" applyAlignment="1">
      <alignment horizontal="center"/>
    </xf>
    <xf numFmtId="166" fontId="13" fillId="0" borderId="12" xfId="0" applyNumberFormat="1" applyFont="1" applyBorder="1" applyAlignment="1">
      <alignment horizontal="center"/>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0" xfId="0" applyFont="1" applyAlignment="1">
      <alignment horizontal="center" vertical="center" wrapText="1"/>
    </xf>
    <xf numFmtId="0" fontId="35" fillId="0" borderId="13" xfId="0" applyFont="1" applyBorder="1" applyAlignment="1">
      <alignment horizontal="center" vertical="center" wrapText="1"/>
    </xf>
    <xf numFmtId="0" fontId="13" fillId="0" borderId="3" xfId="0" quotePrefix="1" applyFont="1" applyBorder="1" applyAlignment="1">
      <alignment horizontal="center" wrapText="1"/>
    </xf>
    <xf numFmtId="0" fontId="13" fillId="0" borderId="4" xfId="0" quotePrefix="1" applyFont="1" applyBorder="1" applyAlignment="1">
      <alignment horizontal="center" wrapText="1"/>
    </xf>
    <xf numFmtId="0" fontId="13" fillId="0" borderId="8" xfId="0" quotePrefix="1" applyFont="1" applyBorder="1" applyAlignment="1">
      <alignment horizontal="center" wrapText="1"/>
    </xf>
    <xf numFmtId="0" fontId="14" fillId="0" borderId="12" xfId="0" applyFont="1" applyBorder="1" applyAlignment="1">
      <alignment horizontal="center"/>
    </xf>
    <xf numFmtId="166" fontId="13" fillId="0" borderId="45" xfId="0" applyNumberFormat="1" applyFont="1" applyBorder="1" applyAlignment="1">
      <alignment horizontal="center"/>
    </xf>
    <xf numFmtId="166" fontId="13" fillId="0" borderId="28" xfId="0" applyNumberFormat="1" applyFont="1" applyBorder="1" applyAlignment="1">
      <alignment horizontal="center"/>
    </xf>
    <xf numFmtId="164" fontId="13"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3" fillId="0" borderId="0" xfId="0" applyFont="1" applyAlignment="1">
      <alignment horizontal="left" vertical="top" wrapText="1"/>
    </xf>
    <xf numFmtId="0" fontId="13" fillId="0" borderId="53" xfId="0" applyFont="1" applyBorder="1" applyAlignment="1">
      <alignment horizontal="left" vertical="top" wrapText="1"/>
    </xf>
    <xf numFmtId="0" fontId="0" fillId="0" borderId="49" xfId="0" applyBorder="1" applyAlignment="1">
      <alignment horizontal="center"/>
    </xf>
    <xf numFmtId="0" fontId="12" fillId="0" borderId="50" xfId="0" applyFont="1" applyBorder="1" applyAlignment="1">
      <alignment horizontal="center"/>
    </xf>
    <xf numFmtId="9" fontId="13" fillId="7" borderId="5" xfId="0" applyNumberFormat="1" applyFont="1" applyFill="1" applyBorder="1" applyAlignment="1" applyProtection="1">
      <alignment horizontal="left"/>
      <protection locked="0"/>
    </xf>
    <xf numFmtId="9" fontId="22" fillId="0" borderId="12" xfId="0" applyNumberFormat="1" applyFont="1" applyBorder="1" applyAlignment="1">
      <alignment horizontal="center"/>
    </xf>
    <xf numFmtId="0" fontId="22" fillId="0" borderId="3" xfId="0" applyFont="1" applyBorder="1" applyAlignment="1">
      <alignment horizontal="center"/>
    </xf>
    <xf numFmtId="0" fontId="13" fillId="0" borderId="47" xfId="0" applyFont="1" applyBorder="1" applyAlignment="1">
      <alignment horizontal="left" vertical="top" wrapText="1"/>
    </xf>
    <xf numFmtId="9" fontId="22" fillId="0" borderId="17" xfId="0" applyNumberFormat="1" applyFont="1" applyBorder="1" applyAlignment="1">
      <alignment horizontal="center"/>
    </xf>
    <xf numFmtId="0" fontId="22"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3" fillId="0" borderId="12" xfId="0" applyNumberFormat="1" applyFont="1" applyBorder="1" applyAlignment="1">
      <alignment horizontal="center"/>
    </xf>
    <xf numFmtId="0" fontId="13"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5" fillId="48" borderId="12" xfId="0" applyFont="1" applyFill="1" applyBorder="1" applyAlignment="1">
      <alignment horizontal="center"/>
    </xf>
    <xf numFmtId="1" fontId="39" fillId="0" borderId="3" xfId="0" quotePrefix="1" applyNumberFormat="1" applyFont="1" applyBorder="1" applyAlignment="1">
      <alignment horizontal="center" wrapText="1"/>
    </xf>
    <xf numFmtId="1" fontId="39" fillId="0" borderId="4" xfId="0" quotePrefix="1" applyNumberFormat="1" applyFont="1" applyBorder="1" applyAlignment="1">
      <alignment horizontal="center" wrapText="1"/>
    </xf>
    <xf numFmtId="1" fontId="39"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4" fillId="11" borderId="3" xfId="0" applyNumberFormat="1" applyFont="1" applyFill="1" applyBorder="1" applyAlignment="1">
      <alignment horizontal="center" vertical="center"/>
    </xf>
    <xf numFmtId="1" fontId="14" fillId="11" borderId="8" xfId="0" applyNumberFormat="1" applyFont="1" applyFill="1" applyBorder="1" applyAlignment="1">
      <alignment horizontal="center" vertical="center"/>
    </xf>
    <xf numFmtId="0" fontId="12" fillId="11" borderId="4" xfId="0" applyFont="1" applyFill="1" applyBorder="1" applyAlignment="1">
      <alignment horizontal="center"/>
    </xf>
    <xf numFmtId="0" fontId="22" fillId="0" borderId="7" xfId="0" applyFont="1" applyBorder="1" applyAlignment="1">
      <alignment horizontal="center" wrapText="1"/>
    </xf>
    <xf numFmtId="0" fontId="22" fillId="0" borderId="0" xfId="0" applyFont="1" applyAlignment="1">
      <alignment horizontal="center" wrapText="1"/>
    </xf>
    <xf numFmtId="0" fontId="22" fillId="10" borderId="7" xfId="0" applyFont="1" applyFill="1" applyBorder="1" applyAlignment="1">
      <alignment horizontal="center" wrapText="1"/>
    </xf>
    <xf numFmtId="0" fontId="22"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0" applyFont="1" applyAlignment="1">
      <alignment horizontal="center" vertical="top"/>
    </xf>
    <xf numFmtId="0" fontId="13" fillId="0" borderId="47" xfId="574" applyFont="1" applyBorder="1" applyAlignment="1">
      <alignment horizontal="left" vertical="top" wrapText="1"/>
    </xf>
    <xf numFmtId="0" fontId="13" fillId="0" borderId="0" xfId="574" applyFont="1" applyAlignment="1">
      <alignment horizontal="left" vertical="top" wrapText="1"/>
    </xf>
    <xf numFmtId="0" fontId="55" fillId="0" borderId="0" xfId="0" applyFont="1" applyAlignment="1">
      <alignment horizontal="left" vertical="top" wrapText="1"/>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8" xfId="0" applyFont="1" applyBorder="1" applyAlignment="1">
      <alignment horizontal="center" wrapText="1"/>
    </xf>
    <xf numFmtId="0" fontId="12" fillId="0" borderId="50" xfId="0" applyFont="1" applyBorder="1" applyAlignment="1">
      <alignment horizontal="center" vertical="top"/>
    </xf>
    <xf numFmtId="0" fontId="28" fillId="0" borderId="47" xfId="0" applyFont="1" applyBorder="1" applyAlignment="1">
      <alignment horizontal="left" wrapText="1"/>
    </xf>
    <xf numFmtId="0" fontId="28" fillId="0" borderId="0" xfId="0" applyFont="1" applyAlignment="1">
      <alignment horizontal="left" wrapText="1"/>
    </xf>
    <xf numFmtId="0" fontId="12" fillId="0" borderId="47" xfId="0" applyFont="1" applyBorder="1" applyAlignment="1">
      <alignment horizontal="center" vertical="top"/>
    </xf>
    <xf numFmtId="0" fontId="12" fillId="0" borderId="48" xfId="0" applyFont="1" applyBorder="1" applyAlignment="1">
      <alignment horizontal="center" vertical="top"/>
    </xf>
    <xf numFmtId="0" fontId="12" fillId="0" borderId="0" xfId="0" applyFont="1" applyAlignment="1">
      <alignment horizontal="righ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13" fillId="0" borderId="3" xfId="0" applyNumberFormat="1" applyFont="1" applyBorder="1" applyAlignment="1">
      <alignment horizontal="center"/>
    </xf>
    <xf numFmtId="2" fontId="13" fillId="0" borderId="4" xfId="0" applyNumberFormat="1" applyFont="1" applyBorder="1" applyAlignment="1">
      <alignment horizontal="center"/>
    </xf>
    <xf numFmtId="2" fontId="13" fillId="0" borderId="8" xfId="0" applyNumberFormat="1" applyFont="1" applyBorder="1" applyAlignment="1">
      <alignment horizontal="center"/>
    </xf>
    <xf numFmtId="1" fontId="13" fillId="0" borderId="15" xfId="0" applyNumberFormat="1" applyFont="1" applyBorder="1" applyAlignment="1">
      <alignment horizontal="center"/>
    </xf>
    <xf numFmtId="166" fontId="13" fillId="0" borderId="8" xfId="0" applyNumberFormat="1" applyFont="1" applyBorder="1" applyAlignment="1">
      <alignment horizontal="center"/>
    </xf>
    <xf numFmtId="166" fontId="13" fillId="0" borderId="24" xfId="0" applyNumberFormat="1" applyFont="1" applyBorder="1" applyAlignment="1">
      <alignment horizontal="center"/>
    </xf>
    <xf numFmtId="1" fontId="13" fillId="0" borderId="8" xfId="0" applyNumberFormat="1" applyFont="1" applyBorder="1" applyAlignment="1">
      <alignment horizontal="center"/>
    </xf>
    <xf numFmtId="1" fontId="13" fillId="0" borderId="24" xfId="0" applyNumberFormat="1" applyFont="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3" fillId="4" borderId="8" xfId="0" applyFont="1" applyFill="1" applyBorder="1" applyAlignment="1">
      <alignment horizontal="center"/>
    </xf>
    <xf numFmtId="0" fontId="13" fillId="11" borderId="3" xfId="0" applyFont="1" applyFill="1" applyBorder="1" applyAlignment="1">
      <alignment horizontal="center"/>
    </xf>
    <xf numFmtId="0" fontId="13" fillId="11" borderId="4" xfId="0" applyFont="1" applyFill="1" applyBorder="1" applyAlignment="1">
      <alignment horizontal="center"/>
    </xf>
    <xf numFmtId="0" fontId="13" fillId="11" borderId="8" xfId="0" applyFont="1" applyFill="1" applyBorder="1" applyAlignment="1">
      <alignment horizontal="center"/>
    </xf>
    <xf numFmtId="166" fontId="13" fillId="0" borderId="21" xfId="0" applyNumberFormat="1" applyFont="1" applyBorder="1" applyAlignment="1">
      <alignment horizontal="center"/>
    </xf>
    <xf numFmtId="10" fontId="13" fillId="0" borderId="3" xfId="573" applyNumberFormat="1" applyFont="1" applyFill="1" applyBorder="1" applyAlignment="1" applyProtection="1">
      <alignment horizontal="center"/>
    </xf>
    <xf numFmtId="10" fontId="13" fillId="0" borderId="4" xfId="573" applyNumberFormat="1" applyFont="1" applyFill="1" applyBorder="1" applyAlignment="1" applyProtection="1">
      <alignment horizontal="center"/>
    </xf>
    <xf numFmtId="10" fontId="13" fillId="0" borderId="8" xfId="573" applyNumberFormat="1" applyFont="1" applyFill="1" applyBorder="1" applyAlignment="1" applyProtection="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2" fillId="4" borderId="3" xfId="0" applyFont="1" applyFill="1" applyBorder="1" applyAlignment="1">
      <alignment horizontal="center" wrapText="1"/>
    </xf>
    <xf numFmtId="0" fontId="12" fillId="4" borderId="4" xfId="0" applyFont="1" applyFill="1" applyBorder="1" applyAlignment="1">
      <alignment horizontal="center" wrapText="1"/>
    </xf>
    <xf numFmtId="0" fontId="12" fillId="4" borderId="8" xfId="0" applyFont="1" applyFill="1" applyBorder="1" applyAlignment="1">
      <alignment horizontal="center" wrapText="1"/>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14" fillId="0" borderId="8" xfId="0" applyNumberFormat="1" applyFont="1" applyBorder="1" applyAlignment="1">
      <alignment horizontal="center"/>
    </xf>
    <xf numFmtId="0" fontId="13" fillId="46" borderId="3" xfId="0" applyFont="1" applyFill="1" applyBorder="1" applyAlignment="1" applyProtection="1">
      <alignment horizontal="center"/>
      <protection locked="0"/>
    </xf>
    <xf numFmtId="0" fontId="13" fillId="46" borderId="4" xfId="0" applyFont="1" applyFill="1" applyBorder="1" applyAlignment="1" applyProtection="1">
      <alignment horizontal="center"/>
      <protection locked="0"/>
    </xf>
    <xf numFmtId="0" fontId="13" fillId="46" borderId="8" xfId="0" applyFont="1" applyFill="1" applyBorder="1" applyAlignment="1" applyProtection="1">
      <alignment horizontal="center"/>
      <protection locked="0"/>
    </xf>
    <xf numFmtId="0" fontId="22" fillId="46" borderId="17" xfId="0" applyFont="1" applyFill="1" applyBorder="1" applyAlignment="1">
      <alignment horizontal="center"/>
    </xf>
    <xf numFmtId="0" fontId="12" fillId="0" borderId="1" xfId="0" applyFont="1" applyBorder="1" applyAlignment="1">
      <alignment horizontal="right" vertical="center" wrapText="1"/>
    </xf>
    <xf numFmtId="0" fontId="12" fillId="0" borderId="2"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9" xfId="0" applyFont="1" applyBorder="1" applyAlignment="1">
      <alignment horizontal="right" vertical="center" wrapText="1"/>
    </xf>
    <xf numFmtId="0" fontId="12" fillId="0" borderId="5" xfId="0" applyFont="1" applyBorder="1" applyAlignment="1">
      <alignment horizontal="right" vertical="center" wrapText="1"/>
    </xf>
    <xf numFmtId="0" fontId="12" fillId="0" borderId="10" xfId="0" applyFont="1" applyBorder="1" applyAlignment="1">
      <alignment horizontal="right" vertical="center" wrapText="1"/>
    </xf>
    <xf numFmtId="166" fontId="12" fillId="0" borderId="12" xfId="0" applyNumberFormat="1" applyFont="1" applyBorder="1" applyAlignment="1">
      <alignment horizontal="center"/>
    </xf>
    <xf numFmtId="166" fontId="14" fillId="0" borderId="9" xfId="0" applyNumberFormat="1" applyFont="1" applyBorder="1" applyAlignment="1">
      <alignment horizontal="center"/>
    </xf>
    <xf numFmtId="166" fontId="14" fillId="0" borderId="5" xfId="0" applyNumberFormat="1" applyFont="1" applyBorder="1" applyAlignment="1">
      <alignment horizontal="center"/>
    </xf>
    <xf numFmtId="166" fontId="14" fillId="0" borderId="10" xfId="0" applyNumberFormat="1" applyFont="1" applyBorder="1" applyAlignment="1">
      <alignment horizontal="center"/>
    </xf>
    <xf numFmtId="1" fontId="12"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 fontId="14" fillId="0" borderId="12" xfId="0" applyNumberFormat="1" applyFont="1" applyBorder="1" applyAlignment="1">
      <alignment horizontal="center"/>
    </xf>
    <xf numFmtId="0" fontId="50" fillId="0" borderId="4" xfId="0" applyFont="1" applyBorder="1" applyAlignment="1">
      <alignment horizontal="left"/>
    </xf>
    <xf numFmtId="0" fontId="50" fillId="0" borderId="8" xfId="0" applyFont="1" applyBorder="1" applyAlignment="1">
      <alignment horizontal="left"/>
    </xf>
    <xf numFmtId="166" fontId="20" fillId="0" borderId="1" xfId="0" applyNumberFormat="1" applyFont="1" applyBorder="1" applyAlignment="1">
      <alignment horizontal="center" vertical="center"/>
    </xf>
    <xf numFmtId="166" fontId="20" fillId="0" borderId="2" xfId="0" applyNumberFormat="1" applyFont="1" applyBorder="1" applyAlignment="1">
      <alignment horizontal="center" vertical="center"/>
    </xf>
    <xf numFmtId="166" fontId="20" fillId="0" borderId="11" xfId="0" applyNumberFormat="1" applyFont="1" applyBorder="1" applyAlignment="1">
      <alignment horizontal="center" vertical="center"/>
    </xf>
    <xf numFmtId="166" fontId="20" fillId="0" borderId="9" xfId="0" applyNumberFormat="1" applyFont="1" applyBorder="1" applyAlignment="1">
      <alignment horizontal="center" vertical="center"/>
    </xf>
    <xf numFmtId="166" fontId="20" fillId="0" borderId="5" xfId="0" applyNumberFormat="1" applyFont="1" applyBorder="1" applyAlignment="1">
      <alignment horizontal="center" vertical="center"/>
    </xf>
    <xf numFmtId="166" fontId="20" fillId="0" borderId="10" xfId="0" applyNumberFormat="1" applyFont="1" applyBorder="1" applyAlignment="1">
      <alignment horizontal="center" vertical="center"/>
    </xf>
    <xf numFmtId="0" fontId="37" fillId="0" borderId="3" xfId="0" applyFont="1" applyBorder="1" applyAlignment="1">
      <alignment horizontal="center"/>
    </xf>
    <xf numFmtId="0" fontId="37" fillId="0" borderId="8" xfId="0" applyFont="1" applyBorder="1" applyAlignment="1">
      <alignment horizontal="center"/>
    </xf>
    <xf numFmtId="0" fontId="14" fillId="0" borderId="3" xfId="0" applyFont="1" applyBorder="1" applyAlignment="1">
      <alignment horizontal="center" wrapText="1"/>
    </xf>
    <xf numFmtId="0" fontId="14" fillId="0" borderId="8" xfId="0" applyFont="1" applyBorder="1" applyAlignment="1">
      <alignment horizontal="center" wrapText="1"/>
    </xf>
    <xf numFmtId="1" fontId="14" fillId="12" borderId="12" xfId="0" applyNumberFormat="1" applyFont="1" applyFill="1" applyBorder="1" applyAlignment="1">
      <alignment horizontal="center"/>
    </xf>
    <xf numFmtId="0" fontId="12" fillId="0" borderId="4" xfId="0" applyFont="1" applyBorder="1"/>
    <xf numFmtId="0" fontId="12" fillId="0" borderId="8" xfId="0" applyFont="1" applyBorder="1"/>
    <xf numFmtId="1" fontId="14" fillId="12" borderId="3" xfId="0" applyNumberFormat="1" applyFont="1" applyFill="1" applyBorder="1" applyAlignment="1">
      <alignment horizontal="center"/>
    </xf>
    <xf numFmtId="1" fontId="14" fillId="12" borderId="4" xfId="0" applyNumberFormat="1" applyFont="1" applyFill="1" applyBorder="1" applyAlignment="1">
      <alignment horizontal="center"/>
    </xf>
    <xf numFmtId="1" fontId="14" fillId="12" borderId="8" xfId="0" applyNumberFormat="1" applyFont="1" applyFill="1" applyBorder="1" applyAlignment="1">
      <alignment horizontal="center"/>
    </xf>
    <xf numFmtId="166" fontId="12" fillId="0" borderId="8" xfId="0" applyNumberFormat="1" applyFont="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4" fillId="12" borderId="9" xfId="0" applyNumberFormat="1" applyFont="1" applyFill="1" applyBorder="1" applyAlignment="1">
      <alignment horizontal="center"/>
    </xf>
    <xf numFmtId="1" fontId="14" fillId="12" borderId="5" xfId="0" applyNumberFormat="1" applyFont="1" applyFill="1" applyBorder="1" applyAlignment="1">
      <alignment horizontal="center"/>
    </xf>
    <xf numFmtId="1" fontId="14" fillId="12" borderId="10" xfId="0" applyNumberFormat="1" applyFont="1" applyFill="1" applyBorder="1" applyAlignment="1">
      <alignment horizontal="center"/>
    </xf>
    <xf numFmtId="49" fontId="11" fillId="5" borderId="2" xfId="0" applyNumberFormat="1" applyFont="1" applyFill="1" applyBorder="1" applyAlignment="1">
      <alignment horizontal="center" vertical="center"/>
    </xf>
    <xf numFmtId="49" fontId="11" fillId="5" borderId="0" xfId="0" applyNumberFormat="1" applyFont="1" applyFill="1" applyAlignment="1">
      <alignment horizontal="center" vertical="center"/>
    </xf>
    <xf numFmtId="10" fontId="22" fillId="0" borderId="3" xfId="573" applyNumberFormat="1" applyFont="1" applyFill="1" applyBorder="1" applyAlignment="1" applyProtection="1">
      <alignment horizontal="center"/>
    </xf>
    <xf numFmtId="10" fontId="22" fillId="0" borderId="4" xfId="573" applyNumberFormat="1" applyFont="1" applyFill="1" applyBorder="1" applyAlignment="1" applyProtection="1">
      <alignment horizontal="center"/>
    </xf>
    <xf numFmtId="10" fontId="22" fillId="0" borderId="8" xfId="573" applyNumberFormat="1" applyFont="1" applyFill="1" applyBorder="1" applyAlignment="1" applyProtection="1">
      <alignment horizontal="center"/>
    </xf>
    <xf numFmtId="0" fontId="22" fillId="0" borderId="1" xfId="0" applyFont="1" applyBorder="1" applyAlignment="1">
      <alignment horizontal="center" wrapText="1"/>
    </xf>
    <xf numFmtId="0" fontId="22" fillId="0" borderId="2" xfId="0" applyFont="1" applyBorder="1" applyAlignment="1">
      <alignment horizontal="center" wrapText="1"/>
    </xf>
    <xf numFmtId="0" fontId="22" fillId="0" borderId="11" xfId="0" applyFont="1" applyBorder="1" applyAlignment="1">
      <alignment horizontal="center" wrapText="1"/>
    </xf>
    <xf numFmtId="0" fontId="22" fillId="0" borderId="13" xfId="0" applyFont="1" applyBorder="1" applyAlignment="1">
      <alignment horizontal="center" wrapText="1"/>
    </xf>
    <xf numFmtId="0" fontId="12" fillId="0" borderId="12" xfId="0" applyFont="1" applyBorder="1" applyAlignment="1">
      <alignment horizontal="right"/>
    </xf>
    <xf numFmtId="0" fontId="13" fillId="7" borderId="5" xfId="0" applyFont="1" applyFill="1" applyBorder="1" applyAlignment="1" applyProtection="1">
      <alignment horizontal="center"/>
      <protection locked="0"/>
    </xf>
    <xf numFmtId="0" fontId="25" fillId="7" borderId="5" xfId="0" applyFont="1" applyFill="1" applyBorder="1" applyAlignment="1" applyProtection="1">
      <alignment horizontal="center"/>
      <protection locked="0"/>
    </xf>
    <xf numFmtId="0" fontId="13" fillId="0" borderId="0" xfId="0" applyFont="1" applyAlignment="1">
      <alignment horizontal="left" vertical="top" wrapText="1" shrinkToFit="1"/>
    </xf>
    <xf numFmtId="0" fontId="13" fillId="7" borderId="5" xfId="0" applyFont="1" applyFill="1" applyBorder="1" applyAlignment="1" applyProtection="1">
      <alignment horizontal="center" vertical="center" wrapText="1" shrinkToFit="1"/>
      <protection locked="0"/>
    </xf>
    <xf numFmtId="0" fontId="13" fillId="0" borderId="0" xfId="0" applyFont="1" applyAlignment="1">
      <alignment horizontal="left" vertical="center" wrapText="1" shrinkToFit="1"/>
    </xf>
    <xf numFmtId="0" fontId="13" fillId="0" borderId="5" xfId="0" applyFont="1" applyBorder="1" applyAlignment="1">
      <alignment horizontal="left" vertical="top" wrapText="1"/>
    </xf>
    <xf numFmtId="0" fontId="13" fillId="7" borderId="5" xfId="0" applyFont="1" applyFill="1" applyBorder="1" applyAlignment="1" applyProtection="1">
      <alignment horizontal="left" wrapText="1" shrinkToFit="1"/>
      <protection locked="0"/>
    </xf>
    <xf numFmtId="0" fontId="138" fillId="0" borderId="0" xfId="0" applyFont="1" applyAlignment="1" applyProtection="1">
      <alignment horizontal="left"/>
      <protection locked="0"/>
    </xf>
    <xf numFmtId="0" fontId="13" fillId="0" borderId="5" xfId="0" applyFont="1" applyBorder="1" applyAlignment="1">
      <alignment horizontal="left"/>
    </xf>
    <xf numFmtId="0" fontId="13" fillId="47" borderId="5" xfId="0" applyFont="1" applyFill="1" applyBorder="1" applyAlignment="1">
      <alignment horizontal="left"/>
    </xf>
    <xf numFmtId="172" fontId="5" fillId="0" borderId="3" xfId="546" applyNumberFormat="1" applyBorder="1" applyAlignment="1">
      <alignment horizontal="center"/>
    </xf>
    <xf numFmtId="172" fontId="5" fillId="0" borderId="4" xfId="546" applyNumberFormat="1" applyBorder="1" applyAlignment="1">
      <alignment horizontal="center"/>
    </xf>
    <xf numFmtId="172" fontId="5" fillId="0" borderId="8" xfId="546" applyNumberFormat="1" applyBorder="1" applyAlignment="1">
      <alignment horizontal="center"/>
    </xf>
    <xf numFmtId="0" fontId="22" fillId="4" borderId="3" xfId="0" applyFont="1" applyFill="1" applyBorder="1" applyAlignment="1">
      <alignment horizontal="right"/>
    </xf>
    <xf numFmtId="0" fontId="22" fillId="4" borderId="4" xfId="0" applyFont="1" applyFill="1" applyBorder="1" applyAlignment="1">
      <alignment horizontal="right"/>
    </xf>
    <xf numFmtId="0" fontId="22" fillId="4" borderId="8" xfId="0" applyFont="1" applyFill="1" applyBorder="1" applyAlignment="1">
      <alignment horizontal="right"/>
    </xf>
    <xf numFmtId="0" fontId="37" fillId="2" borderId="3" xfId="0" applyFont="1" applyFill="1" applyBorder="1" applyAlignment="1">
      <alignment horizontal="center"/>
    </xf>
    <xf numFmtId="0" fontId="37" fillId="2" borderId="8" xfId="0" applyFont="1" applyFill="1" applyBorder="1" applyAlignment="1">
      <alignment horizontal="center"/>
    </xf>
    <xf numFmtId="173" fontId="5" fillId="0" borderId="3" xfId="546" applyNumberFormat="1" applyBorder="1" applyAlignment="1">
      <alignment horizontal="center"/>
    </xf>
    <xf numFmtId="173" fontId="5" fillId="0" borderId="4" xfId="546" applyNumberFormat="1" applyBorder="1" applyAlignment="1">
      <alignment horizontal="center"/>
    </xf>
    <xf numFmtId="173" fontId="5" fillId="0" borderId="8" xfId="546" applyNumberFormat="1" applyBorder="1" applyAlignment="1">
      <alignment horizontal="center"/>
    </xf>
    <xf numFmtId="0" fontId="0" fillId="0" borderId="1" xfId="0" applyBorder="1" applyAlignment="1">
      <alignment horizont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1" fontId="13" fillId="0" borderId="44" xfId="0" applyNumberFormat="1" applyFont="1" applyBorder="1" applyAlignment="1">
      <alignment horizontal="center"/>
    </xf>
    <xf numFmtId="1" fontId="13" fillId="0" borderId="26" xfId="0" applyNumberFormat="1" applyFont="1" applyBorder="1" applyAlignment="1">
      <alignment horizontal="center"/>
    </xf>
    <xf numFmtId="9" fontId="22" fillId="0" borderId="3" xfId="0" applyNumberFormat="1" applyFont="1" applyBorder="1" applyAlignment="1">
      <alignment horizontal="center"/>
    </xf>
    <xf numFmtId="9" fontId="22"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2" fillId="0" borderId="0" xfId="0" applyNumberFormat="1" applyFont="1" applyAlignment="1">
      <alignment horizontal="left" vertical="top" wrapText="1"/>
    </xf>
    <xf numFmtId="1" fontId="13" fillId="0" borderId="25" xfId="0" applyNumberFormat="1" applyFont="1" applyBorder="1" applyAlignment="1">
      <alignment horizontal="center"/>
    </xf>
    <xf numFmtId="1" fontId="13" fillId="0" borderId="10" xfId="0" applyNumberFormat="1" applyFont="1" applyBorder="1" applyAlignment="1">
      <alignment horizontal="center"/>
    </xf>
    <xf numFmtId="1" fontId="13" fillId="0" borderId="27" xfId="0" applyNumberFormat="1" applyFont="1" applyBorder="1" applyAlignment="1">
      <alignment horizontal="center"/>
    </xf>
    <xf numFmtId="166" fontId="13" fillId="0" borderId="25" xfId="0" applyNumberFormat="1" applyFont="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8" xfId="0" applyFont="1" applyBorder="1" applyAlignment="1">
      <alignment horizontal="center"/>
    </xf>
    <xf numFmtId="1" fontId="13" fillId="0" borderId="20" xfId="0" applyNumberFormat="1" applyFont="1" applyBorder="1" applyAlignment="1">
      <alignment horizontal="center"/>
    </xf>
    <xf numFmtId="1" fontId="13" fillId="0" borderId="29" xfId="0" applyNumberFormat="1" applyFont="1" applyBorder="1" applyAlignment="1">
      <alignment horizontal="center"/>
    </xf>
    <xf numFmtId="164" fontId="20" fillId="0" borderId="1" xfId="0" applyNumberFormat="1" applyFont="1" applyBorder="1" applyAlignment="1">
      <alignment horizontal="right" vertical="center"/>
    </xf>
    <xf numFmtId="164" fontId="20" fillId="0" borderId="2" xfId="0" applyNumberFormat="1" applyFont="1" applyBorder="1" applyAlignment="1">
      <alignment horizontal="right" vertical="center"/>
    </xf>
    <xf numFmtId="164" fontId="20" fillId="0" borderId="11" xfId="0" applyNumberFormat="1" applyFont="1" applyBorder="1" applyAlignment="1">
      <alignment horizontal="right" vertical="center"/>
    </xf>
    <xf numFmtId="164" fontId="20" fillId="0" borderId="9" xfId="0" applyNumberFormat="1" applyFont="1" applyBorder="1" applyAlignment="1">
      <alignment horizontal="right" vertical="center"/>
    </xf>
    <xf numFmtId="164" fontId="20" fillId="0" borderId="5" xfId="0" applyNumberFormat="1" applyFont="1" applyBorder="1" applyAlignment="1">
      <alignment horizontal="right" vertical="center"/>
    </xf>
    <xf numFmtId="164" fontId="20" fillId="0" borderId="10" xfId="0" applyNumberFormat="1" applyFont="1" applyBorder="1" applyAlignment="1">
      <alignment horizontal="right" vertical="center"/>
    </xf>
    <xf numFmtId="0" fontId="13" fillId="46" borderId="3" xfId="0" applyFont="1" applyFill="1" applyBorder="1" applyAlignment="1">
      <alignment horizontal="right"/>
    </xf>
    <xf numFmtId="0" fontId="13" fillId="46" borderId="4" xfId="0" applyFont="1" applyFill="1" applyBorder="1" applyAlignment="1">
      <alignment horizontal="right"/>
    </xf>
    <xf numFmtId="49" fontId="13" fillId="46" borderId="4" xfId="0" applyNumberFormat="1" applyFont="1" applyFill="1" applyBorder="1" applyAlignment="1">
      <alignment horizontal="left"/>
    </xf>
    <xf numFmtId="49" fontId="13" fillId="46" borderId="8" xfId="0" applyNumberFormat="1" applyFont="1" applyFill="1" applyBorder="1" applyAlignment="1">
      <alignment horizontal="left"/>
    </xf>
    <xf numFmtId="0" fontId="49" fillId="0" borderId="3" xfId="0" applyFont="1" applyBorder="1" applyAlignment="1">
      <alignment horizontal="left"/>
    </xf>
    <xf numFmtId="0" fontId="13" fillId="7" borderId="53" xfId="0" applyFont="1" applyFill="1" applyBorder="1" applyAlignment="1" applyProtection="1">
      <alignment horizontal="left" vertical="top" wrapText="1"/>
      <protection locked="0"/>
    </xf>
    <xf numFmtId="166" fontId="13" fillId="0" borderId="15" xfId="0" applyNumberFormat="1" applyFont="1" applyBorder="1" applyAlignment="1">
      <alignment horizontal="center"/>
    </xf>
    <xf numFmtId="0" fontId="22" fillId="48" borderId="2" xfId="0" applyFont="1" applyFill="1" applyBorder="1" applyAlignment="1">
      <alignment horizontal="center"/>
    </xf>
    <xf numFmtId="0" fontId="22"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8" fillId="0" borderId="47" xfId="0" applyFont="1" applyBorder="1" applyAlignment="1">
      <alignment horizontal="left" vertical="top" wrapText="1"/>
    </xf>
    <xf numFmtId="0" fontId="28" fillId="0" borderId="0" xfId="0" applyFont="1" applyAlignment="1">
      <alignment horizontal="left" vertical="top" wrapText="1"/>
    </xf>
    <xf numFmtId="1" fontId="13" fillId="46" borderId="15" xfId="0" applyNumberFormat="1" applyFont="1" applyFill="1" applyBorder="1" applyAlignment="1">
      <alignment horizontal="center"/>
    </xf>
    <xf numFmtId="0" fontId="22" fillId="0" borderId="12" xfId="0" applyFont="1" applyBorder="1" applyAlignment="1">
      <alignment horizontal="center" vertical="center" wrapText="1"/>
    </xf>
    <xf numFmtId="44" fontId="13" fillId="0" borderId="0" xfId="164" applyFont="1" applyFill="1" applyBorder="1" applyAlignment="1" applyProtection="1">
      <alignment horizontal="left" vertical="top" wrapText="1"/>
    </xf>
    <xf numFmtId="1" fontId="13" fillId="0" borderId="23" xfId="0" applyNumberFormat="1" applyFont="1" applyBorder="1" applyAlignment="1">
      <alignment horizontal="center"/>
    </xf>
    <xf numFmtId="1" fontId="13" fillId="0" borderId="21" xfId="0" applyNumberFormat="1" applyFont="1" applyBorder="1" applyAlignment="1">
      <alignment horizontal="center"/>
    </xf>
    <xf numFmtId="2" fontId="13" fillId="46" borderId="12" xfId="0" applyNumberFormat="1" applyFont="1" applyFill="1" applyBorder="1" applyAlignment="1">
      <alignment horizontal="center"/>
    </xf>
    <xf numFmtId="1" fontId="13" fillId="0" borderId="30" xfId="0" applyNumberFormat="1" applyFont="1" applyBorder="1" applyAlignment="1">
      <alignment horizontal="center"/>
    </xf>
    <xf numFmtId="0" fontId="22" fillId="0" borderId="0" xfId="0" applyFont="1" applyAlignment="1">
      <alignment horizontal="left" vertical="top" wrapText="1"/>
    </xf>
    <xf numFmtId="0" fontId="13" fillId="7" borderId="53" xfId="0" applyFont="1" applyFill="1" applyBorder="1" applyAlignment="1" applyProtection="1">
      <alignment horizontal="left"/>
      <protection locked="0"/>
    </xf>
    <xf numFmtId="9" fontId="13" fillId="7" borderId="53" xfId="0" applyNumberFormat="1" applyFont="1" applyFill="1" applyBorder="1" applyAlignment="1" applyProtection="1">
      <alignment horizontal="left"/>
      <protection locked="0"/>
    </xf>
    <xf numFmtId="164" fontId="13" fillId="0" borderId="46" xfId="0" applyNumberFormat="1" applyFont="1" applyBorder="1" applyAlignment="1">
      <alignment horizontal="center" vertical="center" wrapText="1"/>
    </xf>
    <xf numFmtId="164" fontId="13" fillId="0" borderId="47" xfId="0" applyNumberFormat="1" applyFont="1" applyBorder="1" applyAlignment="1">
      <alignment horizontal="center" vertical="center" wrapText="1"/>
    </xf>
    <xf numFmtId="164" fontId="13" fillId="0" borderId="48" xfId="0" applyNumberFormat="1" applyFont="1" applyBorder="1" applyAlignment="1">
      <alignment horizontal="center" vertical="center" wrapText="1"/>
    </xf>
    <xf numFmtId="164" fontId="13" fillId="0" borderId="49" xfId="0" applyNumberFormat="1" applyFont="1" applyBorder="1" applyAlignment="1">
      <alignment horizontal="center" vertical="center" wrapText="1"/>
    </xf>
    <xf numFmtId="164" fontId="13" fillId="0" borderId="0" xfId="0" applyNumberFormat="1" applyFont="1" applyAlignment="1">
      <alignment horizontal="center" vertical="center" wrapText="1"/>
    </xf>
    <xf numFmtId="164" fontId="13" fillId="0" borderId="50" xfId="0" applyNumberFormat="1" applyFont="1" applyBorder="1" applyAlignment="1">
      <alignment horizontal="center" vertical="center" wrapText="1"/>
    </xf>
    <xf numFmtId="164" fontId="13" fillId="0" borderId="52" xfId="0" applyNumberFormat="1" applyFont="1" applyBorder="1" applyAlignment="1">
      <alignment horizontal="center" vertical="center" wrapText="1"/>
    </xf>
    <xf numFmtId="164" fontId="13" fillId="0" borderId="53" xfId="0" applyNumberFormat="1" applyFont="1" applyBorder="1" applyAlignment="1">
      <alignment horizontal="center" vertical="center" wrapText="1"/>
    </xf>
    <xf numFmtId="164" fontId="13" fillId="0" borderId="54" xfId="0" applyNumberFormat="1" applyFont="1" applyBorder="1" applyAlignment="1">
      <alignment horizontal="center" vertical="center" wrapText="1"/>
    </xf>
    <xf numFmtId="1" fontId="13" fillId="0" borderId="22" xfId="0" applyNumberFormat="1" applyFont="1" applyBorder="1" applyAlignment="1">
      <alignment horizontal="center"/>
    </xf>
    <xf numFmtId="44" fontId="129" fillId="0" borderId="3" xfId="164" applyFont="1" applyFill="1" applyBorder="1" applyAlignment="1">
      <alignment horizontal="center"/>
    </xf>
    <xf numFmtId="44" fontId="129" fillId="0" borderId="4" xfId="164" applyFont="1" applyFill="1" applyBorder="1" applyAlignment="1">
      <alignment horizontal="center"/>
    </xf>
    <xf numFmtId="44" fontId="129" fillId="0" borderId="8" xfId="164" applyFont="1" applyFill="1" applyBorder="1" applyAlignment="1">
      <alignment horizontal="center"/>
    </xf>
    <xf numFmtId="49" fontId="128" fillId="51" borderId="5" xfId="575" applyNumberFormat="1" applyFont="1" applyFill="1" applyBorder="1" applyAlignment="1" applyProtection="1">
      <alignment horizontal="center"/>
      <protection locked="0"/>
    </xf>
    <xf numFmtId="176" fontId="128" fillId="0" borderId="5" xfId="575" applyNumberFormat="1" applyFont="1" applyBorder="1" applyAlignment="1">
      <alignment horizontal="center"/>
    </xf>
    <xf numFmtId="0" fontId="132" fillId="52" borderId="0" xfId="575" applyFont="1" applyFill="1" applyAlignment="1">
      <alignment horizontal="center"/>
    </xf>
    <xf numFmtId="0" fontId="128" fillId="51" borderId="5" xfId="575" applyFont="1" applyFill="1" applyBorder="1" applyAlignment="1" applyProtection="1">
      <alignment horizontal="left"/>
      <protection locked="0"/>
    </xf>
    <xf numFmtId="169" fontId="128" fillId="0" borderId="0" xfId="577" applyNumberFormat="1" applyFont="1" applyFill="1" applyBorder="1" applyAlignment="1" applyProtection="1">
      <alignment horizontal="center" vertical="center"/>
    </xf>
    <xf numFmtId="1" fontId="128" fillId="0" borderId="2" xfId="575" applyNumberFormat="1" applyFont="1" applyBorder="1" applyAlignment="1">
      <alignment horizontal="center"/>
    </xf>
    <xf numFmtId="0" fontId="128" fillId="0" borderId="2" xfId="575" applyFont="1" applyBorder="1" applyAlignment="1">
      <alignment horizontal="center"/>
    </xf>
    <xf numFmtId="0" fontId="128" fillId="0" borderId="0" xfId="575" applyFont="1" applyAlignment="1">
      <alignment horizontal="center"/>
    </xf>
    <xf numFmtId="0" fontId="128" fillId="0" borderId="5" xfId="575" applyFont="1" applyBorder="1" applyAlignment="1">
      <alignment horizontal="center"/>
    </xf>
    <xf numFmtId="2" fontId="128" fillId="0" borderId="2" xfId="575" applyNumberFormat="1" applyFont="1" applyBorder="1" applyAlignment="1">
      <alignment horizontal="center"/>
    </xf>
    <xf numFmtId="2" fontId="128" fillId="0" borderId="0" xfId="575" applyNumberFormat="1" applyFont="1" applyAlignment="1">
      <alignment horizontal="center"/>
    </xf>
    <xf numFmtId="181" fontId="128" fillId="0" borderId="0" xfId="575" applyNumberFormat="1" applyFont="1" applyAlignment="1">
      <alignment horizontal="center"/>
    </xf>
    <xf numFmtId="0" fontId="128" fillId="51" borderId="5" xfId="575" applyFont="1" applyFill="1" applyBorder="1" applyAlignment="1" applyProtection="1">
      <alignment horizontal="center"/>
      <protection locked="0"/>
    </xf>
    <xf numFmtId="49" fontId="11" fillId="5" borderId="0" xfId="278" applyNumberFormat="1" applyFont="1" applyFill="1" applyAlignment="1">
      <alignment horizontal="center" vertical="center"/>
    </xf>
    <xf numFmtId="1" fontId="128" fillId="0" borderId="0" xfId="575" applyNumberFormat="1" applyFont="1" applyAlignment="1">
      <alignment horizontal="center"/>
    </xf>
    <xf numFmtId="1" fontId="128" fillId="0" borderId="5" xfId="575" applyNumberFormat="1" applyFont="1" applyBorder="1" applyAlignment="1">
      <alignment horizontal="center"/>
    </xf>
    <xf numFmtId="182" fontId="129" fillId="0" borderId="3" xfId="575" applyNumberFormat="1" applyFont="1" applyBorder="1" applyAlignment="1">
      <alignment horizontal="center"/>
    </xf>
    <xf numFmtId="182" fontId="129" fillId="0" borderId="4" xfId="575" applyNumberFormat="1" applyFont="1" applyBorder="1" applyAlignment="1">
      <alignment horizontal="center"/>
    </xf>
    <xf numFmtId="182" fontId="129" fillId="0" borderId="8" xfId="575" applyNumberFormat="1" applyFont="1" applyBorder="1" applyAlignment="1">
      <alignment horizontal="center"/>
    </xf>
    <xf numFmtId="2" fontId="128" fillId="0" borderId="5" xfId="575" applyNumberFormat="1" applyFont="1" applyBorder="1" applyAlignment="1">
      <alignment horizontal="center"/>
    </xf>
    <xf numFmtId="0" fontId="58" fillId="0" borderId="0" xfId="273" applyFont="1" applyAlignment="1">
      <alignment horizontal="left" vertical="top" wrapText="1"/>
    </xf>
    <xf numFmtId="169" fontId="10" fillId="7" borderId="5" xfId="273" applyNumberFormat="1" applyFont="1" applyFill="1" applyBorder="1" applyAlignment="1" applyProtection="1">
      <alignment horizontal="right"/>
      <protection locked="0"/>
    </xf>
    <xf numFmtId="169" fontId="58" fillId="0" borderId="5" xfId="273" applyNumberFormat="1" applyFont="1" applyBorder="1" applyAlignment="1">
      <alignment horizontal="right"/>
    </xf>
    <xf numFmtId="169" fontId="10" fillId="7" borderId="4" xfId="273" applyNumberFormat="1" applyFont="1" applyFill="1" applyBorder="1" applyAlignment="1" applyProtection="1">
      <alignment horizontal="right"/>
      <protection locked="0"/>
    </xf>
    <xf numFmtId="169" fontId="10" fillId="0" borderId="5" xfId="273" applyNumberFormat="1" applyFont="1" applyBorder="1" applyAlignment="1">
      <alignment horizontal="right"/>
    </xf>
    <xf numFmtId="169" fontId="10" fillId="0" borderId="4" xfId="273" applyNumberFormat="1" applyFont="1" applyBorder="1" applyAlignment="1">
      <alignment horizontal="right"/>
    </xf>
    <xf numFmtId="0" fontId="10" fillId="0" borderId="0" xfId="273" applyFont="1" applyAlignment="1">
      <alignment horizontal="center" wrapText="1"/>
    </xf>
    <xf numFmtId="0" fontId="10" fillId="0" borderId="5" xfId="273" applyFont="1" applyBorder="1" applyAlignment="1">
      <alignment horizontal="center" wrapText="1"/>
    </xf>
    <xf numFmtId="0" fontId="10" fillId="0" borderId="0" xfId="0" applyFont="1" applyAlignment="1" applyProtection="1">
      <alignment horizontal="center" wrapText="1"/>
      <protection locked="0"/>
    </xf>
    <xf numFmtId="0" fontId="10" fillId="0" borderId="5" xfId="0" applyFont="1" applyBorder="1" applyAlignment="1" applyProtection="1">
      <alignment horizontal="center" wrapText="1"/>
      <protection locked="0"/>
    </xf>
    <xf numFmtId="0" fontId="10" fillId="0" borderId="0" xfId="273" applyFont="1" applyAlignment="1">
      <alignment horizontal="center" vertical="center"/>
    </xf>
    <xf numFmtId="0" fontId="67" fillId="0" borderId="0" xfId="273" applyFont="1" applyAlignment="1">
      <alignment horizontal="right" vertical="center"/>
    </xf>
    <xf numFmtId="0" fontId="10" fillId="0" borderId="0" xfId="273" applyFont="1" applyAlignment="1">
      <alignment horizontal="right" vertical="center"/>
    </xf>
    <xf numFmtId="0" fontId="10" fillId="0" borderId="2" xfId="273" applyFont="1" applyBorder="1" applyAlignment="1">
      <alignment horizontal="center" vertical="center"/>
    </xf>
    <xf numFmtId="2" fontId="58" fillId="49" borderId="31" xfId="273" applyNumberFormat="1" applyFont="1" applyFill="1" applyBorder="1" applyAlignment="1">
      <alignment horizontal="center" vertical="center"/>
    </xf>
    <xf numFmtId="2" fontId="58" fillId="49" borderId="32" xfId="273" applyNumberFormat="1" applyFont="1" applyFill="1" applyBorder="1" applyAlignment="1">
      <alignment horizontal="center" vertical="center"/>
    </xf>
    <xf numFmtId="49" fontId="57" fillId="5" borderId="0" xfId="273" applyNumberFormat="1" applyFont="1" applyFill="1" applyAlignment="1">
      <alignment horizontal="center" vertical="center"/>
    </xf>
    <xf numFmtId="0" fontId="58" fillId="0" borderId="0" xfId="273" applyFont="1" applyAlignment="1">
      <alignment horizontal="left"/>
    </xf>
    <xf numFmtId="0" fontId="59" fillId="0" borderId="0" xfId="273" applyFont="1" applyAlignment="1">
      <alignment horizontal="left"/>
    </xf>
    <xf numFmtId="0" fontId="10" fillId="0" borderId="3" xfId="273" applyFont="1" applyBorder="1" applyAlignment="1">
      <alignment horizontal="center"/>
    </xf>
    <xf numFmtId="165" fontId="10" fillId="0" borderId="4" xfId="273" applyNumberFormat="1" applyFont="1" applyBorder="1" applyAlignment="1">
      <alignment horizontal="center"/>
    </xf>
    <xf numFmtId="165" fontId="10" fillId="0" borderId="8" xfId="273" applyNumberFormat="1" applyFont="1" applyBorder="1" applyAlignment="1">
      <alignment horizontal="center"/>
    </xf>
    <xf numFmtId="0" fontId="10" fillId="0" borderId="5" xfId="273" applyFont="1" applyBorder="1" applyAlignment="1">
      <alignment horizontal="left"/>
    </xf>
    <xf numFmtId="0" fontId="10" fillId="7" borderId="4" xfId="273" applyFont="1" applyFill="1" applyBorder="1" applyAlignment="1" applyProtection="1">
      <alignment horizontal="left"/>
      <protection locked="0"/>
    </xf>
    <xf numFmtId="0" fontId="60" fillId="0" borderId="2" xfId="273" applyFont="1" applyBorder="1" applyAlignment="1">
      <alignment horizontal="left"/>
    </xf>
    <xf numFmtId="0" fontId="58" fillId="0" borderId="0" xfId="273" applyFont="1" applyAlignment="1">
      <alignment horizontal="left" vertical="center"/>
    </xf>
    <xf numFmtId="0" fontId="10" fillId="0" borderId="0" xfId="273" applyFont="1" applyAlignment="1">
      <alignment horizontal="left"/>
    </xf>
    <xf numFmtId="169" fontId="10" fillId="0" borderId="0" xfId="273" applyNumberFormat="1" applyFont="1" applyAlignment="1">
      <alignment horizontal="left"/>
    </xf>
    <xf numFmtId="1" fontId="10" fillId="7" borderId="5" xfId="273" applyNumberFormat="1" applyFont="1" applyFill="1" applyBorder="1" applyAlignment="1" applyProtection="1">
      <alignment horizontal="left" vertical="center"/>
      <protection locked="0"/>
    </xf>
    <xf numFmtId="0" fontId="58" fillId="0" borderId="0" xfId="273" applyFont="1" applyAlignment="1">
      <alignment vertical="center" wrapText="1"/>
    </xf>
    <xf numFmtId="169" fontId="10" fillId="0" borderId="0" xfId="273" applyNumberFormat="1" applyFont="1" applyAlignment="1">
      <alignment horizontal="right"/>
    </xf>
    <xf numFmtId="1" fontId="10" fillId="7" borderId="51" xfId="273" applyNumberFormat="1" applyFont="1" applyFill="1" applyBorder="1" applyAlignment="1" applyProtection="1">
      <alignment horizontal="left" vertical="center"/>
      <protection locked="0"/>
    </xf>
    <xf numFmtId="0" fontId="58" fillId="0" borderId="73" xfId="273" applyFont="1" applyBorder="1" applyAlignment="1">
      <alignment horizontal="left" vertical="center" wrapText="1"/>
    </xf>
    <xf numFmtId="0" fontId="58" fillId="0" borderId="2" xfId="273" applyFont="1" applyBorder="1" applyAlignment="1">
      <alignment horizontal="left" vertical="center" wrapText="1"/>
    </xf>
    <xf numFmtId="0" fontId="58" fillId="0" borderId="49" xfId="273" applyFont="1" applyBorder="1" applyAlignment="1">
      <alignment horizontal="left" vertical="center" wrapText="1"/>
    </xf>
    <xf numFmtId="0" fontId="58" fillId="0" borderId="0" xfId="273" applyFont="1" applyAlignment="1">
      <alignment horizontal="left" vertical="center" wrapText="1"/>
    </xf>
    <xf numFmtId="0" fontId="10" fillId="0" borderId="4" xfId="273" applyFont="1" applyBorder="1" applyAlignment="1">
      <alignment horizontal="left"/>
    </xf>
    <xf numFmtId="3" fontId="10" fillId="0" borderId="5" xfId="273" applyNumberFormat="1" applyFont="1" applyBorder="1" applyAlignment="1">
      <alignment horizontal="center"/>
    </xf>
    <xf numFmtId="3" fontId="5" fillId="0" borderId="5" xfId="273" applyNumberFormat="1" applyFont="1" applyBorder="1"/>
    <xf numFmtId="0" fontId="56" fillId="0" borderId="0" xfId="273" applyFont="1" applyAlignment="1">
      <alignment horizontal="center" vertical="center"/>
    </xf>
    <xf numFmtId="3" fontId="10" fillId="0" borderId="2" xfId="273" applyNumberFormat="1" applyFont="1" applyBorder="1" applyAlignment="1">
      <alignment horizontal="center"/>
    </xf>
    <xf numFmtId="3" fontId="5" fillId="0" borderId="0" xfId="273" applyNumberFormat="1" applyFont="1"/>
    <xf numFmtId="176" fontId="58" fillId="0" borderId="31" xfId="573" applyNumberFormat="1" applyFont="1" applyBorder="1" applyAlignment="1" applyProtection="1">
      <alignment horizontal="center" vertical="center"/>
    </xf>
    <xf numFmtId="176" fontId="58" fillId="0" borderId="32" xfId="573" applyNumberFormat="1" applyFont="1" applyBorder="1" applyAlignment="1" applyProtection="1">
      <alignment horizontal="center" vertical="center"/>
    </xf>
    <xf numFmtId="1" fontId="10" fillId="7" borderId="4" xfId="273" applyNumberFormat="1" applyFont="1" applyFill="1" applyBorder="1" applyAlignment="1" applyProtection="1">
      <alignment horizontal="right"/>
      <protection locked="0"/>
    </xf>
    <xf numFmtId="3" fontId="14" fillId="0" borderId="0" xfId="273" applyNumberFormat="1" applyAlignment="1">
      <alignment horizontal="left" vertical="top" wrapText="1"/>
    </xf>
    <xf numFmtId="0" fontId="10" fillId="0" borderId="5" xfId="0" applyFont="1" applyBorder="1" applyAlignment="1">
      <alignment horizontal="center"/>
    </xf>
    <xf numFmtId="10" fontId="0" fillId="0" borderId="12" xfId="0" applyNumberFormat="1" applyBorder="1" applyAlignment="1" applyProtection="1">
      <alignment horizontal="center"/>
      <protection locked="0"/>
    </xf>
    <xf numFmtId="0" fontId="28"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20928">
    <cellStyle name="20% - Accent1" xfId="1" builtinId="30" customBuiltin="1"/>
    <cellStyle name="20% - Accent1 10" xfId="5177" xr:uid="{9D5C3954-29CE-4611-AAE0-4684524E02A7}"/>
    <cellStyle name="20% - Accent1 10 2" xfId="15125" xr:uid="{562186BB-681B-4820-AD73-7D13677D5280}"/>
    <cellStyle name="20% - Accent1 11" xfId="6006" xr:uid="{711CF359-3768-43D0-AE26-FE1EE58C828A}"/>
    <cellStyle name="20% - Accent1 11 2" xfId="15954" xr:uid="{36E641B4-1EB8-43BD-B5E9-460FE3D2E005}"/>
    <cellStyle name="20% - Accent1 12" xfId="6835" xr:uid="{23182461-49C0-46AD-BFFE-6AF87D460022}"/>
    <cellStyle name="20% - Accent1 12 2" xfId="16783" xr:uid="{C88ADAC4-319E-4AC6-A9C9-5766E94A47E1}"/>
    <cellStyle name="20% - Accent1 13" xfId="7664" xr:uid="{293451B0-068C-429E-BDE9-3C8BD16D9EE1}"/>
    <cellStyle name="20% - Accent1 13 2" xfId="17612" xr:uid="{622C30EB-39ED-47B9-B52F-40D6B8F29FE1}"/>
    <cellStyle name="20% - Accent1 14" xfId="8493" xr:uid="{F092534E-1D40-4CCE-AC8A-778B5BC09FE9}"/>
    <cellStyle name="20% - Accent1 14 2" xfId="18441" xr:uid="{12DF1DB5-D5D5-4F6A-8EE1-916A351AA115}"/>
    <cellStyle name="20% - Accent1 15" xfId="9322" xr:uid="{EC595CE4-5AC7-4F49-ABC7-3A8ADCA95947}"/>
    <cellStyle name="20% - Accent1 15 2" xfId="19270" xr:uid="{8891D125-9296-48D5-B28C-50DFC9AEA07A}"/>
    <cellStyle name="20% - Accent1 16" xfId="10151" xr:uid="{0B47277C-75E6-4C05-ABB5-0E08979548BC}"/>
    <cellStyle name="20% - Accent1 16 2" xfId="20099" xr:uid="{CB7CA02D-4A20-4E06-B27A-DEEF7FB92D95}"/>
    <cellStyle name="20% - Accent1 17" xfId="1032" xr:uid="{CB44AB90-31EC-445A-9AAE-2666DC65EB58}"/>
    <cellStyle name="20% - Accent1 18" xfId="10980" xr:uid="{C364C128-6C90-463E-9CB1-2A20ABB5C0AB}"/>
    <cellStyle name="20% - Accent1 2" xfId="2" xr:uid="{00000000-0005-0000-0000-000001000000}"/>
    <cellStyle name="20% - Accent1 2 10" xfId="6007" xr:uid="{BB6D7C06-F9A1-4D53-AFA9-B5AF8A201B47}"/>
    <cellStyle name="20% - Accent1 2 10 2" xfId="15955" xr:uid="{62F2DDAE-7D34-4208-A668-EF04C3F7360A}"/>
    <cellStyle name="20% - Accent1 2 11" xfId="6836" xr:uid="{D5E422F3-AFDF-49E8-9BFC-4BFF4475FC6D}"/>
    <cellStyle name="20% - Accent1 2 11 2" xfId="16784" xr:uid="{EDE8033C-0040-4293-9BB0-A78CD8F291BA}"/>
    <cellStyle name="20% - Accent1 2 12" xfId="7665" xr:uid="{CE34364E-CA28-46E2-BC91-92A0E13D31A5}"/>
    <cellStyle name="20% - Accent1 2 12 2" xfId="17613" xr:uid="{4DE3969D-8250-4EF2-80B5-2910FE2F176E}"/>
    <cellStyle name="20% - Accent1 2 13" xfId="8494" xr:uid="{133513CB-434F-4EEE-B755-7DE1F7D47B26}"/>
    <cellStyle name="20% - Accent1 2 13 2" xfId="18442" xr:uid="{B05BD6EA-26BB-4156-9F09-C907B433E607}"/>
    <cellStyle name="20% - Accent1 2 14" xfId="9323" xr:uid="{25104DC7-1FA6-4125-82B5-2E3532D8F40E}"/>
    <cellStyle name="20% - Accent1 2 14 2" xfId="19271" xr:uid="{C22BC941-0E1B-4EDE-BD79-2637D22F001C}"/>
    <cellStyle name="20% - Accent1 2 15" xfId="10152" xr:uid="{6CD4872E-D2FD-4E4F-B545-42789550DE64}"/>
    <cellStyle name="20% - Accent1 2 15 2" xfId="20100" xr:uid="{B581166F-8FA3-4989-ABE0-2B0B349AA9B1}"/>
    <cellStyle name="20% - Accent1 2 16" xfId="1033" xr:uid="{3DC1182E-2FA4-4772-B117-F5EEFC090FF6}"/>
    <cellStyle name="20% - Accent1 2 17" xfId="10981" xr:uid="{F495CF36-5D57-43FB-9149-DAAAA527422B}"/>
    <cellStyle name="20% - Accent1 2 2" xfId="3" xr:uid="{00000000-0005-0000-0000-000002000000}"/>
    <cellStyle name="20% - Accent1 2 2 10" xfId="6837" xr:uid="{985DCAA5-0157-4C87-BD80-F4A499103CC7}"/>
    <cellStyle name="20% - Accent1 2 2 10 2" xfId="16785" xr:uid="{B13B4741-9811-454A-87B2-51C61CA1311A}"/>
    <cellStyle name="20% - Accent1 2 2 11" xfId="7666" xr:uid="{ED2B6157-211E-461E-9F31-444C242AC1CD}"/>
    <cellStyle name="20% - Accent1 2 2 11 2" xfId="17614" xr:uid="{24B4EC46-5D32-4CC5-A4AB-785F2851346E}"/>
    <cellStyle name="20% - Accent1 2 2 12" xfId="8495" xr:uid="{D3A7E024-9C80-4D91-896E-0919F07B3DC4}"/>
    <cellStyle name="20% - Accent1 2 2 12 2" xfId="18443" xr:uid="{C4B3F512-CB7D-4F13-8868-2F0B93802A24}"/>
    <cellStyle name="20% - Accent1 2 2 13" xfId="9324" xr:uid="{1F60FD04-5668-44F1-9F6E-AF825120AB64}"/>
    <cellStyle name="20% - Accent1 2 2 13 2" xfId="19272" xr:uid="{D0C47F6D-C477-41CF-9C81-14129FB6E61B}"/>
    <cellStyle name="20% - Accent1 2 2 14" xfId="10153" xr:uid="{796BCA1E-A801-4B89-937B-E5851A8B71B0}"/>
    <cellStyle name="20% - Accent1 2 2 14 2" xfId="20101" xr:uid="{618EF580-4780-4828-A9BE-B397C3830328}"/>
    <cellStyle name="20% - Accent1 2 2 15" xfId="1034" xr:uid="{81C16D05-7B5F-40ED-84C4-EF7C4ADC1E30}"/>
    <cellStyle name="20% - Accent1 2 2 16" xfId="10982" xr:uid="{3FC659EE-FE84-46D0-9BE9-9C3FD743208E}"/>
    <cellStyle name="20% - Accent1 2 2 2" xfId="4" xr:uid="{00000000-0005-0000-0000-000003000000}"/>
    <cellStyle name="20% - Accent1 2 2 2 10" xfId="7667" xr:uid="{BA6A47DC-C843-4B4D-876D-FDFE4CDB009B}"/>
    <cellStyle name="20% - Accent1 2 2 2 10 2" xfId="17615" xr:uid="{F3F8DA3B-37AC-4DC0-B683-55CEDD5C3284}"/>
    <cellStyle name="20% - Accent1 2 2 2 11" xfId="8496" xr:uid="{5F5B485C-00C4-4C14-B946-37CA98FA7595}"/>
    <cellStyle name="20% - Accent1 2 2 2 11 2" xfId="18444" xr:uid="{6203D358-8E21-42D5-83FA-3E8607CF0548}"/>
    <cellStyle name="20% - Accent1 2 2 2 12" xfId="9325" xr:uid="{1C2C2F8A-EE76-43FE-9AE1-3B394B6FB7D5}"/>
    <cellStyle name="20% - Accent1 2 2 2 12 2" xfId="19273" xr:uid="{0AD8BDE3-41C8-4723-A9CD-4089D831B99A}"/>
    <cellStyle name="20% - Accent1 2 2 2 13" xfId="10154" xr:uid="{468858FC-AD4F-4230-8554-68839AD4AEA6}"/>
    <cellStyle name="20% - Accent1 2 2 2 13 2" xfId="20102" xr:uid="{525E6ECA-4B45-4179-B389-13454870628F}"/>
    <cellStyle name="20% - Accent1 2 2 2 14" xfId="1035" xr:uid="{274BBA7B-DD97-402A-8B52-54575E7406FE}"/>
    <cellStyle name="20% - Accent1 2 2 2 15" xfId="10983" xr:uid="{EEF10837-903F-42BA-98A4-F960B3BD79F0}"/>
    <cellStyle name="20% - Accent1 2 2 2 2" xfId="581" xr:uid="{00000000-0005-0000-0000-000004000000}"/>
    <cellStyle name="20% - Accent1 2 2 2 2 10" xfId="8912" xr:uid="{A27BD6F8-1DBB-4C97-AACF-9279814CB584}"/>
    <cellStyle name="20% - Accent1 2 2 2 2 10 2" xfId="18860" xr:uid="{2E789318-92E7-499A-A142-02AE77AD0B5D}"/>
    <cellStyle name="20% - Accent1 2 2 2 2 11" xfId="9741" xr:uid="{EFCC5FCD-7B8C-4E68-8BB4-BEC394237243}"/>
    <cellStyle name="20% - Accent1 2 2 2 2 11 2" xfId="19689" xr:uid="{921FCF44-87A3-4A98-AFC8-856452C43608}"/>
    <cellStyle name="20% - Accent1 2 2 2 2 12" xfId="10570" xr:uid="{F610BC8A-CC21-4AE6-9752-46E00DF83A2F}"/>
    <cellStyle name="20% - Accent1 2 2 2 2 12 2" xfId="20518" xr:uid="{08BBE260-B4AB-4C14-AAEF-35FEC5937EDA}"/>
    <cellStyle name="20% - Accent1 2 2 2 2 13" xfId="1451" xr:uid="{CFAFFEF9-AF42-4B56-BBF2-7D0284626B41}"/>
    <cellStyle name="20% - Accent1 2 2 2 2 14" xfId="11399" xr:uid="{28BA39FE-35DA-4A86-A617-2400D6A8A1AA}"/>
    <cellStyle name="20% - Accent1 2 2 2 2 2" xfId="2280" xr:uid="{39A2B15F-C41C-43FE-ACCE-B770426A912A}"/>
    <cellStyle name="20% - Accent1 2 2 2 2 2 2" xfId="12228" xr:uid="{F0493E7F-81B7-4346-87E8-D78592FAE80D}"/>
    <cellStyle name="20% - Accent1 2 2 2 2 3" xfId="3109" xr:uid="{9C77FA87-AE3B-4247-A6DA-F80E6BF4CC0B}"/>
    <cellStyle name="20% - Accent1 2 2 2 2 3 2" xfId="13057" xr:uid="{3164F01B-3E5A-41A2-A5E3-F8F1B2CD799C}"/>
    <cellStyle name="20% - Accent1 2 2 2 2 4" xfId="3938" xr:uid="{851249F5-7FD8-46AC-9782-840461796A24}"/>
    <cellStyle name="20% - Accent1 2 2 2 2 4 2" xfId="13886" xr:uid="{69F61D56-2A6E-4CBC-AFE0-D78325681E44}"/>
    <cellStyle name="20% - Accent1 2 2 2 2 5" xfId="4767" xr:uid="{7788300E-2041-4DE2-947B-AF9E0BB95F0E}"/>
    <cellStyle name="20% - Accent1 2 2 2 2 5 2" xfId="14715" xr:uid="{37A29481-7CF5-471B-95D5-97B9196D949B}"/>
    <cellStyle name="20% - Accent1 2 2 2 2 6" xfId="5596" xr:uid="{333CF520-6026-4684-8632-4BAB5F2C8035}"/>
    <cellStyle name="20% - Accent1 2 2 2 2 6 2" xfId="15544" xr:uid="{72CC58D3-70DF-4C7B-A62A-6C3AA2DE7E54}"/>
    <cellStyle name="20% - Accent1 2 2 2 2 7" xfId="6425" xr:uid="{64309286-FE8C-4030-BCE4-F53673B0DF0D}"/>
    <cellStyle name="20% - Accent1 2 2 2 2 7 2" xfId="16373" xr:uid="{03A81C84-DC5D-4670-9BB9-9857A5AE53DB}"/>
    <cellStyle name="20% - Accent1 2 2 2 2 8" xfId="7254" xr:uid="{29752E3C-5FA1-4224-8629-5D6C31A6088D}"/>
    <cellStyle name="20% - Accent1 2 2 2 2 8 2" xfId="17202" xr:uid="{C84B1F74-8335-48C0-A4CD-28A2EE807B2F}"/>
    <cellStyle name="20% - Accent1 2 2 2 2 9" xfId="8083" xr:uid="{A3377035-88D3-4331-935B-E4AE4B209757}"/>
    <cellStyle name="20% - Accent1 2 2 2 2 9 2" xfId="18031" xr:uid="{1B31762D-5D9D-40C0-A5DE-5A0705DD0E39}"/>
    <cellStyle name="20% - Accent1 2 2 2 3" xfId="1864" xr:uid="{DB8D9EAE-C649-4FF4-ABCC-633A62E49C5B}"/>
    <cellStyle name="20% - Accent1 2 2 2 3 2" xfId="11812" xr:uid="{8AF0BDF9-8C4C-4F70-AB30-5F6F8C4DFFC2}"/>
    <cellStyle name="20% - Accent1 2 2 2 4" xfId="2693" xr:uid="{B4838186-AC35-4ED3-9499-9AB5D32A5564}"/>
    <cellStyle name="20% - Accent1 2 2 2 4 2" xfId="12641" xr:uid="{6539CB83-9EFC-456D-8D64-0AF759E7C801}"/>
    <cellStyle name="20% - Accent1 2 2 2 5" xfId="3522" xr:uid="{7702C4C1-E087-45E0-84C4-D3B6E5F511F3}"/>
    <cellStyle name="20% - Accent1 2 2 2 5 2" xfId="13470" xr:uid="{B1ABE7C8-8F24-41E4-9227-96553BDA4F58}"/>
    <cellStyle name="20% - Accent1 2 2 2 6" xfId="4351" xr:uid="{7682121E-AE8A-469C-9267-36ACBB17BB85}"/>
    <cellStyle name="20% - Accent1 2 2 2 6 2" xfId="14299" xr:uid="{8D67D411-0E93-4CA0-8139-823EE412F636}"/>
    <cellStyle name="20% - Accent1 2 2 2 7" xfId="5180" xr:uid="{241211C7-17D9-412B-97D1-3AECF9763C9B}"/>
    <cellStyle name="20% - Accent1 2 2 2 7 2" xfId="15128" xr:uid="{DCDAA389-0C89-4CAB-A4F7-CDC7554BF984}"/>
    <cellStyle name="20% - Accent1 2 2 2 8" xfId="6009" xr:uid="{51950742-98BA-4BB3-902A-7AA30C8E750B}"/>
    <cellStyle name="20% - Accent1 2 2 2 8 2" xfId="15957" xr:uid="{AFF1969A-1BDE-42FC-99B2-B648B0BE9BA8}"/>
    <cellStyle name="20% - Accent1 2 2 2 9" xfId="6838" xr:uid="{F225702E-827F-45DD-B580-2F0B143DD9F4}"/>
    <cellStyle name="20% - Accent1 2 2 2 9 2" xfId="16786" xr:uid="{7283CAF8-A492-41DB-B3B7-7B47998D8B78}"/>
    <cellStyle name="20% - Accent1 2 2 3" xfId="580" xr:uid="{00000000-0005-0000-0000-000005000000}"/>
    <cellStyle name="20% - Accent1 2 2 3 10" xfId="8911" xr:uid="{E51E212B-740C-4103-86C7-39DA0AA66BBE}"/>
    <cellStyle name="20% - Accent1 2 2 3 10 2" xfId="18859" xr:uid="{1BFA8EFA-8299-436D-856D-52171D583A12}"/>
    <cellStyle name="20% - Accent1 2 2 3 11" xfId="9740" xr:uid="{C603CCDB-C8A3-4317-949B-CECFA1C5F3C1}"/>
    <cellStyle name="20% - Accent1 2 2 3 11 2" xfId="19688" xr:uid="{D45D9C35-921C-4DB0-828C-A789E7579496}"/>
    <cellStyle name="20% - Accent1 2 2 3 12" xfId="10569" xr:uid="{AACE10BB-C455-4698-A290-CA37B10942E7}"/>
    <cellStyle name="20% - Accent1 2 2 3 12 2" xfId="20517" xr:uid="{E3057092-DF82-427B-A1D6-05262BB81E34}"/>
    <cellStyle name="20% - Accent1 2 2 3 13" xfId="1450" xr:uid="{DB8F932F-27E1-46ED-9F7F-2477866B1521}"/>
    <cellStyle name="20% - Accent1 2 2 3 14" xfId="11398" xr:uid="{E50F19E5-BD1F-4A75-BB70-44FB5372B53E}"/>
    <cellStyle name="20% - Accent1 2 2 3 2" xfId="2279" xr:uid="{C3A5FB8C-4229-4516-921E-52DE8A29DDA8}"/>
    <cellStyle name="20% - Accent1 2 2 3 2 2" xfId="12227" xr:uid="{8F408570-47A4-48A5-A2FA-7D5E650BF991}"/>
    <cellStyle name="20% - Accent1 2 2 3 3" xfId="3108" xr:uid="{6839C553-F8E0-4669-99CB-494A8B7BDE2D}"/>
    <cellStyle name="20% - Accent1 2 2 3 3 2" xfId="13056" xr:uid="{BC311634-6695-428D-A0D0-25C727EC254F}"/>
    <cellStyle name="20% - Accent1 2 2 3 4" xfId="3937" xr:uid="{7017C3EF-05A9-4A46-9C01-7978C0BA8960}"/>
    <cellStyle name="20% - Accent1 2 2 3 4 2" xfId="13885" xr:uid="{75992165-533E-4056-A588-2B7B4E2E0507}"/>
    <cellStyle name="20% - Accent1 2 2 3 5" xfId="4766" xr:uid="{8A47180D-B08C-40EE-BF73-F24472E5C3CA}"/>
    <cellStyle name="20% - Accent1 2 2 3 5 2" xfId="14714" xr:uid="{EE361C14-01E9-4249-996D-2100F8682F40}"/>
    <cellStyle name="20% - Accent1 2 2 3 6" xfId="5595" xr:uid="{BFC75948-CA72-4D6A-BC2E-9BC0C20071FD}"/>
    <cellStyle name="20% - Accent1 2 2 3 6 2" xfId="15543" xr:uid="{92A9464B-2869-4EB6-8850-17BCD2685224}"/>
    <cellStyle name="20% - Accent1 2 2 3 7" xfId="6424" xr:uid="{9425E6D3-5936-4B08-9E18-115A7EB59247}"/>
    <cellStyle name="20% - Accent1 2 2 3 7 2" xfId="16372" xr:uid="{0C1ACB65-324B-41EB-AB4C-ABE885BFB740}"/>
    <cellStyle name="20% - Accent1 2 2 3 8" xfId="7253" xr:uid="{363E0C30-B0F4-4ADA-B2BD-E36D6732360A}"/>
    <cellStyle name="20% - Accent1 2 2 3 8 2" xfId="17201" xr:uid="{B6F9577C-46DC-4603-ADB4-368BECE343AA}"/>
    <cellStyle name="20% - Accent1 2 2 3 9" xfId="8082" xr:uid="{A4634C97-CC42-40C5-B81A-2A6C19448CA1}"/>
    <cellStyle name="20% - Accent1 2 2 3 9 2" xfId="18030" xr:uid="{1E0E5386-58BB-437E-BEE0-59A6233B981A}"/>
    <cellStyle name="20% - Accent1 2 2 4" xfId="1863" xr:uid="{FD652F69-6AC1-4BC9-A566-0596835DCBEF}"/>
    <cellStyle name="20% - Accent1 2 2 4 2" xfId="11811" xr:uid="{9B67C057-A4C0-421D-AD0F-9FDD991727C5}"/>
    <cellStyle name="20% - Accent1 2 2 5" xfId="2692" xr:uid="{BC05EA8B-69F4-4AC7-8ED6-BC3B7DAA7BDD}"/>
    <cellStyle name="20% - Accent1 2 2 5 2" xfId="12640" xr:uid="{0A0345DF-882C-4B92-8242-844B8BCD5DDA}"/>
    <cellStyle name="20% - Accent1 2 2 6" xfId="3521" xr:uid="{93CE8DC8-7E96-4378-8AE3-4D28A8B54A3F}"/>
    <cellStyle name="20% - Accent1 2 2 6 2" xfId="13469" xr:uid="{CB60DE97-3581-4ED6-9AB3-CD3582E4359C}"/>
    <cellStyle name="20% - Accent1 2 2 7" xfId="4350" xr:uid="{8240CBA0-BACB-415E-A65B-D17D8E435FE4}"/>
    <cellStyle name="20% - Accent1 2 2 7 2" xfId="14298" xr:uid="{6F261915-153C-4B9A-A374-432E611D2745}"/>
    <cellStyle name="20% - Accent1 2 2 8" xfId="5179" xr:uid="{0C568BAC-53FD-4E9F-BF98-ED87095086B3}"/>
    <cellStyle name="20% - Accent1 2 2 8 2" xfId="15127" xr:uid="{380FF805-DED0-40E5-A0D2-BCCE0FE4A4DD}"/>
    <cellStyle name="20% - Accent1 2 2 9" xfId="6008" xr:uid="{9227AE2A-EDE9-4DA6-A299-B7A50FCEA368}"/>
    <cellStyle name="20% - Accent1 2 2 9 2" xfId="15956" xr:uid="{6650EE29-66C2-43FC-8DBE-9E979E6BED50}"/>
    <cellStyle name="20% - Accent1 2 3" xfId="5" xr:uid="{00000000-0005-0000-0000-000006000000}"/>
    <cellStyle name="20% - Accent1 2 3 10" xfId="7668" xr:uid="{5A2E0A7D-7749-4C54-9C63-20BA6DC6CA73}"/>
    <cellStyle name="20% - Accent1 2 3 10 2" xfId="17616" xr:uid="{D6D2E543-BBF9-4528-B437-915593C26FE8}"/>
    <cellStyle name="20% - Accent1 2 3 11" xfId="8497" xr:uid="{94A4FBF6-B093-4D79-9B26-6DCB4BB1B8FB}"/>
    <cellStyle name="20% - Accent1 2 3 11 2" xfId="18445" xr:uid="{09BBF812-6C9B-4D94-A062-0C6C08B850E6}"/>
    <cellStyle name="20% - Accent1 2 3 12" xfId="9326" xr:uid="{CA5F3B24-264F-42E3-8C4D-CAD0496460C3}"/>
    <cellStyle name="20% - Accent1 2 3 12 2" xfId="19274" xr:uid="{32B99828-307D-4A7E-9BA3-8D1095E6925C}"/>
    <cellStyle name="20% - Accent1 2 3 13" xfId="10155" xr:uid="{4B1D963D-E8D9-4011-927D-0F19C545D9D2}"/>
    <cellStyle name="20% - Accent1 2 3 13 2" xfId="20103" xr:uid="{5D75F9C2-B4A2-4FE0-A814-03069F6AC910}"/>
    <cellStyle name="20% - Accent1 2 3 14" xfId="1036" xr:uid="{29AE7924-30ED-4C6B-8B01-FC6227B7B530}"/>
    <cellStyle name="20% - Accent1 2 3 15" xfId="10984" xr:uid="{D2499FB3-E846-4B53-A8D5-F3ED5FEDA276}"/>
    <cellStyle name="20% - Accent1 2 3 2" xfId="582" xr:uid="{00000000-0005-0000-0000-000007000000}"/>
    <cellStyle name="20% - Accent1 2 3 2 10" xfId="8913" xr:uid="{446A9DD0-0690-4144-A760-783F3FD42624}"/>
    <cellStyle name="20% - Accent1 2 3 2 10 2" xfId="18861" xr:uid="{AAD508F8-38E3-43BE-8CE7-C05F83A7D482}"/>
    <cellStyle name="20% - Accent1 2 3 2 11" xfId="9742" xr:uid="{6E1E860E-90A9-47CD-9D7B-51FE4E787B45}"/>
    <cellStyle name="20% - Accent1 2 3 2 11 2" xfId="19690" xr:uid="{BE8A4C4B-DF7A-4F6B-92CD-0790483119F7}"/>
    <cellStyle name="20% - Accent1 2 3 2 12" xfId="10571" xr:uid="{1DFE1F2D-9B16-4671-BB17-66E1F1B81215}"/>
    <cellStyle name="20% - Accent1 2 3 2 12 2" xfId="20519" xr:uid="{194250D5-228D-436E-BA5F-089B49C7CE1C}"/>
    <cellStyle name="20% - Accent1 2 3 2 13" xfId="1452" xr:uid="{38018E36-38A3-49E4-B5BD-7475A0EB8F48}"/>
    <cellStyle name="20% - Accent1 2 3 2 14" xfId="11400" xr:uid="{7D101D45-0E30-47FA-B40B-997D184C9EE3}"/>
    <cellStyle name="20% - Accent1 2 3 2 2" xfId="2281" xr:uid="{98B3F83E-525D-4AA6-9FC1-9341DFE8C9A4}"/>
    <cellStyle name="20% - Accent1 2 3 2 2 2" xfId="12229" xr:uid="{BFB6B37F-907A-404E-95B5-98D44D967D1F}"/>
    <cellStyle name="20% - Accent1 2 3 2 3" xfId="3110" xr:uid="{A2192E8B-2C24-47C8-9CB4-8E09DB0D9736}"/>
    <cellStyle name="20% - Accent1 2 3 2 3 2" xfId="13058" xr:uid="{D6CEB99C-92FD-4AB9-8642-0ECA71D102A3}"/>
    <cellStyle name="20% - Accent1 2 3 2 4" xfId="3939" xr:uid="{FAEBDE61-62B9-4F1F-99A9-9372AE1594AB}"/>
    <cellStyle name="20% - Accent1 2 3 2 4 2" xfId="13887" xr:uid="{FF0D44E9-1D83-403C-AB05-321D975D7DDB}"/>
    <cellStyle name="20% - Accent1 2 3 2 5" xfId="4768" xr:uid="{2C294BCC-D7DD-44D7-87E3-2216B662FB91}"/>
    <cellStyle name="20% - Accent1 2 3 2 5 2" xfId="14716" xr:uid="{02A2BAA8-FF91-4A5D-BB8D-30EDDDD0AF1F}"/>
    <cellStyle name="20% - Accent1 2 3 2 6" xfId="5597" xr:uid="{7BDA7726-C6A4-4B47-8410-F489F483736B}"/>
    <cellStyle name="20% - Accent1 2 3 2 6 2" xfId="15545" xr:uid="{641A9ABA-34BD-492F-9227-C71AF2F0BAF1}"/>
    <cellStyle name="20% - Accent1 2 3 2 7" xfId="6426" xr:uid="{B576B1FD-5E42-4D4B-9390-3C7C8FD0E06F}"/>
    <cellStyle name="20% - Accent1 2 3 2 7 2" xfId="16374" xr:uid="{E707749E-DFA5-4FEA-B345-08C78E1F3469}"/>
    <cellStyle name="20% - Accent1 2 3 2 8" xfId="7255" xr:uid="{FE1314C4-2054-4B77-9926-F9C1609C00D6}"/>
    <cellStyle name="20% - Accent1 2 3 2 8 2" xfId="17203" xr:uid="{2ACACEE1-8B43-4D2B-8F35-A221C8DEB453}"/>
    <cellStyle name="20% - Accent1 2 3 2 9" xfId="8084" xr:uid="{4D523D91-41FD-4801-B04F-EA49A36B98BE}"/>
    <cellStyle name="20% - Accent1 2 3 2 9 2" xfId="18032" xr:uid="{BEC81AA7-5A83-4D41-8CCB-A3277F2AF15D}"/>
    <cellStyle name="20% - Accent1 2 3 3" xfId="1865" xr:uid="{265D4B09-9CDF-4E0C-BBCD-300A635F64B8}"/>
    <cellStyle name="20% - Accent1 2 3 3 2" xfId="11813" xr:uid="{DD9A30C3-B66B-4147-83B7-72ECF69264E5}"/>
    <cellStyle name="20% - Accent1 2 3 4" xfId="2694" xr:uid="{6E67148B-EE85-432B-A1BD-2C4CA069E227}"/>
    <cellStyle name="20% - Accent1 2 3 4 2" xfId="12642" xr:uid="{13F280E5-CACC-420A-9CD2-C9031E277707}"/>
    <cellStyle name="20% - Accent1 2 3 5" xfId="3523" xr:uid="{2F84CE89-104A-4CCD-A5AC-F32255A94E79}"/>
    <cellStyle name="20% - Accent1 2 3 5 2" xfId="13471" xr:uid="{0503CD3A-6409-4B07-AB68-A62B0253221D}"/>
    <cellStyle name="20% - Accent1 2 3 6" xfId="4352" xr:uid="{61A52DF7-A871-4432-9E95-38668522E08E}"/>
    <cellStyle name="20% - Accent1 2 3 6 2" xfId="14300" xr:uid="{5468035D-4C60-421B-81BF-7B6311C9DA8C}"/>
    <cellStyle name="20% - Accent1 2 3 7" xfId="5181" xr:uid="{6250A539-F0E1-4077-9894-DCCC22C36B42}"/>
    <cellStyle name="20% - Accent1 2 3 7 2" xfId="15129" xr:uid="{B6DA3AB2-66A8-44F5-8C4B-450CDB7A9164}"/>
    <cellStyle name="20% - Accent1 2 3 8" xfId="6010" xr:uid="{DC2CA8AE-8032-425D-8972-D2808564144B}"/>
    <cellStyle name="20% - Accent1 2 3 8 2" xfId="15958" xr:uid="{7D50D998-4479-42BB-B920-4E3FCBD8F124}"/>
    <cellStyle name="20% - Accent1 2 3 9" xfId="6839" xr:uid="{B872F812-3B16-4010-BC18-5B1C0C3060E2}"/>
    <cellStyle name="20% - Accent1 2 3 9 2" xfId="16787" xr:uid="{D243F2F6-AA2E-4A01-9D46-1D0EC44DFA98}"/>
    <cellStyle name="20% - Accent1 2 4" xfId="579" xr:uid="{00000000-0005-0000-0000-000008000000}"/>
    <cellStyle name="20% - Accent1 2 4 10" xfId="8910" xr:uid="{FB71B759-692B-4F82-B01F-ACFB34E30FCB}"/>
    <cellStyle name="20% - Accent1 2 4 10 2" xfId="18858" xr:uid="{7B847E63-4685-476D-93B1-3AD7FDFC426B}"/>
    <cellStyle name="20% - Accent1 2 4 11" xfId="9739" xr:uid="{DDC15820-503A-473E-9B9F-3CD16EE43D86}"/>
    <cellStyle name="20% - Accent1 2 4 11 2" xfId="19687" xr:uid="{58764E94-57AC-4FF3-8D4F-AF9042FDA2E9}"/>
    <cellStyle name="20% - Accent1 2 4 12" xfId="10568" xr:uid="{315AED0F-B245-4CFE-842E-811F148AF2F8}"/>
    <cellStyle name="20% - Accent1 2 4 12 2" xfId="20516" xr:uid="{F63DE3B6-B741-4787-94A5-1E7F4589AEB7}"/>
    <cellStyle name="20% - Accent1 2 4 13" xfId="1449" xr:uid="{C1091468-371F-4659-8CC6-30155B6B4F75}"/>
    <cellStyle name="20% - Accent1 2 4 14" xfId="11397" xr:uid="{AD09A8BC-B373-4488-989F-89892F2032BA}"/>
    <cellStyle name="20% - Accent1 2 4 2" xfId="2278" xr:uid="{73295573-875E-477E-8BC4-B585941B9810}"/>
    <cellStyle name="20% - Accent1 2 4 2 2" xfId="12226" xr:uid="{D06A0DD1-9564-4761-8A0B-2701265E2786}"/>
    <cellStyle name="20% - Accent1 2 4 3" xfId="3107" xr:uid="{12C1EC23-79CC-4AD3-9B0E-92B2BD381D47}"/>
    <cellStyle name="20% - Accent1 2 4 3 2" xfId="13055" xr:uid="{E101C401-D274-4A73-A7B6-2E38501C158A}"/>
    <cellStyle name="20% - Accent1 2 4 4" xfId="3936" xr:uid="{64F10A6D-6115-437F-A90A-A279F0FF8F3A}"/>
    <cellStyle name="20% - Accent1 2 4 4 2" xfId="13884" xr:uid="{A7A977BA-0D49-4FD5-840C-1E02D4FBA72C}"/>
    <cellStyle name="20% - Accent1 2 4 5" xfId="4765" xr:uid="{44BA85BE-470F-4967-955F-2D6561451123}"/>
    <cellStyle name="20% - Accent1 2 4 5 2" xfId="14713" xr:uid="{C267D88B-FC81-4918-B6EE-51465167B851}"/>
    <cellStyle name="20% - Accent1 2 4 6" xfId="5594" xr:uid="{55324834-D56A-407F-8FA0-35184FFB1AE1}"/>
    <cellStyle name="20% - Accent1 2 4 6 2" xfId="15542" xr:uid="{453EEDB6-B1DD-4F90-83C7-5015C6042173}"/>
    <cellStyle name="20% - Accent1 2 4 7" xfId="6423" xr:uid="{9B96BE90-6C32-4048-8F5A-24C288C55901}"/>
    <cellStyle name="20% - Accent1 2 4 7 2" xfId="16371" xr:uid="{57C295FC-7F57-4DFF-86B0-DC8CD456739A}"/>
    <cellStyle name="20% - Accent1 2 4 8" xfId="7252" xr:uid="{9E852364-0B5D-4A41-A8E1-EFDDF28EC011}"/>
    <cellStyle name="20% - Accent1 2 4 8 2" xfId="17200" xr:uid="{97B1349D-4C0E-4202-8D63-6B99E845C378}"/>
    <cellStyle name="20% - Accent1 2 4 9" xfId="8081" xr:uid="{80DFD5E1-195F-4E61-A429-6FD8EDC25E85}"/>
    <cellStyle name="20% - Accent1 2 4 9 2" xfId="18029" xr:uid="{8F33EBDE-23C5-453E-957F-FC211F5CC1C8}"/>
    <cellStyle name="20% - Accent1 2 5" xfId="1862" xr:uid="{2FDC15AF-AC45-46FB-9629-AA40B73E7075}"/>
    <cellStyle name="20% - Accent1 2 5 2" xfId="11810" xr:uid="{5679113C-A888-4868-86B0-99E2802265BB}"/>
    <cellStyle name="20% - Accent1 2 6" xfId="2691" xr:uid="{A3E3D12E-CB78-4FBC-8266-8703ACF04915}"/>
    <cellStyle name="20% - Accent1 2 6 2" xfId="12639" xr:uid="{DA476A38-5A14-4A5F-8DBA-363522C00919}"/>
    <cellStyle name="20% - Accent1 2 7" xfId="3520" xr:uid="{2456755F-DECB-48F2-B442-8E50BFE3518D}"/>
    <cellStyle name="20% - Accent1 2 7 2" xfId="13468" xr:uid="{78321F1B-BE42-4727-B70A-AC0E9CED9B93}"/>
    <cellStyle name="20% - Accent1 2 8" xfId="4349" xr:uid="{2C429930-5B64-408C-850F-A81C9B2A449A}"/>
    <cellStyle name="20% - Accent1 2 8 2" xfId="14297" xr:uid="{864BEC33-2C97-4BD1-955F-C56F57F39D3F}"/>
    <cellStyle name="20% - Accent1 2 9" xfId="5178" xr:uid="{430E053F-4172-4486-8723-8BF9099A92FB}"/>
    <cellStyle name="20% - Accent1 2 9 2" xfId="15126" xr:uid="{0699B111-6C46-47CD-B518-444493F0A769}"/>
    <cellStyle name="20% - Accent1 3" xfId="6" xr:uid="{00000000-0005-0000-0000-000009000000}"/>
    <cellStyle name="20% - Accent1 3 10" xfId="6840" xr:uid="{8ECF322D-7F63-4017-8D7F-89327C1FE73A}"/>
    <cellStyle name="20% - Accent1 3 10 2" xfId="16788" xr:uid="{B26D0ABC-2E11-4EBD-BBEB-AC10D67A74A3}"/>
    <cellStyle name="20% - Accent1 3 11" xfId="7669" xr:uid="{CED6045B-91B4-4E57-B767-225A9A57461D}"/>
    <cellStyle name="20% - Accent1 3 11 2" xfId="17617" xr:uid="{9A5BD21C-02BB-4CCF-AD60-2BA62D145EFD}"/>
    <cellStyle name="20% - Accent1 3 12" xfId="8498" xr:uid="{BB5EAC7A-E9C3-47FC-B698-3B22F31EAE47}"/>
    <cellStyle name="20% - Accent1 3 12 2" xfId="18446" xr:uid="{60629E75-7C00-4728-AFA6-8746614FA6DB}"/>
    <cellStyle name="20% - Accent1 3 13" xfId="9327" xr:uid="{B58B363F-0450-4E82-8C06-3C3A28A2E2FA}"/>
    <cellStyle name="20% - Accent1 3 13 2" xfId="19275" xr:uid="{D11D967C-6CDE-49DA-9180-790F75292FED}"/>
    <cellStyle name="20% - Accent1 3 14" xfId="10156" xr:uid="{6287C0C6-BF1B-41FF-9085-18BA5B872344}"/>
    <cellStyle name="20% - Accent1 3 14 2" xfId="20104" xr:uid="{F86B0A3C-7EB5-4319-88FA-364174F158C7}"/>
    <cellStyle name="20% - Accent1 3 15" xfId="1037" xr:uid="{3A5C64C0-7B61-414B-9125-BBD4BA7E0F52}"/>
    <cellStyle name="20% - Accent1 3 16" xfId="10985" xr:uid="{D7EBD9EE-2D7D-4E68-A8CB-2A314C9D7608}"/>
    <cellStyle name="20% - Accent1 3 2" xfId="7" xr:uid="{00000000-0005-0000-0000-00000A000000}"/>
    <cellStyle name="20% - Accent1 3 2 10" xfId="7670" xr:uid="{3D4EAF3D-CBA4-4BDA-A7FF-048CE43B6C7D}"/>
    <cellStyle name="20% - Accent1 3 2 10 2" xfId="17618" xr:uid="{F95524F5-64DB-471F-AA7C-EB0EDE85764E}"/>
    <cellStyle name="20% - Accent1 3 2 11" xfId="8499" xr:uid="{4C352DC5-AA15-4EB8-ABB7-A98D042FBA34}"/>
    <cellStyle name="20% - Accent1 3 2 11 2" xfId="18447" xr:uid="{A926D156-8CFB-4E96-BAF0-06C6EE9113B4}"/>
    <cellStyle name="20% - Accent1 3 2 12" xfId="9328" xr:uid="{25D381AF-E7DE-433C-B082-D50F4643E657}"/>
    <cellStyle name="20% - Accent1 3 2 12 2" xfId="19276" xr:uid="{9F0FAF8E-21DA-442E-AEB6-3F87E8A6728C}"/>
    <cellStyle name="20% - Accent1 3 2 13" xfId="10157" xr:uid="{D45B7073-A343-451E-B8EF-982097459BD8}"/>
    <cellStyle name="20% - Accent1 3 2 13 2" xfId="20105" xr:uid="{EA4A13B1-DC2C-444E-BC24-052E564A553F}"/>
    <cellStyle name="20% - Accent1 3 2 14" xfId="1038" xr:uid="{DF9B52B1-BB8A-4943-8F1E-598F1769B58A}"/>
    <cellStyle name="20% - Accent1 3 2 15" xfId="10986" xr:uid="{3712158B-8093-431D-B67D-49E1751C8A0C}"/>
    <cellStyle name="20% - Accent1 3 2 2" xfId="584" xr:uid="{00000000-0005-0000-0000-00000B000000}"/>
    <cellStyle name="20% - Accent1 3 2 2 10" xfId="8915" xr:uid="{AC2F1CB0-9CF3-4B4D-AC47-EC6CF4A82EFF}"/>
    <cellStyle name="20% - Accent1 3 2 2 10 2" xfId="18863" xr:uid="{D892C937-6C03-4C3D-ABE0-1C3C4FAA49B1}"/>
    <cellStyle name="20% - Accent1 3 2 2 11" xfId="9744" xr:uid="{E84451D6-E258-4DE5-839A-9B85E3812826}"/>
    <cellStyle name="20% - Accent1 3 2 2 11 2" xfId="19692" xr:uid="{31795434-ED3D-400A-96B9-2AD94DE1A428}"/>
    <cellStyle name="20% - Accent1 3 2 2 12" xfId="10573" xr:uid="{9CB69304-BB67-4E42-B7D5-16AE85ABC623}"/>
    <cellStyle name="20% - Accent1 3 2 2 12 2" xfId="20521" xr:uid="{5C421173-A8A6-40F8-8161-5D273E3CB370}"/>
    <cellStyle name="20% - Accent1 3 2 2 13" xfId="1454" xr:uid="{D982900A-5E73-4E85-B075-8E90816D618B}"/>
    <cellStyle name="20% - Accent1 3 2 2 14" xfId="11402" xr:uid="{19F6F2FB-E33E-4180-994B-DABF3F732CEF}"/>
    <cellStyle name="20% - Accent1 3 2 2 2" xfId="2283" xr:uid="{A7B54420-C11F-40AE-8577-069AD2808C10}"/>
    <cellStyle name="20% - Accent1 3 2 2 2 2" xfId="12231" xr:uid="{45DB47B8-9E21-4C13-BCDD-5BE184022CAC}"/>
    <cellStyle name="20% - Accent1 3 2 2 3" xfId="3112" xr:uid="{A675A1E5-BE80-4CE4-A565-BB542A207A1B}"/>
    <cellStyle name="20% - Accent1 3 2 2 3 2" xfId="13060" xr:uid="{633D3C65-C177-4352-99E1-4F80D2E58968}"/>
    <cellStyle name="20% - Accent1 3 2 2 4" xfId="3941" xr:uid="{31440D34-EAC7-49F4-BFFC-E4E66B9CD038}"/>
    <cellStyle name="20% - Accent1 3 2 2 4 2" xfId="13889" xr:uid="{3F1C3570-81D4-406F-AAE0-D3E07B558DE2}"/>
    <cellStyle name="20% - Accent1 3 2 2 5" xfId="4770" xr:uid="{6B5787B5-3E5A-48D7-BCE3-F6414ECC9513}"/>
    <cellStyle name="20% - Accent1 3 2 2 5 2" xfId="14718" xr:uid="{3508D4FA-0CCD-4F60-B95F-D2AE76098523}"/>
    <cellStyle name="20% - Accent1 3 2 2 6" xfId="5599" xr:uid="{1659A62E-D848-42E3-B021-3C34BEEED837}"/>
    <cellStyle name="20% - Accent1 3 2 2 6 2" xfId="15547" xr:uid="{A3068077-33BC-4363-A991-F7E6774074C8}"/>
    <cellStyle name="20% - Accent1 3 2 2 7" xfId="6428" xr:uid="{07F676EF-7727-4725-A7D5-EB0FF3061E1A}"/>
    <cellStyle name="20% - Accent1 3 2 2 7 2" xfId="16376" xr:uid="{5ACBDED2-2EA6-41D1-AAFA-57C92A2513AD}"/>
    <cellStyle name="20% - Accent1 3 2 2 8" xfId="7257" xr:uid="{3DE275F3-1FF7-4520-8CFE-216ED305DAD1}"/>
    <cellStyle name="20% - Accent1 3 2 2 8 2" xfId="17205" xr:uid="{56C5AEA6-6D4F-4C39-96CA-7D5763897F72}"/>
    <cellStyle name="20% - Accent1 3 2 2 9" xfId="8086" xr:uid="{622361EB-EE82-4DDC-922A-7B2392723FF8}"/>
    <cellStyle name="20% - Accent1 3 2 2 9 2" xfId="18034" xr:uid="{23E384A8-9D96-4DA1-9D98-3527EEA07D82}"/>
    <cellStyle name="20% - Accent1 3 2 3" xfId="1867" xr:uid="{3818001A-AEB2-4343-9F54-23901EF79C7D}"/>
    <cellStyle name="20% - Accent1 3 2 3 2" xfId="11815" xr:uid="{010CFFA6-4FBF-49C3-81CC-1D618324317F}"/>
    <cellStyle name="20% - Accent1 3 2 4" xfId="2696" xr:uid="{93E5EBB2-31EA-4A3F-8A57-106AED58FD43}"/>
    <cellStyle name="20% - Accent1 3 2 4 2" xfId="12644" xr:uid="{D1567995-5837-4777-A778-FEF56A52F35D}"/>
    <cellStyle name="20% - Accent1 3 2 5" xfId="3525" xr:uid="{3F0E20C1-1F59-4D96-B9C1-C2CDDA929D1C}"/>
    <cellStyle name="20% - Accent1 3 2 5 2" xfId="13473" xr:uid="{D0512FC5-0AC0-4D14-B8CF-997429E68159}"/>
    <cellStyle name="20% - Accent1 3 2 6" xfId="4354" xr:uid="{3C2EBEA1-310E-4FDF-B9D7-7C6944BD4D6A}"/>
    <cellStyle name="20% - Accent1 3 2 6 2" xfId="14302" xr:uid="{503A1968-FA0F-455D-AC0B-C91D76DD526E}"/>
    <cellStyle name="20% - Accent1 3 2 7" xfId="5183" xr:uid="{FF12551E-250F-40C7-A344-132F0FF2CB1D}"/>
    <cellStyle name="20% - Accent1 3 2 7 2" xfId="15131" xr:uid="{A7240CE3-BD27-419D-8AB3-5FC1AFA8F42F}"/>
    <cellStyle name="20% - Accent1 3 2 8" xfId="6012" xr:uid="{FE2DA93C-2547-4313-A370-F1DFE15DEDCC}"/>
    <cellStyle name="20% - Accent1 3 2 8 2" xfId="15960" xr:uid="{606C74CE-A623-4D6C-83E6-B018EA51B986}"/>
    <cellStyle name="20% - Accent1 3 2 9" xfId="6841" xr:uid="{020102E3-C317-48EA-9884-29AA69340ACE}"/>
    <cellStyle name="20% - Accent1 3 2 9 2" xfId="16789" xr:uid="{01672DFA-4F81-49E8-BC53-BAA57BB5E632}"/>
    <cellStyle name="20% - Accent1 3 3" xfId="583" xr:uid="{00000000-0005-0000-0000-00000C000000}"/>
    <cellStyle name="20% - Accent1 3 3 10" xfId="8914" xr:uid="{2B2F0F21-F32C-4A0F-BC4B-54798617DED1}"/>
    <cellStyle name="20% - Accent1 3 3 10 2" xfId="18862" xr:uid="{F215ABBA-13EE-41F2-B2AF-662AE18818C8}"/>
    <cellStyle name="20% - Accent1 3 3 11" xfId="9743" xr:uid="{4EDC62C8-EFD6-4D0E-BAB4-5526641E8F11}"/>
    <cellStyle name="20% - Accent1 3 3 11 2" xfId="19691" xr:uid="{58278EB1-77D9-4EA7-8191-C90D4232CBE9}"/>
    <cellStyle name="20% - Accent1 3 3 12" xfId="10572" xr:uid="{B9AFEC5B-F173-4ED1-9E70-A181AF1D4AE5}"/>
    <cellStyle name="20% - Accent1 3 3 12 2" xfId="20520" xr:uid="{B53E2D96-EC6C-4A2F-98DE-510AD5384CB1}"/>
    <cellStyle name="20% - Accent1 3 3 13" xfId="1453" xr:uid="{6815FE6E-4E71-47FD-AE92-903229FD13AE}"/>
    <cellStyle name="20% - Accent1 3 3 14" xfId="11401" xr:uid="{4BCD6CED-C414-4C0F-BC03-81A4952E9DED}"/>
    <cellStyle name="20% - Accent1 3 3 2" xfId="2282" xr:uid="{371E8A9A-B5CC-4A20-A297-27C83D1FD159}"/>
    <cellStyle name="20% - Accent1 3 3 2 2" xfId="12230" xr:uid="{11AA56FB-2471-42F0-BC72-127EC1E02B0C}"/>
    <cellStyle name="20% - Accent1 3 3 3" xfId="3111" xr:uid="{6ADE9858-DD22-4B9C-B360-84CEC82B5315}"/>
    <cellStyle name="20% - Accent1 3 3 3 2" xfId="13059" xr:uid="{2DD8A0BE-7FBC-45F4-8012-AF43FC61E155}"/>
    <cellStyle name="20% - Accent1 3 3 4" xfId="3940" xr:uid="{38C41ADF-705F-44CE-A8ED-084BFB63BF5A}"/>
    <cellStyle name="20% - Accent1 3 3 4 2" xfId="13888" xr:uid="{F8A2C27F-060B-4EC3-9F36-D3BC00B7E8E2}"/>
    <cellStyle name="20% - Accent1 3 3 5" xfId="4769" xr:uid="{CDCF7B3D-39DF-4A96-B54D-F4E15071358B}"/>
    <cellStyle name="20% - Accent1 3 3 5 2" xfId="14717" xr:uid="{86510BFF-5011-4CB6-BA5F-81EBCD88E872}"/>
    <cellStyle name="20% - Accent1 3 3 6" xfId="5598" xr:uid="{95D6B040-2C21-4AB0-8F8D-EF2399A901E7}"/>
    <cellStyle name="20% - Accent1 3 3 6 2" xfId="15546" xr:uid="{22834EC8-1D61-4188-9447-1929B2DF96DA}"/>
    <cellStyle name="20% - Accent1 3 3 7" xfId="6427" xr:uid="{EC02B3F7-470C-4FC3-A7F2-34091847D950}"/>
    <cellStyle name="20% - Accent1 3 3 7 2" xfId="16375" xr:uid="{3271FBFC-3DA2-4225-AA2C-E9A401052938}"/>
    <cellStyle name="20% - Accent1 3 3 8" xfId="7256" xr:uid="{4DEF6145-BF09-42B0-BB6B-D63E71ECDB41}"/>
    <cellStyle name="20% - Accent1 3 3 8 2" xfId="17204" xr:uid="{2629B27A-0195-4871-9499-E5C4A9E29826}"/>
    <cellStyle name="20% - Accent1 3 3 9" xfId="8085" xr:uid="{7A4608C8-8813-407F-8BF0-70778228FFC9}"/>
    <cellStyle name="20% - Accent1 3 3 9 2" xfId="18033" xr:uid="{DDEEC21A-BEA8-4297-AFC1-49720A3A0AA2}"/>
    <cellStyle name="20% - Accent1 3 4" xfId="1866" xr:uid="{FCBE4671-5AF1-439F-9A35-869D58A6A3C8}"/>
    <cellStyle name="20% - Accent1 3 4 2" xfId="11814" xr:uid="{BCDEB5BC-EF0D-4693-9A96-F1336DF933E9}"/>
    <cellStyle name="20% - Accent1 3 5" xfId="2695" xr:uid="{EFD1571E-0A4A-4CB0-B795-4CBB8BA35BFC}"/>
    <cellStyle name="20% - Accent1 3 5 2" xfId="12643" xr:uid="{D377BB7D-F7F6-4488-BC46-3A37153040EA}"/>
    <cellStyle name="20% - Accent1 3 6" xfId="3524" xr:uid="{F809E02C-DA26-4733-88AD-118B15174292}"/>
    <cellStyle name="20% - Accent1 3 6 2" xfId="13472" xr:uid="{3181DAE1-3147-4342-9787-190FA5E54B4B}"/>
    <cellStyle name="20% - Accent1 3 7" xfId="4353" xr:uid="{F5DE4DEC-B08E-4AB5-98BC-D6F4E0175A38}"/>
    <cellStyle name="20% - Accent1 3 7 2" xfId="14301" xr:uid="{85F01F67-98AB-455C-8A88-4F672C44923F}"/>
    <cellStyle name="20% - Accent1 3 8" xfId="5182" xr:uid="{1171E0C9-BA53-4EC6-8D8E-B1169D4646BF}"/>
    <cellStyle name="20% - Accent1 3 8 2" xfId="15130" xr:uid="{9564D7E7-9A60-4AF8-BB87-91E8FE748E73}"/>
    <cellStyle name="20% - Accent1 3 9" xfId="6011" xr:uid="{BC67C040-07C4-4D0F-BEF8-909FD86042E4}"/>
    <cellStyle name="20% - Accent1 3 9 2" xfId="15959" xr:uid="{5CBA259A-5B22-481C-8A0A-6FB17B08BC1C}"/>
    <cellStyle name="20% - Accent1 4" xfId="8" xr:uid="{00000000-0005-0000-0000-00000D000000}"/>
    <cellStyle name="20% - Accent1 4 10" xfId="7671" xr:uid="{F5CDFA44-BDE7-4A66-A5E3-4DC2904F9A3F}"/>
    <cellStyle name="20% - Accent1 4 10 2" xfId="17619" xr:uid="{32B6D008-2335-44DC-83D0-ABABC8FC55C0}"/>
    <cellStyle name="20% - Accent1 4 11" xfId="8500" xr:uid="{3B4308E6-B98B-414D-8F05-BAD9238A133F}"/>
    <cellStyle name="20% - Accent1 4 11 2" xfId="18448" xr:uid="{B0CC09F0-447A-4AA1-B835-7174A148FB25}"/>
    <cellStyle name="20% - Accent1 4 12" xfId="9329" xr:uid="{E3292ACF-60AF-4651-8D3C-87452C970BC0}"/>
    <cellStyle name="20% - Accent1 4 12 2" xfId="19277" xr:uid="{32A6BA21-15F0-4610-9BE5-07DACF7630B5}"/>
    <cellStyle name="20% - Accent1 4 13" xfId="10158" xr:uid="{90182461-EE1A-42C2-B740-CF4E2DF83777}"/>
    <cellStyle name="20% - Accent1 4 13 2" xfId="20106" xr:uid="{6DE5296E-BE38-41CE-BFB6-5186B7F4F854}"/>
    <cellStyle name="20% - Accent1 4 14" xfId="1039" xr:uid="{1FCA6BE7-F030-442E-8B93-D18DBBA922E7}"/>
    <cellStyle name="20% - Accent1 4 15" xfId="10987" xr:uid="{C7E1AB7C-0D71-4D5D-AC78-059609918040}"/>
    <cellStyle name="20% - Accent1 4 2" xfId="585" xr:uid="{00000000-0005-0000-0000-00000E000000}"/>
    <cellStyle name="20% - Accent1 4 2 10" xfId="8916" xr:uid="{F8CB37D0-0E01-4631-AC19-C6440446995C}"/>
    <cellStyle name="20% - Accent1 4 2 10 2" xfId="18864" xr:uid="{6EFBEEEF-AD3E-43A5-90DD-5AE8D2FCD345}"/>
    <cellStyle name="20% - Accent1 4 2 11" xfId="9745" xr:uid="{F0E1323C-F646-45EA-92DE-FD9DCEE6C306}"/>
    <cellStyle name="20% - Accent1 4 2 11 2" xfId="19693" xr:uid="{E2A063F5-D415-4E57-8E00-6A6E7F560DA4}"/>
    <cellStyle name="20% - Accent1 4 2 12" xfId="10574" xr:uid="{F0EEF500-E875-4FE8-B9F7-D39323939E2D}"/>
    <cellStyle name="20% - Accent1 4 2 12 2" xfId="20522" xr:uid="{B8D13ACA-7635-4906-947A-970854CAB0D6}"/>
    <cellStyle name="20% - Accent1 4 2 13" xfId="1455" xr:uid="{05FE56B0-3E6C-4164-BB38-FA8F9AC8AB0F}"/>
    <cellStyle name="20% - Accent1 4 2 14" xfId="11403" xr:uid="{998008A6-3A0F-4079-9C9C-333204762D46}"/>
    <cellStyle name="20% - Accent1 4 2 2" xfId="2284" xr:uid="{F738AE20-BDF0-4A9C-9E8C-0DD787888358}"/>
    <cellStyle name="20% - Accent1 4 2 2 2" xfId="12232" xr:uid="{40BB274E-17BE-47F6-8820-5E0238FD9D6C}"/>
    <cellStyle name="20% - Accent1 4 2 3" xfId="3113" xr:uid="{E980D65A-892E-4C1B-B97C-6E566D1C32F6}"/>
    <cellStyle name="20% - Accent1 4 2 3 2" xfId="13061" xr:uid="{8E2BF4F8-F8C2-42B6-A25F-643218801DA1}"/>
    <cellStyle name="20% - Accent1 4 2 4" xfId="3942" xr:uid="{F796C7D2-0536-49B5-A756-68B2C4132C3F}"/>
    <cellStyle name="20% - Accent1 4 2 4 2" xfId="13890" xr:uid="{96540701-F6CC-4E1F-BE79-54D89CCEA265}"/>
    <cellStyle name="20% - Accent1 4 2 5" xfId="4771" xr:uid="{5E9AA604-1F81-4F0C-9D50-9B6CE80524FF}"/>
    <cellStyle name="20% - Accent1 4 2 5 2" xfId="14719" xr:uid="{E6CF2F9E-5FE7-42A7-9583-06C50F4A04F9}"/>
    <cellStyle name="20% - Accent1 4 2 6" xfId="5600" xr:uid="{3F19AF40-B3AB-43B8-AD8E-EF2E4AA4EDAB}"/>
    <cellStyle name="20% - Accent1 4 2 6 2" xfId="15548" xr:uid="{E864A0F7-FF90-4371-95F8-93345D83E05C}"/>
    <cellStyle name="20% - Accent1 4 2 7" xfId="6429" xr:uid="{1BD76E86-A2C4-4EB0-91D0-C61DBBB96610}"/>
    <cellStyle name="20% - Accent1 4 2 7 2" xfId="16377" xr:uid="{25C18571-8362-4CD6-AE2E-35EA59311A25}"/>
    <cellStyle name="20% - Accent1 4 2 8" xfId="7258" xr:uid="{5395F85E-73D7-406C-B504-7DD5DBC245F9}"/>
    <cellStyle name="20% - Accent1 4 2 8 2" xfId="17206" xr:uid="{D8AEE76E-29E8-4FCE-B281-EDC7956EBFDD}"/>
    <cellStyle name="20% - Accent1 4 2 9" xfId="8087" xr:uid="{2A0C1821-87EE-46E0-ADE8-6161F70D8197}"/>
    <cellStyle name="20% - Accent1 4 2 9 2" xfId="18035" xr:uid="{EBEA3310-10F1-414B-BF50-7B422240FC1A}"/>
    <cellStyle name="20% - Accent1 4 3" xfId="1868" xr:uid="{24B08449-0C3F-4A4E-9FBA-A1F452A74A45}"/>
    <cellStyle name="20% - Accent1 4 3 2" xfId="11816" xr:uid="{03541492-4457-4F90-B525-58E424511D0E}"/>
    <cellStyle name="20% - Accent1 4 4" xfId="2697" xr:uid="{00A24572-0929-428A-91C4-24DAA026D9B8}"/>
    <cellStyle name="20% - Accent1 4 4 2" xfId="12645" xr:uid="{F29A614D-AD8D-4AE6-9742-AE8B30FC778D}"/>
    <cellStyle name="20% - Accent1 4 5" xfId="3526" xr:uid="{EA29D7A8-275B-40AD-BB4A-979E98FCCDEC}"/>
    <cellStyle name="20% - Accent1 4 5 2" xfId="13474" xr:uid="{4B794393-5619-41A7-BC22-9C8C865BD396}"/>
    <cellStyle name="20% - Accent1 4 6" xfId="4355" xr:uid="{3172177E-2EA7-4F47-A929-766335CA834A}"/>
    <cellStyle name="20% - Accent1 4 6 2" xfId="14303" xr:uid="{86BACD84-A363-4564-8038-603686AFB130}"/>
    <cellStyle name="20% - Accent1 4 7" xfId="5184" xr:uid="{38D083FB-5861-4D0F-9F7F-248E4C2C9ECE}"/>
    <cellStyle name="20% - Accent1 4 7 2" xfId="15132" xr:uid="{5BBBEC8E-7556-41D6-BC33-38EDE55A93D2}"/>
    <cellStyle name="20% - Accent1 4 8" xfId="6013" xr:uid="{76D60A13-F192-40DD-AB50-79E47D60EAE5}"/>
    <cellStyle name="20% - Accent1 4 8 2" xfId="15961" xr:uid="{2F4B0F2A-A182-422D-A20D-3D147981E195}"/>
    <cellStyle name="20% - Accent1 4 9" xfId="6842" xr:uid="{C1967751-0A91-4872-BE61-D408A825062D}"/>
    <cellStyle name="20% - Accent1 4 9 2" xfId="16790" xr:uid="{D373FE83-A6F4-4F33-9FD6-44B9905FBAD4}"/>
    <cellStyle name="20% - Accent1 5" xfId="578" xr:uid="{00000000-0005-0000-0000-00000F000000}"/>
    <cellStyle name="20% - Accent1 5 10" xfId="8909" xr:uid="{A1AB1210-518F-4B07-8260-97B5A0C406ED}"/>
    <cellStyle name="20% - Accent1 5 10 2" xfId="18857" xr:uid="{F2E366E9-DD33-416F-8230-EEC44146B898}"/>
    <cellStyle name="20% - Accent1 5 11" xfId="9738" xr:uid="{D96F5167-871C-4B4D-8501-13BA16E86816}"/>
    <cellStyle name="20% - Accent1 5 11 2" xfId="19686" xr:uid="{EB3913A1-64B6-4D8A-8163-7A5B87BDEB3C}"/>
    <cellStyle name="20% - Accent1 5 12" xfId="10567" xr:uid="{85AA5ADD-E4A3-4B21-A717-3DB7F725953C}"/>
    <cellStyle name="20% - Accent1 5 12 2" xfId="20515" xr:uid="{03C66308-0812-4203-9BC9-F38E69C8033F}"/>
    <cellStyle name="20% - Accent1 5 13" xfId="1448" xr:uid="{5E08C28E-1E8D-4611-AA86-C0471BC2B77C}"/>
    <cellStyle name="20% - Accent1 5 14" xfId="11396" xr:uid="{A3018D39-1FC3-45A5-A400-0645AF91AB76}"/>
    <cellStyle name="20% - Accent1 5 2" xfId="2277" xr:uid="{B47EE476-25B4-4C8E-AC3F-342055565818}"/>
    <cellStyle name="20% - Accent1 5 2 2" xfId="12225" xr:uid="{1A710C97-A24A-4050-8094-47AD592E0833}"/>
    <cellStyle name="20% - Accent1 5 3" xfId="3106" xr:uid="{E507B9A8-228E-4EC1-B5B9-6D544DCEC05C}"/>
    <cellStyle name="20% - Accent1 5 3 2" xfId="13054" xr:uid="{6DEE35E4-2603-4818-991F-27CEA25060C1}"/>
    <cellStyle name="20% - Accent1 5 4" xfId="3935" xr:uid="{857A898C-4EF0-4535-83B5-76AB8BFA5430}"/>
    <cellStyle name="20% - Accent1 5 4 2" xfId="13883" xr:uid="{9DCCA14D-DD7A-4977-87A9-90525CCFEFB8}"/>
    <cellStyle name="20% - Accent1 5 5" xfId="4764" xr:uid="{FB6EFAC8-5A69-44EE-971E-AE95644D573E}"/>
    <cellStyle name="20% - Accent1 5 5 2" xfId="14712" xr:uid="{769A6370-F89F-43C1-9555-5033B7A99CE3}"/>
    <cellStyle name="20% - Accent1 5 6" xfId="5593" xr:uid="{E7F17EE9-AFD2-428F-9DB4-8E9A98CD7B5C}"/>
    <cellStyle name="20% - Accent1 5 6 2" xfId="15541" xr:uid="{B2380B5D-2AAA-4491-B03D-B18623D6C350}"/>
    <cellStyle name="20% - Accent1 5 7" xfId="6422" xr:uid="{C50AA3A0-3C03-45E5-9BB7-2D7A13C82402}"/>
    <cellStyle name="20% - Accent1 5 7 2" xfId="16370" xr:uid="{F60736AD-9366-49BC-8888-C72BF4A7E6AC}"/>
    <cellStyle name="20% - Accent1 5 8" xfId="7251" xr:uid="{C3AC0924-ADE4-44D2-A773-52B5A6C737FF}"/>
    <cellStyle name="20% - Accent1 5 8 2" xfId="17199" xr:uid="{A81AAEEB-FA8C-4BC2-BC26-C6C2D2E26400}"/>
    <cellStyle name="20% - Accent1 5 9" xfId="8080" xr:uid="{824D5EAE-D1F0-42C5-9A05-014CA6CCC543}"/>
    <cellStyle name="20% - Accent1 5 9 2" xfId="18028" xr:uid="{A6E9B154-9DDA-4B78-8445-BF38AB9D3CC8}"/>
    <cellStyle name="20% - Accent1 6" xfId="1861" xr:uid="{C07956A5-7DD2-43D8-A20F-749E44C44EC7}"/>
    <cellStyle name="20% - Accent1 6 2" xfId="11809" xr:uid="{E12C9150-9A1C-4440-AD3B-CDD34FFA2AAC}"/>
    <cellStyle name="20% - Accent1 7" xfId="2690" xr:uid="{4199853F-B427-4AD3-BA9F-6C4274B85D83}"/>
    <cellStyle name="20% - Accent1 7 2" xfId="12638" xr:uid="{FAAAD354-DF6A-48BB-9778-C011A86C4BF4}"/>
    <cellStyle name="20% - Accent1 8" xfId="3519" xr:uid="{B59D7B07-E08E-4CC6-935A-CA09262F71D0}"/>
    <cellStyle name="20% - Accent1 8 2" xfId="13467" xr:uid="{0434F1B4-9472-4BFE-B1D9-80FBF8D90959}"/>
    <cellStyle name="20% - Accent1 9" xfId="4348" xr:uid="{07213932-6DF4-4CF1-9468-00F5911050FE}"/>
    <cellStyle name="20% - Accent1 9 2" xfId="14296" xr:uid="{7C1BA84B-72B6-45A2-86A7-55B6F1C00271}"/>
    <cellStyle name="20% - Accent2" xfId="9" builtinId="34" customBuiltin="1"/>
    <cellStyle name="20% - Accent2 10" xfId="5185" xr:uid="{0178F0D3-90A5-4259-8DB3-FF9EAEF9AB26}"/>
    <cellStyle name="20% - Accent2 10 2" xfId="15133" xr:uid="{83A5AF5E-3238-4896-BC22-771363F46B49}"/>
    <cellStyle name="20% - Accent2 11" xfId="6014" xr:uid="{07389120-A31E-476D-BFBD-22D721DBEB60}"/>
    <cellStyle name="20% - Accent2 11 2" xfId="15962" xr:uid="{FB000804-F080-4D55-90D7-906BF14B4270}"/>
    <cellStyle name="20% - Accent2 12" xfId="6843" xr:uid="{2C68A467-7DFA-498C-B6CC-5CDB5574206E}"/>
    <cellStyle name="20% - Accent2 12 2" xfId="16791" xr:uid="{01033332-0DC5-43DB-A4A4-761C23AAF49A}"/>
    <cellStyle name="20% - Accent2 13" xfId="7672" xr:uid="{08B31F09-DF7F-4022-AF4D-F9C31A19FF04}"/>
    <cellStyle name="20% - Accent2 13 2" xfId="17620" xr:uid="{ED1E6E4A-DBAA-4613-8065-3C318BAF2439}"/>
    <cellStyle name="20% - Accent2 14" xfId="8501" xr:uid="{36BD9F1F-FF02-41F1-993D-2BB9526D2363}"/>
    <cellStyle name="20% - Accent2 14 2" xfId="18449" xr:uid="{C0A4AA91-2A1A-4DB8-A100-83D55181C3D6}"/>
    <cellStyle name="20% - Accent2 15" xfId="9330" xr:uid="{6492D633-A136-4F40-BB6C-0F468258FEE4}"/>
    <cellStyle name="20% - Accent2 15 2" xfId="19278" xr:uid="{77588850-D357-431F-9ECF-43F770A2EF4F}"/>
    <cellStyle name="20% - Accent2 16" xfId="10159" xr:uid="{8865D6AF-BBB1-4126-9832-44503D4DA86E}"/>
    <cellStyle name="20% - Accent2 16 2" xfId="20107" xr:uid="{52C146EF-51CB-42FF-85CF-A98254D69B6F}"/>
    <cellStyle name="20% - Accent2 17" xfId="1040" xr:uid="{D6944531-3DB9-43ED-8991-C9C8EB204220}"/>
    <cellStyle name="20% - Accent2 18" xfId="10988" xr:uid="{D6B79EBE-2522-4D85-A7E6-010C6FD29746}"/>
    <cellStyle name="20% - Accent2 2" xfId="10" xr:uid="{00000000-0005-0000-0000-000011000000}"/>
    <cellStyle name="20% - Accent2 2 10" xfId="6015" xr:uid="{CB012745-B139-4A69-8314-6211F95CBB04}"/>
    <cellStyle name="20% - Accent2 2 10 2" xfId="15963" xr:uid="{F783C0AD-72EB-4B51-A8CC-18986D9D1A28}"/>
    <cellStyle name="20% - Accent2 2 11" xfId="6844" xr:uid="{22473096-948F-4569-A516-A0BFFAE4DDC4}"/>
    <cellStyle name="20% - Accent2 2 11 2" xfId="16792" xr:uid="{F4121CAE-53BE-400C-8161-B5A86533C08C}"/>
    <cellStyle name="20% - Accent2 2 12" xfId="7673" xr:uid="{7F31A619-2E2D-4D8F-9AE0-8E94B74355AF}"/>
    <cellStyle name="20% - Accent2 2 12 2" xfId="17621" xr:uid="{7DF407F5-6C96-4F42-A016-1117831E8666}"/>
    <cellStyle name="20% - Accent2 2 13" xfId="8502" xr:uid="{EF69E44E-D093-47E7-8FF5-6BF519D0C43F}"/>
    <cellStyle name="20% - Accent2 2 13 2" xfId="18450" xr:uid="{1C34F999-D453-41C0-9586-72A1C29964FB}"/>
    <cellStyle name="20% - Accent2 2 14" xfId="9331" xr:uid="{61691C26-4CA5-42A9-AB57-4C6B4420759B}"/>
    <cellStyle name="20% - Accent2 2 14 2" xfId="19279" xr:uid="{8213E119-9C1B-4B78-A421-FB2E30281945}"/>
    <cellStyle name="20% - Accent2 2 15" xfId="10160" xr:uid="{890DE2D5-8E90-4572-BA67-76723F7D8A74}"/>
    <cellStyle name="20% - Accent2 2 15 2" xfId="20108" xr:uid="{E1F7C9C6-82A1-4CB9-93FE-BB090EC1D9C9}"/>
    <cellStyle name="20% - Accent2 2 16" xfId="1041" xr:uid="{BAE12444-D780-4D4C-A84C-A409C2229616}"/>
    <cellStyle name="20% - Accent2 2 17" xfId="10989" xr:uid="{4C255324-A136-46B5-8114-D30C5A5E5EC6}"/>
    <cellStyle name="20% - Accent2 2 2" xfId="11" xr:uid="{00000000-0005-0000-0000-000012000000}"/>
    <cellStyle name="20% - Accent2 2 2 10" xfId="6845" xr:uid="{74BDF3FF-3577-4329-8A68-4AF58A4C882C}"/>
    <cellStyle name="20% - Accent2 2 2 10 2" xfId="16793" xr:uid="{20A98DD5-27AB-4708-B10C-7B49809E87EE}"/>
    <cellStyle name="20% - Accent2 2 2 11" xfId="7674" xr:uid="{5C5D3B21-1D9C-497C-9C83-76AF1EE60F82}"/>
    <cellStyle name="20% - Accent2 2 2 11 2" xfId="17622" xr:uid="{4527B0FE-EDC6-45C6-A57A-34398F109D5B}"/>
    <cellStyle name="20% - Accent2 2 2 12" xfId="8503" xr:uid="{797E2590-E463-452D-A1F0-C1859F262AB0}"/>
    <cellStyle name="20% - Accent2 2 2 12 2" xfId="18451" xr:uid="{37D36936-6879-47E1-9236-5D4468E615C6}"/>
    <cellStyle name="20% - Accent2 2 2 13" xfId="9332" xr:uid="{37FE59C5-8ABA-4731-B084-26B445097B01}"/>
    <cellStyle name="20% - Accent2 2 2 13 2" xfId="19280" xr:uid="{3FB3BBA3-1B91-4B34-849E-11FAEA11B98A}"/>
    <cellStyle name="20% - Accent2 2 2 14" xfId="10161" xr:uid="{2E0AAF87-3E74-4250-9CBD-DF89F538F014}"/>
    <cellStyle name="20% - Accent2 2 2 14 2" xfId="20109" xr:uid="{EB947D46-577C-4FB0-8D19-B8BACDE0CA90}"/>
    <cellStyle name="20% - Accent2 2 2 15" xfId="1042" xr:uid="{E6DFAE11-78B4-43AD-A92B-85B5F6A33EB5}"/>
    <cellStyle name="20% - Accent2 2 2 16" xfId="10990" xr:uid="{A61816BD-DDC5-43EE-9A6F-B4E855EBE2CD}"/>
    <cellStyle name="20% - Accent2 2 2 2" xfId="12" xr:uid="{00000000-0005-0000-0000-000013000000}"/>
    <cellStyle name="20% - Accent2 2 2 2 10" xfId="7675" xr:uid="{A5E091E9-984D-49D9-A848-37374697A60B}"/>
    <cellStyle name="20% - Accent2 2 2 2 10 2" xfId="17623" xr:uid="{BD929B9A-112F-44CC-8B02-E318D094EDF8}"/>
    <cellStyle name="20% - Accent2 2 2 2 11" xfId="8504" xr:uid="{CEE23A38-2A80-4B9F-8A0B-C7B9C8CB6D80}"/>
    <cellStyle name="20% - Accent2 2 2 2 11 2" xfId="18452" xr:uid="{E8EA32CE-C1AC-4634-994B-F0C1E4575AB7}"/>
    <cellStyle name="20% - Accent2 2 2 2 12" xfId="9333" xr:uid="{2F3F7EF9-BE23-4A05-B23C-E016526DE4AB}"/>
    <cellStyle name="20% - Accent2 2 2 2 12 2" xfId="19281" xr:uid="{E1289ADE-F053-40FA-B230-D5AF6A8FD9D0}"/>
    <cellStyle name="20% - Accent2 2 2 2 13" xfId="10162" xr:uid="{E2524F8F-27AC-4578-8B22-CE764B2C830C}"/>
    <cellStyle name="20% - Accent2 2 2 2 13 2" xfId="20110" xr:uid="{C6025612-856C-4ADF-83B6-82A8266A9138}"/>
    <cellStyle name="20% - Accent2 2 2 2 14" xfId="1043" xr:uid="{CE718727-4605-402A-B040-ECC3DB064DA3}"/>
    <cellStyle name="20% - Accent2 2 2 2 15" xfId="10991" xr:uid="{19B5AD81-0F7F-448F-8F7D-0973A5A7490E}"/>
    <cellStyle name="20% - Accent2 2 2 2 2" xfId="589" xr:uid="{00000000-0005-0000-0000-000014000000}"/>
    <cellStyle name="20% - Accent2 2 2 2 2 10" xfId="8920" xr:uid="{93526792-21F8-45F4-B288-95B0430BEB91}"/>
    <cellStyle name="20% - Accent2 2 2 2 2 10 2" xfId="18868" xr:uid="{5E6570D9-5763-4D15-9EDD-E4A30CF796CC}"/>
    <cellStyle name="20% - Accent2 2 2 2 2 11" xfId="9749" xr:uid="{4379D15E-CE35-4A3B-A8FB-063CF883EEF0}"/>
    <cellStyle name="20% - Accent2 2 2 2 2 11 2" xfId="19697" xr:uid="{01B68008-E813-4418-B1E5-B55D824191F7}"/>
    <cellStyle name="20% - Accent2 2 2 2 2 12" xfId="10578" xr:uid="{99FA99B0-09D5-4BB3-92C7-4C756EF898B1}"/>
    <cellStyle name="20% - Accent2 2 2 2 2 12 2" xfId="20526" xr:uid="{7FC0C218-99C0-4744-AC1C-98D9968F0A1B}"/>
    <cellStyle name="20% - Accent2 2 2 2 2 13" xfId="1459" xr:uid="{38DFE25F-2A86-4936-A3A4-0F0857E26C83}"/>
    <cellStyle name="20% - Accent2 2 2 2 2 14" xfId="11407" xr:uid="{414E81C3-DF6C-4D98-AF5C-25F055897746}"/>
    <cellStyle name="20% - Accent2 2 2 2 2 2" xfId="2288" xr:uid="{DF26CC5D-DD4C-437F-8F5E-7C0DD76F6469}"/>
    <cellStyle name="20% - Accent2 2 2 2 2 2 2" xfId="12236" xr:uid="{FFD5D7D3-A686-4C3E-9A95-A0FCCD805DE7}"/>
    <cellStyle name="20% - Accent2 2 2 2 2 3" xfId="3117" xr:uid="{AF79E933-4213-48A5-B5C1-9FB9C95576FF}"/>
    <cellStyle name="20% - Accent2 2 2 2 2 3 2" xfId="13065" xr:uid="{7BD90943-5C5F-4F30-B03B-7421C32AF76A}"/>
    <cellStyle name="20% - Accent2 2 2 2 2 4" xfId="3946" xr:uid="{205814E8-4058-47E9-9712-79857AF6301F}"/>
    <cellStyle name="20% - Accent2 2 2 2 2 4 2" xfId="13894" xr:uid="{BA61E408-B519-4061-9332-4D80174C23F6}"/>
    <cellStyle name="20% - Accent2 2 2 2 2 5" xfId="4775" xr:uid="{30D4A2A6-4882-4686-A4AB-73A1EACECAA0}"/>
    <cellStyle name="20% - Accent2 2 2 2 2 5 2" xfId="14723" xr:uid="{8E515FA6-8A0D-44C9-9548-9692C5531554}"/>
    <cellStyle name="20% - Accent2 2 2 2 2 6" xfId="5604" xr:uid="{14BEFB7F-B912-408E-AF6F-63780E414A35}"/>
    <cellStyle name="20% - Accent2 2 2 2 2 6 2" xfId="15552" xr:uid="{71AA4144-72C5-4C20-9E84-74EE355544EF}"/>
    <cellStyle name="20% - Accent2 2 2 2 2 7" xfId="6433" xr:uid="{CF1BBA60-5EE8-45EC-81D8-3B004833F29C}"/>
    <cellStyle name="20% - Accent2 2 2 2 2 7 2" xfId="16381" xr:uid="{6C76C51D-00E5-45AE-A6EA-D2F1662555A4}"/>
    <cellStyle name="20% - Accent2 2 2 2 2 8" xfId="7262" xr:uid="{10267E17-1C8D-458A-9541-449AE7A84278}"/>
    <cellStyle name="20% - Accent2 2 2 2 2 8 2" xfId="17210" xr:uid="{06236E91-8B00-46D2-8910-F9C7E98D53B7}"/>
    <cellStyle name="20% - Accent2 2 2 2 2 9" xfId="8091" xr:uid="{D27D7939-944D-4B28-A7CE-0D229B1A155D}"/>
    <cellStyle name="20% - Accent2 2 2 2 2 9 2" xfId="18039" xr:uid="{F0FB542A-A59B-40B3-8141-0B06D3851B69}"/>
    <cellStyle name="20% - Accent2 2 2 2 3" xfId="1872" xr:uid="{DF790B10-89FA-4F6C-8C5B-A982B30037BD}"/>
    <cellStyle name="20% - Accent2 2 2 2 3 2" xfId="11820" xr:uid="{835B095C-A811-4AA1-974E-6B8A7E249C92}"/>
    <cellStyle name="20% - Accent2 2 2 2 4" xfId="2701" xr:uid="{A008CEA4-5CC9-49EE-BC51-58530F188386}"/>
    <cellStyle name="20% - Accent2 2 2 2 4 2" xfId="12649" xr:uid="{4CB5ABE4-7EE5-45E9-8366-6E721343CE60}"/>
    <cellStyle name="20% - Accent2 2 2 2 5" xfId="3530" xr:uid="{EFE756A1-F7E0-4B4C-932D-35A49F9A9850}"/>
    <cellStyle name="20% - Accent2 2 2 2 5 2" xfId="13478" xr:uid="{291D53FA-91CB-4E3F-A336-845C6657E559}"/>
    <cellStyle name="20% - Accent2 2 2 2 6" xfId="4359" xr:uid="{5A7C9E33-779D-43AE-A975-6EE6D1D19ABE}"/>
    <cellStyle name="20% - Accent2 2 2 2 6 2" xfId="14307" xr:uid="{43653F9A-4015-4335-95B5-942CDFF78E6F}"/>
    <cellStyle name="20% - Accent2 2 2 2 7" xfId="5188" xr:uid="{452269ED-BF71-4488-A6DF-749DFDF9680A}"/>
    <cellStyle name="20% - Accent2 2 2 2 7 2" xfId="15136" xr:uid="{B496B138-2D31-4736-B67C-B7B678B5A0E9}"/>
    <cellStyle name="20% - Accent2 2 2 2 8" xfId="6017" xr:uid="{23CA3FCE-128C-41C9-9E88-FBAC773349DC}"/>
    <cellStyle name="20% - Accent2 2 2 2 8 2" xfId="15965" xr:uid="{661F6231-4D75-4E56-BB7F-A783C5298A55}"/>
    <cellStyle name="20% - Accent2 2 2 2 9" xfId="6846" xr:uid="{15DD6703-9446-4FC2-B1E4-0961A43C72E9}"/>
    <cellStyle name="20% - Accent2 2 2 2 9 2" xfId="16794" xr:uid="{A2A11924-3E18-4F1D-B4D8-53A5A5468D4D}"/>
    <cellStyle name="20% - Accent2 2 2 3" xfId="588" xr:uid="{00000000-0005-0000-0000-000015000000}"/>
    <cellStyle name="20% - Accent2 2 2 3 10" xfId="8919" xr:uid="{9DE24ACA-A963-4F82-8BA5-DEE0905CEBCD}"/>
    <cellStyle name="20% - Accent2 2 2 3 10 2" xfId="18867" xr:uid="{48E68A20-D0EB-40A1-84B5-8D18CFAABB30}"/>
    <cellStyle name="20% - Accent2 2 2 3 11" xfId="9748" xr:uid="{FCD5724B-CB11-4D84-9A6E-5A36BC426351}"/>
    <cellStyle name="20% - Accent2 2 2 3 11 2" xfId="19696" xr:uid="{7C5E619D-DF58-4769-92A1-1B0130CD3EFD}"/>
    <cellStyle name="20% - Accent2 2 2 3 12" xfId="10577" xr:uid="{524BECD9-EC1A-4CB1-9DE5-6384E8E9BCB0}"/>
    <cellStyle name="20% - Accent2 2 2 3 12 2" xfId="20525" xr:uid="{49B5BA4B-2AE1-42EC-B16D-CA3F74A4A370}"/>
    <cellStyle name="20% - Accent2 2 2 3 13" xfId="1458" xr:uid="{42045335-CD7A-4C6B-9435-A905F352D414}"/>
    <cellStyle name="20% - Accent2 2 2 3 14" xfId="11406" xr:uid="{09467684-C224-4BA1-9D4B-3071AB49E7E6}"/>
    <cellStyle name="20% - Accent2 2 2 3 2" xfId="2287" xr:uid="{08251610-1DEA-4A93-AC02-33E435278953}"/>
    <cellStyle name="20% - Accent2 2 2 3 2 2" xfId="12235" xr:uid="{4452DE09-54D1-455A-8AAB-0FF4D9487D23}"/>
    <cellStyle name="20% - Accent2 2 2 3 3" xfId="3116" xr:uid="{62F24FF2-2EAB-4623-AD63-826C49693BCC}"/>
    <cellStyle name="20% - Accent2 2 2 3 3 2" xfId="13064" xr:uid="{55A64CB9-F296-4A7D-9CFB-35B323CD281B}"/>
    <cellStyle name="20% - Accent2 2 2 3 4" xfId="3945" xr:uid="{DE9A0F19-B428-4947-9E99-EA189C081975}"/>
    <cellStyle name="20% - Accent2 2 2 3 4 2" xfId="13893" xr:uid="{7BA7E06F-D85D-4FB6-9BDE-4A50DA98D542}"/>
    <cellStyle name="20% - Accent2 2 2 3 5" xfId="4774" xr:uid="{24D5C1F1-FA1B-4722-BDA0-2681527C2B93}"/>
    <cellStyle name="20% - Accent2 2 2 3 5 2" xfId="14722" xr:uid="{43289954-08B2-4DC9-BB85-AACD01040005}"/>
    <cellStyle name="20% - Accent2 2 2 3 6" xfId="5603" xr:uid="{36669EBF-9DED-4F55-882B-CC4DD22AFC75}"/>
    <cellStyle name="20% - Accent2 2 2 3 6 2" xfId="15551" xr:uid="{EAB9B785-55FF-4768-99B5-625A3E188DE4}"/>
    <cellStyle name="20% - Accent2 2 2 3 7" xfId="6432" xr:uid="{B28D0553-6661-40C3-8768-511B2B0BDCF4}"/>
    <cellStyle name="20% - Accent2 2 2 3 7 2" xfId="16380" xr:uid="{9BF64779-70BF-4F98-A181-E89C0E41FEB1}"/>
    <cellStyle name="20% - Accent2 2 2 3 8" xfId="7261" xr:uid="{2C5BB8CD-B714-4ECB-A840-DFB45E55BBA6}"/>
    <cellStyle name="20% - Accent2 2 2 3 8 2" xfId="17209" xr:uid="{E1C1B82F-5075-4062-B49C-D6F2DEE10EA6}"/>
    <cellStyle name="20% - Accent2 2 2 3 9" xfId="8090" xr:uid="{FF293BF6-DA35-4444-AB32-A44A77B5B25A}"/>
    <cellStyle name="20% - Accent2 2 2 3 9 2" xfId="18038" xr:uid="{7384FDBF-596E-4E0D-A652-F03F96DB5705}"/>
    <cellStyle name="20% - Accent2 2 2 4" xfId="1871" xr:uid="{F9FC71E3-5124-4A0B-A9AB-C67E229691A4}"/>
    <cellStyle name="20% - Accent2 2 2 4 2" xfId="11819" xr:uid="{1E857B77-80EC-42ED-AD40-4A08D27A0951}"/>
    <cellStyle name="20% - Accent2 2 2 5" xfId="2700" xr:uid="{B4F69C60-5C66-4C31-95FD-BDE9C996A2EF}"/>
    <cellStyle name="20% - Accent2 2 2 5 2" xfId="12648" xr:uid="{88D0C980-D5B1-49E1-8245-87DB64764527}"/>
    <cellStyle name="20% - Accent2 2 2 6" xfId="3529" xr:uid="{7A25C723-E1AE-481C-BDE4-C8F15603C0A3}"/>
    <cellStyle name="20% - Accent2 2 2 6 2" xfId="13477" xr:uid="{C07B1648-FA8B-49EA-ABF1-90B8A641663E}"/>
    <cellStyle name="20% - Accent2 2 2 7" xfId="4358" xr:uid="{66E4B241-3397-4497-9244-04638F681EF9}"/>
    <cellStyle name="20% - Accent2 2 2 7 2" xfId="14306" xr:uid="{264C82FD-C74E-4F7F-8285-511AD02C101A}"/>
    <cellStyle name="20% - Accent2 2 2 8" xfId="5187" xr:uid="{90A27365-BD23-4A26-A854-2890340D596A}"/>
    <cellStyle name="20% - Accent2 2 2 8 2" xfId="15135" xr:uid="{2040FFFF-ED92-4F1C-9981-241BB4C801A2}"/>
    <cellStyle name="20% - Accent2 2 2 9" xfId="6016" xr:uid="{6F8E9F01-F141-47AC-A42D-D7CE803ED383}"/>
    <cellStyle name="20% - Accent2 2 2 9 2" xfId="15964" xr:uid="{0528FD4B-98B3-4C95-84F7-B180C8A1A067}"/>
    <cellStyle name="20% - Accent2 2 3" xfId="13" xr:uid="{00000000-0005-0000-0000-000016000000}"/>
    <cellStyle name="20% - Accent2 2 3 10" xfId="7676" xr:uid="{3EB19E84-36E2-4A01-A17B-36363A045718}"/>
    <cellStyle name="20% - Accent2 2 3 10 2" xfId="17624" xr:uid="{6BE3D1E4-669E-4231-94C2-3B595B27F78A}"/>
    <cellStyle name="20% - Accent2 2 3 11" xfId="8505" xr:uid="{DE92AC0B-E947-4251-B21B-5E20959D5663}"/>
    <cellStyle name="20% - Accent2 2 3 11 2" xfId="18453" xr:uid="{D17FEA68-432D-491D-B491-53372521779A}"/>
    <cellStyle name="20% - Accent2 2 3 12" xfId="9334" xr:uid="{DB3097D5-1F65-4F83-8266-491D06336E1E}"/>
    <cellStyle name="20% - Accent2 2 3 12 2" xfId="19282" xr:uid="{F565F324-1230-4D5D-8BF2-06A4A1A56C5F}"/>
    <cellStyle name="20% - Accent2 2 3 13" xfId="10163" xr:uid="{F5EE0CFA-D35A-4D59-A7EF-16C0A8A71106}"/>
    <cellStyle name="20% - Accent2 2 3 13 2" xfId="20111" xr:uid="{FC11E512-FE9E-4DF4-89CC-8AD2DAB89F73}"/>
    <cellStyle name="20% - Accent2 2 3 14" xfId="1044" xr:uid="{1A8D5E20-E538-4DBB-9384-262CE85BC7D8}"/>
    <cellStyle name="20% - Accent2 2 3 15" xfId="10992" xr:uid="{9BC2F7FC-5701-4CA2-9CBF-A10E8823B571}"/>
    <cellStyle name="20% - Accent2 2 3 2" xfId="590" xr:uid="{00000000-0005-0000-0000-000017000000}"/>
    <cellStyle name="20% - Accent2 2 3 2 10" xfId="8921" xr:uid="{A1D88EDB-116C-4C85-8AFC-3541300F9088}"/>
    <cellStyle name="20% - Accent2 2 3 2 10 2" xfId="18869" xr:uid="{38F2E931-7E2B-45BA-AC2E-2F5FC9DD4046}"/>
    <cellStyle name="20% - Accent2 2 3 2 11" xfId="9750" xr:uid="{A5728D42-CA13-47D8-A9DB-91C10A0EE618}"/>
    <cellStyle name="20% - Accent2 2 3 2 11 2" xfId="19698" xr:uid="{82E8BF92-69A6-4446-AD14-9CEC5A917704}"/>
    <cellStyle name="20% - Accent2 2 3 2 12" xfId="10579" xr:uid="{94D98810-F02E-469F-94F6-6B9763DD9E97}"/>
    <cellStyle name="20% - Accent2 2 3 2 12 2" xfId="20527" xr:uid="{F284B80A-EA1D-48E6-8C09-E9137B4AABF5}"/>
    <cellStyle name="20% - Accent2 2 3 2 13" xfId="1460" xr:uid="{237CAE8C-4948-465D-8C0A-6D0740721A10}"/>
    <cellStyle name="20% - Accent2 2 3 2 14" xfId="11408" xr:uid="{791B3292-7251-4CB4-BB45-063209BA42F0}"/>
    <cellStyle name="20% - Accent2 2 3 2 2" xfId="2289" xr:uid="{EEAD8372-8845-462A-B1C7-E6FA737345BE}"/>
    <cellStyle name="20% - Accent2 2 3 2 2 2" xfId="12237" xr:uid="{9A8ABAC1-0633-4C74-9E79-77A2442DDAAE}"/>
    <cellStyle name="20% - Accent2 2 3 2 3" xfId="3118" xr:uid="{1A2F7085-1053-4EA9-BAE5-C840B7FCC922}"/>
    <cellStyle name="20% - Accent2 2 3 2 3 2" xfId="13066" xr:uid="{17895499-5A5E-4003-BCCC-62EB404464EB}"/>
    <cellStyle name="20% - Accent2 2 3 2 4" xfId="3947" xr:uid="{53AFEC99-33D2-4309-A7F0-9A68E98262BC}"/>
    <cellStyle name="20% - Accent2 2 3 2 4 2" xfId="13895" xr:uid="{25CEF5BE-A1C6-4B67-A550-38525D24D668}"/>
    <cellStyle name="20% - Accent2 2 3 2 5" xfId="4776" xr:uid="{9C06A100-AADD-46FC-905F-C93129DDA201}"/>
    <cellStyle name="20% - Accent2 2 3 2 5 2" xfId="14724" xr:uid="{F0A0B440-416F-4D31-825B-7A3B5C972439}"/>
    <cellStyle name="20% - Accent2 2 3 2 6" xfId="5605" xr:uid="{B493AC2A-5143-4608-A7F7-60EE2E211F03}"/>
    <cellStyle name="20% - Accent2 2 3 2 6 2" xfId="15553" xr:uid="{DAAA6884-4AE2-444A-A6F0-AD3B6A7F58E0}"/>
    <cellStyle name="20% - Accent2 2 3 2 7" xfId="6434" xr:uid="{AF898993-33B4-4A85-B497-86B6C6179EFD}"/>
    <cellStyle name="20% - Accent2 2 3 2 7 2" xfId="16382" xr:uid="{78978E9E-11C0-4CA4-8BFB-B32B292205C2}"/>
    <cellStyle name="20% - Accent2 2 3 2 8" xfId="7263" xr:uid="{2D36765F-6259-4804-92D7-68AD0460F0DD}"/>
    <cellStyle name="20% - Accent2 2 3 2 8 2" xfId="17211" xr:uid="{774F4565-4406-46F0-9E8C-0EF75AFBB37B}"/>
    <cellStyle name="20% - Accent2 2 3 2 9" xfId="8092" xr:uid="{D526EE17-C90E-49FA-AA5A-126F52E96F61}"/>
    <cellStyle name="20% - Accent2 2 3 2 9 2" xfId="18040" xr:uid="{39FACF6B-C234-4A0A-8FBA-21A3994CC4E9}"/>
    <cellStyle name="20% - Accent2 2 3 3" xfId="1873" xr:uid="{193D0830-8A05-4A6E-94A7-C93CB4A5B72B}"/>
    <cellStyle name="20% - Accent2 2 3 3 2" xfId="11821" xr:uid="{213DD06E-44CA-4428-B648-30BE0C41DB91}"/>
    <cellStyle name="20% - Accent2 2 3 4" xfId="2702" xr:uid="{17BF37E6-72DE-4DFF-AC48-DCC7D4BFA8E6}"/>
    <cellStyle name="20% - Accent2 2 3 4 2" xfId="12650" xr:uid="{36E7BD05-1EB6-4FB2-A6AB-81E5F922B796}"/>
    <cellStyle name="20% - Accent2 2 3 5" xfId="3531" xr:uid="{06404E1B-1845-4ABC-BE3E-169DEA28C62C}"/>
    <cellStyle name="20% - Accent2 2 3 5 2" xfId="13479" xr:uid="{BA31ABF5-22D7-411A-9051-A35AF6982C96}"/>
    <cellStyle name="20% - Accent2 2 3 6" xfId="4360" xr:uid="{ABE5F5F1-171D-4078-B384-3E6D827E147D}"/>
    <cellStyle name="20% - Accent2 2 3 6 2" xfId="14308" xr:uid="{B93FC6EE-F427-47A5-B6B8-A37B82384A21}"/>
    <cellStyle name="20% - Accent2 2 3 7" xfId="5189" xr:uid="{742BBCFE-9ACC-4CE5-856B-9AE877167175}"/>
    <cellStyle name="20% - Accent2 2 3 7 2" xfId="15137" xr:uid="{D488DC03-56BF-42BA-A3CF-FE9A11EB5F5B}"/>
    <cellStyle name="20% - Accent2 2 3 8" xfId="6018" xr:uid="{793CD4A0-2865-4F29-BD91-B70FA9CEC3FA}"/>
    <cellStyle name="20% - Accent2 2 3 8 2" xfId="15966" xr:uid="{D293A6DA-D9FA-4C5E-B335-5746A9693124}"/>
    <cellStyle name="20% - Accent2 2 3 9" xfId="6847" xr:uid="{A214F946-9BF5-40FF-A4C3-139C91EC10F3}"/>
    <cellStyle name="20% - Accent2 2 3 9 2" xfId="16795" xr:uid="{539EFFEF-4A43-4BAD-9788-6BCB2D2C1D6B}"/>
    <cellStyle name="20% - Accent2 2 4" xfId="587" xr:uid="{00000000-0005-0000-0000-000018000000}"/>
    <cellStyle name="20% - Accent2 2 4 10" xfId="8918" xr:uid="{4F053350-F5E6-480E-A83F-A5163D6AF250}"/>
    <cellStyle name="20% - Accent2 2 4 10 2" xfId="18866" xr:uid="{6FAFFC1B-A586-478E-9EF3-6D63AA45AA1F}"/>
    <cellStyle name="20% - Accent2 2 4 11" xfId="9747" xr:uid="{9F389995-2C08-4479-960D-FE92399449ED}"/>
    <cellStyle name="20% - Accent2 2 4 11 2" xfId="19695" xr:uid="{F3EB87D3-18B3-496B-BD22-32D9C9E6CF76}"/>
    <cellStyle name="20% - Accent2 2 4 12" xfId="10576" xr:uid="{423CD48A-F5AF-4329-BF86-D7E2AEF070A8}"/>
    <cellStyle name="20% - Accent2 2 4 12 2" xfId="20524" xr:uid="{425D908F-64E8-46BA-BAC6-53BB03E90D91}"/>
    <cellStyle name="20% - Accent2 2 4 13" xfId="1457" xr:uid="{0C19E195-29B1-462E-A1C3-B5613837ED6F}"/>
    <cellStyle name="20% - Accent2 2 4 14" xfId="11405" xr:uid="{0FF673F9-2AC7-4FC5-9DB8-B65C06748DBA}"/>
    <cellStyle name="20% - Accent2 2 4 2" xfId="2286" xr:uid="{C7DDE2E2-2DBA-41B6-8E58-A3B7E67ED52E}"/>
    <cellStyle name="20% - Accent2 2 4 2 2" xfId="12234" xr:uid="{8EDBE92C-9DFF-4D0C-A2EA-2D784C680752}"/>
    <cellStyle name="20% - Accent2 2 4 3" xfId="3115" xr:uid="{D66A9396-E07F-4C61-92A0-DDFFFC80543A}"/>
    <cellStyle name="20% - Accent2 2 4 3 2" xfId="13063" xr:uid="{B00F20F9-4E29-4FC6-90FC-B42F7E39CBAD}"/>
    <cellStyle name="20% - Accent2 2 4 4" xfId="3944" xr:uid="{03228F20-39C5-4DC4-B1C1-8A1DE6DA3D98}"/>
    <cellStyle name="20% - Accent2 2 4 4 2" xfId="13892" xr:uid="{970526EE-E30B-4DD1-9839-55D7C2AC6885}"/>
    <cellStyle name="20% - Accent2 2 4 5" xfId="4773" xr:uid="{F5B6990C-A420-4482-938F-36F80959A1E8}"/>
    <cellStyle name="20% - Accent2 2 4 5 2" xfId="14721" xr:uid="{D4CD8850-BB7C-41FF-87BB-28E998485D06}"/>
    <cellStyle name="20% - Accent2 2 4 6" xfId="5602" xr:uid="{B12B3DE2-A708-4DE6-973D-62803770560F}"/>
    <cellStyle name="20% - Accent2 2 4 6 2" xfId="15550" xr:uid="{64A0BB13-52D1-4E3A-9686-0A5694D84454}"/>
    <cellStyle name="20% - Accent2 2 4 7" xfId="6431" xr:uid="{1CE72788-EF2E-4685-BB75-1F8290BE5AE5}"/>
    <cellStyle name="20% - Accent2 2 4 7 2" xfId="16379" xr:uid="{E986674C-4D96-4C36-BC7A-CB26A061148C}"/>
    <cellStyle name="20% - Accent2 2 4 8" xfId="7260" xr:uid="{CE2C75C3-803B-442E-82F8-2100B662AD5D}"/>
    <cellStyle name="20% - Accent2 2 4 8 2" xfId="17208" xr:uid="{B713ADF5-1921-4E1A-B031-B8C8F8453559}"/>
    <cellStyle name="20% - Accent2 2 4 9" xfId="8089" xr:uid="{A8A44EEF-5946-4B78-97AB-7410D5556BE1}"/>
    <cellStyle name="20% - Accent2 2 4 9 2" xfId="18037" xr:uid="{4F14FDD3-0810-4881-A517-CD212700BAD1}"/>
    <cellStyle name="20% - Accent2 2 5" xfId="1870" xr:uid="{B0A1838A-890B-40F8-BE62-8D5533A7C742}"/>
    <cellStyle name="20% - Accent2 2 5 2" xfId="11818" xr:uid="{682B9280-C10C-463A-AD84-A1A0B3660BB4}"/>
    <cellStyle name="20% - Accent2 2 6" xfId="2699" xr:uid="{24D594F2-3C6B-4448-AD16-6986A4ECB239}"/>
    <cellStyle name="20% - Accent2 2 6 2" xfId="12647" xr:uid="{EB81FCDE-DE8C-455D-B7C8-5111C0CACEF7}"/>
    <cellStyle name="20% - Accent2 2 7" xfId="3528" xr:uid="{4592922E-FB5B-4F3A-A6A9-773F9D4A62A3}"/>
    <cellStyle name="20% - Accent2 2 7 2" xfId="13476" xr:uid="{78038577-BA95-4AD9-84E7-9A71CA9E3FBF}"/>
    <cellStyle name="20% - Accent2 2 8" xfId="4357" xr:uid="{A2A62C78-51E4-4675-8355-D67BE1714E5F}"/>
    <cellStyle name="20% - Accent2 2 8 2" xfId="14305" xr:uid="{AFFE337D-9D06-454B-8870-240ADA694AD6}"/>
    <cellStyle name="20% - Accent2 2 9" xfId="5186" xr:uid="{0DA8BFCA-F7C7-482B-89CD-DC5E6C13A699}"/>
    <cellStyle name="20% - Accent2 2 9 2" xfId="15134" xr:uid="{F17B49D4-7F9F-4883-AD8D-DE99363C9413}"/>
    <cellStyle name="20% - Accent2 3" xfId="14" xr:uid="{00000000-0005-0000-0000-000019000000}"/>
    <cellStyle name="20% - Accent2 3 10" xfId="6848" xr:uid="{CFAF0D63-DF37-40DC-ADC3-4CAB1C2F7FB3}"/>
    <cellStyle name="20% - Accent2 3 10 2" xfId="16796" xr:uid="{7AC0FB24-67D2-4A63-94E9-DE218037AE4A}"/>
    <cellStyle name="20% - Accent2 3 11" xfId="7677" xr:uid="{AEF4C906-A266-4F82-8D01-DD36BDFDA2BC}"/>
    <cellStyle name="20% - Accent2 3 11 2" xfId="17625" xr:uid="{556F9F93-029C-4972-B36C-6888FBB8AAAF}"/>
    <cellStyle name="20% - Accent2 3 12" xfId="8506" xr:uid="{75A2475D-C31B-4464-AA83-C3C4A493028A}"/>
    <cellStyle name="20% - Accent2 3 12 2" xfId="18454" xr:uid="{CB0F44E6-9443-4C9A-9C78-272C62580857}"/>
    <cellStyle name="20% - Accent2 3 13" xfId="9335" xr:uid="{FDDA26CD-C9BD-4E1A-AA10-9C68500F82EE}"/>
    <cellStyle name="20% - Accent2 3 13 2" xfId="19283" xr:uid="{1F4886D4-67D8-488C-874E-239B63EB4341}"/>
    <cellStyle name="20% - Accent2 3 14" xfId="10164" xr:uid="{94CBCA5D-A9C9-40A1-8B39-450184282669}"/>
    <cellStyle name="20% - Accent2 3 14 2" xfId="20112" xr:uid="{1F7CD82E-AA4C-4EBF-9716-CBEDC28C206B}"/>
    <cellStyle name="20% - Accent2 3 15" xfId="1045" xr:uid="{1B78A0FF-F9DB-4936-B6FA-D36BFEED1BA0}"/>
    <cellStyle name="20% - Accent2 3 16" xfId="10993" xr:uid="{6387F04E-CD1A-4AE8-8D4D-BA8D9FEF08EC}"/>
    <cellStyle name="20% - Accent2 3 2" xfId="15" xr:uid="{00000000-0005-0000-0000-00001A000000}"/>
    <cellStyle name="20% - Accent2 3 2 10" xfId="7678" xr:uid="{40F1BD9E-843E-45A2-9018-AC2984709DF5}"/>
    <cellStyle name="20% - Accent2 3 2 10 2" xfId="17626" xr:uid="{D384216C-09FE-475C-9264-E67E7B1D9005}"/>
    <cellStyle name="20% - Accent2 3 2 11" xfId="8507" xr:uid="{1AEF7EB6-9AFE-4EF0-8A9F-F2CE31A987E3}"/>
    <cellStyle name="20% - Accent2 3 2 11 2" xfId="18455" xr:uid="{A142F95A-48FD-410C-B5D1-1846893DE28D}"/>
    <cellStyle name="20% - Accent2 3 2 12" xfId="9336" xr:uid="{B471A13A-5275-4171-B7B9-AB86EADFCBB3}"/>
    <cellStyle name="20% - Accent2 3 2 12 2" xfId="19284" xr:uid="{1180822F-7206-4BE4-A0E7-ECF825F81180}"/>
    <cellStyle name="20% - Accent2 3 2 13" xfId="10165" xr:uid="{3A881666-1E45-4C78-93AF-7818E6112BF8}"/>
    <cellStyle name="20% - Accent2 3 2 13 2" xfId="20113" xr:uid="{8E0971A2-E8F9-4BA9-85FC-817552C59050}"/>
    <cellStyle name="20% - Accent2 3 2 14" xfId="1046" xr:uid="{EEB1F2BF-61D3-4B7B-A7EB-EC8F62CB0EBB}"/>
    <cellStyle name="20% - Accent2 3 2 15" xfId="10994" xr:uid="{DA23FA34-A9A2-4C74-A823-23E4C1EA092B}"/>
    <cellStyle name="20% - Accent2 3 2 2" xfId="592" xr:uid="{00000000-0005-0000-0000-00001B000000}"/>
    <cellStyle name="20% - Accent2 3 2 2 10" xfId="8923" xr:uid="{5EB2A7CF-9293-4E80-922A-832E3725489E}"/>
    <cellStyle name="20% - Accent2 3 2 2 10 2" xfId="18871" xr:uid="{02226864-BBE8-4C3A-A2FD-7B54F4D04CD3}"/>
    <cellStyle name="20% - Accent2 3 2 2 11" xfId="9752" xr:uid="{67040234-933D-4681-B128-5C4F7C3FD27C}"/>
    <cellStyle name="20% - Accent2 3 2 2 11 2" xfId="19700" xr:uid="{570946DC-5536-4611-B5E8-4F2FD3EF9BB6}"/>
    <cellStyle name="20% - Accent2 3 2 2 12" xfId="10581" xr:uid="{9C85EA94-2612-4F57-9E09-4F6521514706}"/>
    <cellStyle name="20% - Accent2 3 2 2 12 2" xfId="20529" xr:uid="{3505EB2A-6171-43BA-AB24-31EEE8B04333}"/>
    <cellStyle name="20% - Accent2 3 2 2 13" xfId="1462" xr:uid="{4B21272B-8FD7-4BD6-8E59-F9E6467EC38A}"/>
    <cellStyle name="20% - Accent2 3 2 2 14" xfId="11410" xr:uid="{AF4F1B29-6C37-48A9-94D3-D033549B6B87}"/>
    <cellStyle name="20% - Accent2 3 2 2 2" xfId="2291" xr:uid="{A2C43C15-02A5-4BDE-A543-222A1DF1D89D}"/>
    <cellStyle name="20% - Accent2 3 2 2 2 2" xfId="12239" xr:uid="{627F2C60-40E2-4DA9-B4DD-187CEF1F20B5}"/>
    <cellStyle name="20% - Accent2 3 2 2 3" xfId="3120" xr:uid="{EEA3137A-0830-4288-A1F4-8F1420905BA3}"/>
    <cellStyle name="20% - Accent2 3 2 2 3 2" xfId="13068" xr:uid="{98CB96A5-F869-420E-8046-0202D7CD8EBE}"/>
    <cellStyle name="20% - Accent2 3 2 2 4" xfId="3949" xr:uid="{3FE3C91E-E3B5-4D0C-9CFA-60B7F8798A07}"/>
    <cellStyle name="20% - Accent2 3 2 2 4 2" xfId="13897" xr:uid="{72E5A4C9-DDD6-41C2-AA55-B0DE04F7F258}"/>
    <cellStyle name="20% - Accent2 3 2 2 5" xfId="4778" xr:uid="{651B0A4F-BDF6-424C-BDD8-A1D9A9D1DFCF}"/>
    <cellStyle name="20% - Accent2 3 2 2 5 2" xfId="14726" xr:uid="{EC87CA4E-FB96-485D-9688-25227D681D82}"/>
    <cellStyle name="20% - Accent2 3 2 2 6" xfId="5607" xr:uid="{E26AB710-AB7A-4887-BD99-96E765190E93}"/>
    <cellStyle name="20% - Accent2 3 2 2 6 2" xfId="15555" xr:uid="{100D41D1-C637-4048-801B-EE446F95A877}"/>
    <cellStyle name="20% - Accent2 3 2 2 7" xfId="6436" xr:uid="{8A1E8C8F-6F83-4E8D-AE8F-821777F95EB2}"/>
    <cellStyle name="20% - Accent2 3 2 2 7 2" xfId="16384" xr:uid="{1932AF83-46CA-48BB-A6D1-C2D8B91D1591}"/>
    <cellStyle name="20% - Accent2 3 2 2 8" xfId="7265" xr:uid="{6F3C0FCC-0BF5-4B43-B7EE-3D25296E57DB}"/>
    <cellStyle name="20% - Accent2 3 2 2 8 2" xfId="17213" xr:uid="{72F5FC46-7958-4844-AAB1-6A918D75C50E}"/>
    <cellStyle name="20% - Accent2 3 2 2 9" xfId="8094" xr:uid="{B44DCCE7-E464-411B-97C2-F83C9243C783}"/>
    <cellStyle name="20% - Accent2 3 2 2 9 2" xfId="18042" xr:uid="{7D5B05DE-AA5D-428C-A591-1A3220130046}"/>
    <cellStyle name="20% - Accent2 3 2 3" xfId="1875" xr:uid="{0C57E34C-0880-41E5-B439-92A486B8455D}"/>
    <cellStyle name="20% - Accent2 3 2 3 2" xfId="11823" xr:uid="{748C4A4D-39B4-4A14-B146-A41774D92B6C}"/>
    <cellStyle name="20% - Accent2 3 2 4" xfId="2704" xr:uid="{AA7579B1-66ED-47C4-AC97-32345E4AD43F}"/>
    <cellStyle name="20% - Accent2 3 2 4 2" xfId="12652" xr:uid="{41CCE5AB-1F0C-4E26-A238-76E0BBFDD0D5}"/>
    <cellStyle name="20% - Accent2 3 2 5" xfId="3533" xr:uid="{E889A767-954F-4840-8747-217D81AE4D02}"/>
    <cellStyle name="20% - Accent2 3 2 5 2" xfId="13481" xr:uid="{0C4A5CE8-F0AB-4BD7-B519-35F51D0BC3A3}"/>
    <cellStyle name="20% - Accent2 3 2 6" xfId="4362" xr:uid="{27B889E2-79F5-48D6-AA84-F55A22C8CED9}"/>
    <cellStyle name="20% - Accent2 3 2 6 2" xfId="14310" xr:uid="{FBD319C6-6175-4156-896A-1DDA870814A8}"/>
    <cellStyle name="20% - Accent2 3 2 7" xfId="5191" xr:uid="{074B6018-C0CE-4843-9140-DF5B93CA187E}"/>
    <cellStyle name="20% - Accent2 3 2 7 2" xfId="15139" xr:uid="{2CF9B991-9BDF-45AB-86DC-A74784CAE809}"/>
    <cellStyle name="20% - Accent2 3 2 8" xfId="6020" xr:uid="{C6DF11A2-1D38-443B-A47E-B8CBE2DD2C3B}"/>
    <cellStyle name="20% - Accent2 3 2 8 2" xfId="15968" xr:uid="{711E7ED7-42B0-4470-8251-EA57E10B0ABA}"/>
    <cellStyle name="20% - Accent2 3 2 9" xfId="6849" xr:uid="{35B4E211-AE6E-404A-9C2A-15A780BF5304}"/>
    <cellStyle name="20% - Accent2 3 2 9 2" xfId="16797" xr:uid="{DAABBAC9-1CAA-4D14-A630-9418B1FF540E}"/>
    <cellStyle name="20% - Accent2 3 3" xfId="591" xr:uid="{00000000-0005-0000-0000-00001C000000}"/>
    <cellStyle name="20% - Accent2 3 3 10" xfId="8922" xr:uid="{1A0E0DC3-4A7D-49FB-83AE-7718D5C36249}"/>
    <cellStyle name="20% - Accent2 3 3 10 2" xfId="18870" xr:uid="{B6132D6D-038C-4C1F-911C-556AE4893EEB}"/>
    <cellStyle name="20% - Accent2 3 3 11" xfId="9751" xr:uid="{80B3FFD1-10ED-4229-A5D0-43421B39BABA}"/>
    <cellStyle name="20% - Accent2 3 3 11 2" xfId="19699" xr:uid="{E457276C-9F0C-43D4-9266-7B1513CE803F}"/>
    <cellStyle name="20% - Accent2 3 3 12" xfId="10580" xr:uid="{ACC142DB-6C37-46F1-89C4-B5EA623ED57E}"/>
    <cellStyle name="20% - Accent2 3 3 12 2" xfId="20528" xr:uid="{11970A18-B1B3-4DC7-B22D-9200D04B58A5}"/>
    <cellStyle name="20% - Accent2 3 3 13" xfId="1461" xr:uid="{4BBDBE7A-0877-48E3-8CD7-253AD2F25E8F}"/>
    <cellStyle name="20% - Accent2 3 3 14" xfId="11409" xr:uid="{804C7DE1-542D-4A35-BEEC-FCD081AA4DD2}"/>
    <cellStyle name="20% - Accent2 3 3 2" xfId="2290" xr:uid="{AD7AC861-42FA-46C7-BC04-1404E1765297}"/>
    <cellStyle name="20% - Accent2 3 3 2 2" xfId="12238" xr:uid="{79D369A7-6F8E-47C9-92D1-07B086BE7D82}"/>
    <cellStyle name="20% - Accent2 3 3 3" xfId="3119" xr:uid="{8F0BBC46-8DD0-48E2-978C-F2ED704E2092}"/>
    <cellStyle name="20% - Accent2 3 3 3 2" xfId="13067" xr:uid="{688EDA17-60AD-4E22-BDBC-CC0B3E58EC5F}"/>
    <cellStyle name="20% - Accent2 3 3 4" xfId="3948" xr:uid="{9CFC7358-F1BC-40DE-AE26-25E4C3D6310A}"/>
    <cellStyle name="20% - Accent2 3 3 4 2" xfId="13896" xr:uid="{AF45ED03-A3D8-41A8-8C24-0FF8B7B83E17}"/>
    <cellStyle name="20% - Accent2 3 3 5" xfId="4777" xr:uid="{A26D2129-B940-4CB7-BC55-F9D9BD398306}"/>
    <cellStyle name="20% - Accent2 3 3 5 2" xfId="14725" xr:uid="{6995752A-02E6-4719-853D-24ED2CF43564}"/>
    <cellStyle name="20% - Accent2 3 3 6" xfId="5606" xr:uid="{8D39AF2A-3D77-4D35-BF73-20029A697E06}"/>
    <cellStyle name="20% - Accent2 3 3 6 2" xfId="15554" xr:uid="{DC20098E-6A83-4F89-961C-C4D82C85D639}"/>
    <cellStyle name="20% - Accent2 3 3 7" xfId="6435" xr:uid="{F055A8D1-0E91-492A-A867-32A26FE428B7}"/>
    <cellStyle name="20% - Accent2 3 3 7 2" xfId="16383" xr:uid="{149F861D-06F5-417A-AE07-1899C6C442D8}"/>
    <cellStyle name="20% - Accent2 3 3 8" xfId="7264" xr:uid="{AF9A7665-4C24-4BF9-9F59-A218A0F2ECDA}"/>
    <cellStyle name="20% - Accent2 3 3 8 2" xfId="17212" xr:uid="{E762FB20-074D-4C3D-8953-943C9B174EFF}"/>
    <cellStyle name="20% - Accent2 3 3 9" xfId="8093" xr:uid="{5BF96DE0-575C-47AE-9E70-94DADC1CAAB9}"/>
    <cellStyle name="20% - Accent2 3 3 9 2" xfId="18041" xr:uid="{5B255C4A-8AF1-476F-9006-479125F6D9AE}"/>
    <cellStyle name="20% - Accent2 3 4" xfId="1874" xr:uid="{01F3CD78-044A-4BF2-B109-393D44CA5B58}"/>
    <cellStyle name="20% - Accent2 3 4 2" xfId="11822" xr:uid="{4F9963F8-AC65-4911-8E80-A45A605D26AF}"/>
    <cellStyle name="20% - Accent2 3 5" xfId="2703" xr:uid="{A7E6614A-C882-4FAF-8BA1-09E4AECE7D2D}"/>
    <cellStyle name="20% - Accent2 3 5 2" xfId="12651" xr:uid="{C68BF5E2-9319-421A-84D8-AEF7CE9C4AB1}"/>
    <cellStyle name="20% - Accent2 3 6" xfId="3532" xr:uid="{9FFC6964-2547-4A0B-B70C-F946E6B4DF4D}"/>
    <cellStyle name="20% - Accent2 3 6 2" xfId="13480" xr:uid="{D1A6AA69-1EC1-4A77-B1AC-567BDE1C47CC}"/>
    <cellStyle name="20% - Accent2 3 7" xfId="4361" xr:uid="{3988B8EA-5F7B-4FC7-AE59-D222EED833DB}"/>
    <cellStyle name="20% - Accent2 3 7 2" xfId="14309" xr:uid="{EBBC8C29-98FE-4993-B5D9-A361973D45C8}"/>
    <cellStyle name="20% - Accent2 3 8" xfId="5190" xr:uid="{DA7BBC77-4E17-4C2B-9C5E-3D7B4832B0E5}"/>
    <cellStyle name="20% - Accent2 3 8 2" xfId="15138" xr:uid="{CCDA9289-8A77-4E98-A15B-F41C6770596A}"/>
    <cellStyle name="20% - Accent2 3 9" xfId="6019" xr:uid="{24B36591-E3D4-407D-BEC9-2B67F71C238C}"/>
    <cellStyle name="20% - Accent2 3 9 2" xfId="15967" xr:uid="{F66ED387-77C7-447F-9D16-72E4E45E9EEB}"/>
    <cellStyle name="20% - Accent2 4" xfId="16" xr:uid="{00000000-0005-0000-0000-00001D000000}"/>
    <cellStyle name="20% - Accent2 4 10" xfId="7679" xr:uid="{6EEB7530-9E48-482E-BD86-9B69C426C221}"/>
    <cellStyle name="20% - Accent2 4 10 2" xfId="17627" xr:uid="{CA556B54-C682-4FBF-BF13-53D6C84801E4}"/>
    <cellStyle name="20% - Accent2 4 11" xfId="8508" xr:uid="{CF750E73-FD64-4660-B3D3-E6B9204C509B}"/>
    <cellStyle name="20% - Accent2 4 11 2" xfId="18456" xr:uid="{81C4BD80-B250-464D-8DB0-2244DD099252}"/>
    <cellStyle name="20% - Accent2 4 12" xfId="9337" xr:uid="{14E98B37-9125-4B01-ABB0-43D5307BE2D1}"/>
    <cellStyle name="20% - Accent2 4 12 2" xfId="19285" xr:uid="{21279005-A559-425E-830A-372F1AEAB1C1}"/>
    <cellStyle name="20% - Accent2 4 13" xfId="10166" xr:uid="{BB73E6D2-7DE1-4DAD-A78D-63DFD0151E50}"/>
    <cellStyle name="20% - Accent2 4 13 2" xfId="20114" xr:uid="{5A975FF8-0D6E-49F8-B0E9-1474505A68CA}"/>
    <cellStyle name="20% - Accent2 4 14" xfId="1047" xr:uid="{78A8A6D3-4A1E-4189-B8C7-1E1B3C809673}"/>
    <cellStyle name="20% - Accent2 4 15" xfId="10995" xr:uid="{F3178928-AE16-40D4-A2AD-011141AF32CE}"/>
    <cellStyle name="20% - Accent2 4 2" xfId="593" xr:uid="{00000000-0005-0000-0000-00001E000000}"/>
    <cellStyle name="20% - Accent2 4 2 10" xfId="8924" xr:uid="{067A6E3D-FF8A-4448-A8D6-2981E25582BF}"/>
    <cellStyle name="20% - Accent2 4 2 10 2" xfId="18872" xr:uid="{3C67820D-DFE1-4BB8-BE6C-E607E2E452BD}"/>
    <cellStyle name="20% - Accent2 4 2 11" xfId="9753" xr:uid="{544F80AE-A330-431E-A3DE-92E656A3B32C}"/>
    <cellStyle name="20% - Accent2 4 2 11 2" xfId="19701" xr:uid="{3BCE6E47-5A01-4BEC-80DD-718B8FD0303A}"/>
    <cellStyle name="20% - Accent2 4 2 12" xfId="10582" xr:uid="{6202A5C1-03CD-43FC-A128-C06997241BE6}"/>
    <cellStyle name="20% - Accent2 4 2 12 2" xfId="20530" xr:uid="{7533E1F8-3F4A-4949-A99C-3BA4732358CE}"/>
    <cellStyle name="20% - Accent2 4 2 13" xfId="1463" xr:uid="{724C1C78-AF53-4F11-ACBC-7D61E5EFF36C}"/>
    <cellStyle name="20% - Accent2 4 2 14" xfId="11411" xr:uid="{7801F566-0274-4127-B15D-906964CF6D5A}"/>
    <cellStyle name="20% - Accent2 4 2 2" xfId="2292" xr:uid="{DACCCB4B-6985-4F56-800A-941A713871D5}"/>
    <cellStyle name="20% - Accent2 4 2 2 2" xfId="12240" xr:uid="{C6B29018-D28E-4477-A579-79B75F7CB50B}"/>
    <cellStyle name="20% - Accent2 4 2 3" xfId="3121" xr:uid="{F78AC43A-75D5-4EB8-AD47-EAB78806BD1D}"/>
    <cellStyle name="20% - Accent2 4 2 3 2" xfId="13069" xr:uid="{19D0B418-9CBD-4F10-A98E-C34A0CC6667B}"/>
    <cellStyle name="20% - Accent2 4 2 4" xfId="3950" xr:uid="{1734F4AA-862B-4A6A-AF45-B7DE0862830F}"/>
    <cellStyle name="20% - Accent2 4 2 4 2" xfId="13898" xr:uid="{A6BB90A6-C042-4257-A230-6DA8387721E4}"/>
    <cellStyle name="20% - Accent2 4 2 5" xfId="4779" xr:uid="{791F2B4D-84E8-4F6C-89EA-3C499C0DB003}"/>
    <cellStyle name="20% - Accent2 4 2 5 2" xfId="14727" xr:uid="{15AF4159-9E30-40C1-92CF-F4F977F9FDE2}"/>
    <cellStyle name="20% - Accent2 4 2 6" xfId="5608" xr:uid="{6CE885D4-F283-4DA4-9B1D-5B6ADBEEEB1B}"/>
    <cellStyle name="20% - Accent2 4 2 6 2" xfId="15556" xr:uid="{E9F1C146-A9AD-4FF9-B874-D3F8181F5D19}"/>
    <cellStyle name="20% - Accent2 4 2 7" xfId="6437" xr:uid="{CCADBFB5-1415-4B0A-BE4D-DC57FF4EAD46}"/>
    <cellStyle name="20% - Accent2 4 2 7 2" xfId="16385" xr:uid="{E4225E5F-C7FF-4DB1-8581-133AEAB418B0}"/>
    <cellStyle name="20% - Accent2 4 2 8" xfId="7266" xr:uid="{48722C06-C3B2-4C5C-9152-C32031707F2D}"/>
    <cellStyle name="20% - Accent2 4 2 8 2" xfId="17214" xr:uid="{CA91062F-4DE3-4528-8383-D6323A489D3B}"/>
    <cellStyle name="20% - Accent2 4 2 9" xfId="8095" xr:uid="{30A7618D-774E-4105-950D-ECAA5DF6846A}"/>
    <cellStyle name="20% - Accent2 4 2 9 2" xfId="18043" xr:uid="{59D9A9D7-392C-4225-9CE7-1EE8AC1107CA}"/>
    <cellStyle name="20% - Accent2 4 3" xfId="1876" xr:uid="{737AC99D-4702-4A5B-96A5-17C6923CD5A9}"/>
    <cellStyle name="20% - Accent2 4 3 2" xfId="11824" xr:uid="{61B900DE-9CF7-42D2-B1B6-265EF9984525}"/>
    <cellStyle name="20% - Accent2 4 4" xfId="2705" xr:uid="{C6A90A3D-20E2-4340-A9D0-9428B4C119AD}"/>
    <cellStyle name="20% - Accent2 4 4 2" xfId="12653" xr:uid="{70E69E7D-AC62-4CE2-A06E-66EE0E96BEB6}"/>
    <cellStyle name="20% - Accent2 4 5" xfId="3534" xr:uid="{C117EA0C-F72C-413F-A736-C0E6B4246FD0}"/>
    <cellStyle name="20% - Accent2 4 5 2" xfId="13482" xr:uid="{D2C7F02F-BEC2-4133-AE84-C0C805BA1F6B}"/>
    <cellStyle name="20% - Accent2 4 6" xfId="4363" xr:uid="{D9EFA0EA-2045-452D-8186-4019E26433E3}"/>
    <cellStyle name="20% - Accent2 4 6 2" xfId="14311" xr:uid="{D7427FEF-E989-4EC9-BB8E-7A93172567B0}"/>
    <cellStyle name="20% - Accent2 4 7" xfId="5192" xr:uid="{86D8E7CA-7EEA-40DA-AA7E-81E5FBE4F96A}"/>
    <cellStyle name="20% - Accent2 4 7 2" xfId="15140" xr:uid="{61B4C397-836C-4BD7-84FF-B0ED40741BE9}"/>
    <cellStyle name="20% - Accent2 4 8" xfId="6021" xr:uid="{DB08F041-B104-4E60-8F11-35FE42D5CB49}"/>
    <cellStyle name="20% - Accent2 4 8 2" xfId="15969" xr:uid="{1D26756D-8BBC-4A47-BCFD-F9ABDD2AF7B8}"/>
    <cellStyle name="20% - Accent2 4 9" xfId="6850" xr:uid="{9AA26330-C46C-4B3B-B427-C79BBDB273EC}"/>
    <cellStyle name="20% - Accent2 4 9 2" xfId="16798" xr:uid="{F22D0417-4559-45D2-AA4B-EB35A81821C6}"/>
    <cellStyle name="20% - Accent2 5" xfId="586" xr:uid="{00000000-0005-0000-0000-00001F000000}"/>
    <cellStyle name="20% - Accent2 5 10" xfId="8917" xr:uid="{8DCDBB87-9FE6-46F7-912F-54BC6C9BEE0E}"/>
    <cellStyle name="20% - Accent2 5 10 2" xfId="18865" xr:uid="{87DFF31A-2B5D-469B-9D20-E046EA69424E}"/>
    <cellStyle name="20% - Accent2 5 11" xfId="9746" xr:uid="{785C22F3-206B-4293-97F6-779A66E5A723}"/>
    <cellStyle name="20% - Accent2 5 11 2" xfId="19694" xr:uid="{29C362F1-9E9A-4BF5-BC47-8BD27DE1E7C5}"/>
    <cellStyle name="20% - Accent2 5 12" xfId="10575" xr:uid="{8EF5DD5C-F4AC-4E75-88E3-17A4E2781DD5}"/>
    <cellStyle name="20% - Accent2 5 12 2" xfId="20523" xr:uid="{CAFBB65E-C538-4337-A7E5-E14ACDD5F4CE}"/>
    <cellStyle name="20% - Accent2 5 13" xfId="1456" xr:uid="{7D385935-676A-4F9B-A97C-EEA48BBCF46A}"/>
    <cellStyle name="20% - Accent2 5 14" xfId="11404" xr:uid="{6C38D616-115F-4FA9-AAB9-353BE8BD90BA}"/>
    <cellStyle name="20% - Accent2 5 2" xfId="2285" xr:uid="{BD28D225-584C-43C7-A2ED-0C4C6BC26EB1}"/>
    <cellStyle name="20% - Accent2 5 2 2" xfId="12233" xr:uid="{321F7C0C-3CE7-4FF1-AEB1-F283F3CEA93A}"/>
    <cellStyle name="20% - Accent2 5 3" xfId="3114" xr:uid="{D169D7FE-12C4-4B45-B36A-BD66DF09A3F2}"/>
    <cellStyle name="20% - Accent2 5 3 2" xfId="13062" xr:uid="{D423927F-0EFF-48FF-8E37-D1560D9778AC}"/>
    <cellStyle name="20% - Accent2 5 4" xfId="3943" xr:uid="{9950FE47-206C-4EE6-95EA-4FC8EB74DAB4}"/>
    <cellStyle name="20% - Accent2 5 4 2" xfId="13891" xr:uid="{241FE478-A84A-4F12-8322-827BCAB962A1}"/>
    <cellStyle name="20% - Accent2 5 5" xfId="4772" xr:uid="{756E13F0-EED3-472E-A457-7C56DB3EF9C1}"/>
    <cellStyle name="20% - Accent2 5 5 2" xfId="14720" xr:uid="{6AB9C4F1-607F-4417-9CC9-44B1116DF0E2}"/>
    <cellStyle name="20% - Accent2 5 6" xfId="5601" xr:uid="{D476F986-26C2-4509-A07B-53EE4C59FF3F}"/>
    <cellStyle name="20% - Accent2 5 6 2" xfId="15549" xr:uid="{70B4F5F6-DCEB-46E3-94F1-F8E7EF6D1EEF}"/>
    <cellStyle name="20% - Accent2 5 7" xfId="6430" xr:uid="{4BEA534E-E7D4-4291-8E5F-DF681C03D1C4}"/>
    <cellStyle name="20% - Accent2 5 7 2" xfId="16378" xr:uid="{0321976F-2F76-419A-96D9-3D90A6EFDD2F}"/>
    <cellStyle name="20% - Accent2 5 8" xfId="7259" xr:uid="{EBE597DD-E920-4BF3-BAE5-2843CDB9BBDE}"/>
    <cellStyle name="20% - Accent2 5 8 2" xfId="17207" xr:uid="{FF92E8C1-6883-45AE-9D89-A9F579795311}"/>
    <cellStyle name="20% - Accent2 5 9" xfId="8088" xr:uid="{81FE1BD3-5B4A-4135-BE6A-969CFB39F8A6}"/>
    <cellStyle name="20% - Accent2 5 9 2" xfId="18036" xr:uid="{5CEA0527-363D-4C77-979E-F2353D8B812F}"/>
    <cellStyle name="20% - Accent2 6" xfId="1869" xr:uid="{978FF4EE-E54B-47F1-B026-586D7AC39AE0}"/>
    <cellStyle name="20% - Accent2 6 2" xfId="11817" xr:uid="{4C5FDADA-4DB0-43AC-9EDB-C9F08A6E3590}"/>
    <cellStyle name="20% - Accent2 7" xfId="2698" xr:uid="{44D4CE7B-EB7E-4F62-875C-559FDEABA45E}"/>
    <cellStyle name="20% - Accent2 7 2" xfId="12646" xr:uid="{EDC586B6-10EE-43FC-B591-A3949EB327A3}"/>
    <cellStyle name="20% - Accent2 8" xfId="3527" xr:uid="{643D847C-6880-4AFB-A533-8587D2B3A5A4}"/>
    <cellStyle name="20% - Accent2 8 2" xfId="13475" xr:uid="{DCF56517-1B41-4F15-BF0D-4E7495107EE6}"/>
    <cellStyle name="20% - Accent2 9" xfId="4356" xr:uid="{5E6DAA6C-327E-4668-8040-6BEC9BB3F652}"/>
    <cellStyle name="20% - Accent2 9 2" xfId="14304" xr:uid="{B6A0EF15-AA32-43FE-B8D9-27A8D577899F}"/>
    <cellStyle name="20% - Accent3" xfId="17" builtinId="38" customBuiltin="1"/>
    <cellStyle name="20% - Accent3 10" xfId="5193" xr:uid="{8E0BD656-F2BA-4461-AF22-BD760A1B50E7}"/>
    <cellStyle name="20% - Accent3 10 2" xfId="15141" xr:uid="{BA57AAAC-3A95-45E4-81D5-2C3A08798848}"/>
    <cellStyle name="20% - Accent3 11" xfId="6022" xr:uid="{77CC703F-D55B-4373-85D8-DAD1F8D232FC}"/>
    <cellStyle name="20% - Accent3 11 2" xfId="15970" xr:uid="{99A6F124-A5CA-4E13-B31F-F60DE18AD1BA}"/>
    <cellStyle name="20% - Accent3 12" xfId="6851" xr:uid="{AFBD603A-097A-4C63-80A8-6B21E45EB8C1}"/>
    <cellStyle name="20% - Accent3 12 2" xfId="16799" xr:uid="{AB64636F-B904-48EE-8F08-6493CADD33D7}"/>
    <cellStyle name="20% - Accent3 13" xfId="7680" xr:uid="{6D0379AD-C82F-459F-BA69-247DDC548BF9}"/>
    <cellStyle name="20% - Accent3 13 2" xfId="17628" xr:uid="{971C0F6E-4453-4863-8D4C-B3E681FA8CDC}"/>
    <cellStyle name="20% - Accent3 14" xfId="8509" xr:uid="{201A854E-F542-4672-A3E9-A9FE9EBC93D8}"/>
    <cellStyle name="20% - Accent3 14 2" xfId="18457" xr:uid="{56FBA338-4709-4C94-8E3D-118B2E9F089B}"/>
    <cellStyle name="20% - Accent3 15" xfId="9338" xr:uid="{7FADC4E3-EBA6-4993-906F-E11233486E8F}"/>
    <cellStyle name="20% - Accent3 15 2" xfId="19286" xr:uid="{B50BFAD1-4D5C-4239-95AF-7F82CB88506C}"/>
    <cellStyle name="20% - Accent3 16" xfId="10167" xr:uid="{F24B6998-5530-4103-9D30-548036BC5464}"/>
    <cellStyle name="20% - Accent3 16 2" xfId="20115" xr:uid="{31139DA3-00A5-4089-A505-48A30B78FF07}"/>
    <cellStyle name="20% - Accent3 17" xfId="1048" xr:uid="{38EBD742-BBEF-4688-BD24-4D7B5028F5C6}"/>
    <cellStyle name="20% - Accent3 18" xfId="10996" xr:uid="{D6AEC7E0-EFA8-473E-A970-CA7A3C247B15}"/>
    <cellStyle name="20% - Accent3 2" xfId="18" xr:uid="{00000000-0005-0000-0000-000021000000}"/>
    <cellStyle name="20% - Accent3 2 10" xfId="6023" xr:uid="{4A33E036-BB07-4D7A-9652-1EBDD9D4F884}"/>
    <cellStyle name="20% - Accent3 2 10 2" xfId="15971" xr:uid="{AB1BEF00-533F-41BF-AB11-7F569C0079F2}"/>
    <cellStyle name="20% - Accent3 2 11" xfId="6852" xr:uid="{1B8CFB16-1F01-49A5-9140-B82FDD448117}"/>
    <cellStyle name="20% - Accent3 2 11 2" xfId="16800" xr:uid="{0D22CC2F-0AC1-456A-8833-E6D73A212801}"/>
    <cellStyle name="20% - Accent3 2 12" xfId="7681" xr:uid="{E95B8ACB-469D-4831-B028-A360A59C12BD}"/>
    <cellStyle name="20% - Accent3 2 12 2" xfId="17629" xr:uid="{78AE3AFD-E182-47F4-93C4-A12D05495A5E}"/>
    <cellStyle name="20% - Accent3 2 13" xfId="8510" xr:uid="{58643BF8-2FE7-4958-9C75-4C0E9D42F8AB}"/>
    <cellStyle name="20% - Accent3 2 13 2" xfId="18458" xr:uid="{AA960F43-90DD-4B27-B870-FD7776F0FDFB}"/>
    <cellStyle name="20% - Accent3 2 14" xfId="9339" xr:uid="{6B9F586D-E06C-4438-B186-076800192EEC}"/>
    <cellStyle name="20% - Accent3 2 14 2" xfId="19287" xr:uid="{92C9D4FC-E822-420C-B122-B203B44C1BCE}"/>
    <cellStyle name="20% - Accent3 2 15" xfId="10168" xr:uid="{6262C020-BF11-46FF-A586-2C6E5D7AD662}"/>
    <cellStyle name="20% - Accent3 2 15 2" xfId="20116" xr:uid="{D1043E50-E479-455C-BFEB-64B5E3952D36}"/>
    <cellStyle name="20% - Accent3 2 16" xfId="1049" xr:uid="{81A6ED84-71FE-4038-9D44-A8D67F1E0219}"/>
    <cellStyle name="20% - Accent3 2 17" xfId="10997" xr:uid="{5A95C731-E8D5-42AB-8003-A779FCC47C81}"/>
    <cellStyle name="20% - Accent3 2 2" xfId="19" xr:uid="{00000000-0005-0000-0000-000022000000}"/>
    <cellStyle name="20% - Accent3 2 2 10" xfId="6853" xr:uid="{7FC846C6-6B9C-45D5-A8F9-F4C47E6589C8}"/>
    <cellStyle name="20% - Accent3 2 2 10 2" xfId="16801" xr:uid="{8A4FCE28-B1FE-4D15-BF30-09E4732D9C0E}"/>
    <cellStyle name="20% - Accent3 2 2 11" xfId="7682" xr:uid="{F4D397DC-4D59-4862-8895-48F7EA02F5FF}"/>
    <cellStyle name="20% - Accent3 2 2 11 2" xfId="17630" xr:uid="{77BC0422-3476-4F22-AACE-02AF2A35C86C}"/>
    <cellStyle name="20% - Accent3 2 2 12" xfId="8511" xr:uid="{768A2051-7CF5-4BD2-8DB3-2CA093356DDB}"/>
    <cellStyle name="20% - Accent3 2 2 12 2" xfId="18459" xr:uid="{F84A5EAB-CBE7-4D75-A49B-A659E1575DE5}"/>
    <cellStyle name="20% - Accent3 2 2 13" xfId="9340" xr:uid="{DA7CCD9B-D9BF-4F07-BF57-C411A8669657}"/>
    <cellStyle name="20% - Accent3 2 2 13 2" xfId="19288" xr:uid="{D06A50AE-6E79-488A-A757-743C6A9773F1}"/>
    <cellStyle name="20% - Accent3 2 2 14" xfId="10169" xr:uid="{EF02A662-84DC-4713-A54D-D4F5C4567FA9}"/>
    <cellStyle name="20% - Accent3 2 2 14 2" xfId="20117" xr:uid="{53CFC6B7-5ABF-464C-BDEC-FC170C672E0C}"/>
    <cellStyle name="20% - Accent3 2 2 15" xfId="1050" xr:uid="{C0EAB715-1F8C-4104-AA64-3F33F8D8F708}"/>
    <cellStyle name="20% - Accent3 2 2 16" xfId="10998" xr:uid="{2624E22D-FFEB-4840-8A43-9E5B4BD8239F}"/>
    <cellStyle name="20% - Accent3 2 2 2" xfId="20" xr:uid="{00000000-0005-0000-0000-000023000000}"/>
    <cellStyle name="20% - Accent3 2 2 2 10" xfId="7683" xr:uid="{3186333F-996D-436D-952D-87F8EEDFE821}"/>
    <cellStyle name="20% - Accent3 2 2 2 10 2" xfId="17631" xr:uid="{D8336145-D8D0-4C1B-9EC9-5CD105951B12}"/>
    <cellStyle name="20% - Accent3 2 2 2 11" xfId="8512" xr:uid="{719ABCBD-4FE1-448B-830B-8F8F22DE159C}"/>
    <cellStyle name="20% - Accent3 2 2 2 11 2" xfId="18460" xr:uid="{CD116A5B-19CA-49F1-B6F1-C26DC8DEDDEE}"/>
    <cellStyle name="20% - Accent3 2 2 2 12" xfId="9341" xr:uid="{97D8105F-BC86-43D6-804E-41313CCAF479}"/>
    <cellStyle name="20% - Accent3 2 2 2 12 2" xfId="19289" xr:uid="{DA6EFD5C-D049-4FA9-BEC4-28A010B6016F}"/>
    <cellStyle name="20% - Accent3 2 2 2 13" xfId="10170" xr:uid="{1DC1F9F1-F146-4AB3-83FC-BC17572DB78D}"/>
    <cellStyle name="20% - Accent3 2 2 2 13 2" xfId="20118" xr:uid="{3F594D7C-C89B-4AAC-94C1-72CBDB10A2A1}"/>
    <cellStyle name="20% - Accent3 2 2 2 14" xfId="1051" xr:uid="{D8BECB09-1C83-4C39-AFF5-66DF1159B119}"/>
    <cellStyle name="20% - Accent3 2 2 2 15" xfId="10999" xr:uid="{058AD7E0-5EE7-4AA8-BB3A-2354E0EDBA16}"/>
    <cellStyle name="20% - Accent3 2 2 2 2" xfId="597" xr:uid="{00000000-0005-0000-0000-000024000000}"/>
    <cellStyle name="20% - Accent3 2 2 2 2 10" xfId="8928" xr:uid="{84747C7C-5AE1-4E70-9B03-04451BD2100F}"/>
    <cellStyle name="20% - Accent3 2 2 2 2 10 2" xfId="18876" xr:uid="{857F5FD3-C9A9-4986-89BA-542BE54C70F0}"/>
    <cellStyle name="20% - Accent3 2 2 2 2 11" xfId="9757" xr:uid="{BE79A88C-E00D-4A55-9CC8-F6427BB8012F}"/>
    <cellStyle name="20% - Accent3 2 2 2 2 11 2" xfId="19705" xr:uid="{67F4CED6-B3C2-4EA5-8594-CD915C2CCC95}"/>
    <cellStyle name="20% - Accent3 2 2 2 2 12" xfId="10586" xr:uid="{2D42E55B-A96A-4FA6-87F1-AA6C2E52158E}"/>
    <cellStyle name="20% - Accent3 2 2 2 2 12 2" xfId="20534" xr:uid="{7B01F93A-E0F3-4105-B9AD-2D98E422443A}"/>
    <cellStyle name="20% - Accent3 2 2 2 2 13" xfId="1467" xr:uid="{9CE1F770-C7FB-4810-B358-DFC20B5E9E35}"/>
    <cellStyle name="20% - Accent3 2 2 2 2 14" xfId="11415" xr:uid="{0C7E30F5-9FCA-469F-AE4A-F4659DC9BF4B}"/>
    <cellStyle name="20% - Accent3 2 2 2 2 2" xfId="2296" xr:uid="{49428B75-1CC8-4C96-B5AE-D7648173CAEB}"/>
    <cellStyle name="20% - Accent3 2 2 2 2 2 2" xfId="12244" xr:uid="{D86E792B-FFCB-41D5-A926-B47DB0527885}"/>
    <cellStyle name="20% - Accent3 2 2 2 2 3" xfId="3125" xr:uid="{1F3AD1EB-CCEA-4FFF-9002-D70F606D13E4}"/>
    <cellStyle name="20% - Accent3 2 2 2 2 3 2" xfId="13073" xr:uid="{3BCF22AC-B92D-4BB1-81C9-113570B8779C}"/>
    <cellStyle name="20% - Accent3 2 2 2 2 4" xfId="3954" xr:uid="{D5EA5DDD-365F-4136-AFF4-8222EA7480FB}"/>
    <cellStyle name="20% - Accent3 2 2 2 2 4 2" xfId="13902" xr:uid="{1F5EEC09-2613-4787-BC6F-94EE50C3724A}"/>
    <cellStyle name="20% - Accent3 2 2 2 2 5" xfId="4783" xr:uid="{17E1FF36-96CE-4EE6-9417-75C16C377126}"/>
    <cellStyle name="20% - Accent3 2 2 2 2 5 2" xfId="14731" xr:uid="{B25547E1-33D7-4EA7-8100-CF9B14CDADD9}"/>
    <cellStyle name="20% - Accent3 2 2 2 2 6" xfId="5612" xr:uid="{C6F4DEF3-A021-43D2-B8E0-1DF4FC48E1AF}"/>
    <cellStyle name="20% - Accent3 2 2 2 2 6 2" xfId="15560" xr:uid="{D9617993-2DB1-4149-875B-5762FBEF5AD6}"/>
    <cellStyle name="20% - Accent3 2 2 2 2 7" xfId="6441" xr:uid="{37AB9987-FD59-4D6A-A4AA-F5E271DE53F6}"/>
    <cellStyle name="20% - Accent3 2 2 2 2 7 2" xfId="16389" xr:uid="{F1B0C337-DAA0-4A88-ABB5-58BB4326733A}"/>
    <cellStyle name="20% - Accent3 2 2 2 2 8" xfId="7270" xr:uid="{01214012-2572-4547-A01C-866DFF825D30}"/>
    <cellStyle name="20% - Accent3 2 2 2 2 8 2" xfId="17218" xr:uid="{7EFA99A1-7DCC-415A-893B-5DC7075B8D19}"/>
    <cellStyle name="20% - Accent3 2 2 2 2 9" xfId="8099" xr:uid="{EE975866-9C2E-462F-9EA8-3ABA636532E9}"/>
    <cellStyle name="20% - Accent3 2 2 2 2 9 2" xfId="18047" xr:uid="{40024540-C420-4447-B85A-941F807BFCFF}"/>
    <cellStyle name="20% - Accent3 2 2 2 3" xfId="1880" xr:uid="{3240C5F7-41A9-4D70-BAC8-2845DCE43678}"/>
    <cellStyle name="20% - Accent3 2 2 2 3 2" xfId="11828" xr:uid="{24A53E87-A653-4200-AD8D-87D7CB8EDF92}"/>
    <cellStyle name="20% - Accent3 2 2 2 4" xfId="2709" xr:uid="{19442503-6759-4775-B519-B5F67878140A}"/>
    <cellStyle name="20% - Accent3 2 2 2 4 2" xfId="12657" xr:uid="{0A823373-86B0-497B-BB30-80921FF356E3}"/>
    <cellStyle name="20% - Accent3 2 2 2 5" xfId="3538" xr:uid="{3D0C9583-9493-48DE-BF22-74BFD1DCD6DE}"/>
    <cellStyle name="20% - Accent3 2 2 2 5 2" xfId="13486" xr:uid="{E510A50F-8467-4B17-9105-F16CFEE3C98F}"/>
    <cellStyle name="20% - Accent3 2 2 2 6" xfId="4367" xr:uid="{9A0E854F-F49C-4F34-93F0-0B85F11B87B5}"/>
    <cellStyle name="20% - Accent3 2 2 2 6 2" xfId="14315" xr:uid="{20EF4CB9-CFA3-4C14-8530-6F865FF2D9BD}"/>
    <cellStyle name="20% - Accent3 2 2 2 7" xfId="5196" xr:uid="{B6375A8E-8D6B-427C-8F6D-FB2A713A6EA2}"/>
    <cellStyle name="20% - Accent3 2 2 2 7 2" xfId="15144" xr:uid="{2CD802A4-6172-4395-9B3F-6129A6297519}"/>
    <cellStyle name="20% - Accent3 2 2 2 8" xfId="6025" xr:uid="{C61C18C8-52F5-4AD5-B826-D444FC25E3B1}"/>
    <cellStyle name="20% - Accent3 2 2 2 8 2" xfId="15973" xr:uid="{0AC3B988-843E-4EF0-BF82-813213953236}"/>
    <cellStyle name="20% - Accent3 2 2 2 9" xfId="6854" xr:uid="{EB751D2D-BC0E-4006-BA9A-F01698F7A819}"/>
    <cellStyle name="20% - Accent3 2 2 2 9 2" xfId="16802" xr:uid="{BCDC5A7D-A919-47D8-96A9-3BAD1AF309BD}"/>
    <cellStyle name="20% - Accent3 2 2 3" xfId="596" xr:uid="{00000000-0005-0000-0000-000025000000}"/>
    <cellStyle name="20% - Accent3 2 2 3 10" xfId="8927" xr:uid="{A167F64C-49AD-4EC2-AC19-D30CCEC3CEB2}"/>
    <cellStyle name="20% - Accent3 2 2 3 10 2" xfId="18875" xr:uid="{5B0908C4-9C6F-49D4-9B53-133B74C8D92F}"/>
    <cellStyle name="20% - Accent3 2 2 3 11" xfId="9756" xr:uid="{6B647786-88B5-451D-99BD-CD950467AD2D}"/>
    <cellStyle name="20% - Accent3 2 2 3 11 2" xfId="19704" xr:uid="{BE812B2F-7A49-49ED-84C6-600839001B58}"/>
    <cellStyle name="20% - Accent3 2 2 3 12" xfId="10585" xr:uid="{E280250A-DA12-44FF-9409-348BAD39CBED}"/>
    <cellStyle name="20% - Accent3 2 2 3 12 2" xfId="20533" xr:uid="{3EBABBF7-89C1-4A42-803F-65B54BB912CB}"/>
    <cellStyle name="20% - Accent3 2 2 3 13" xfId="1466" xr:uid="{CB53775A-FF3B-41AB-998B-3F491EBBCF0A}"/>
    <cellStyle name="20% - Accent3 2 2 3 14" xfId="11414" xr:uid="{55B5DB51-ADB1-4759-8E60-9E71643644DB}"/>
    <cellStyle name="20% - Accent3 2 2 3 2" xfId="2295" xr:uid="{F5249555-41D3-4CF9-9908-5F7A4FD73D71}"/>
    <cellStyle name="20% - Accent3 2 2 3 2 2" xfId="12243" xr:uid="{57112674-B175-4D76-A6D8-E0D095D2D72B}"/>
    <cellStyle name="20% - Accent3 2 2 3 3" xfId="3124" xr:uid="{019813B6-01AC-49D8-B3F6-C6414141DC84}"/>
    <cellStyle name="20% - Accent3 2 2 3 3 2" xfId="13072" xr:uid="{1CFB4198-997C-4891-A8E1-A416C3E0E3E6}"/>
    <cellStyle name="20% - Accent3 2 2 3 4" xfId="3953" xr:uid="{C8DCC456-7D70-4E3F-9B37-7CFA555FF8BF}"/>
    <cellStyle name="20% - Accent3 2 2 3 4 2" xfId="13901" xr:uid="{42D3967C-1D17-448B-8023-0EA06421AF85}"/>
    <cellStyle name="20% - Accent3 2 2 3 5" xfId="4782" xr:uid="{8FBC2355-7339-4FF6-8BE0-BDBAAD38E287}"/>
    <cellStyle name="20% - Accent3 2 2 3 5 2" xfId="14730" xr:uid="{B60A80CA-78F1-4569-B280-880C21523B25}"/>
    <cellStyle name="20% - Accent3 2 2 3 6" xfId="5611" xr:uid="{EB88170D-6AD7-4B7A-9F20-249BD8C134EE}"/>
    <cellStyle name="20% - Accent3 2 2 3 6 2" xfId="15559" xr:uid="{27D5BF7C-8203-4B56-99DB-4D63C31BD803}"/>
    <cellStyle name="20% - Accent3 2 2 3 7" xfId="6440" xr:uid="{36DC98FC-236E-404B-8A03-118118868865}"/>
    <cellStyle name="20% - Accent3 2 2 3 7 2" xfId="16388" xr:uid="{FA489AE4-B8DD-4A20-A9D7-ABAD047B26F7}"/>
    <cellStyle name="20% - Accent3 2 2 3 8" xfId="7269" xr:uid="{A94582A2-4853-4752-8C67-AAEF7825749B}"/>
    <cellStyle name="20% - Accent3 2 2 3 8 2" xfId="17217" xr:uid="{B218F6B1-1713-4B73-B21D-45AB13009256}"/>
    <cellStyle name="20% - Accent3 2 2 3 9" xfId="8098" xr:uid="{9FB23220-6B09-4F14-B53A-44259951B211}"/>
    <cellStyle name="20% - Accent3 2 2 3 9 2" xfId="18046" xr:uid="{626F5C92-5772-4EEF-A558-12B740C41430}"/>
    <cellStyle name="20% - Accent3 2 2 4" xfId="1879" xr:uid="{D27C7773-F62B-4FFC-8229-07454AE388D9}"/>
    <cellStyle name="20% - Accent3 2 2 4 2" xfId="11827" xr:uid="{485D2DF5-6902-48D3-B481-4426A0C396B6}"/>
    <cellStyle name="20% - Accent3 2 2 5" xfId="2708" xr:uid="{81BBE7DB-5A35-430F-8433-665C21AEC6B5}"/>
    <cellStyle name="20% - Accent3 2 2 5 2" xfId="12656" xr:uid="{26132D56-BDDD-4F22-B8BE-0BD8CF3EF8AD}"/>
    <cellStyle name="20% - Accent3 2 2 6" xfId="3537" xr:uid="{609BFEF6-2A47-400F-A5BC-F326EF89DD20}"/>
    <cellStyle name="20% - Accent3 2 2 6 2" xfId="13485" xr:uid="{CF587AAA-9D56-46C8-B492-3D92533F07F0}"/>
    <cellStyle name="20% - Accent3 2 2 7" xfId="4366" xr:uid="{D8C5DC72-4244-4A18-9AE8-26EDD6CF4DA3}"/>
    <cellStyle name="20% - Accent3 2 2 7 2" xfId="14314" xr:uid="{1B733505-F32B-4845-8046-AD9B5F307007}"/>
    <cellStyle name="20% - Accent3 2 2 8" xfId="5195" xr:uid="{4EC41829-CCCE-4B4B-B428-5052D5522D53}"/>
    <cellStyle name="20% - Accent3 2 2 8 2" xfId="15143" xr:uid="{D0DE153A-4917-4A06-9CAE-66424B0C7DD2}"/>
    <cellStyle name="20% - Accent3 2 2 9" xfId="6024" xr:uid="{3A12224B-C8C1-4C1C-86C4-B8D9EBE1A9DA}"/>
    <cellStyle name="20% - Accent3 2 2 9 2" xfId="15972" xr:uid="{38D3A529-9134-4C3B-818A-7031A006FAAF}"/>
    <cellStyle name="20% - Accent3 2 3" xfId="21" xr:uid="{00000000-0005-0000-0000-000026000000}"/>
    <cellStyle name="20% - Accent3 2 3 10" xfId="7684" xr:uid="{3C3BC8A3-F526-4150-9642-EEE323AD5D6F}"/>
    <cellStyle name="20% - Accent3 2 3 10 2" xfId="17632" xr:uid="{DADDE9F7-BD83-4319-8834-471CF9C0793E}"/>
    <cellStyle name="20% - Accent3 2 3 11" xfId="8513" xr:uid="{EB7393E0-DCA1-4ABC-8F12-6CC1C9C416CB}"/>
    <cellStyle name="20% - Accent3 2 3 11 2" xfId="18461" xr:uid="{EC30A608-55F0-449E-BF62-4DF3D6A9771D}"/>
    <cellStyle name="20% - Accent3 2 3 12" xfId="9342" xr:uid="{3863DC24-1E4A-4363-91E6-D5E7AF02199B}"/>
    <cellStyle name="20% - Accent3 2 3 12 2" xfId="19290" xr:uid="{7EFFACCE-34B4-41F3-B295-0C57D9E6C36B}"/>
    <cellStyle name="20% - Accent3 2 3 13" xfId="10171" xr:uid="{C3D157E2-5FB7-4AB5-AC89-97B5EABEBEB2}"/>
    <cellStyle name="20% - Accent3 2 3 13 2" xfId="20119" xr:uid="{4954D9E8-707F-43AA-AFCD-868E2F0F40C4}"/>
    <cellStyle name="20% - Accent3 2 3 14" xfId="1052" xr:uid="{4420EF9D-3C1E-4C2E-8C82-2E6B83746240}"/>
    <cellStyle name="20% - Accent3 2 3 15" xfId="11000" xr:uid="{7F6B7702-F0D0-424F-AEA0-2CC668BFEE69}"/>
    <cellStyle name="20% - Accent3 2 3 2" xfId="598" xr:uid="{00000000-0005-0000-0000-000027000000}"/>
    <cellStyle name="20% - Accent3 2 3 2 10" xfId="8929" xr:uid="{86BB88B2-92EB-4602-90D9-6A23CB3322B5}"/>
    <cellStyle name="20% - Accent3 2 3 2 10 2" xfId="18877" xr:uid="{41E9EACF-0DC7-4270-964B-BF135ADFFBAD}"/>
    <cellStyle name="20% - Accent3 2 3 2 11" xfId="9758" xr:uid="{A553209A-2935-41EF-890B-9C02DE1535E5}"/>
    <cellStyle name="20% - Accent3 2 3 2 11 2" xfId="19706" xr:uid="{DA17D9E0-15D6-41E3-A2DA-7F45413EE970}"/>
    <cellStyle name="20% - Accent3 2 3 2 12" xfId="10587" xr:uid="{7B0EA8F5-C83C-4174-A11B-A20275ADE704}"/>
    <cellStyle name="20% - Accent3 2 3 2 12 2" xfId="20535" xr:uid="{724726D9-5001-4739-ACD1-B437D7F6AB94}"/>
    <cellStyle name="20% - Accent3 2 3 2 13" xfId="1468" xr:uid="{C0BB414A-396E-4DF0-A9BC-70E51E4B83CA}"/>
    <cellStyle name="20% - Accent3 2 3 2 14" xfId="11416" xr:uid="{333AAEB2-6963-478F-A8B8-539A26EC5AF4}"/>
    <cellStyle name="20% - Accent3 2 3 2 2" xfId="2297" xr:uid="{E769529A-B01E-4A5E-96C7-F0E849C48F9F}"/>
    <cellStyle name="20% - Accent3 2 3 2 2 2" xfId="12245" xr:uid="{1A3E2731-0961-4BB6-883B-B8C36436FF45}"/>
    <cellStyle name="20% - Accent3 2 3 2 3" xfId="3126" xr:uid="{50A2A6EA-8EAC-4F02-8487-FBA01E7F1406}"/>
    <cellStyle name="20% - Accent3 2 3 2 3 2" xfId="13074" xr:uid="{25A3B025-F8EA-476C-B4DF-6839337FA85A}"/>
    <cellStyle name="20% - Accent3 2 3 2 4" xfId="3955" xr:uid="{D30534E4-8B80-4DF2-954E-58A4EF262DA5}"/>
    <cellStyle name="20% - Accent3 2 3 2 4 2" xfId="13903" xr:uid="{10855418-C3D6-4BF2-B709-1D3E323864E3}"/>
    <cellStyle name="20% - Accent3 2 3 2 5" xfId="4784" xr:uid="{E188C672-2335-44A8-BABC-82B7813D9F74}"/>
    <cellStyle name="20% - Accent3 2 3 2 5 2" xfId="14732" xr:uid="{4072A98B-742B-4D71-B504-2456B79EB2C0}"/>
    <cellStyle name="20% - Accent3 2 3 2 6" xfId="5613" xr:uid="{5C234ABE-6207-4320-9B17-1F59BC4CEE80}"/>
    <cellStyle name="20% - Accent3 2 3 2 6 2" xfId="15561" xr:uid="{80F963FD-933D-4C97-9885-18C5FA0F315C}"/>
    <cellStyle name="20% - Accent3 2 3 2 7" xfId="6442" xr:uid="{C70D31BF-44CB-494B-89BC-3A35B0DE491A}"/>
    <cellStyle name="20% - Accent3 2 3 2 7 2" xfId="16390" xr:uid="{AA6D030B-7C56-42BF-88E0-FE9DB798C20C}"/>
    <cellStyle name="20% - Accent3 2 3 2 8" xfId="7271" xr:uid="{7415B41C-9722-4193-A73E-E8E6F0899731}"/>
    <cellStyle name="20% - Accent3 2 3 2 8 2" xfId="17219" xr:uid="{CC728311-BA9F-4657-8C95-D7F30BFBEB09}"/>
    <cellStyle name="20% - Accent3 2 3 2 9" xfId="8100" xr:uid="{77D02268-B02F-430F-AF44-E67DF81B8F09}"/>
    <cellStyle name="20% - Accent3 2 3 2 9 2" xfId="18048" xr:uid="{6843B819-A4AD-43F4-95CF-052B1D8DF5C0}"/>
    <cellStyle name="20% - Accent3 2 3 3" xfId="1881" xr:uid="{5C581AF9-8AD6-4DA6-BFF8-7EA1E33779ED}"/>
    <cellStyle name="20% - Accent3 2 3 3 2" xfId="11829" xr:uid="{B252EC0A-5BAA-45BE-A707-17E16A72832F}"/>
    <cellStyle name="20% - Accent3 2 3 4" xfId="2710" xr:uid="{7E7C7D0D-58DC-47C3-A689-A149E857300C}"/>
    <cellStyle name="20% - Accent3 2 3 4 2" xfId="12658" xr:uid="{DE56D0D2-2727-480E-842F-31CDB4FE2EA2}"/>
    <cellStyle name="20% - Accent3 2 3 5" xfId="3539" xr:uid="{1CCD6B2C-B363-4241-BD1F-4CEAA16F58A4}"/>
    <cellStyle name="20% - Accent3 2 3 5 2" xfId="13487" xr:uid="{1EE586FA-B676-40DA-BEB2-66BEFFD91FFB}"/>
    <cellStyle name="20% - Accent3 2 3 6" xfId="4368" xr:uid="{33D43FB6-9398-49E6-BD68-2A85C6EFC727}"/>
    <cellStyle name="20% - Accent3 2 3 6 2" xfId="14316" xr:uid="{16653E47-935B-4804-81FE-B3AD932E054B}"/>
    <cellStyle name="20% - Accent3 2 3 7" xfId="5197" xr:uid="{37711E22-7D26-443A-A5B0-D3B486BF4027}"/>
    <cellStyle name="20% - Accent3 2 3 7 2" xfId="15145" xr:uid="{66E1F489-8EEC-455C-AB51-CF1B8B45ECE8}"/>
    <cellStyle name="20% - Accent3 2 3 8" xfId="6026" xr:uid="{ED0A3896-0B76-4C42-ADBF-55AAB5E2E1A1}"/>
    <cellStyle name="20% - Accent3 2 3 8 2" xfId="15974" xr:uid="{00A4C57F-32EC-47D1-B141-EE5F6FEA1844}"/>
    <cellStyle name="20% - Accent3 2 3 9" xfId="6855" xr:uid="{4A06317E-23F0-4C83-ACB7-3E8F7472037A}"/>
    <cellStyle name="20% - Accent3 2 3 9 2" xfId="16803" xr:uid="{ABFEF547-8C7D-4F83-A8CA-EE902AF6E02C}"/>
    <cellStyle name="20% - Accent3 2 4" xfId="595" xr:uid="{00000000-0005-0000-0000-000028000000}"/>
    <cellStyle name="20% - Accent3 2 4 10" xfId="8926" xr:uid="{D771A2DE-A4DD-4881-846F-E42F8A631AF9}"/>
    <cellStyle name="20% - Accent3 2 4 10 2" xfId="18874" xr:uid="{6B730219-329F-4D4F-845D-D4F68D7E9A33}"/>
    <cellStyle name="20% - Accent3 2 4 11" xfId="9755" xr:uid="{6B00FA3F-FAEE-45C2-9F1C-AE714AB6601C}"/>
    <cellStyle name="20% - Accent3 2 4 11 2" xfId="19703" xr:uid="{14035A6E-58B5-4884-801E-4EED66605443}"/>
    <cellStyle name="20% - Accent3 2 4 12" xfId="10584" xr:uid="{9D461D3A-A30B-4512-9435-B93FAF98049C}"/>
    <cellStyle name="20% - Accent3 2 4 12 2" xfId="20532" xr:uid="{2B7C79CE-0CD7-4604-8886-7B13CD243033}"/>
    <cellStyle name="20% - Accent3 2 4 13" xfId="1465" xr:uid="{F8AB3773-693E-424E-AD0A-95C8AFA861C0}"/>
    <cellStyle name="20% - Accent3 2 4 14" xfId="11413" xr:uid="{5030A8CD-5931-467D-933F-F28D5802DFEF}"/>
    <cellStyle name="20% - Accent3 2 4 2" xfId="2294" xr:uid="{81CFEEF0-5F34-4F53-8BCA-AFCBA352EA53}"/>
    <cellStyle name="20% - Accent3 2 4 2 2" xfId="12242" xr:uid="{38B0973D-5C0B-4895-A977-C4B63FC3EF36}"/>
    <cellStyle name="20% - Accent3 2 4 3" xfId="3123" xr:uid="{1DF7643C-3E7D-485A-8B2A-9FB034CC3C27}"/>
    <cellStyle name="20% - Accent3 2 4 3 2" xfId="13071" xr:uid="{8DA05D15-61C2-4DF1-9394-1E60122F702A}"/>
    <cellStyle name="20% - Accent3 2 4 4" xfId="3952" xr:uid="{3A1944B0-F96F-4A55-9EC2-301AE0ABD4F5}"/>
    <cellStyle name="20% - Accent3 2 4 4 2" xfId="13900" xr:uid="{559B212E-157B-405F-A544-AC0E9A49BC7D}"/>
    <cellStyle name="20% - Accent3 2 4 5" xfId="4781" xr:uid="{3331588D-8F4B-4C1E-8659-DF46A9D06885}"/>
    <cellStyle name="20% - Accent3 2 4 5 2" xfId="14729" xr:uid="{4645B099-E931-4F6A-84B2-B5E18853C50F}"/>
    <cellStyle name="20% - Accent3 2 4 6" xfId="5610" xr:uid="{106C683B-67AA-4E9F-A86F-11B78D978BFD}"/>
    <cellStyle name="20% - Accent3 2 4 6 2" xfId="15558" xr:uid="{569FEA1D-AC00-4654-AE86-A81E4A2E222B}"/>
    <cellStyle name="20% - Accent3 2 4 7" xfId="6439" xr:uid="{D8BDC3E0-EC2E-4F46-9BB1-5DC02777C38D}"/>
    <cellStyle name="20% - Accent3 2 4 7 2" xfId="16387" xr:uid="{132FEAEC-9BCA-40B9-A90B-F29FEA94D0E5}"/>
    <cellStyle name="20% - Accent3 2 4 8" xfId="7268" xr:uid="{3661AB50-CD29-460B-963F-A4C913BE071C}"/>
    <cellStyle name="20% - Accent3 2 4 8 2" xfId="17216" xr:uid="{797E3C38-EACB-4265-B3CE-CBFB766D8F20}"/>
    <cellStyle name="20% - Accent3 2 4 9" xfId="8097" xr:uid="{AC76798D-B15E-41C6-8B77-336F901C7753}"/>
    <cellStyle name="20% - Accent3 2 4 9 2" xfId="18045" xr:uid="{42504687-FB65-4954-A295-FCA02EE46F76}"/>
    <cellStyle name="20% - Accent3 2 5" xfId="1878" xr:uid="{E8559A88-5408-41F1-A305-7304314CAC44}"/>
    <cellStyle name="20% - Accent3 2 5 2" xfId="11826" xr:uid="{733202C6-A471-44BD-914B-E3A9D3F67223}"/>
    <cellStyle name="20% - Accent3 2 6" xfId="2707" xr:uid="{E6AEAA70-3F60-4396-8FF5-96D767AD0E7E}"/>
    <cellStyle name="20% - Accent3 2 6 2" xfId="12655" xr:uid="{CC0824DE-F182-4876-A2E4-73C99C5C704C}"/>
    <cellStyle name="20% - Accent3 2 7" xfId="3536" xr:uid="{C2BAAAF8-8AD0-49BF-A13B-C356BCEFF0F2}"/>
    <cellStyle name="20% - Accent3 2 7 2" xfId="13484" xr:uid="{C93F37E3-08C8-4047-9EFC-A15944590E3C}"/>
    <cellStyle name="20% - Accent3 2 8" xfId="4365" xr:uid="{7D142B14-ADCD-42D0-B70C-DE626DBD98A9}"/>
    <cellStyle name="20% - Accent3 2 8 2" xfId="14313" xr:uid="{DB7F98F5-9B5E-4EBE-9663-FA2BCBCF6FC6}"/>
    <cellStyle name="20% - Accent3 2 9" xfId="5194" xr:uid="{0522D8B0-2F74-4D78-A435-F255F6259AC1}"/>
    <cellStyle name="20% - Accent3 2 9 2" xfId="15142" xr:uid="{1EA6FBC7-5617-41DE-BEEE-F1F56056E56D}"/>
    <cellStyle name="20% - Accent3 3" xfId="22" xr:uid="{00000000-0005-0000-0000-000029000000}"/>
    <cellStyle name="20% - Accent3 3 10" xfId="6856" xr:uid="{6C8A312D-B6CA-4EA9-A8E9-B963F39BD1AD}"/>
    <cellStyle name="20% - Accent3 3 10 2" xfId="16804" xr:uid="{B06FCDE0-89F3-46ED-AE03-5775C7D17DFC}"/>
    <cellStyle name="20% - Accent3 3 11" xfId="7685" xr:uid="{0D159EC5-A19E-4B05-B2A7-31B56351C582}"/>
    <cellStyle name="20% - Accent3 3 11 2" xfId="17633" xr:uid="{4F283EA9-EBB4-4E37-8AE7-E32E9F8B8EF9}"/>
    <cellStyle name="20% - Accent3 3 12" xfId="8514" xr:uid="{75BD9655-8BEF-41AD-BF55-14E9F7E62D79}"/>
    <cellStyle name="20% - Accent3 3 12 2" xfId="18462" xr:uid="{E48CC4B7-60F8-4BDC-B7B5-664977D676E1}"/>
    <cellStyle name="20% - Accent3 3 13" xfId="9343" xr:uid="{D3D522AB-79AF-43E2-BA17-E43DA28F9CE6}"/>
    <cellStyle name="20% - Accent3 3 13 2" xfId="19291" xr:uid="{DBDE297D-F2BD-468E-81C3-79C0C7303171}"/>
    <cellStyle name="20% - Accent3 3 14" xfId="10172" xr:uid="{D09AE129-4C72-4675-999E-FB3EA04873DD}"/>
    <cellStyle name="20% - Accent3 3 14 2" xfId="20120" xr:uid="{D89CB847-6500-491D-8AFF-D82E6C1D33DE}"/>
    <cellStyle name="20% - Accent3 3 15" xfId="1053" xr:uid="{1E63A7C3-2010-4D10-BCF7-A5310FF39BA7}"/>
    <cellStyle name="20% - Accent3 3 16" xfId="11001" xr:uid="{D034130D-AE25-4844-816F-6BE1FFAF60FF}"/>
    <cellStyle name="20% - Accent3 3 2" xfId="23" xr:uid="{00000000-0005-0000-0000-00002A000000}"/>
    <cellStyle name="20% - Accent3 3 2 10" xfId="7686" xr:uid="{573879C5-1A1D-4FB4-836E-AFAD49F8F668}"/>
    <cellStyle name="20% - Accent3 3 2 10 2" xfId="17634" xr:uid="{02A3F5F3-39F7-4D24-B9E8-041489465ADA}"/>
    <cellStyle name="20% - Accent3 3 2 11" xfId="8515" xr:uid="{51AE8AF5-D3A0-4F11-8331-B4C548FFFFC8}"/>
    <cellStyle name="20% - Accent3 3 2 11 2" xfId="18463" xr:uid="{6876AE37-34B1-4D58-AC91-D372F9B80087}"/>
    <cellStyle name="20% - Accent3 3 2 12" xfId="9344" xr:uid="{9B67E725-5E5D-4EFD-99CD-59FD00005E0E}"/>
    <cellStyle name="20% - Accent3 3 2 12 2" xfId="19292" xr:uid="{D5AA748F-8DAB-4DA8-BE2E-C8170489C39F}"/>
    <cellStyle name="20% - Accent3 3 2 13" xfId="10173" xr:uid="{9FF15A91-5406-4F6D-B7C0-7F70197A5266}"/>
    <cellStyle name="20% - Accent3 3 2 13 2" xfId="20121" xr:uid="{329CCE5C-E19C-4290-967A-ADD50EA2630A}"/>
    <cellStyle name="20% - Accent3 3 2 14" xfId="1054" xr:uid="{A24DD468-6E65-4CF3-8DAA-92FCDE84848A}"/>
    <cellStyle name="20% - Accent3 3 2 15" xfId="11002" xr:uid="{B836C31A-6F39-4A4B-B8DF-D0B68BEE721D}"/>
    <cellStyle name="20% - Accent3 3 2 2" xfId="600" xr:uid="{00000000-0005-0000-0000-00002B000000}"/>
    <cellStyle name="20% - Accent3 3 2 2 10" xfId="8931" xr:uid="{8271E88A-DD26-48E4-915C-D9267688764F}"/>
    <cellStyle name="20% - Accent3 3 2 2 10 2" xfId="18879" xr:uid="{D546F2E5-3B38-4574-9C31-96B5F5DEEE17}"/>
    <cellStyle name="20% - Accent3 3 2 2 11" xfId="9760" xr:uid="{C86D15D7-6A68-4694-885F-23774DABFB78}"/>
    <cellStyle name="20% - Accent3 3 2 2 11 2" xfId="19708" xr:uid="{29857B51-0BA6-4E4E-9690-9B4539CF7C01}"/>
    <cellStyle name="20% - Accent3 3 2 2 12" xfId="10589" xr:uid="{B6901689-8E2F-4DDF-9BDA-0E4F2A072F29}"/>
    <cellStyle name="20% - Accent3 3 2 2 12 2" xfId="20537" xr:uid="{994535EE-A7CE-463A-B5BF-055462320992}"/>
    <cellStyle name="20% - Accent3 3 2 2 13" xfId="1470" xr:uid="{794B10E8-C076-46D6-857F-216D40E09B3F}"/>
    <cellStyle name="20% - Accent3 3 2 2 14" xfId="11418" xr:uid="{14B3CDA5-ED73-4392-AF84-D4F6CA978877}"/>
    <cellStyle name="20% - Accent3 3 2 2 2" xfId="2299" xr:uid="{36F6AEAE-AC69-432A-BAA0-DA0AC8E5E556}"/>
    <cellStyle name="20% - Accent3 3 2 2 2 2" xfId="12247" xr:uid="{C9092DB2-9E20-43A4-87CC-298E2322B985}"/>
    <cellStyle name="20% - Accent3 3 2 2 3" xfId="3128" xr:uid="{7EFEDF1A-6A7E-4412-A828-8ECFA8C4AE24}"/>
    <cellStyle name="20% - Accent3 3 2 2 3 2" xfId="13076" xr:uid="{94F6607C-0A29-46EE-9252-34BBC161BFFF}"/>
    <cellStyle name="20% - Accent3 3 2 2 4" xfId="3957" xr:uid="{48554288-7F48-46C9-9E9B-A42730D7E6EE}"/>
    <cellStyle name="20% - Accent3 3 2 2 4 2" xfId="13905" xr:uid="{8A1B0B56-2525-4F8D-9AFD-CE914C67FD0F}"/>
    <cellStyle name="20% - Accent3 3 2 2 5" xfId="4786" xr:uid="{BEF84280-AEC7-47C8-821A-08B27DD67A40}"/>
    <cellStyle name="20% - Accent3 3 2 2 5 2" xfId="14734" xr:uid="{20D18E8E-9623-4C3B-95A2-A3D7AC292DEE}"/>
    <cellStyle name="20% - Accent3 3 2 2 6" xfId="5615" xr:uid="{8BC16DC5-EC36-4C0C-97E8-6B11805E3020}"/>
    <cellStyle name="20% - Accent3 3 2 2 6 2" xfId="15563" xr:uid="{9E68967E-F25C-442B-A25C-D5A4D7550C08}"/>
    <cellStyle name="20% - Accent3 3 2 2 7" xfId="6444" xr:uid="{70986B1E-F44A-456E-9DA2-B97096E50772}"/>
    <cellStyle name="20% - Accent3 3 2 2 7 2" xfId="16392" xr:uid="{84E6E157-5130-4429-950A-E63493EA3738}"/>
    <cellStyle name="20% - Accent3 3 2 2 8" xfId="7273" xr:uid="{21FD3DAF-6EE2-4AEA-8179-FE1BD0A116FF}"/>
    <cellStyle name="20% - Accent3 3 2 2 8 2" xfId="17221" xr:uid="{88EEEE70-8549-4801-B7F8-5AE580E861C8}"/>
    <cellStyle name="20% - Accent3 3 2 2 9" xfId="8102" xr:uid="{8B880AD0-EC22-4FE9-A0FB-FFEE74E4D888}"/>
    <cellStyle name="20% - Accent3 3 2 2 9 2" xfId="18050" xr:uid="{B8CB9E8F-0C94-4571-8008-F752EABD4D00}"/>
    <cellStyle name="20% - Accent3 3 2 3" xfId="1883" xr:uid="{0D6A8BF4-9427-4619-A369-3D9DADE28712}"/>
    <cellStyle name="20% - Accent3 3 2 3 2" xfId="11831" xr:uid="{7A04894E-6752-4294-85A0-2F1139FDE75B}"/>
    <cellStyle name="20% - Accent3 3 2 4" xfId="2712" xr:uid="{0BCB0545-6CC6-4EC6-843A-6F08C2917A1E}"/>
    <cellStyle name="20% - Accent3 3 2 4 2" xfId="12660" xr:uid="{5342A6FC-68CC-4B3F-BB82-D067394A8F2C}"/>
    <cellStyle name="20% - Accent3 3 2 5" xfId="3541" xr:uid="{696F2ED8-A779-4EAA-B7B0-595F725BE282}"/>
    <cellStyle name="20% - Accent3 3 2 5 2" xfId="13489" xr:uid="{6989ABEB-141C-4134-A23D-BC173790D542}"/>
    <cellStyle name="20% - Accent3 3 2 6" xfId="4370" xr:uid="{DF42E1B4-266B-4DD6-898C-CF69A16BBFAA}"/>
    <cellStyle name="20% - Accent3 3 2 6 2" xfId="14318" xr:uid="{16812FBD-2688-4151-9388-58F51CB23757}"/>
    <cellStyle name="20% - Accent3 3 2 7" xfId="5199" xr:uid="{05CDC219-1794-4202-9BB8-41348EED62F8}"/>
    <cellStyle name="20% - Accent3 3 2 7 2" xfId="15147" xr:uid="{72A76969-61FE-4137-9748-7F05AAA859AD}"/>
    <cellStyle name="20% - Accent3 3 2 8" xfId="6028" xr:uid="{5FB3A696-52BD-4E95-9F39-30A367816C2B}"/>
    <cellStyle name="20% - Accent3 3 2 8 2" xfId="15976" xr:uid="{302E9C86-841A-4B5C-BC06-8FFE7292B6F0}"/>
    <cellStyle name="20% - Accent3 3 2 9" xfId="6857" xr:uid="{8E91369E-85E7-4A73-B1FD-B7AA79C1DCE7}"/>
    <cellStyle name="20% - Accent3 3 2 9 2" xfId="16805" xr:uid="{9FB58291-B9FE-4810-B531-E81BE3D3B4AF}"/>
    <cellStyle name="20% - Accent3 3 3" xfId="599" xr:uid="{00000000-0005-0000-0000-00002C000000}"/>
    <cellStyle name="20% - Accent3 3 3 10" xfId="8930" xr:uid="{3842F27D-2F39-4C25-87A0-2ADD417B3262}"/>
    <cellStyle name="20% - Accent3 3 3 10 2" xfId="18878" xr:uid="{30BA8439-2F8A-4149-B978-16FB24A31D1B}"/>
    <cellStyle name="20% - Accent3 3 3 11" xfId="9759" xr:uid="{A7907FBA-4550-4CA0-A2D5-915540C5129B}"/>
    <cellStyle name="20% - Accent3 3 3 11 2" xfId="19707" xr:uid="{1B120B77-B0F8-4528-8ED5-C05F5DB4B1D5}"/>
    <cellStyle name="20% - Accent3 3 3 12" xfId="10588" xr:uid="{EC53A53A-8E55-40A0-BC45-81C6BEEB3CF8}"/>
    <cellStyle name="20% - Accent3 3 3 12 2" xfId="20536" xr:uid="{ED975B04-7398-4435-A785-74900AE47596}"/>
    <cellStyle name="20% - Accent3 3 3 13" xfId="1469" xr:uid="{DB1E5837-2A64-4E06-9E7B-55F9410EB674}"/>
    <cellStyle name="20% - Accent3 3 3 14" xfId="11417" xr:uid="{20DFF980-A804-4953-BFE6-C29C3715E942}"/>
    <cellStyle name="20% - Accent3 3 3 2" xfId="2298" xr:uid="{CF37992A-4C16-4DF9-B077-A1732C03C8A3}"/>
    <cellStyle name="20% - Accent3 3 3 2 2" xfId="12246" xr:uid="{B4CFFF6F-2FD8-46EF-8A61-E2BF0D533EB9}"/>
    <cellStyle name="20% - Accent3 3 3 3" xfId="3127" xr:uid="{38097E5F-25BD-44D4-B2F6-E9CCBAC8AB5C}"/>
    <cellStyle name="20% - Accent3 3 3 3 2" xfId="13075" xr:uid="{82E202C0-A6DF-4078-AB49-1A73A5024F22}"/>
    <cellStyle name="20% - Accent3 3 3 4" xfId="3956" xr:uid="{9FB24869-76E3-43A9-8BF8-D39762A4282D}"/>
    <cellStyle name="20% - Accent3 3 3 4 2" xfId="13904" xr:uid="{71D76C46-8643-40D9-9484-652C033634FC}"/>
    <cellStyle name="20% - Accent3 3 3 5" xfId="4785" xr:uid="{4273E7BF-C0AA-4EF2-962D-1E4304FDADEF}"/>
    <cellStyle name="20% - Accent3 3 3 5 2" xfId="14733" xr:uid="{5307CF4C-1C77-4B71-B061-C5511A3A6691}"/>
    <cellStyle name="20% - Accent3 3 3 6" xfId="5614" xr:uid="{4A1A6E27-6DB9-44B9-96F3-AC8E3942C4F1}"/>
    <cellStyle name="20% - Accent3 3 3 6 2" xfId="15562" xr:uid="{049C3063-0B6B-4B04-BB2E-6B44DE7E88B0}"/>
    <cellStyle name="20% - Accent3 3 3 7" xfId="6443" xr:uid="{DCA9B04E-90A4-49D6-BBA0-FAF68DE52B60}"/>
    <cellStyle name="20% - Accent3 3 3 7 2" xfId="16391" xr:uid="{0DCB4414-58A9-452C-98A2-849BD259E398}"/>
    <cellStyle name="20% - Accent3 3 3 8" xfId="7272" xr:uid="{AF115BFE-16EC-4752-96B2-936E8D3BDA2F}"/>
    <cellStyle name="20% - Accent3 3 3 8 2" xfId="17220" xr:uid="{1C01D809-C731-4948-876D-110DF76FA9B5}"/>
    <cellStyle name="20% - Accent3 3 3 9" xfId="8101" xr:uid="{204797F9-0A0D-4A95-BBB5-8F1B9B6CDA31}"/>
    <cellStyle name="20% - Accent3 3 3 9 2" xfId="18049" xr:uid="{4C625CF9-F32B-49C0-93C3-95BF65E18CDB}"/>
    <cellStyle name="20% - Accent3 3 4" xfId="1882" xr:uid="{906A5099-D00C-4792-94B8-85614CB55F5B}"/>
    <cellStyle name="20% - Accent3 3 4 2" xfId="11830" xr:uid="{878609C8-A1E4-4E95-BC5F-C26CF581AB2C}"/>
    <cellStyle name="20% - Accent3 3 5" xfId="2711" xr:uid="{6A37E949-29AA-4B8C-BF1F-F99B4DDA3370}"/>
    <cellStyle name="20% - Accent3 3 5 2" xfId="12659" xr:uid="{C0C99975-2E5F-4CE7-A2B3-2EBAE2F44874}"/>
    <cellStyle name="20% - Accent3 3 6" xfId="3540" xr:uid="{BC32AF42-3EBB-4EC1-A657-2A66AF0F4EB9}"/>
    <cellStyle name="20% - Accent3 3 6 2" xfId="13488" xr:uid="{6FBF23EE-FF0E-4EFC-B777-E7AE9505DDB4}"/>
    <cellStyle name="20% - Accent3 3 7" xfId="4369" xr:uid="{CF9E1CF9-3061-41C9-838B-0EFDAB27C921}"/>
    <cellStyle name="20% - Accent3 3 7 2" xfId="14317" xr:uid="{21550F04-D481-4701-B0A8-5D137F4BF826}"/>
    <cellStyle name="20% - Accent3 3 8" xfId="5198" xr:uid="{EAAF9A3C-61B7-409D-8E27-7D69A6FD295D}"/>
    <cellStyle name="20% - Accent3 3 8 2" xfId="15146" xr:uid="{095EDDF0-84FF-4C36-9BBD-911413558F5B}"/>
    <cellStyle name="20% - Accent3 3 9" xfId="6027" xr:uid="{DE607AE3-AA08-4ED7-A1B4-522E1DD1F450}"/>
    <cellStyle name="20% - Accent3 3 9 2" xfId="15975" xr:uid="{F58C5861-FC4E-4B3F-B096-AD6ABDC9BC5B}"/>
    <cellStyle name="20% - Accent3 4" xfId="24" xr:uid="{00000000-0005-0000-0000-00002D000000}"/>
    <cellStyle name="20% - Accent3 4 10" xfId="7687" xr:uid="{4A16E790-CD88-4E77-9AB7-21ECB466549C}"/>
    <cellStyle name="20% - Accent3 4 10 2" xfId="17635" xr:uid="{DB6A9490-0258-41D0-930F-9A0B052602E3}"/>
    <cellStyle name="20% - Accent3 4 11" xfId="8516" xr:uid="{6637CFC9-870B-4416-A301-49B74EE748F9}"/>
    <cellStyle name="20% - Accent3 4 11 2" xfId="18464" xr:uid="{7514558D-7CF4-4A2B-B698-C75B6AEC72DF}"/>
    <cellStyle name="20% - Accent3 4 12" xfId="9345" xr:uid="{806393EB-DB9F-4CCE-BB9B-DB61DD6B3D76}"/>
    <cellStyle name="20% - Accent3 4 12 2" xfId="19293" xr:uid="{6DA8E7A5-248B-4132-A898-D2921FF97ACE}"/>
    <cellStyle name="20% - Accent3 4 13" xfId="10174" xr:uid="{6287F848-0CD6-4398-BA3F-DC342D5F56F7}"/>
    <cellStyle name="20% - Accent3 4 13 2" xfId="20122" xr:uid="{DD014D0D-2290-4265-B5C9-A865FA820184}"/>
    <cellStyle name="20% - Accent3 4 14" xfId="1055" xr:uid="{581B8824-F65E-4D3C-A45C-722FBDB0A3DF}"/>
    <cellStyle name="20% - Accent3 4 15" xfId="11003" xr:uid="{DD6A7FB4-F5EB-4985-B4BD-5153110AF1F0}"/>
    <cellStyle name="20% - Accent3 4 2" xfId="601" xr:uid="{00000000-0005-0000-0000-00002E000000}"/>
    <cellStyle name="20% - Accent3 4 2 10" xfId="8932" xr:uid="{9A6CB212-670A-4F6E-BCB4-CB5168F0F702}"/>
    <cellStyle name="20% - Accent3 4 2 10 2" xfId="18880" xr:uid="{F0108357-CF7E-4CA0-BDD9-F2BDE5EB999D}"/>
    <cellStyle name="20% - Accent3 4 2 11" xfId="9761" xr:uid="{1880A1D2-441E-4CEF-ABDF-4EC079EBE948}"/>
    <cellStyle name="20% - Accent3 4 2 11 2" xfId="19709" xr:uid="{36C89A31-E5A4-48C4-AA75-20944AF040AD}"/>
    <cellStyle name="20% - Accent3 4 2 12" xfId="10590" xr:uid="{065A587D-3AA5-44F8-9D1E-EDBE9C724743}"/>
    <cellStyle name="20% - Accent3 4 2 12 2" xfId="20538" xr:uid="{5C8EDC74-7E16-4528-B374-094F8882BB7F}"/>
    <cellStyle name="20% - Accent3 4 2 13" xfId="1471" xr:uid="{F048ED70-A02F-412E-9D78-324104D9228A}"/>
    <cellStyle name="20% - Accent3 4 2 14" xfId="11419" xr:uid="{97DA5BEE-E9DC-4DB8-BA90-675879872FB8}"/>
    <cellStyle name="20% - Accent3 4 2 2" xfId="2300" xr:uid="{4BBD69A5-E911-4590-8D01-31BB2C66CBC4}"/>
    <cellStyle name="20% - Accent3 4 2 2 2" xfId="12248" xr:uid="{AFB974D9-2B7F-494C-B832-BF0EEF9650C3}"/>
    <cellStyle name="20% - Accent3 4 2 3" xfId="3129" xr:uid="{599AB2FF-9937-472D-9612-08EB56EACB06}"/>
    <cellStyle name="20% - Accent3 4 2 3 2" xfId="13077" xr:uid="{B9DDB133-A4D8-4DD8-87E3-7BA827B45880}"/>
    <cellStyle name="20% - Accent3 4 2 4" xfId="3958" xr:uid="{C31CF107-423A-41F1-8BCD-3CC32DD59D25}"/>
    <cellStyle name="20% - Accent3 4 2 4 2" xfId="13906" xr:uid="{1EA1A799-BCDF-41AE-A271-16223C83ED28}"/>
    <cellStyle name="20% - Accent3 4 2 5" xfId="4787" xr:uid="{D027C4D9-6BED-4952-A05F-154733D080F3}"/>
    <cellStyle name="20% - Accent3 4 2 5 2" xfId="14735" xr:uid="{70313882-6022-4934-A913-5DB82F80AAAD}"/>
    <cellStyle name="20% - Accent3 4 2 6" xfId="5616" xr:uid="{F91CD96D-8546-4A0A-8F9E-4D479B7FAA44}"/>
    <cellStyle name="20% - Accent3 4 2 6 2" xfId="15564" xr:uid="{376806BC-4DAD-427B-9F80-35ADEAA9E7DC}"/>
    <cellStyle name="20% - Accent3 4 2 7" xfId="6445" xr:uid="{DBD9F3CF-7FA6-44AB-A5A6-1F8C11A7C37E}"/>
    <cellStyle name="20% - Accent3 4 2 7 2" xfId="16393" xr:uid="{86A4BC78-89BF-4F97-817D-BBE3DDD7B082}"/>
    <cellStyle name="20% - Accent3 4 2 8" xfId="7274" xr:uid="{038B72B1-F1C6-4FC6-BEB0-A04EA5161DA9}"/>
    <cellStyle name="20% - Accent3 4 2 8 2" xfId="17222" xr:uid="{8DDF2D27-CF71-4FE4-8100-D9EC82BE4A10}"/>
    <cellStyle name="20% - Accent3 4 2 9" xfId="8103" xr:uid="{2544A2A1-A315-46B7-86BE-2DA9A84E5AFE}"/>
    <cellStyle name="20% - Accent3 4 2 9 2" xfId="18051" xr:uid="{179B3CA8-B783-4ABC-AE4F-BB8C4E62C8FA}"/>
    <cellStyle name="20% - Accent3 4 3" xfId="1884" xr:uid="{ACB2ED20-7A0B-4609-9AD6-A79F724257E8}"/>
    <cellStyle name="20% - Accent3 4 3 2" xfId="11832" xr:uid="{56ABACC3-0AB8-4849-905B-C79BD7D431E7}"/>
    <cellStyle name="20% - Accent3 4 4" xfId="2713" xr:uid="{CA197534-14EA-409E-A8D9-7DB5B9194270}"/>
    <cellStyle name="20% - Accent3 4 4 2" xfId="12661" xr:uid="{6FE64FF0-C4DF-42BF-944C-231C79381699}"/>
    <cellStyle name="20% - Accent3 4 5" xfId="3542" xr:uid="{CF006CB0-E74C-4583-86B6-F312DD7142D8}"/>
    <cellStyle name="20% - Accent3 4 5 2" xfId="13490" xr:uid="{96377704-D294-4AAF-8A57-3B9E97585809}"/>
    <cellStyle name="20% - Accent3 4 6" xfId="4371" xr:uid="{3A3223D2-099C-4495-A3D1-F13B996252BC}"/>
    <cellStyle name="20% - Accent3 4 6 2" xfId="14319" xr:uid="{89E851A0-AF9E-4B63-AEF1-87E023E628B0}"/>
    <cellStyle name="20% - Accent3 4 7" xfId="5200" xr:uid="{34D96833-318E-44F3-923A-2008B426E63D}"/>
    <cellStyle name="20% - Accent3 4 7 2" xfId="15148" xr:uid="{DCD385D8-3ACB-438F-A59F-0E20832DEF2E}"/>
    <cellStyle name="20% - Accent3 4 8" xfId="6029" xr:uid="{F27D597A-0A3E-4409-9822-8F5E2F30B019}"/>
    <cellStyle name="20% - Accent3 4 8 2" xfId="15977" xr:uid="{D9D385F8-CE13-4422-B307-61D39383C74E}"/>
    <cellStyle name="20% - Accent3 4 9" xfId="6858" xr:uid="{D4B99F10-78FA-4271-9367-2DA52CACE15F}"/>
    <cellStyle name="20% - Accent3 4 9 2" xfId="16806" xr:uid="{771CBB02-6D27-4364-B1D6-EF669C404A8C}"/>
    <cellStyle name="20% - Accent3 5" xfId="594" xr:uid="{00000000-0005-0000-0000-00002F000000}"/>
    <cellStyle name="20% - Accent3 5 10" xfId="8925" xr:uid="{B3CE5EDB-481C-45DC-8B6C-A84C3B9FA514}"/>
    <cellStyle name="20% - Accent3 5 10 2" xfId="18873" xr:uid="{BF7D568C-0C8C-48D8-B342-F4DD59D08105}"/>
    <cellStyle name="20% - Accent3 5 11" xfId="9754" xr:uid="{E69BFB34-9520-475E-8FFE-BC6F66E8B434}"/>
    <cellStyle name="20% - Accent3 5 11 2" xfId="19702" xr:uid="{E4737AF4-EE95-4543-BB8D-5B6299691F0E}"/>
    <cellStyle name="20% - Accent3 5 12" xfId="10583" xr:uid="{A30C71B0-CFE0-463B-AFAA-15C4DD91AA74}"/>
    <cellStyle name="20% - Accent3 5 12 2" xfId="20531" xr:uid="{1FC3240D-FC11-42A0-9B11-22D12EE78CD2}"/>
    <cellStyle name="20% - Accent3 5 13" xfId="1464" xr:uid="{EEF72A82-8B8D-42BC-9CE6-E4FDC4DF51C5}"/>
    <cellStyle name="20% - Accent3 5 14" xfId="11412" xr:uid="{D7B3F028-F0B7-425D-AADB-C6065B17A5E6}"/>
    <cellStyle name="20% - Accent3 5 2" xfId="2293" xr:uid="{42F73AE7-523B-4FD5-9690-E5561EF02E7F}"/>
    <cellStyle name="20% - Accent3 5 2 2" xfId="12241" xr:uid="{4C87618A-D296-427D-BAC3-440C5FCA7448}"/>
    <cellStyle name="20% - Accent3 5 3" xfId="3122" xr:uid="{E66090D9-AA20-4209-84B1-90B0C4C1F8E9}"/>
    <cellStyle name="20% - Accent3 5 3 2" xfId="13070" xr:uid="{1413A1B4-5DAA-41A7-9C04-B967DB12240C}"/>
    <cellStyle name="20% - Accent3 5 4" xfId="3951" xr:uid="{A6B1F376-9970-4F49-AD9C-FA2B8B906823}"/>
    <cellStyle name="20% - Accent3 5 4 2" xfId="13899" xr:uid="{7F9BB594-454F-46D6-9182-5F1B7B4729B9}"/>
    <cellStyle name="20% - Accent3 5 5" xfId="4780" xr:uid="{310187DF-1546-4C49-A08F-9586C20DE0C9}"/>
    <cellStyle name="20% - Accent3 5 5 2" xfId="14728" xr:uid="{6463B173-DCF1-49BB-886B-E9B6A9A4654D}"/>
    <cellStyle name="20% - Accent3 5 6" xfId="5609" xr:uid="{3FA20291-62AB-4FAD-BCAD-D58FEDDBD9B9}"/>
    <cellStyle name="20% - Accent3 5 6 2" xfId="15557" xr:uid="{14FE7C13-F383-4E0B-84FC-3168328E501A}"/>
    <cellStyle name="20% - Accent3 5 7" xfId="6438" xr:uid="{958575C9-D75B-41AC-ADB4-633376036928}"/>
    <cellStyle name="20% - Accent3 5 7 2" xfId="16386" xr:uid="{E3B4BBB2-E020-4C4E-B4AD-13F2062EF42E}"/>
    <cellStyle name="20% - Accent3 5 8" xfId="7267" xr:uid="{24EC980B-DE92-4C2C-81B2-1003F55EBCDA}"/>
    <cellStyle name="20% - Accent3 5 8 2" xfId="17215" xr:uid="{B1EF0BFC-188E-481D-8117-479FAC21BA3D}"/>
    <cellStyle name="20% - Accent3 5 9" xfId="8096" xr:uid="{DEA86D45-1C58-45A1-9559-1A3C8EF8E8B6}"/>
    <cellStyle name="20% - Accent3 5 9 2" xfId="18044" xr:uid="{E8255D9C-E4BF-445B-AC7B-C1EAC94B3600}"/>
    <cellStyle name="20% - Accent3 6" xfId="1877" xr:uid="{C2B8F0CD-9F88-4439-A909-3C8FBF16ED72}"/>
    <cellStyle name="20% - Accent3 6 2" xfId="11825" xr:uid="{6669D283-E2F4-4736-A2C1-7084524C0853}"/>
    <cellStyle name="20% - Accent3 7" xfId="2706" xr:uid="{11E200AA-063C-41A8-BA12-F2143C0E7FAE}"/>
    <cellStyle name="20% - Accent3 7 2" xfId="12654" xr:uid="{F69CF94D-5852-44F3-A502-99598C0AA02B}"/>
    <cellStyle name="20% - Accent3 8" xfId="3535" xr:uid="{B9EDDD98-88A2-4EF6-8FD0-63AB915027E3}"/>
    <cellStyle name="20% - Accent3 8 2" xfId="13483" xr:uid="{97378755-DCD4-47DE-A92F-7390474749FC}"/>
    <cellStyle name="20% - Accent3 9" xfId="4364" xr:uid="{058221D3-D2F9-4163-98EB-A183EBA5A193}"/>
    <cellStyle name="20% - Accent3 9 2" xfId="14312" xr:uid="{F41344F6-3491-450A-99C3-2200483BE1E7}"/>
    <cellStyle name="20% - Accent4" xfId="25" builtinId="42" customBuiltin="1"/>
    <cellStyle name="20% - Accent4 10" xfId="5201" xr:uid="{6B3D401A-C505-40B3-80D3-50A2ED1A594A}"/>
    <cellStyle name="20% - Accent4 10 2" xfId="15149" xr:uid="{DDC3E1AA-9488-4386-9184-4085007EF134}"/>
    <cellStyle name="20% - Accent4 11" xfId="6030" xr:uid="{E2D207FF-CEAD-4747-BF18-0FE134D205F0}"/>
    <cellStyle name="20% - Accent4 11 2" xfId="15978" xr:uid="{B821B05D-3D98-42C9-8494-406B4D072752}"/>
    <cellStyle name="20% - Accent4 12" xfId="6859" xr:uid="{AE18E13D-D808-49BA-9414-D8587ACBF472}"/>
    <cellStyle name="20% - Accent4 12 2" xfId="16807" xr:uid="{706F0A99-288F-4B26-BF79-D33175E41F28}"/>
    <cellStyle name="20% - Accent4 13" xfId="7688" xr:uid="{1963F478-D49D-437A-8651-9CC05CA5358E}"/>
    <cellStyle name="20% - Accent4 13 2" xfId="17636" xr:uid="{0D0F120C-5CDC-496E-B525-328320FED4CB}"/>
    <cellStyle name="20% - Accent4 14" xfId="8517" xr:uid="{612EE3FA-54FD-4EEB-9F4B-A6B176592382}"/>
    <cellStyle name="20% - Accent4 14 2" xfId="18465" xr:uid="{1F0ADB75-BA6D-4DFB-BED2-6861EF4EDC74}"/>
    <cellStyle name="20% - Accent4 15" xfId="9346" xr:uid="{D8E819EA-FA28-4015-9131-4851191132B4}"/>
    <cellStyle name="20% - Accent4 15 2" xfId="19294" xr:uid="{853B24E8-7330-4278-B379-5284CA01CF21}"/>
    <cellStyle name="20% - Accent4 16" xfId="10175" xr:uid="{C1A496FA-45F2-45B7-8D7C-AF8C77358C7B}"/>
    <cellStyle name="20% - Accent4 16 2" xfId="20123" xr:uid="{E77BCB9F-2086-4942-99E1-0E6E31EFB9AF}"/>
    <cellStyle name="20% - Accent4 17" xfId="1056" xr:uid="{8736CB1B-41A4-4D46-9158-F6AEAFF58764}"/>
    <cellStyle name="20% - Accent4 18" xfId="11004" xr:uid="{B727C4B8-2E16-47A1-9D5B-315A3666E411}"/>
    <cellStyle name="20% - Accent4 2" xfId="26" xr:uid="{00000000-0005-0000-0000-000031000000}"/>
    <cellStyle name="20% - Accent4 2 10" xfId="6031" xr:uid="{ED798622-CCCB-48E3-AC0E-3D93267900F2}"/>
    <cellStyle name="20% - Accent4 2 10 2" xfId="15979" xr:uid="{E1E49D41-48D2-4FF0-BF24-4A7221BA66AA}"/>
    <cellStyle name="20% - Accent4 2 11" xfId="6860" xr:uid="{957FD8E8-E628-4B6A-B99F-1D70AD0A5EBF}"/>
    <cellStyle name="20% - Accent4 2 11 2" xfId="16808" xr:uid="{D08988AF-6804-414E-A75D-0431193B23EE}"/>
    <cellStyle name="20% - Accent4 2 12" xfId="7689" xr:uid="{9A863254-50BD-4F2A-B989-C3937293CCE9}"/>
    <cellStyle name="20% - Accent4 2 12 2" xfId="17637" xr:uid="{2D41E954-1226-4FB3-9755-8F2C1272814F}"/>
    <cellStyle name="20% - Accent4 2 13" xfId="8518" xr:uid="{996FA218-DD31-4D9F-868C-37159767F7CA}"/>
    <cellStyle name="20% - Accent4 2 13 2" xfId="18466" xr:uid="{612514B8-9200-468C-B0C3-79035C57F4C6}"/>
    <cellStyle name="20% - Accent4 2 14" xfId="9347" xr:uid="{1DC11677-607F-4E06-AF86-CC41DEB68340}"/>
    <cellStyle name="20% - Accent4 2 14 2" xfId="19295" xr:uid="{49D35FB8-694B-4D6A-B639-EF2D64213449}"/>
    <cellStyle name="20% - Accent4 2 15" xfId="10176" xr:uid="{65FD7763-1E22-49D1-B3DD-8672A9235981}"/>
    <cellStyle name="20% - Accent4 2 15 2" xfId="20124" xr:uid="{99B51EA3-92BC-4FE9-97FB-55859BAAE937}"/>
    <cellStyle name="20% - Accent4 2 16" xfId="1057" xr:uid="{F092E62D-1D5E-480B-8FC6-A8239BA12A19}"/>
    <cellStyle name="20% - Accent4 2 17" xfId="11005" xr:uid="{D2B11A07-1B96-4A5F-BE5D-1FF3F3F030D5}"/>
    <cellStyle name="20% - Accent4 2 2" xfId="27" xr:uid="{00000000-0005-0000-0000-000032000000}"/>
    <cellStyle name="20% - Accent4 2 2 10" xfId="6861" xr:uid="{E4373C52-80F1-46F4-B724-2BA5AB397ABA}"/>
    <cellStyle name="20% - Accent4 2 2 10 2" xfId="16809" xr:uid="{557C3821-21A0-4B75-8ED5-D39300D1629C}"/>
    <cellStyle name="20% - Accent4 2 2 11" xfId="7690" xr:uid="{DDE9EF96-19BB-4549-98C7-4987B87317E9}"/>
    <cellStyle name="20% - Accent4 2 2 11 2" xfId="17638" xr:uid="{D66D018D-C0A5-40D9-97DE-89BB5787D8E3}"/>
    <cellStyle name="20% - Accent4 2 2 12" xfId="8519" xr:uid="{5DE03239-7F2E-404D-AEF6-1D7451E6395E}"/>
    <cellStyle name="20% - Accent4 2 2 12 2" xfId="18467" xr:uid="{6C0B65FE-3937-434A-BE34-B0136125DFBD}"/>
    <cellStyle name="20% - Accent4 2 2 13" xfId="9348" xr:uid="{DCD5601E-EB48-4056-BCA6-10CB7F9526C2}"/>
    <cellStyle name="20% - Accent4 2 2 13 2" xfId="19296" xr:uid="{90C3EAB4-6F61-4B67-A48D-8D4FD4DF7766}"/>
    <cellStyle name="20% - Accent4 2 2 14" xfId="10177" xr:uid="{FBB07246-DF7E-4ED4-B4AF-AF6E26D48001}"/>
    <cellStyle name="20% - Accent4 2 2 14 2" xfId="20125" xr:uid="{E12F69A4-19A1-4FF4-B30A-143B69BA99FF}"/>
    <cellStyle name="20% - Accent4 2 2 15" xfId="1058" xr:uid="{0A9E2C5A-C388-41A1-818E-975DE92F022B}"/>
    <cellStyle name="20% - Accent4 2 2 16" xfId="11006" xr:uid="{371225BD-02E1-476A-8831-A2E28BF62F45}"/>
    <cellStyle name="20% - Accent4 2 2 2" xfId="28" xr:uid="{00000000-0005-0000-0000-000033000000}"/>
    <cellStyle name="20% - Accent4 2 2 2 10" xfId="7691" xr:uid="{8B4E5561-38ED-49CB-B234-1D8AE2E4B312}"/>
    <cellStyle name="20% - Accent4 2 2 2 10 2" xfId="17639" xr:uid="{1A515D64-37AA-4296-A565-E9F7F6F42F3C}"/>
    <cellStyle name="20% - Accent4 2 2 2 11" xfId="8520" xr:uid="{83531013-8EAA-414C-9B1E-D0C038A37372}"/>
    <cellStyle name="20% - Accent4 2 2 2 11 2" xfId="18468" xr:uid="{F992FF53-18DE-415B-9B1F-4EBC0C94CCC1}"/>
    <cellStyle name="20% - Accent4 2 2 2 12" xfId="9349" xr:uid="{E80FD801-DF82-4CC0-8828-1270A4BE3FD4}"/>
    <cellStyle name="20% - Accent4 2 2 2 12 2" xfId="19297" xr:uid="{2902AA97-E239-41CB-95D4-00EA70D839A6}"/>
    <cellStyle name="20% - Accent4 2 2 2 13" xfId="10178" xr:uid="{3C57CB40-F1AB-4A38-AED8-8CEE54BFA84D}"/>
    <cellStyle name="20% - Accent4 2 2 2 13 2" xfId="20126" xr:uid="{C364F970-BF6B-4CE7-AB38-0974077690D3}"/>
    <cellStyle name="20% - Accent4 2 2 2 14" xfId="1059" xr:uid="{7A381FB1-28D5-49A4-BF3E-55F98D2E65A9}"/>
    <cellStyle name="20% - Accent4 2 2 2 15" xfId="11007" xr:uid="{4605D88E-BC03-4B6F-8F5C-F95D982505E9}"/>
    <cellStyle name="20% - Accent4 2 2 2 2" xfId="605" xr:uid="{00000000-0005-0000-0000-000034000000}"/>
    <cellStyle name="20% - Accent4 2 2 2 2 10" xfId="8936" xr:uid="{0058038C-9C6B-4E14-A8AD-D09A328E864B}"/>
    <cellStyle name="20% - Accent4 2 2 2 2 10 2" xfId="18884" xr:uid="{2F1C4222-2770-46B4-A0E4-6641D64A8EF4}"/>
    <cellStyle name="20% - Accent4 2 2 2 2 11" xfId="9765" xr:uid="{904C0DEA-8254-4F01-9D37-623496939248}"/>
    <cellStyle name="20% - Accent4 2 2 2 2 11 2" xfId="19713" xr:uid="{BEAF0AE8-873D-4CD7-B547-0F28FA45F5BE}"/>
    <cellStyle name="20% - Accent4 2 2 2 2 12" xfId="10594" xr:uid="{2DA0B7DE-EEE0-45A3-B9F2-87964972B3AC}"/>
    <cellStyle name="20% - Accent4 2 2 2 2 12 2" xfId="20542" xr:uid="{4BB18BF6-59A2-4822-BB91-64B937FF84F0}"/>
    <cellStyle name="20% - Accent4 2 2 2 2 13" xfId="1475" xr:uid="{FC753B8A-DCA7-4631-ABC7-03FBC299BCEE}"/>
    <cellStyle name="20% - Accent4 2 2 2 2 14" xfId="11423" xr:uid="{20AA02E5-5025-4D97-95F2-226466E785F3}"/>
    <cellStyle name="20% - Accent4 2 2 2 2 2" xfId="2304" xr:uid="{C1F5F79B-9EC8-47BC-9FBB-F46B59489037}"/>
    <cellStyle name="20% - Accent4 2 2 2 2 2 2" xfId="12252" xr:uid="{59F0EE2C-8E8C-4B7A-BA0C-11F3FC20ED0C}"/>
    <cellStyle name="20% - Accent4 2 2 2 2 3" xfId="3133" xr:uid="{91AE0F56-01A5-4F54-95B3-7118E21AA945}"/>
    <cellStyle name="20% - Accent4 2 2 2 2 3 2" xfId="13081" xr:uid="{E7E09569-BEE8-4CEB-BF89-8CA1FDBA1126}"/>
    <cellStyle name="20% - Accent4 2 2 2 2 4" xfId="3962" xr:uid="{688C221F-3C48-44A6-BDF8-5A33BD537438}"/>
    <cellStyle name="20% - Accent4 2 2 2 2 4 2" xfId="13910" xr:uid="{F44A1BC0-5BE2-481B-9C1F-B7B864178121}"/>
    <cellStyle name="20% - Accent4 2 2 2 2 5" xfId="4791" xr:uid="{5C4B4804-F6B3-41C0-86D3-2064BCBAADA8}"/>
    <cellStyle name="20% - Accent4 2 2 2 2 5 2" xfId="14739" xr:uid="{6B40ED6E-825B-496F-AB96-8CBFFD4A22F1}"/>
    <cellStyle name="20% - Accent4 2 2 2 2 6" xfId="5620" xr:uid="{C7F575EC-1CC0-41AC-8EAA-2232A037A5E1}"/>
    <cellStyle name="20% - Accent4 2 2 2 2 6 2" xfId="15568" xr:uid="{D4D45382-D48D-4D45-B6E7-36A68A1BEB21}"/>
    <cellStyle name="20% - Accent4 2 2 2 2 7" xfId="6449" xr:uid="{0E5E2856-8E75-4C82-A3BC-A2DDF67AFE29}"/>
    <cellStyle name="20% - Accent4 2 2 2 2 7 2" xfId="16397" xr:uid="{0370E408-C685-4B4A-90D0-07027247E2E4}"/>
    <cellStyle name="20% - Accent4 2 2 2 2 8" xfId="7278" xr:uid="{E6282FB3-1512-49FF-A544-F687D674A436}"/>
    <cellStyle name="20% - Accent4 2 2 2 2 8 2" xfId="17226" xr:uid="{3A8FD812-A73C-485A-801D-58A18A5E5F8D}"/>
    <cellStyle name="20% - Accent4 2 2 2 2 9" xfId="8107" xr:uid="{A3BCBD5A-8C58-475C-9E39-E0CD09449B0C}"/>
    <cellStyle name="20% - Accent4 2 2 2 2 9 2" xfId="18055" xr:uid="{618B481A-AE3F-4181-8F63-BB5EFF4A935B}"/>
    <cellStyle name="20% - Accent4 2 2 2 3" xfId="1888" xr:uid="{ABFCEE0E-9B98-444C-AB8E-98F767175983}"/>
    <cellStyle name="20% - Accent4 2 2 2 3 2" xfId="11836" xr:uid="{644B1302-663A-4D98-974D-1FA440149CC5}"/>
    <cellStyle name="20% - Accent4 2 2 2 4" xfId="2717" xr:uid="{35DEE1A1-39AF-4EFC-B914-3933E4478470}"/>
    <cellStyle name="20% - Accent4 2 2 2 4 2" xfId="12665" xr:uid="{9CFDF486-2A69-4665-9636-85DA2833518D}"/>
    <cellStyle name="20% - Accent4 2 2 2 5" xfId="3546" xr:uid="{E4A23FE5-460F-4913-80AE-33C6A8724A4F}"/>
    <cellStyle name="20% - Accent4 2 2 2 5 2" xfId="13494" xr:uid="{9837AC1C-38B6-4AC5-B637-592F9F2EC486}"/>
    <cellStyle name="20% - Accent4 2 2 2 6" xfId="4375" xr:uid="{D4712075-22AA-440C-B3E5-7CEDEDB66F64}"/>
    <cellStyle name="20% - Accent4 2 2 2 6 2" xfId="14323" xr:uid="{E3291338-E275-489A-8890-2CF52B4DFA3D}"/>
    <cellStyle name="20% - Accent4 2 2 2 7" xfId="5204" xr:uid="{2E4FCD4A-DC2E-4E06-A8AE-E3A3087ECBA7}"/>
    <cellStyle name="20% - Accent4 2 2 2 7 2" xfId="15152" xr:uid="{6B5F89E7-3566-4E65-B183-AC3724B8E0B5}"/>
    <cellStyle name="20% - Accent4 2 2 2 8" xfId="6033" xr:uid="{7D6E0492-85E1-46F2-B9F9-B5D46C99FD5B}"/>
    <cellStyle name="20% - Accent4 2 2 2 8 2" xfId="15981" xr:uid="{AC732C1D-7C84-4EB4-8CBE-8AC1CC34CFF7}"/>
    <cellStyle name="20% - Accent4 2 2 2 9" xfId="6862" xr:uid="{174EEECE-B382-4F1D-AACA-38FA3A058912}"/>
    <cellStyle name="20% - Accent4 2 2 2 9 2" xfId="16810" xr:uid="{CFF0959A-BF61-496F-B09A-EE57F5FDEE60}"/>
    <cellStyle name="20% - Accent4 2 2 3" xfId="604" xr:uid="{00000000-0005-0000-0000-000035000000}"/>
    <cellStyle name="20% - Accent4 2 2 3 10" xfId="8935" xr:uid="{D4336573-8270-4E47-8C6F-92A2AECEDC12}"/>
    <cellStyle name="20% - Accent4 2 2 3 10 2" xfId="18883" xr:uid="{F3B32717-F485-480E-A5F5-40997688B37D}"/>
    <cellStyle name="20% - Accent4 2 2 3 11" xfId="9764" xr:uid="{2A45FFB1-0DEE-45FF-9F23-007DB0B0DE40}"/>
    <cellStyle name="20% - Accent4 2 2 3 11 2" xfId="19712" xr:uid="{92EE5088-1EEB-4753-A590-C6278AE7EEE0}"/>
    <cellStyle name="20% - Accent4 2 2 3 12" xfId="10593" xr:uid="{73A54018-70AA-4189-9B02-D4C0E7990499}"/>
    <cellStyle name="20% - Accent4 2 2 3 12 2" xfId="20541" xr:uid="{FE4A000C-9317-48EF-8145-38F625DE4D88}"/>
    <cellStyle name="20% - Accent4 2 2 3 13" xfId="1474" xr:uid="{76CBB1D8-3712-43D4-829B-A1B3E52C5FE4}"/>
    <cellStyle name="20% - Accent4 2 2 3 14" xfId="11422" xr:uid="{6AC9C971-4696-4611-BEB3-4DF5A289BD29}"/>
    <cellStyle name="20% - Accent4 2 2 3 2" xfId="2303" xr:uid="{BA0A8A67-9D9B-4856-9C90-E6294865E833}"/>
    <cellStyle name="20% - Accent4 2 2 3 2 2" xfId="12251" xr:uid="{23066B3D-0FB8-4C52-A7B9-59F2A72B9236}"/>
    <cellStyle name="20% - Accent4 2 2 3 3" xfId="3132" xr:uid="{D8CC8A9C-321E-41FA-B8FB-581D4EE9B55B}"/>
    <cellStyle name="20% - Accent4 2 2 3 3 2" xfId="13080" xr:uid="{06FD2440-5F0E-43F2-9014-9CF129BEF01A}"/>
    <cellStyle name="20% - Accent4 2 2 3 4" xfId="3961" xr:uid="{8B5AF776-BDB2-420E-9655-998E21A37043}"/>
    <cellStyle name="20% - Accent4 2 2 3 4 2" xfId="13909" xr:uid="{46F402AD-B62E-4E8C-BE83-84CBB2451ADD}"/>
    <cellStyle name="20% - Accent4 2 2 3 5" xfId="4790" xr:uid="{564B086E-2AA1-427A-A3AD-2E1E94A5347D}"/>
    <cellStyle name="20% - Accent4 2 2 3 5 2" xfId="14738" xr:uid="{C5349695-5747-4192-86B6-6885B8965121}"/>
    <cellStyle name="20% - Accent4 2 2 3 6" xfId="5619" xr:uid="{57FD0AC6-6AFB-4971-A536-516982894DB5}"/>
    <cellStyle name="20% - Accent4 2 2 3 6 2" xfId="15567" xr:uid="{701E163A-6270-4C5C-929A-D4CB5536B937}"/>
    <cellStyle name="20% - Accent4 2 2 3 7" xfId="6448" xr:uid="{21F59A60-A379-42E3-B95C-FBBFC7004F84}"/>
    <cellStyle name="20% - Accent4 2 2 3 7 2" xfId="16396" xr:uid="{6B57BAC1-AEC5-4E0A-8CDF-4590C9C5CC54}"/>
    <cellStyle name="20% - Accent4 2 2 3 8" xfId="7277" xr:uid="{C324EC15-9144-4FE1-8E54-AD3BF026F7F2}"/>
    <cellStyle name="20% - Accent4 2 2 3 8 2" xfId="17225" xr:uid="{735D943D-FEB6-47F8-9628-CC4A18B2FE9C}"/>
    <cellStyle name="20% - Accent4 2 2 3 9" xfId="8106" xr:uid="{F4257224-A5D3-4267-826E-421541CF5313}"/>
    <cellStyle name="20% - Accent4 2 2 3 9 2" xfId="18054" xr:uid="{97BB537F-1EF8-4700-A999-C593150A8468}"/>
    <cellStyle name="20% - Accent4 2 2 4" xfId="1887" xr:uid="{98FB0E63-5932-419A-84D0-814E28236E50}"/>
    <cellStyle name="20% - Accent4 2 2 4 2" xfId="11835" xr:uid="{9309CA6E-68EA-469A-8841-349564319774}"/>
    <cellStyle name="20% - Accent4 2 2 5" xfId="2716" xr:uid="{A0647C9C-CAE1-45C3-860E-03D182E54EF7}"/>
    <cellStyle name="20% - Accent4 2 2 5 2" xfId="12664" xr:uid="{C43FBFD2-8CF4-4CAC-8849-B34BBDD565BE}"/>
    <cellStyle name="20% - Accent4 2 2 6" xfId="3545" xr:uid="{4672D266-F077-4C51-8E01-E30123A2D5B4}"/>
    <cellStyle name="20% - Accent4 2 2 6 2" xfId="13493" xr:uid="{ED87E089-AE9D-4BF6-A54A-27D5AD718674}"/>
    <cellStyle name="20% - Accent4 2 2 7" xfId="4374" xr:uid="{FD8A3048-8DA2-4FAB-86B4-C6067C359486}"/>
    <cellStyle name="20% - Accent4 2 2 7 2" xfId="14322" xr:uid="{12C892CF-11C9-4E8A-9648-9150377367CC}"/>
    <cellStyle name="20% - Accent4 2 2 8" xfId="5203" xr:uid="{99B4145B-11B4-4FBA-BED8-F1642C88DB6A}"/>
    <cellStyle name="20% - Accent4 2 2 8 2" xfId="15151" xr:uid="{3D875725-7A14-419A-BBB7-ED7792173095}"/>
    <cellStyle name="20% - Accent4 2 2 9" xfId="6032" xr:uid="{2C9C8A33-7CE0-4BA0-B56A-4971AC731165}"/>
    <cellStyle name="20% - Accent4 2 2 9 2" xfId="15980" xr:uid="{A92BD7FA-F82C-44B2-89F5-0D41D49A2648}"/>
    <cellStyle name="20% - Accent4 2 3" xfId="29" xr:uid="{00000000-0005-0000-0000-000036000000}"/>
    <cellStyle name="20% - Accent4 2 3 10" xfId="7692" xr:uid="{1E58D563-D988-4B2F-81C9-AF6AA04E3505}"/>
    <cellStyle name="20% - Accent4 2 3 10 2" xfId="17640" xr:uid="{E262898C-BA9A-4CDD-A98D-18E929914195}"/>
    <cellStyle name="20% - Accent4 2 3 11" xfId="8521" xr:uid="{67D7E8D2-7FB1-405E-93B6-10135375986B}"/>
    <cellStyle name="20% - Accent4 2 3 11 2" xfId="18469" xr:uid="{5D375B7F-C870-4ED1-9F11-5F9B2D31C6B9}"/>
    <cellStyle name="20% - Accent4 2 3 12" xfId="9350" xr:uid="{49A9EF64-4BC6-4390-B030-54094A4B00B4}"/>
    <cellStyle name="20% - Accent4 2 3 12 2" xfId="19298" xr:uid="{44805C02-5E79-4598-8B63-B71330DA21AD}"/>
    <cellStyle name="20% - Accent4 2 3 13" xfId="10179" xr:uid="{07EB0F2F-22D7-4BA3-B49F-7F176E747384}"/>
    <cellStyle name="20% - Accent4 2 3 13 2" xfId="20127" xr:uid="{E720C37B-D213-4A48-8F31-C9A7D2D61CCF}"/>
    <cellStyle name="20% - Accent4 2 3 14" xfId="1060" xr:uid="{AA8B583B-37D0-48E0-971F-E4BD4ADAB80E}"/>
    <cellStyle name="20% - Accent4 2 3 15" xfId="11008" xr:uid="{EFB207B1-46E1-468D-92C2-4286C55FA21F}"/>
    <cellStyle name="20% - Accent4 2 3 2" xfId="606" xr:uid="{00000000-0005-0000-0000-000037000000}"/>
    <cellStyle name="20% - Accent4 2 3 2 10" xfId="8937" xr:uid="{237E58AD-E472-45C9-8CA5-4C9DE7F80B83}"/>
    <cellStyle name="20% - Accent4 2 3 2 10 2" xfId="18885" xr:uid="{9BE35BA6-0D51-4811-A3D5-B280838B9565}"/>
    <cellStyle name="20% - Accent4 2 3 2 11" xfId="9766" xr:uid="{D4FD4758-FF56-4744-A77F-2C8AE13BB63E}"/>
    <cellStyle name="20% - Accent4 2 3 2 11 2" xfId="19714" xr:uid="{87569D2E-CBB9-4BB2-A08A-B5FD1BAB3AC1}"/>
    <cellStyle name="20% - Accent4 2 3 2 12" xfId="10595" xr:uid="{7CC20A3A-D9D6-4683-B50A-EADEA3E3B263}"/>
    <cellStyle name="20% - Accent4 2 3 2 12 2" xfId="20543" xr:uid="{9C39CD2F-7523-44ED-96D8-DF36CE3F6D36}"/>
    <cellStyle name="20% - Accent4 2 3 2 13" xfId="1476" xr:uid="{7744598E-4F0F-4BC7-B0C6-994EE4E52FA1}"/>
    <cellStyle name="20% - Accent4 2 3 2 14" xfId="11424" xr:uid="{3A16BBF9-4293-4997-A9C6-D25C0094C922}"/>
    <cellStyle name="20% - Accent4 2 3 2 2" xfId="2305" xr:uid="{163B771E-94C6-46C7-8B1E-ED898AA76AB8}"/>
    <cellStyle name="20% - Accent4 2 3 2 2 2" xfId="12253" xr:uid="{C1AE7258-61D2-44CB-B71B-E93A19E858C3}"/>
    <cellStyle name="20% - Accent4 2 3 2 3" xfId="3134" xr:uid="{5EFD18F3-6C7D-464E-8AF9-62604DDA4524}"/>
    <cellStyle name="20% - Accent4 2 3 2 3 2" xfId="13082" xr:uid="{A923841E-5CA4-4A68-B20D-A3D9F740CECC}"/>
    <cellStyle name="20% - Accent4 2 3 2 4" xfId="3963" xr:uid="{0D3FBE47-55F1-450B-8290-F2ED60F25403}"/>
    <cellStyle name="20% - Accent4 2 3 2 4 2" xfId="13911" xr:uid="{F5AA771B-8B54-44D8-9672-5BB42DD72B4D}"/>
    <cellStyle name="20% - Accent4 2 3 2 5" xfId="4792" xr:uid="{14769423-4AE7-4C29-A7FF-AA7AB414EC71}"/>
    <cellStyle name="20% - Accent4 2 3 2 5 2" xfId="14740" xr:uid="{40A74C26-659C-4F93-BC00-CA81C94AE7C6}"/>
    <cellStyle name="20% - Accent4 2 3 2 6" xfId="5621" xr:uid="{92ECD4AC-A75F-45A3-BC44-2535175680CE}"/>
    <cellStyle name="20% - Accent4 2 3 2 6 2" xfId="15569" xr:uid="{AC4CD0FE-17BF-4292-B6F7-4968478D5637}"/>
    <cellStyle name="20% - Accent4 2 3 2 7" xfId="6450" xr:uid="{A15D24FD-8BDE-4D96-B029-AB0481D4345E}"/>
    <cellStyle name="20% - Accent4 2 3 2 7 2" xfId="16398" xr:uid="{490EE386-0570-4293-8F1D-41A7CD5E1412}"/>
    <cellStyle name="20% - Accent4 2 3 2 8" xfId="7279" xr:uid="{9725996A-8A45-46D9-930F-4E28F6E37DEB}"/>
    <cellStyle name="20% - Accent4 2 3 2 8 2" xfId="17227" xr:uid="{01D26933-DB70-40C4-A737-B4DEAE4602A4}"/>
    <cellStyle name="20% - Accent4 2 3 2 9" xfId="8108" xr:uid="{2A5D0549-F785-4893-901E-DDFFA3BC4C60}"/>
    <cellStyle name="20% - Accent4 2 3 2 9 2" xfId="18056" xr:uid="{13B63307-72D1-4FFD-A6B1-4B92EC6DD728}"/>
    <cellStyle name="20% - Accent4 2 3 3" xfId="1889" xr:uid="{DE9A39DC-8961-448E-8065-559FDB183A30}"/>
    <cellStyle name="20% - Accent4 2 3 3 2" xfId="11837" xr:uid="{46E2B473-698E-4455-840F-47C9CA6A9F83}"/>
    <cellStyle name="20% - Accent4 2 3 4" xfId="2718" xr:uid="{C444AFA3-5AD2-4C5F-95B2-E085912105E6}"/>
    <cellStyle name="20% - Accent4 2 3 4 2" xfId="12666" xr:uid="{CB3E5BC1-B9B3-4F28-9732-1A38EC5214A7}"/>
    <cellStyle name="20% - Accent4 2 3 5" xfId="3547" xr:uid="{E79D43FE-0B67-4774-B5B0-DF2DD48399F8}"/>
    <cellStyle name="20% - Accent4 2 3 5 2" xfId="13495" xr:uid="{C93D5CCB-E3FA-4B23-B6F1-18FC423385C3}"/>
    <cellStyle name="20% - Accent4 2 3 6" xfId="4376" xr:uid="{CB812A2B-6463-4CE9-8F68-B73412EB753A}"/>
    <cellStyle name="20% - Accent4 2 3 6 2" xfId="14324" xr:uid="{5A814E0D-AA3F-4CAE-A12F-02034993CB48}"/>
    <cellStyle name="20% - Accent4 2 3 7" xfId="5205" xr:uid="{F8D1EE97-C89E-46B9-ADBD-C89F48F4009F}"/>
    <cellStyle name="20% - Accent4 2 3 7 2" xfId="15153" xr:uid="{5777C167-B550-477C-B46D-D2D667576B0F}"/>
    <cellStyle name="20% - Accent4 2 3 8" xfId="6034" xr:uid="{4F8AE80B-6CC7-4F9F-BD4C-17FF7F9F382D}"/>
    <cellStyle name="20% - Accent4 2 3 8 2" xfId="15982" xr:uid="{FA8E492B-43B6-4364-B564-7E5F058396E6}"/>
    <cellStyle name="20% - Accent4 2 3 9" xfId="6863" xr:uid="{9DE2D9D9-5F93-4DFB-994C-00C4817DD90F}"/>
    <cellStyle name="20% - Accent4 2 3 9 2" xfId="16811" xr:uid="{F7B69209-9140-44BD-962F-D507EA45177D}"/>
    <cellStyle name="20% - Accent4 2 4" xfId="603" xr:uid="{00000000-0005-0000-0000-000038000000}"/>
    <cellStyle name="20% - Accent4 2 4 10" xfId="8934" xr:uid="{2C847E45-F276-4061-92EF-213C4BA2534F}"/>
    <cellStyle name="20% - Accent4 2 4 10 2" xfId="18882" xr:uid="{1E91A6E6-6723-4400-B756-D9257183B85E}"/>
    <cellStyle name="20% - Accent4 2 4 11" xfId="9763" xr:uid="{D4C93F76-D63B-4028-9E59-A6019C0408FA}"/>
    <cellStyle name="20% - Accent4 2 4 11 2" xfId="19711" xr:uid="{2FE165EE-FAF7-4A2C-98D0-6D715668F4D0}"/>
    <cellStyle name="20% - Accent4 2 4 12" xfId="10592" xr:uid="{219E8E0C-99C2-4117-B3DA-D158D4D00A89}"/>
    <cellStyle name="20% - Accent4 2 4 12 2" xfId="20540" xr:uid="{9260E1FA-27DE-4F1E-A405-BCF73A70E368}"/>
    <cellStyle name="20% - Accent4 2 4 13" xfId="1473" xr:uid="{3F4B5ED6-6DBF-4C3C-A3D7-AB156B5BD6AD}"/>
    <cellStyle name="20% - Accent4 2 4 14" xfId="11421" xr:uid="{BFD17AAC-FFB7-4070-82A7-876C348947C6}"/>
    <cellStyle name="20% - Accent4 2 4 2" xfId="2302" xr:uid="{024D72EC-9E97-4589-B6EB-84C36E94F9DC}"/>
    <cellStyle name="20% - Accent4 2 4 2 2" xfId="12250" xr:uid="{6EBF3C43-1EE4-4719-AF97-C58005A6DA09}"/>
    <cellStyle name="20% - Accent4 2 4 3" xfId="3131" xr:uid="{8BF6A53C-AF03-438A-AD15-108A29112A4F}"/>
    <cellStyle name="20% - Accent4 2 4 3 2" xfId="13079" xr:uid="{79FAAA4A-43FD-4EBD-8ACB-953D7A09C73A}"/>
    <cellStyle name="20% - Accent4 2 4 4" xfId="3960" xr:uid="{A0626331-6189-47B1-B5CE-90CDD9BAE16B}"/>
    <cellStyle name="20% - Accent4 2 4 4 2" xfId="13908" xr:uid="{8D2FC0F1-C6D0-43FD-B7D3-14FAAB58CEFA}"/>
    <cellStyle name="20% - Accent4 2 4 5" xfId="4789" xr:uid="{17AC853C-9DEB-4BB7-99AE-24E1C41A0F99}"/>
    <cellStyle name="20% - Accent4 2 4 5 2" xfId="14737" xr:uid="{1B8BA323-9C26-41BF-83A0-57338537ED63}"/>
    <cellStyle name="20% - Accent4 2 4 6" xfId="5618" xr:uid="{218F1FC3-69A3-4B53-9354-53558A9FF952}"/>
    <cellStyle name="20% - Accent4 2 4 6 2" xfId="15566" xr:uid="{4322E22F-66FF-4DD7-BC87-423E9E2590B5}"/>
    <cellStyle name="20% - Accent4 2 4 7" xfId="6447" xr:uid="{D17D32C5-8CE1-4F93-906A-EB85D8407E19}"/>
    <cellStyle name="20% - Accent4 2 4 7 2" xfId="16395" xr:uid="{C5BCDD5B-59F4-42C8-A001-83A3D5BA6D84}"/>
    <cellStyle name="20% - Accent4 2 4 8" xfId="7276" xr:uid="{44D6CD70-AC6E-428D-9CFD-9F4E0928F96C}"/>
    <cellStyle name="20% - Accent4 2 4 8 2" xfId="17224" xr:uid="{130DFC32-4556-4CF0-ADBF-B4807189F485}"/>
    <cellStyle name="20% - Accent4 2 4 9" xfId="8105" xr:uid="{CD469663-1525-41D0-A8BB-8824EC791255}"/>
    <cellStyle name="20% - Accent4 2 4 9 2" xfId="18053" xr:uid="{2C8CEF70-78FF-49FF-A097-05FA7399BFE5}"/>
    <cellStyle name="20% - Accent4 2 5" xfId="1886" xr:uid="{96A68488-3405-4717-834D-650385960C5F}"/>
    <cellStyle name="20% - Accent4 2 5 2" xfId="11834" xr:uid="{58AAA522-AD82-4C31-BDBE-F366285AC1B9}"/>
    <cellStyle name="20% - Accent4 2 6" xfId="2715" xr:uid="{D76A0CE9-BAE1-439A-A5BB-0E86AD150ACD}"/>
    <cellStyle name="20% - Accent4 2 6 2" xfId="12663" xr:uid="{D717B370-26E1-4084-A82E-23E5CB53A812}"/>
    <cellStyle name="20% - Accent4 2 7" xfId="3544" xr:uid="{C07CDD4C-2552-48DC-8A89-CDC51442CC32}"/>
    <cellStyle name="20% - Accent4 2 7 2" xfId="13492" xr:uid="{5F2CF2D3-29F8-466D-9F0B-1D8C81DF7C6C}"/>
    <cellStyle name="20% - Accent4 2 8" xfId="4373" xr:uid="{328A19F4-21B8-48D1-A079-6B960A0AAF26}"/>
    <cellStyle name="20% - Accent4 2 8 2" xfId="14321" xr:uid="{72F9F2FF-B398-4752-AA46-4D4414E0CD3F}"/>
    <cellStyle name="20% - Accent4 2 9" xfId="5202" xr:uid="{43F31389-3235-4CF5-BE7B-E0271DC6C38C}"/>
    <cellStyle name="20% - Accent4 2 9 2" xfId="15150" xr:uid="{AFB58F5B-D8D9-4941-8271-C634438881DB}"/>
    <cellStyle name="20% - Accent4 3" xfId="30" xr:uid="{00000000-0005-0000-0000-000039000000}"/>
    <cellStyle name="20% - Accent4 3 10" xfId="6864" xr:uid="{9DF7B2E5-5996-4A03-9E63-821B14E55975}"/>
    <cellStyle name="20% - Accent4 3 10 2" xfId="16812" xr:uid="{B9FC6EC5-F28F-4097-87F2-F5DEEA72B08A}"/>
    <cellStyle name="20% - Accent4 3 11" xfId="7693" xr:uid="{1ACA2AA5-D4FE-4867-AED1-0C807DED5ECE}"/>
    <cellStyle name="20% - Accent4 3 11 2" xfId="17641" xr:uid="{5525F458-A0AC-42EC-A409-43698980586E}"/>
    <cellStyle name="20% - Accent4 3 12" xfId="8522" xr:uid="{063BE428-FE6C-4E24-8F0A-71F12068963F}"/>
    <cellStyle name="20% - Accent4 3 12 2" xfId="18470" xr:uid="{6C1E2C0B-6F33-4F0C-8021-67835129F6D2}"/>
    <cellStyle name="20% - Accent4 3 13" xfId="9351" xr:uid="{F4CCA4F6-B034-47C5-88EC-85F8DF4F5F6B}"/>
    <cellStyle name="20% - Accent4 3 13 2" xfId="19299" xr:uid="{C505A2A4-7FC0-40C8-93F7-1F17765ABA50}"/>
    <cellStyle name="20% - Accent4 3 14" xfId="10180" xr:uid="{B2FD24A5-CD8C-40F1-9F77-76A4A762B7ED}"/>
    <cellStyle name="20% - Accent4 3 14 2" xfId="20128" xr:uid="{4FFDD0F6-7206-4CFA-9471-22B6D3892DE8}"/>
    <cellStyle name="20% - Accent4 3 15" xfId="1061" xr:uid="{B5739EB1-9C96-4E82-A519-EB52F50C14B8}"/>
    <cellStyle name="20% - Accent4 3 16" xfId="11009" xr:uid="{8EDD95FE-42A6-45AE-BC21-F619BA6DDD4B}"/>
    <cellStyle name="20% - Accent4 3 2" xfId="31" xr:uid="{00000000-0005-0000-0000-00003A000000}"/>
    <cellStyle name="20% - Accent4 3 2 10" xfId="7694" xr:uid="{D1FA284C-550E-4DE7-A478-902E9267E679}"/>
    <cellStyle name="20% - Accent4 3 2 10 2" xfId="17642" xr:uid="{67C0A697-6D1D-4EE3-9F66-BA257165D5B5}"/>
    <cellStyle name="20% - Accent4 3 2 11" xfId="8523" xr:uid="{76E08B50-F966-4B0B-AC60-BC0F5C3D084E}"/>
    <cellStyle name="20% - Accent4 3 2 11 2" xfId="18471" xr:uid="{2749C93B-212F-48FE-B53C-009DA38A82FB}"/>
    <cellStyle name="20% - Accent4 3 2 12" xfId="9352" xr:uid="{708C5BFB-CAA1-4022-8FF4-F8BE7E6079DE}"/>
    <cellStyle name="20% - Accent4 3 2 12 2" xfId="19300" xr:uid="{36FA877E-89FF-49F5-B6EF-EF5D191909CD}"/>
    <cellStyle name="20% - Accent4 3 2 13" xfId="10181" xr:uid="{14FFB3C4-119E-446A-A109-2CA8FD6BA36A}"/>
    <cellStyle name="20% - Accent4 3 2 13 2" xfId="20129" xr:uid="{9C37EE90-BE9B-4BD6-9965-AD5267757349}"/>
    <cellStyle name="20% - Accent4 3 2 14" xfId="1062" xr:uid="{7CA649EF-0F51-4D6E-B9C0-DCEB34561161}"/>
    <cellStyle name="20% - Accent4 3 2 15" xfId="11010" xr:uid="{3C5A2C45-DA3B-4093-8611-29DC29DDD4A8}"/>
    <cellStyle name="20% - Accent4 3 2 2" xfId="608" xr:uid="{00000000-0005-0000-0000-00003B000000}"/>
    <cellStyle name="20% - Accent4 3 2 2 10" xfId="8939" xr:uid="{7AEB2DD6-ED2D-48D7-B526-FDE2DC032D8D}"/>
    <cellStyle name="20% - Accent4 3 2 2 10 2" xfId="18887" xr:uid="{8D07CA0B-B744-4C52-A526-1C9FD6947A01}"/>
    <cellStyle name="20% - Accent4 3 2 2 11" xfId="9768" xr:uid="{3146E8CB-A19A-4EB0-AB94-3EAF152A655F}"/>
    <cellStyle name="20% - Accent4 3 2 2 11 2" xfId="19716" xr:uid="{C2BAB40B-0D7E-4856-8717-402348A73822}"/>
    <cellStyle name="20% - Accent4 3 2 2 12" xfId="10597" xr:uid="{A365E31B-0901-4B44-A5A3-AC56BF14E7AD}"/>
    <cellStyle name="20% - Accent4 3 2 2 12 2" xfId="20545" xr:uid="{100AFD3D-7F83-47C2-9EDD-609BE91596D2}"/>
    <cellStyle name="20% - Accent4 3 2 2 13" xfId="1478" xr:uid="{EDC7307B-E1A0-40CC-A3D1-7B5BC2D71BA6}"/>
    <cellStyle name="20% - Accent4 3 2 2 14" xfId="11426" xr:uid="{B24D0133-61C2-41F8-9AF2-0DB864A2DD5D}"/>
    <cellStyle name="20% - Accent4 3 2 2 2" xfId="2307" xr:uid="{1F4F6E00-36D5-40D6-A8A9-C32E1AE47CDF}"/>
    <cellStyle name="20% - Accent4 3 2 2 2 2" xfId="12255" xr:uid="{13EC54DC-028F-4618-B536-EE43B31D7D6E}"/>
    <cellStyle name="20% - Accent4 3 2 2 3" xfId="3136" xr:uid="{4BB7C7FB-2B3E-4C44-97F2-BB93F5D93434}"/>
    <cellStyle name="20% - Accent4 3 2 2 3 2" xfId="13084" xr:uid="{F5898572-1581-4DF3-B0D7-9586DBFEBAB5}"/>
    <cellStyle name="20% - Accent4 3 2 2 4" xfId="3965" xr:uid="{04717DF7-09AC-4EBA-8B9D-28806A8A34E9}"/>
    <cellStyle name="20% - Accent4 3 2 2 4 2" xfId="13913" xr:uid="{1FC027EA-D830-4C2B-A1BA-E4EAF41744E3}"/>
    <cellStyle name="20% - Accent4 3 2 2 5" xfId="4794" xr:uid="{BDE3C400-D2AD-4BAD-8BE4-E9B9423C510A}"/>
    <cellStyle name="20% - Accent4 3 2 2 5 2" xfId="14742" xr:uid="{49CC3550-160D-4F57-A656-6CEF99242D59}"/>
    <cellStyle name="20% - Accent4 3 2 2 6" xfId="5623" xr:uid="{FF375214-33B4-4FF8-9500-23C847D0C285}"/>
    <cellStyle name="20% - Accent4 3 2 2 6 2" xfId="15571" xr:uid="{090A986A-DE68-4AC7-AF27-259B9850F3C3}"/>
    <cellStyle name="20% - Accent4 3 2 2 7" xfId="6452" xr:uid="{BD350BFD-7FF4-45B5-BF5B-042671F31668}"/>
    <cellStyle name="20% - Accent4 3 2 2 7 2" xfId="16400" xr:uid="{CDCB6A8D-4CEE-485A-9B6E-01929E027C9B}"/>
    <cellStyle name="20% - Accent4 3 2 2 8" xfId="7281" xr:uid="{E7213C04-71B5-4015-82CC-265206963850}"/>
    <cellStyle name="20% - Accent4 3 2 2 8 2" xfId="17229" xr:uid="{DDF1BD1F-19B4-488C-84DD-A5774E1628E9}"/>
    <cellStyle name="20% - Accent4 3 2 2 9" xfId="8110" xr:uid="{2F175147-F968-44C9-BA6E-E6C5041C7E9E}"/>
    <cellStyle name="20% - Accent4 3 2 2 9 2" xfId="18058" xr:uid="{FFBC0E48-4176-4B7E-ACEA-7D1861502BA0}"/>
    <cellStyle name="20% - Accent4 3 2 3" xfId="1891" xr:uid="{36C47715-D9DD-4737-BEF3-ECCFBCABFC3B}"/>
    <cellStyle name="20% - Accent4 3 2 3 2" xfId="11839" xr:uid="{CBD8AB26-5B7D-4DF3-A441-D3044C8117E5}"/>
    <cellStyle name="20% - Accent4 3 2 4" xfId="2720" xr:uid="{7D4F8DDD-8A5F-4C3D-BE43-2E6272D6320A}"/>
    <cellStyle name="20% - Accent4 3 2 4 2" xfId="12668" xr:uid="{106B1946-5056-40F7-B76C-C35A4FD4DDA9}"/>
    <cellStyle name="20% - Accent4 3 2 5" xfId="3549" xr:uid="{D57DE78C-4E57-4ED2-BFD2-C1131EC17D8C}"/>
    <cellStyle name="20% - Accent4 3 2 5 2" xfId="13497" xr:uid="{798BF1A2-B6E2-4B42-BF92-05B45675F68D}"/>
    <cellStyle name="20% - Accent4 3 2 6" xfId="4378" xr:uid="{137E9D5E-0465-4834-A4BB-6BBE2E511387}"/>
    <cellStyle name="20% - Accent4 3 2 6 2" xfId="14326" xr:uid="{661A2C13-4AAB-432C-A469-68974DF7ABD6}"/>
    <cellStyle name="20% - Accent4 3 2 7" xfId="5207" xr:uid="{2E96DAEF-D021-4903-AD8D-ABA8062B0534}"/>
    <cellStyle name="20% - Accent4 3 2 7 2" xfId="15155" xr:uid="{55C76D34-E496-4C19-9A31-0B8B0CDFDA07}"/>
    <cellStyle name="20% - Accent4 3 2 8" xfId="6036" xr:uid="{960D02B8-87C7-4CF6-BA79-60EBF679B7FB}"/>
    <cellStyle name="20% - Accent4 3 2 8 2" xfId="15984" xr:uid="{03A9E72D-F2EE-4F00-A747-769EF566C0B7}"/>
    <cellStyle name="20% - Accent4 3 2 9" xfId="6865" xr:uid="{1250E4E5-6F15-4D48-9C5D-3E240CFA36C5}"/>
    <cellStyle name="20% - Accent4 3 2 9 2" xfId="16813" xr:uid="{B8274E0B-67C1-4F37-A3B5-EF67EF51AF7A}"/>
    <cellStyle name="20% - Accent4 3 3" xfId="607" xr:uid="{00000000-0005-0000-0000-00003C000000}"/>
    <cellStyle name="20% - Accent4 3 3 10" xfId="8938" xr:uid="{738E58E4-612A-4FE0-A0E1-E56B42428FDA}"/>
    <cellStyle name="20% - Accent4 3 3 10 2" xfId="18886" xr:uid="{01DFC3E6-38C3-4AC3-866B-068ED3560C60}"/>
    <cellStyle name="20% - Accent4 3 3 11" xfId="9767" xr:uid="{81E4AEF6-B962-40E4-95EA-41F16196267E}"/>
    <cellStyle name="20% - Accent4 3 3 11 2" xfId="19715" xr:uid="{5481282E-AA2C-4C44-B082-069DA32FDF0F}"/>
    <cellStyle name="20% - Accent4 3 3 12" xfId="10596" xr:uid="{6FB3C63A-DA2D-447A-B816-37C41541600F}"/>
    <cellStyle name="20% - Accent4 3 3 12 2" xfId="20544" xr:uid="{44A8DD81-3B38-4C31-A57B-4B7BED09C25D}"/>
    <cellStyle name="20% - Accent4 3 3 13" xfId="1477" xr:uid="{A518C1FE-C65D-4D48-B49C-1D83DB9337FE}"/>
    <cellStyle name="20% - Accent4 3 3 14" xfId="11425" xr:uid="{6EB7748A-3F5F-41A0-8374-D466A84F1A62}"/>
    <cellStyle name="20% - Accent4 3 3 2" xfId="2306" xr:uid="{64867EA7-360A-4B77-9766-30EA28A3FD19}"/>
    <cellStyle name="20% - Accent4 3 3 2 2" xfId="12254" xr:uid="{773C1460-B63E-4A4F-B765-015002A1EE07}"/>
    <cellStyle name="20% - Accent4 3 3 3" xfId="3135" xr:uid="{F21D8AAE-83C2-4CEF-9FDD-3C52BCA94FFE}"/>
    <cellStyle name="20% - Accent4 3 3 3 2" xfId="13083" xr:uid="{20E800CF-18F6-4F7A-8C46-5E1AFDD74682}"/>
    <cellStyle name="20% - Accent4 3 3 4" xfId="3964" xr:uid="{B0897713-380B-4E67-A498-5CCFB9C29C50}"/>
    <cellStyle name="20% - Accent4 3 3 4 2" xfId="13912" xr:uid="{5BD11504-8FC2-4879-AC28-7A606B20A42E}"/>
    <cellStyle name="20% - Accent4 3 3 5" xfId="4793" xr:uid="{6D61DECD-D703-4444-B3F8-EBF9120E4679}"/>
    <cellStyle name="20% - Accent4 3 3 5 2" xfId="14741" xr:uid="{26818F08-67F5-46F9-9663-9FFA8F523F41}"/>
    <cellStyle name="20% - Accent4 3 3 6" xfId="5622" xr:uid="{1770599C-B89B-43B6-8099-BC617F691312}"/>
    <cellStyle name="20% - Accent4 3 3 6 2" xfId="15570" xr:uid="{679C1965-8317-4ABF-8A95-3CD05C8B2511}"/>
    <cellStyle name="20% - Accent4 3 3 7" xfId="6451" xr:uid="{0DD5F884-2E19-48A0-94EB-1395450EC04B}"/>
    <cellStyle name="20% - Accent4 3 3 7 2" xfId="16399" xr:uid="{0233B0FF-625D-4400-BBF3-52437AC7E6E5}"/>
    <cellStyle name="20% - Accent4 3 3 8" xfId="7280" xr:uid="{228AB752-DC27-41EA-A55E-4987E045A44B}"/>
    <cellStyle name="20% - Accent4 3 3 8 2" xfId="17228" xr:uid="{309F34A2-2931-4CD3-9A92-B3D16E1FA8C7}"/>
    <cellStyle name="20% - Accent4 3 3 9" xfId="8109" xr:uid="{6B904327-750C-4DF4-8680-4B45A4FFBC83}"/>
    <cellStyle name="20% - Accent4 3 3 9 2" xfId="18057" xr:uid="{8D552008-FD8D-4015-9DE6-6A14A9967C32}"/>
    <cellStyle name="20% - Accent4 3 4" xfId="1890" xr:uid="{DDE4B3C2-52E4-488E-8497-AA68DD10ED54}"/>
    <cellStyle name="20% - Accent4 3 4 2" xfId="11838" xr:uid="{756E9C44-AD3A-4797-BEAF-49F437BD49B3}"/>
    <cellStyle name="20% - Accent4 3 5" xfId="2719" xr:uid="{36EB5AD5-7D95-4E39-88E3-39742D277CFF}"/>
    <cellStyle name="20% - Accent4 3 5 2" xfId="12667" xr:uid="{4CD9702B-387F-4B81-AC27-A386C644A73D}"/>
    <cellStyle name="20% - Accent4 3 6" xfId="3548" xr:uid="{0F40B9DF-CA62-4394-B36F-B63C4F091B38}"/>
    <cellStyle name="20% - Accent4 3 6 2" xfId="13496" xr:uid="{ABEE1223-266A-4AC5-A170-9EB455DA8A0B}"/>
    <cellStyle name="20% - Accent4 3 7" xfId="4377" xr:uid="{EE40A2D1-8F23-4394-9280-A935C65195A3}"/>
    <cellStyle name="20% - Accent4 3 7 2" xfId="14325" xr:uid="{12531861-5E5D-4E26-911B-A93C276F875F}"/>
    <cellStyle name="20% - Accent4 3 8" xfId="5206" xr:uid="{39657856-0871-4C95-83FD-98CC0DE134FB}"/>
    <cellStyle name="20% - Accent4 3 8 2" xfId="15154" xr:uid="{BA9BC952-F4F7-49ED-AD4D-875364C0C262}"/>
    <cellStyle name="20% - Accent4 3 9" xfId="6035" xr:uid="{363876F2-7CAF-4E7F-850E-BBAD00954C1D}"/>
    <cellStyle name="20% - Accent4 3 9 2" xfId="15983" xr:uid="{C461B9FE-8187-4DFC-9A02-89AD92D63110}"/>
    <cellStyle name="20% - Accent4 4" xfId="32" xr:uid="{00000000-0005-0000-0000-00003D000000}"/>
    <cellStyle name="20% - Accent4 4 10" xfId="7695" xr:uid="{4FB38768-2379-4027-A359-5D2F264396D4}"/>
    <cellStyle name="20% - Accent4 4 10 2" xfId="17643" xr:uid="{F34EBD9A-7B3A-4FDB-9014-53D6BEED7B67}"/>
    <cellStyle name="20% - Accent4 4 11" xfId="8524" xr:uid="{62C46A67-57B2-40A2-ABE4-087BCFBA9AAD}"/>
    <cellStyle name="20% - Accent4 4 11 2" xfId="18472" xr:uid="{84ED0F77-13D2-45B0-9190-99C01C4EF303}"/>
    <cellStyle name="20% - Accent4 4 12" xfId="9353" xr:uid="{ED6CFB6E-182F-4E5E-93C1-71E4ABA2388B}"/>
    <cellStyle name="20% - Accent4 4 12 2" xfId="19301" xr:uid="{56067EB7-9FC5-4EAB-8301-87D5D6CBBEA7}"/>
    <cellStyle name="20% - Accent4 4 13" xfId="10182" xr:uid="{C4401DD1-5CB6-431C-8E6C-94240F7A1C2B}"/>
    <cellStyle name="20% - Accent4 4 13 2" xfId="20130" xr:uid="{E328833C-6ED8-4375-A89D-B2B035ECA65B}"/>
    <cellStyle name="20% - Accent4 4 14" xfId="1063" xr:uid="{E8104F29-34ED-439A-80E0-3DCEF922668D}"/>
    <cellStyle name="20% - Accent4 4 15" xfId="11011" xr:uid="{CFD90033-EBDE-4DA5-AA02-A0DA8CCE2B0C}"/>
    <cellStyle name="20% - Accent4 4 2" xfId="609" xr:uid="{00000000-0005-0000-0000-00003E000000}"/>
    <cellStyle name="20% - Accent4 4 2 10" xfId="8940" xr:uid="{567DBF84-A3DD-4AAE-9496-EE7C298762D6}"/>
    <cellStyle name="20% - Accent4 4 2 10 2" xfId="18888" xr:uid="{17625440-7563-48BC-97DD-A97B6EB2F1FD}"/>
    <cellStyle name="20% - Accent4 4 2 11" xfId="9769" xr:uid="{431035E3-0A95-4B76-BFBF-7225C835CEDB}"/>
    <cellStyle name="20% - Accent4 4 2 11 2" xfId="19717" xr:uid="{08B208AC-4885-466F-AC6D-B4409C3FD63C}"/>
    <cellStyle name="20% - Accent4 4 2 12" xfId="10598" xr:uid="{59E5CD24-3793-4DF2-BDC6-39A8111239BE}"/>
    <cellStyle name="20% - Accent4 4 2 12 2" xfId="20546" xr:uid="{BFF156BE-9A5D-44CD-999F-D5753FED0C9A}"/>
    <cellStyle name="20% - Accent4 4 2 13" xfId="1479" xr:uid="{16BF1C82-0B39-4129-B8BF-07DD6FBB3F7D}"/>
    <cellStyle name="20% - Accent4 4 2 14" xfId="11427" xr:uid="{B6AA00E4-A957-42FC-A054-A9DFC53E0925}"/>
    <cellStyle name="20% - Accent4 4 2 2" xfId="2308" xr:uid="{8390BC16-FBB3-43D3-AD5D-17864B225CBE}"/>
    <cellStyle name="20% - Accent4 4 2 2 2" xfId="12256" xr:uid="{B2AA8BEB-37B7-4E10-9B81-71EFE7271C6D}"/>
    <cellStyle name="20% - Accent4 4 2 3" xfId="3137" xr:uid="{DC0D863B-1645-4795-AF6B-CDB1C84FE64F}"/>
    <cellStyle name="20% - Accent4 4 2 3 2" xfId="13085" xr:uid="{503550F4-61C1-4CD3-8E88-7227390735C7}"/>
    <cellStyle name="20% - Accent4 4 2 4" xfId="3966" xr:uid="{32EEC529-B9E7-4B88-8827-4F564888A1F9}"/>
    <cellStyle name="20% - Accent4 4 2 4 2" xfId="13914" xr:uid="{8C3CFE72-7292-402B-B0E6-3BD2B0F9A7F0}"/>
    <cellStyle name="20% - Accent4 4 2 5" xfId="4795" xr:uid="{A974FF4F-55EE-4B71-BB58-17F85C2944F9}"/>
    <cellStyle name="20% - Accent4 4 2 5 2" xfId="14743" xr:uid="{0C997FE2-C9BD-4B3E-BE22-D1042271DD87}"/>
    <cellStyle name="20% - Accent4 4 2 6" xfId="5624" xr:uid="{15A15AF3-136A-41D0-A19A-9372ED469D27}"/>
    <cellStyle name="20% - Accent4 4 2 6 2" xfId="15572" xr:uid="{75A6D8F0-B919-4240-BA47-1D9054ECF575}"/>
    <cellStyle name="20% - Accent4 4 2 7" xfId="6453" xr:uid="{A8637253-688F-4AF3-ABE5-6FA9AA9DEF38}"/>
    <cellStyle name="20% - Accent4 4 2 7 2" xfId="16401" xr:uid="{50EE62D4-BD2A-4634-A7B2-0330B62BE716}"/>
    <cellStyle name="20% - Accent4 4 2 8" xfId="7282" xr:uid="{1F4B12F0-8E82-46AC-9FD4-E8F7B1DA44A9}"/>
    <cellStyle name="20% - Accent4 4 2 8 2" xfId="17230" xr:uid="{890CC986-6905-4656-BAD6-5D978306EAAA}"/>
    <cellStyle name="20% - Accent4 4 2 9" xfId="8111" xr:uid="{240CEC99-3111-427F-9BB2-CA695B2E3F9E}"/>
    <cellStyle name="20% - Accent4 4 2 9 2" xfId="18059" xr:uid="{B697F125-FD47-4A1F-A825-8F61B74983A9}"/>
    <cellStyle name="20% - Accent4 4 3" xfId="1892" xr:uid="{5B613A96-973F-4589-B284-92500BB298AE}"/>
    <cellStyle name="20% - Accent4 4 3 2" xfId="11840" xr:uid="{163A74C2-00D9-44A5-B7D8-811E5CD427AC}"/>
    <cellStyle name="20% - Accent4 4 4" xfId="2721" xr:uid="{96C11679-7105-422A-8BEE-41B04BC2CE42}"/>
    <cellStyle name="20% - Accent4 4 4 2" xfId="12669" xr:uid="{80A7388A-5858-4B67-A62D-D08D4B48E1F7}"/>
    <cellStyle name="20% - Accent4 4 5" xfId="3550" xr:uid="{BCBA6AFF-FEC3-40EA-97CA-B20CFEFC59A0}"/>
    <cellStyle name="20% - Accent4 4 5 2" xfId="13498" xr:uid="{5B77E6ED-E666-4A9C-BD7F-720EE0E54B82}"/>
    <cellStyle name="20% - Accent4 4 6" xfId="4379" xr:uid="{A284EA71-7F1C-439F-9D40-EAEA3218C016}"/>
    <cellStyle name="20% - Accent4 4 6 2" xfId="14327" xr:uid="{92A0B000-EEB2-4EBD-87CC-362F27A60490}"/>
    <cellStyle name="20% - Accent4 4 7" xfId="5208" xr:uid="{C89BF0FE-EDAF-4949-A771-727F7FB982EE}"/>
    <cellStyle name="20% - Accent4 4 7 2" xfId="15156" xr:uid="{AD0D6E61-143A-4B21-8F0E-3AFCED922492}"/>
    <cellStyle name="20% - Accent4 4 8" xfId="6037" xr:uid="{9E9AD718-AC4B-4A5A-932A-DE8ACC2B41C9}"/>
    <cellStyle name="20% - Accent4 4 8 2" xfId="15985" xr:uid="{41D210A5-48CA-46B3-8B65-9DA88B89A65A}"/>
    <cellStyle name="20% - Accent4 4 9" xfId="6866" xr:uid="{423E69B6-28B2-4194-9141-4EBF3557BD2F}"/>
    <cellStyle name="20% - Accent4 4 9 2" xfId="16814" xr:uid="{BDB13BB1-029E-4E44-9494-FCA06DFE4285}"/>
    <cellStyle name="20% - Accent4 5" xfId="602" xr:uid="{00000000-0005-0000-0000-00003F000000}"/>
    <cellStyle name="20% - Accent4 5 10" xfId="8933" xr:uid="{7814DBDC-F6EF-4C58-8248-EC0770FB566B}"/>
    <cellStyle name="20% - Accent4 5 10 2" xfId="18881" xr:uid="{74A3BFBC-53B1-4D1F-901C-4443B85FEFDE}"/>
    <cellStyle name="20% - Accent4 5 11" xfId="9762" xr:uid="{7E9CB5DC-94B5-4B27-8A6C-0AFC33E23CE2}"/>
    <cellStyle name="20% - Accent4 5 11 2" xfId="19710" xr:uid="{EA4E5802-E8BB-4B47-89CC-18572F1D147D}"/>
    <cellStyle name="20% - Accent4 5 12" xfId="10591" xr:uid="{ECA0CF80-ACE6-4735-ACA4-5D3848250AF7}"/>
    <cellStyle name="20% - Accent4 5 12 2" xfId="20539" xr:uid="{79F29DC2-B571-4615-9993-78EBD9FED315}"/>
    <cellStyle name="20% - Accent4 5 13" xfId="1472" xr:uid="{D9920015-2DC2-4AE5-AC3A-055CFDAD1A68}"/>
    <cellStyle name="20% - Accent4 5 14" xfId="11420" xr:uid="{9F0BBDBD-2AC0-401F-B07E-EFCEC747DD28}"/>
    <cellStyle name="20% - Accent4 5 2" xfId="2301" xr:uid="{F48A7927-3A8F-476A-A266-1EFAB8F6D5C3}"/>
    <cellStyle name="20% - Accent4 5 2 2" xfId="12249" xr:uid="{D2E236B0-73E4-4C99-A4A7-78744EF73F4A}"/>
    <cellStyle name="20% - Accent4 5 3" xfId="3130" xr:uid="{CD984D8B-C607-4AAD-86FA-A0982718489E}"/>
    <cellStyle name="20% - Accent4 5 3 2" xfId="13078" xr:uid="{15DB5F8B-CA98-4D3B-A7E1-FCEE29312EC0}"/>
    <cellStyle name="20% - Accent4 5 4" xfId="3959" xr:uid="{AF2140E5-E25F-4C68-8711-A150C2BF580D}"/>
    <cellStyle name="20% - Accent4 5 4 2" xfId="13907" xr:uid="{2E861A2D-F9B5-496B-968D-613991106D6B}"/>
    <cellStyle name="20% - Accent4 5 5" xfId="4788" xr:uid="{5AF6D9DE-08BA-4EB7-B1F8-BCC9565C6878}"/>
    <cellStyle name="20% - Accent4 5 5 2" xfId="14736" xr:uid="{EB16A198-0B01-45AD-9BFF-6C741F63BAE0}"/>
    <cellStyle name="20% - Accent4 5 6" xfId="5617" xr:uid="{6B9600F3-29AF-4C56-B51D-BA6A9458BA17}"/>
    <cellStyle name="20% - Accent4 5 6 2" xfId="15565" xr:uid="{614958E1-CBFC-4E8D-A0AF-A4BD1CD821EC}"/>
    <cellStyle name="20% - Accent4 5 7" xfId="6446" xr:uid="{E5189C55-EE4E-4D9F-BD3A-A6DC2A141C1B}"/>
    <cellStyle name="20% - Accent4 5 7 2" xfId="16394" xr:uid="{B37CF96A-A51C-4BE9-9B4E-E002700918E0}"/>
    <cellStyle name="20% - Accent4 5 8" xfId="7275" xr:uid="{2138358F-AB1D-4FB4-BD54-7DA3DC6B4438}"/>
    <cellStyle name="20% - Accent4 5 8 2" xfId="17223" xr:uid="{6BDFCAD3-9356-452C-B587-02D475950CC1}"/>
    <cellStyle name="20% - Accent4 5 9" xfId="8104" xr:uid="{A84231A5-F08D-4936-9954-C03860D5E942}"/>
    <cellStyle name="20% - Accent4 5 9 2" xfId="18052" xr:uid="{12BB442F-9DFF-48E7-9ACB-5E8EBA4A4334}"/>
    <cellStyle name="20% - Accent4 6" xfId="1885" xr:uid="{60BB05BC-88F4-4141-BE21-65BFC1127789}"/>
    <cellStyle name="20% - Accent4 6 2" xfId="11833" xr:uid="{94CFA603-4C95-46B0-B214-E2228DDD34A0}"/>
    <cellStyle name="20% - Accent4 7" xfId="2714" xr:uid="{CC6D6CF1-817A-462E-937D-2E6078ADADD7}"/>
    <cellStyle name="20% - Accent4 7 2" xfId="12662" xr:uid="{B6A002B6-F60F-4DBA-B7D8-0004133A1B25}"/>
    <cellStyle name="20% - Accent4 8" xfId="3543" xr:uid="{7C1BE9C7-CE7D-4BCB-A229-96A039FA6375}"/>
    <cellStyle name="20% - Accent4 8 2" xfId="13491" xr:uid="{5C939B9C-32E2-4522-BE7A-1431AB59D65E}"/>
    <cellStyle name="20% - Accent4 9" xfId="4372" xr:uid="{2E52DCA6-6423-4D3E-B508-CB6694D38F8C}"/>
    <cellStyle name="20% - Accent4 9 2" xfId="14320" xr:uid="{641AEBC3-5890-44D7-B904-70E31D58E14F}"/>
    <cellStyle name="20% - Accent5" xfId="33" builtinId="46" customBuiltin="1"/>
    <cellStyle name="20% - Accent5 10" xfId="5209" xr:uid="{F4534D8A-C660-4AB1-9DED-FFDB647C3237}"/>
    <cellStyle name="20% - Accent5 10 2" xfId="15157" xr:uid="{92C41414-4BFD-4ABC-8066-DAA3ABB6C9AF}"/>
    <cellStyle name="20% - Accent5 11" xfId="6038" xr:uid="{E0EC0EA1-A5BB-4915-BABE-207401CF3DF6}"/>
    <cellStyle name="20% - Accent5 11 2" xfId="15986" xr:uid="{E08D49B3-0176-48E0-B247-96C15CEFFDB0}"/>
    <cellStyle name="20% - Accent5 12" xfId="6867" xr:uid="{BE3FEF45-9DBC-4989-97D9-08FA6E7997A4}"/>
    <cellStyle name="20% - Accent5 12 2" xfId="16815" xr:uid="{4DD037BF-4278-4029-866D-A0C96DDDEF95}"/>
    <cellStyle name="20% - Accent5 13" xfId="7696" xr:uid="{886F58E5-F200-43C6-B3AF-A5D239DB21DA}"/>
    <cellStyle name="20% - Accent5 13 2" xfId="17644" xr:uid="{7BEBE5A5-1E57-432D-9803-24C4EAA4F083}"/>
    <cellStyle name="20% - Accent5 14" xfId="8525" xr:uid="{5EAC76AC-BBEA-4020-A377-B80F53282324}"/>
    <cellStyle name="20% - Accent5 14 2" xfId="18473" xr:uid="{3B787619-3234-4273-91D7-4435026E94B0}"/>
    <cellStyle name="20% - Accent5 15" xfId="9354" xr:uid="{BB66C371-4131-4E75-A160-A7CAA6DEA63F}"/>
    <cellStyle name="20% - Accent5 15 2" xfId="19302" xr:uid="{8AF54FFB-9398-44CC-8F7B-9B36C6739E35}"/>
    <cellStyle name="20% - Accent5 16" xfId="10183" xr:uid="{97589BB3-BE63-4870-983F-8EAEC8E0D18F}"/>
    <cellStyle name="20% - Accent5 16 2" xfId="20131" xr:uid="{8353E050-C782-4F26-83C2-9F8F67BD2C47}"/>
    <cellStyle name="20% - Accent5 17" xfId="1064" xr:uid="{3F74AAA8-24E5-450C-9CA7-A0CF65004559}"/>
    <cellStyle name="20% - Accent5 18" xfId="11012" xr:uid="{C768F961-657E-4573-9C8B-4FC7E41D4533}"/>
    <cellStyle name="20% - Accent5 2" xfId="34" xr:uid="{00000000-0005-0000-0000-000041000000}"/>
    <cellStyle name="20% - Accent5 2 10" xfId="6039" xr:uid="{B983E84A-3C5A-4E77-870C-FFFB89A4A7B4}"/>
    <cellStyle name="20% - Accent5 2 10 2" xfId="15987" xr:uid="{1EFDADCC-60AE-4E78-B5D5-7545A63E1F94}"/>
    <cellStyle name="20% - Accent5 2 11" xfId="6868" xr:uid="{2EE41130-DEB6-492A-B2B7-3C55E3CC7F21}"/>
    <cellStyle name="20% - Accent5 2 11 2" xfId="16816" xr:uid="{C52A7D13-135A-4A1E-A14C-292B877AEC23}"/>
    <cellStyle name="20% - Accent5 2 12" xfId="7697" xr:uid="{E487159D-CC82-4CFD-8CE8-0B1C2CD45DA1}"/>
    <cellStyle name="20% - Accent5 2 12 2" xfId="17645" xr:uid="{3263FDCF-EB37-4B3D-9BF8-664316FE62BB}"/>
    <cellStyle name="20% - Accent5 2 13" xfId="8526" xr:uid="{0C1801CD-17C5-4A03-BE7C-115D888EA370}"/>
    <cellStyle name="20% - Accent5 2 13 2" xfId="18474" xr:uid="{B48398D9-BDF3-4607-BCF7-FD84606340EC}"/>
    <cellStyle name="20% - Accent5 2 14" xfId="9355" xr:uid="{1643C7AD-7C16-4707-88FB-3886542C98C1}"/>
    <cellStyle name="20% - Accent5 2 14 2" xfId="19303" xr:uid="{546946F0-4490-41F7-B373-074C226575BB}"/>
    <cellStyle name="20% - Accent5 2 15" xfId="10184" xr:uid="{66B72068-831F-4F51-BDF1-0D6E39B7C643}"/>
    <cellStyle name="20% - Accent5 2 15 2" xfId="20132" xr:uid="{4199D831-7B1E-47B2-A7B3-5963F759D681}"/>
    <cellStyle name="20% - Accent5 2 16" xfId="1065" xr:uid="{7F99C0D0-7014-43D2-BD50-270AF264D35B}"/>
    <cellStyle name="20% - Accent5 2 17" xfId="11013" xr:uid="{81AF1815-D6EF-4514-9C90-5BED7035471C}"/>
    <cellStyle name="20% - Accent5 2 2" xfId="35" xr:uid="{00000000-0005-0000-0000-000042000000}"/>
    <cellStyle name="20% - Accent5 2 2 10" xfId="6869" xr:uid="{165C688E-BEE0-458F-B419-89DCB691C894}"/>
    <cellStyle name="20% - Accent5 2 2 10 2" xfId="16817" xr:uid="{121FAF32-F70B-4A8B-85DA-595CA1E3F7B7}"/>
    <cellStyle name="20% - Accent5 2 2 11" xfId="7698" xr:uid="{312BF395-ED04-46C2-810F-C7706F1CBA15}"/>
    <cellStyle name="20% - Accent5 2 2 11 2" xfId="17646" xr:uid="{1844FA79-4BA7-4B80-935B-F0C89C22C345}"/>
    <cellStyle name="20% - Accent5 2 2 12" xfId="8527" xr:uid="{AC90012F-0C64-48F2-989E-A29B32A17B67}"/>
    <cellStyle name="20% - Accent5 2 2 12 2" xfId="18475" xr:uid="{0510E15B-71D8-4358-844B-F77783336564}"/>
    <cellStyle name="20% - Accent5 2 2 13" xfId="9356" xr:uid="{B276D3CD-71BA-48C0-9A5A-DD8AA12BDABD}"/>
    <cellStyle name="20% - Accent5 2 2 13 2" xfId="19304" xr:uid="{51B37658-E6CC-4775-8582-B79C73359009}"/>
    <cellStyle name="20% - Accent5 2 2 14" xfId="10185" xr:uid="{D757E108-25EF-48B2-A283-D517278FCAC9}"/>
    <cellStyle name="20% - Accent5 2 2 14 2" xfId="20133" xr:uid="{0E68DAF9-D107-4378-BF52-BFC98C098B5D}"/>
    <cellStyle name="20% - Accent5 2 2 15" xfId="1066" xr:uid="{6C55D0FF-7865-4A3C-B2A7-5CC6427FCCDC}"/>
    <cellStyle name="20% - Accent5 2 2 16" xfId="11014" xr:uid="{C65691BB-506D-48C2-B9BB-E37B0F35A0DE}"/>
    <cellStyle name="20% - Accent5 2 2 2" xfId="36" xr:uid="{00000000-0005-0000-0000-000043000000}"/>
    <cellStyle name="20% - Accent5 2 2 2 10" xfId="7699" xr:uid="{E5D759CE-7167-4E72-9694-67019ED88BBB}"/>
    <cellStyle name="20% - Accent5 2 2 2 10 2" xfId="17647" xr:uid="{439A2D8E-2B39-4C3F-A873-C5B2DCC05BC4}"/>
    <cellStyle name="20% - Accent5 2 2 2 11" xfId="8528" xr:uid="{FCBF0533-EEB0-474A-AC6F-CF93E8DC226A}"/>
    <cellStyle name="20% - Accent5 2 2 2 11 2" xfId="18476" xr:uid="{5D579CAF-AC1D-472F-9B2F-7B7B6C4D1B7D}"/>
    <cellStyle name="20% - Accent5 2 2 2 12" xfId="9357" xr:uid="{E78B1E14-9A18-4287-8E1A-B1E2115EA7D2}"/>
    <cellStyle name="20% - Accent5 2 2 2 12 2" xfId="19305" xr:uid="{6BC3CFEC-9257-4ED7-AB06-C0120801A807}"/>
    <cellStyle name="20% - Accent5 2 2 2 13" xfId="10186" xr:uid="{A65483C7-E648-4AF8-AFBE-084D1AB931F7}"/>
    <cellStyle name="20% - Accent5 2 2 2 13 2" xfId="20134" xr:uid="{033A965D-96D3-4451-BC58-44E3BC7B3974}"/>
    <cellStyle name="20% - Accent5 2 2 2 14" xfId="1067" xr:uid="{404A481E-D403-4759-B3DD-C555379931D3}"/>
    <cellStyle name="20% - Accent5 2 2 2 15" xfId="11015" xr:uid="{4E4C75E5-9834-4BAC-AFB4-4E4DFB0A4501}"/>
    <cellStyle name="20% - Accent5 2 2 2 2" xfId="613" xr:uid="{00000000-0005-0000-0000-000044000000}"/>
    <cellStyle name="20% - Accent5 2 2 2 2 10" xfId="8944" xr:uid="{E013BF0D-EBD0-433B-9AF5-C4502F87A505}"/>
    <cellStyle name="20% - Accent5 2 2 2 2 10 2" xfId="18892" xr:uid="{A5DD6ECE-158F-4926-A62E-BDA2CA4170A0}"/>
    <cellStyle name="20% - Accent5 2 2 2 2 11" xfId="9773" xr:uid="{4B976DF6-1688-49C0-B9EB-103062F5B01B}"/>
    <cellStyle name="20% - Accent5 2 2 2 2 11 2" xfId="19721" xr:uid="{13A92F14-723A-4B3F-8B79-3A7903BC1EF6}"/>
    <cellStyle name="20% - Accent5 2 2 2 2 12" xfId="10602" xr:uid="{93435C54-7578-4466-95CB-6BE6D5E40088}"/>
    <cellStyle name="20% - Accent5 2 2 2 2 12 2" xfId="20550" xr:uid="{E6DF37EA-F499-4AC6-8EAA-712C696A3893}"/>
    <cellStyle name="20% - Accent5 2 2 2 2 13" xfId="1483" xr:uid="{14230742-02B8-44B6-9BC7-44D990ED9551}"/>
    <cellStyle name="20% - Accent5 2 2 2 2 14" xfId="11431" xr:uid="{35AC7158-1027-4685-BC1F-8B9B3079CA32}"/>
    <cellStyle name="20% - Accent5 2 2 2 2 2" xfId="2312" xr:uid="{2243B055-5EC4-45CD-8F38-7520D5B74B52}"/>
    <cellStyle name="20% - Accent5 2 2 2 2 2 2" xfId="12260" xr:uid="{B876916F-7A50-4AC9-8912-FF1EAD2CEBC1}"/>
    <cellStyle name="20% - Accent5 2 2 2 2 3" xfId="3141" xr:uid="{49E5CAE5-C5BB-4CFA-BE02-226A5FA45B14}"/>
    <cellStyle name="20% - Accent5 2 2 2 2 3 2" xfId="13089" xr:uid="{44228331-72D6-4C15-9561-13FFACA961B9}"/>
    <cellStyle name="20% - Accent5 2 2 2 2 4" xfId="3970" xr:uid="{CC3E47B3-DEC6-4475-B025-3E56E38AFF8D}"/>
    <cellStyle name="20% - Accent5 2 2 2 2 4 2" xfId="13918" xr:uid="{15BA6D22-3BE7-401C-BFEE-B190E365ED02}"/>
    <cellStyle name="20% - Accent5 2 2 2 2 5" xfId="4799" xr:uid="{0ADD328D-8729-49EE-A432-D4AEB4B1E44E}"/>
    <cellStyle name="20% - Accent5 2 2 2 2 5 2" xfId="14747" xr:uid="{EEBC2BC3-AD2E-451A-B50B-DC5533E29FDC}"/>
    <cellStyle name="20% - Accent5 2 2 2 2 6" xfId="5628" xr:uid="{89FB9552-AA4C-42DC-BF05-5CE0BD10AAE4}"/>
    <cellStyle name="20% - Accent5 2 2 2 2 6 2" xfId="15576" xr:uid="{AE86F4D5-D314-46F0-8408-54641182BBF3}"/>
    <cellStyle name="20% - Accent5 2 2 2 2 7" xfId="6457" xr:uid="{95938D9F-EAFC-4899-AE31-C281266F24B6}"/>
    <cellStyle name="20% - Accent5 2 2 2 2 7 2" xfId="16405" xr:uid="{49133207-FEA5-4F5E-975F-3511BFD63C08}"/>
    <cellStyle name="20% - Accent5 2 2 2 2 8" xfId="7286" xr:uid="{DACC3A91-C60F-4ED0-95E1-25289A01185A}"/>
    <cellStyle name="20% - Accent5 2 2 2 2 8 2" xfId="17234" xr:uid="{67234A0A-8C2D-4954-8C29-556E176D2C3B}"/>
    <cellStyle name="20% - Accent5 2 2 2 2 9" xfId="8115" xr:uid="{12F561EF-9193-4BD6-8951-1DA7BB6F4A2E}"/>
    <cellStyle name="20% - Accent5 2 2 2 2 9 2" xfId="18063" xr:uid="{69C95BDB-EAF9-4EA1-8A48-8B40C77D355B}"/>
    <cellStyle name="20% - Accent5 2 2 2 3" xfId="1896" xr:uid="{AB94A7B9-8D58-4E6F-A28A-2F5BC733E38C}"/>
    <cellStyle name="20% - Accent5 2 2 2 3 2" xfId="11844" xr:uid="{959700CD-735F-4013-AB17-7BFCDA59711D}"/>
    <cellStyle name="20% - Accent5 2 2 2 4" xfId="2725" xr:uid="{C8C5E2EF-BFE2-4763-A7F3-5D2B7C0012C7}"/>
    <cellStyle name="20% - Accent5 2 2 2 4 2" xfId="12673" xr:uid="{8D97D348-D66C-4212-B8F6-F65390683E02}"/>
    <cellStyle name="20% - Accent5 2 2 2 5" xfId="3554" xr:uid="{3292F4C4-32D0-4AB9-9C47-1108F8B2E042}"/>
    <cellStyle name="20% - Accent5 2 2 2 5 2" xfId="13502" xr:uid="{FD67E2E0-81B9-4211-B0FD-C9E6E504D80D}"/>
    <cellStyle name="20% - Accent5 2 2 2 6" xfId="4383" xr:uid="{0FB12E06-D7CF-407E-ABF9-E04A2ACE1414}"/>
    <cellStyle name="20% - Accent5 2 2 2 6 2" xfId="14331" xr:uid="{17F179EC-F21D-4E8D-AFE5-9B6603F676B9}"/>
    <cellStyle name="20% - Accent5 2 2 2 7" xfId="5212" xr:uid="{B5D84577-6A8B-4621-90BA-AD283C3A2EDC}"/>
    <cellStyle name="20% - Accent5 2 2 2 7 2" xfId="15160" xr:uid="{23937BCD-8484-4D8E-A99A-3DB673F4EA9D}"/>
    <cellStyle name="20% - Accent5 2 2 2 8" xfId="6041" xr:uid="{74BF1A31-E40C-4479-B7BA-E3551E24522A}"/>
    <cellStyle name="20% - Accent5 2 2 2 8 2" xfId="15989" xr:uid="{177650D2-4DB0-4E38-86DC-EBBE4A057B29}"/>
    <cellStyle name="20% - Accent5 2 2 2 9" xfId="6870" xr:uid="{2CB17171-1D65-47CB-B38C-11C88235433E}"/>
    <cellStyle name="20% - Accent5 2 2 2 9 2" xfId="16818" xr:uid="{42A60D7E-F5A9-4976-B33C-99BC068E2170}"/>
    <cellStyle name="20% - Accent5 2 2 3" xfId="612" xr:uid="{00000000-0005-0000-0000-000045000000}"/>
    <cellStyle name="20% - Accent5 2 2 3 10" xfId="8943" xr:uid="{5136EF95-D0E6-4E53-89F6-68EB81A01C83}"/>
    <cellStyle name="20% - Accent5 2 2 3 10 2" xfId="18891" xr:uid="{D3A0342B-A9E0-4069-B2D3-1B952FD9E5E9}"/>
    <cellStyle name="20% - Accent5 2 2 3 11" xfId="9772" xr:uid="{497F5067-C8F3-4EC1-A911-A3FF082A987C}"/>
    <cellStyle name="20% - Accent5 2 2 3 11 2" xfId="19720" xr:uid="{11852B37-5AB4-478E-A6D4-C01D06482CF4}"/>
    <cellStyle name="20% - Accent5 2 2 3 12" xfId="10601" xr:uid="{FC84009E-796E-4541-98F6-8C5157B20B7E}"/>
    <cellStyle name="20% - Accent5 2 2 3 12 2" xfId="20549" xr:uid="{0B54B9E4-1458-4866-BD85-D507E9621E5B}"/>
    <cellStyle name="20% - Accent5 2 2 3 13" xfId="1482" xr:uid="{CDF7BFC6-A7CC-410A-BD49-DE5F40484CE8}"/>
    <cellStyle name="20% - Accent5 2 2 3 14" xfId="11430" xr:uid="{5E888A49-98CC-4E2E-A8CD-B2710EBB7258}"/>
    <cellStyle name="20% - Accent5 2 2 3 2" xfId="2311" xr:uid="{C67A8540-B742-4AD8-9988-559B350D88A0}"/>
    <cellStyle name="20% - Accent5 2 2 3 2 2" xfId="12259" xr:uid="{7CF32E32-AE93-4398-BD05-FB0D699541FA}"/>
    <cellStyle name="20% - Accent5 2 2 3 3" xfId="3140" xr:uid="{1C531691-88FA-492E-A75D-D8286D1209D1}"/>
    <cellStyle name="20% - Accent5 2 2 3 3 2" xfId="13088" xr:uid="{B3F94AAC-A4E8-4681-B9B9-3EF37C0FD1F0}"/>
    <cellStyle name="20% - Accent5 2 2 3 4" xfId="3969" xr:uid="{B1C4640C-E396-4FAC-88EF-0E23679E40CA}"/>
    <cellStyle name="20% - Accent5 2 2 3 4 2" xfId="13917" xr:uid="{582F2704-0EFD-42FC-8597-971D540535D4}"/>
    <cellStyle name="20% - Accent5 2 2 3 5" xfId="4798" xr:uid="{580E5B03-37D0-4D16-A65F-9A9386BD0D65}"/>
    <cellStyle name="20% - Accent5 2 2 3 5 2" xfId="14746" xr:uid="{11A97842-948E-4A16-BD05-5D3D2E088C9C}"/>
    <cellStyle name="20% - Accent5 2 2 3 6" xfId="5627" xr:uid="{8A0927A2-0AE0-45EC-AFD9-8174CE8FD7D0}"/>
    <cellStyle name="20% - Accent5 2 2 3 6 2" xfId="15575" xr:uid="{B5B7C728-AC38-44AC-B365-44B489FADFD0}"/>
    <cellStyle name="20% - Accent5 2 2 3 7" xfId="6456" xr:uid="{3B219788-8524-4831-A51F-84AFD95AB804}"/>
    <cellStyle name="20% - Accent5 2 2 3 7 2" xfId="16404" xr:uid="{DE6A5161-1E44-40DE-B9A0-17298F9D1C1B}"/>
    <cellStyle name="20% - Accent5 2 2 3 8" xfId="7285" xr:uid="{18AC8450-1001-441B-A68E-F256A1434E15}"/>
    <cellStyle name="20% - Accent5 2 2 3 8 2" xfId="17233" xr:uid="{63914884-BD6A-428C-9703-691401BC71BA}"/>
    <cellStyle name="20% - Accent5 2 2 3 9" xfId="8114" xr:uid="{17E9DAD9-1A83-4FDB-8818-CD961A866C4E}"/>
    <cellStyle name="20% - Accent5 2 2 3 9 2" xfId="18062" xr:uid="{A3098FBD-58C2-4AD8-9917-3248523A4C91}"/>
    <cellStyle name="20% - Accent5 2 2 4" xfId="1895" xr:uid="{3EF3F549-ED6B-48C5-8206-C6D91CBD4F63}"/>
    <cellStyle name="20% - Accent5 2 2 4 2" xfId="11843" xr:uid="{44D16A68-847B-423E-B209-FF9317FEC228}"/>
    <cellStyle name="20% - Accent5 2 2 5" xfId="2724" xr:uid="{4050F419-3A3A-4722-8399-CA28C3A9F215}"/>
    <cellStyle name="20% - Accent5 2 2 5 2" xfId="12672" xr:uid="{1116933E-7C00-4DA6-A258-FBB024C6C00E}"/>
    <cellStyle name="20% - Accent5 2 2 6" xfId="3553" xr:uid="{DEB17D14-FD21-4B95-B463-F7DDB3A942D2}"/>
    <cellStyle name="20% - Accent5 2 2 6 2" xfId="13501" xr:uid="{DEAD8078-0D65-411C-AAB9-1E0C47FE7FDB}"/>
    <cellStyle name="20% - Accent5 2 2 7" xfId="4382" xr:uid="{AAB4E380-87A0-46F5-B456-D100F9C326F1}"/>
    <cellStyle name="20% - Accent5 2 2 7 2" xfId="14330" xr:uid="{DE838419-86A5-442C-A5DA-66A19FBFF9A9}"/>
    <cellStyle name="20% - Accent5 2 2 8" xfId="5211" xr:uid="{263AF94F-81DE-41B5-B4E4-40855C4F3BFD}"/>
    <cellStyle name="20% - Accent5 2 2 8 2" xfId="15159" xr:uid="{848865FC-EDF7-437C-A991-0988C0ACDACF}"/>
    <cellStyle name="20% - Accent5 2 2 9" xfId="6040" xr:uid="{89F8FA94-788A-41DF-AECB-AC9B5015FCF2}"/>
    <cellStyle name="20% - Accent5 2 2 9 2" xfId="15988" xr:uid="{F4967E8A-BE22-44E9-92D0-1370595927FD}"/>
    <cellStyle name="20% - Accent5 2 3" xfId="37" xr:uid="{00000000-0005-0000-0000-000046000000}"/>
    <cellStyle name="20% - Accent5 2 3 10" xfId="7700" xr:uid="{96F0F508-32F3-4DC6-AEA3-70B5FC08CA42}"/>
    <cellStyle name="20% - Accent5 2 3 10 2" xfId="17648" xr:uid="{703F077E-5198-4574-AA52-FA37A8955B25}"/>
    <cellStyle name="20% - Accent5 2 3 11" xfId="8529" xr:uid="{DF402AC8-9E4B-4E1B-934C-FDEEDF9D4B4A}"/>
    <cellStyle name="20% - Accent5 2 3 11 2" xfId="18477" xr:uid="{BD7F8363-3679-40B4-BD84-9ABAC4E0C434}"/>
    <cellStyle name="20% - Accent5 2 3 12" xfId="9358" xr:uid="{4F6DE150-A3DE-4D94-BCA6-E3D78E3A1228}"/>
    <cellStyle name="20% - Accent5 2 3 12 2" xfId="19306" xr:uid="{EDE58997-AC90-4DFC-8B48-2D09177A30EC}"/>
    <cellStyle name="20% - Accent5 2 3 13" xfId="10187" xr:uid="{934376E6-7BF5-4935-BA62-51BD413DEDF7}"/>
    <cellStyle name="20% - Accent5 2 3 13 2" xfId="20135" xr:uid="{8EFAEF25-2D8F-4608-83BB-BD5C1227B0F9}"/>
    <cellStyle name="20% - Accent5 2 3 14" xfId="1068" xr:uid="{28DE3C77-0129-42A6-AE28-8FEA47C22E44}"/>
    <cellStyle name="20% - Accent5 2 3 15" xfId="11016" xr:uid="{DF8CF446-B3B9-44CA-AAC7-8104FA08DEDF}"/>
    <cellStyle name="20% - Accent5 2 3 2" xfId="614" xr:uid="{00000000-0005-0000-0000-000047000000}"/>
    <cellStyle name="20% - Accent5 2 3 2 10" xfId="8945" xr:uid="{95AA60E7-FD73-467C-B5E5-D6513A3A17BD}"/>
    <cellStyle name="20% - Accent5 2 3 2 10 2" xfId="18893" xr:uid="{58D7413C-1671-455C-B37A-B02FAE30F709}"/>
    <cellStyle name="20% - Accent5 2 3 2 11" xfId="9774" xr:uid="{74C95B91-451E-4C19-8C8A-CCD7608F7E8B}"/>
    <cellStyle name="20% - Accent5 2 3 2 11 2" xfId="19722" xr:uid="{2DF5C835-660D-48A2-BCFE-D252AE2B5A01}"/>
    <cellStyle name="20% - Accent5 2 3 2 12" xfId="10603" xr:uid="{DCF5ACE0-4016-448B-80F7-F181FE33C79D}"/>
    <cellStyle name="20% - Accent5 2 3 2 12 2" xfId="20551" xr:uid="{BCAD2AF0-4212-45FD-8336-53FFD2EF9E0C}"/>
    <cellStyle name="20% - Accent5 2 3 2 13" xfId="1484" xr:uid="{2EC38020-D736-42D3-9DCD-401D1FF2E173}"/>
    <cellStyle name="20% - Accent5 2 3 2 14" xfId="11432" xr:uid="{D2FACDEF-AC79-4F9C-87F0-B7E97261506E}"/>
    <cellStyle name="20% - Accent5 2 3 2 2" xfId="2313" xr:uid="{6389319A-AC30-431F-9040-462BADA77534}"/>
    <cellStyle name="20% - Accent5 2 3 2 2 2" xfId="12261" xr:uid="{8B238227-E118-42A8-ACBD-D5938D6832A4}"/>
    <cellStyle name="20% - Accent5 2 3 2 3" xfId="3142" xr:uid="{B65CDCCC-55D6-4CD4-977A-F49B667AB9C8}"/>
    <cellStyle name="20% - Accent5 2 3 2 3 2" xfId="13090" xr:uid="{A6DCE6CA-BC4D-4920-948E-84BD44076876}"/>
    <cellStyle name="20% - Accent5 2 3 2 4" xfId="3971" xr:uid="{33CFB796-E4A9-4EFC-B9D6-75B89C40E63A}"/>
    <cellStyle name="20% - Accent5 2 3 2 4 2" xfId="13919" xr:uid="{AAC9B60D-B114-4B75-B523-B4A49BD5FB22}"/>
    <cellStyle name="20% - Accent5 2 3 2 5" xfId="4800" xr:uid="{3581B151-DE5A-4EE6-9EB8-5223DA719B82}"/>
    <cellStyle name="20% - Accent5 2 3 2 5 2" xfId="14748" xr:uid="{3CD08B18-9A2A-4026-AA58-EAF5F0836041}"/>
    <cellStyle name="20% - Accent5 2 3 2 6" xfId="5629" xr:uid="{3402C473-2306-4C6C-8F53-1718BEF3DC4A}"/>
    <cellStyle name="20% - Accent5 2 3 2 6 2" xfId="15577" xr:uid="{324B3FE4-58A2-44E4-893F-B80E3612DC12}"/>
    <cellStyle name="20% - Accent5 2 3 2 7" xfId="6458" xr:uid="{27A1ADC8-4141-4CCC-B3CD-39FE5AF89BB8}"/>
    <cellStyle name="20% - Accent5 2 3 2 7 2" xfId="16406" xr:uid="{1E4D01C6-2953-446F-AEA9-667C75CE73B9}"/>
    <cellStyle name="20% - Accent5 2 3 2 8" xfId="7287" xr:uid="{0E057D00-E239-410A-B5EF-65159F4FD7CC}"/>
    <cellStyle name="20% - Accent5 2 3 2 8 2" xfId="17235" xr:uid="{BC3600CB-562C-4378-9A46-69CECF9A231B}"/>
    <cellStyle name="20% - Accent5 2 3 2 9" xfId="8116" xr:uid="{4236D5D5-1CE1-41BE-AAAD-0163114F6AE1}"/>
    <cellStyle name="20% - Accent5 2 3 2 9 2" xfId="18064" xr:uid="{CDD7A90D-7076-4653-A87E-3DDFB622E4EA}"/>
    <cellStyle name="20% - Accent5 2 3 3" xfId="1897" xr:uid="{BDF3776B-41B8-4CC1-9843-8677B87A790D}"/>
    <cellStyle name="20% - Accent5 2 3 3 2" xfId="11845" xr:uid="{5502C77A-A8A0-4674-976C-1DE8FE7F0D2A}"/>
    <cellStyle name="20% - Accent5 2 3 4" xfId="2726" xr:uid="{4C718A05-58A7-4A3B-9FC0-7872EB62A0B7}"/>
    <cellStyle name="20% - Accent5 2 3 4 2" xfId="12674" xr:uid="{FBAC4645-D565-48CA-8EDF-02F4A402016E}"/>
    <cellStyle name="20% - Accent5 2 3 5" xfId="3555" xr:uid="{5C739C46-F997-4EEE-A934-8E033B7474D3}"/>
    <cellStyle name="20% - Accent5 2 3 5 2" xfId="13503" xr:uid="{CA8A7399-091E-4C31-A704-6F61C163E78D}"/>
    <cellStyle name="20% - Accent5 2 3 6" xfId="4384" xr:uid="{F327B420-0349-486D-84BD-B432AE14F17C}"/>
    <cellStyle name="20% - Accent5 2 3 6 2" xfId="14332" xr:uid="{BD869AE6-DB7E-4425-A945-D402DFE0F1CF}"/>
    <cellStyle name="20% - Accent5 2 3 7" xfId="5213" xr:uid="{5DEF3F03-31CC-4927-A728-3FD9073A574A}"/>
    <cellStyle name="20% - Accent5 2 3 7 2" xfId="15161" xr:uid="{60298577-DE12-4DF2-A522-8438779FF2A3}"/>
    <cellStyle name="20% - Accent5 2 3 8" xfId="6042" xr:uid="{6294E389-EAE8-4C47-8ACA-F0D82B85982C}"/>
    <cellStyle name="20% - Accent5 2 3 8 2" xfId="15990" xr:uid="{3F473397-C68F-4EF7-A668-778A00C508F9}"/>
    <cellStyle name="20% - Accent5 2 3 9" xfId="6871" xr:uid="{FBEA0329-769F-4B73-992F-E3CE09B15502}"/>
    <cellStyle name="20% - Accent5 2 3 9 2" xfId="16819" xr:uid="{03F308B3-5E6C-4968-8F8E-B0845E3C0C78}"/>
    <cellStyle name="20% - Accent5 2 4" xfId="611" xr:uid="{00000000-0005-0000-0000-000048000000}"/>
    <cellStyle name="20% - Accent5 2 4 10" xfId="8942" xr:uid="{D90DFB5D-30D5-4C3A-B7AB-43581D8D445A}"/>
    <cellStyle name="20% - Accent5 2 4 10 2" xfId="18890" xr:uid="{FAC3D317-9996-495D-94A4-5D5913D1E13F}"/>
    <cellStyle name="20% - Accent5 2 4 11" xfId="9771" xr:uid="{E45C334A-B5EC-4515-977C-2260B1B78018}"/>
    <cellStyle name="20% - Accent5 2 4 11 2" xfId="19719" xr:uid="{9CB5DF43-B0FA-452D-B14C-15E893B3C9E9}"/>
    <cellStyle name="20% - Accent5 2 4 12" xfId="10600" xr:uid="{D6D5BB33-E008-4D59-889F-CE3435F1062F}"/>
    <cellStyle name="20% - Accent5 2 4 12 2" xfId="20548" xr:uid="{1BA1BF92-D940-4ACE-B031-E9BCEA2D72E0}"/>
    <cellStyle name="20% - Accent5 2 4 13" xfId="1481" xr:uid="{397A7B90-57DD-48F9-8A28-CF171B29802C}"/>
    <cellStyle name="20% - Accent5 2 4 14" xfId="11429" xr:uid="{182C1C3B-8977-407E-94B1-9F5078D1374B}"/>
    <cellStyle name="20% - Accent5 2 4 2" xfId="2310" xr:uid="{536DB8AB-EF40-40E8-8131-664A2F7C23DF}"/>
    <cellStyle name="20% - Accent5 2 4 2 2" xfId="12258" xr:uid="{52E99519-DAF8-4E84-88FF-E548133D536A}"/>
    <cellStyle name="20% - Accent5 2 4 3" xfId="3139" xr:uid="{14B95F26-1AAE-415B-81FD-A81F75D5B0C4}"/>
    <cellStyle name="20% - Accent5 2 4 3 2" xfId="13087" xr:uid="{E0BF62A2-1DF6-459B-893E-71212FF8975E}"/>
    <cellStyle name="20% - Accent5 2 4 4" xfId="3968" xr:uid="{ECD34E65-EB86-4FEE-BD5A-48F014DCEED0}"/>
    <cellStyle name="20% - Accent5 2 4 4 2" xfId="13916" xr:uid="{85086F3A-0E29-4303-8D25-4A5AB82ACC6E}"/>
    <cellStyle name="20% - Accent5 2 4 5" xfId="4797" xr:uid="{82AB4BFB-CAAC-4845-8DBC-0F46168B45B7}"/>
    <cellStyle name="20% - Accent5 2 4 5 2" xfId="14745" xr:uid="{0A951DA3-4128-46F7-8FF2-3A039C22FF54}"/>
    <cellStyle name="20% - Accent5 2 4 6" xfId="5626" xr:uid="{906B6F31-ED0A-4DE9-B439-4BB75F8A1C28}"/>
    <cellStyle name="20% - Accent5 2 4 6 2" xfId="15574" xr:uid="{0630969A-A678-4F57-BEF6-8F077AD19CF2}"/>
    <cellStyle name="20% - Accent5 2 4 7" xfId="6455" xr:uid="{348FC596-D026-4921-A7CB-7FFC8E0086E5}"/>
    <cellStyle name="20% - Accent5 2 4 7 2" xfId="16403" xr:uid="{78F6A9E2-7CDF-4DA5-A043-75CCBF4C55A6}"/>
    <cellStyle name="20% - Accent5 2 4 8" xfId="7284" xr:uid="{53624338-E42C-4985-8FF8-D420828ADA12}"/>
    <cellStyle name="20% - Accent5 2 4 8 2" xfId="17232" xr:uid="{5D897F1D-815A-4654-B8EB-73F31360A1F5}"/>
    <cellStyle name="20% - Accent5 2 4 9" xfId="8113" xr:uid="{AE57CC12-D3B3-48E8-B349-18654808627C}"/>
    <cellStyle name="20% - Accent5 2 4 9 2" xfId="18061" xr:uid="{9BE4FB1C-C574-4319-90EF-9EC065465732}"/>
    <cellStyle name="20% - Accent5 2 5" xfId="1894" xr:uid="{21DDB5D9-62C0-4BB3-BBB1-6CC3EBFABEB3}"/>
    <cellStyle name="20% - Accent5 2 5 2" xfId="11842" xr:uid="{6BD04532-A656-47CF-965C-4B03BEF134DC}"/>
    <cellStyle name="20% - Accent5 2 6" xfId="2723" xr:uid="{895BAAEF-527F-4607-A961-3A07B9E8C296}"/>
    <cellStyle name="20% - Accent5 2 6 2" xfId="12671" xr:uid="{0593206B-084A-413E-A464-61EFA1187BD2}"/>
    <cellStyle name="20% - Accent5 2 7" xfId="3552" xr:uid="{70D9DDCA-98CA-444F-80D2-506BEEE550D3}"/>
    <cellStyle name="20% - Accent5 2 7 2" xfId="13500" xr:uid="{91F9A8A8-65C0-42BE-BBB8-2BE75745F21D}"/>
    <cellStyle name="20% - Accent5 2 8" xfId="4381" xr:uid="{71671D16-3C71-4877-9B3C-21422E585344}"/>
    <cellStyle name="20% - Accent5 2 8 2" xfId="14329" xr:uid="{55BDF418-311D-41FE-8C03-F48A9AF08989}"/>
    <cellStyle name="20% - Accent5 2 9" xfId="5210" xr:uid="{C8F799D3-EFDD-4969-BBCB-C9E388D91115}"/>
    <cellStyle name="20% - Accent5 2 9 2" xfId="15158" xr:uid="{1533EDF1-B402-455D-9D45-427C815E3E2A}"/>
    <cellStyle name="20% - Accent5 3" xfId="38" xr:uid="{00000000-0005-0000-0000-000049000000}"/>
    <cellStyle name="20% - Accent5 3 10" xfId="6872" xr:uid="{1E5C1C9D-286A-46C9-B931-3E57FECB760C}"/>
    <cellStyle name="20% - Accent5 3 10 2" xfId="16820" xr:uid="{6136932E-D699-4752-A864-02BCBB49923D}"/>
    <cellStyle name="20% - Accent5 3 11" xfId="7701" xr:uid="{CC9CF171-393F-4B1F-8766-09FE0FE8D8F8}"/>
    <cellStyle name="20% - Accent5 3 11 2" xfId="17649" xr:uid="{2B85E8A2-98D5-4B10-A4D0-699575288959}"/>
    <cellStyle name="20% - Accent5 3 12" xfId="8530" xr:uid="{3E9E6D56-C0ED-4539-898A-92780BF84DD1}"/>
    <cellStyle name="20% - Accent5 3 12 2" xfId="18478" xr:uid="{B38FCD96-C756-458B-96FA-C75624B68089}"/>
    <cellStyle name="20% - Accent5 3 13" xfId="9359" xr:uid="{B9BF45DF-62B4-4F02-9259-6BA429A07B17}"/>
    <cellStyle name="20% - Accent5 3 13 2" xfId="19307" xr:uid="{94608BAB-1E24-408B-822B-0CD3E3ACD299}"/>
    <cellStyle name="20% - Accent5 3 14" xfId="10188" xr:uid="{F88E0657-3285-4F79-B45E-D91C035E4EDB}"/>
    <cellStyle name="20% - Accent5 3 14 2" xfId="20136" xr:uid="{B42C2BED-1D1C-46B9-A355-C22333046FF4}"/>
    <cellStyle name="20% - Accent5 3 15" xfId="1069" xr:uid="{40332FE1-6A5F-47D1-BF85-F041505FE9E2}"/>
    <cellStyle name="20% - Accent5 3 16" xfId="11017" xr:uid="{7D46B3E0-0254-4DA2-B450-DCD1080883ED}"/>
    <cellStyle name="20% - Accent5 3 2" xfId="39" xr:uid="{00000000-0005-0000-0000-00004A000000}"/>
    <cellStyle name="20% - Accent5 3 2 10" xfId="7702" xr:uid="{0028F339-AA03-404A-93B3-C72708113669}"/>
    <cellStyle name="20% - Accent5 3 2 10 2" xfId="17650" xr:uid="{5C61B514-45C2-4E69-BD10-D610687EBF4E}"/>
    <cellStyle name="20% - Accent5 3 2 11" xfId="8531" xr:uid="{8635B47A-77DC-484D-AA65-6C6958816CB8}"/>
    <cellStyle name="20% - Accent5 3 2 11 2" xfId="18479" xr:uid="{DC4861C0-0ECB-4577-BE49-AA51BDA50ED7}"/>
    <cellStyle name="20% - Accent5 3 2 12" xfId="9360" xr:uid="{3DB1026B-F51A-4A04-B828-FA32903B5E1F}"/>
    <cellStyle name="20% - Accent5 3 2 12 2" xfId="19308" xr:uid="{B59B4AA5-F26A-43B6-83C9-24F97EFAEC90}"/>
    <cellStyle name="20% - Accent5 3 2 13" xfId="10189" xr:uid="{4AC555B2-77A1-4B2A-B86E-DBDAAD674876}"/>
    <cellStyle name="20% - Accent5 3 2 13 2" xfId="20137" xr:uid="{C17684E1-86AF-4756-8E8D-74DDB5DE2E96}"/>
    <cellStyle name="20% - Accent5 3 2 14" xfId="1070" xr:uid="{52E81FD7-6B8E-42A8-9A68-45E2789C850C}"/>
    <cellStyle name="20% - Accent5 3 2 15" xfId="11018" xr:uid="{B1BB36B9-6357-4658-9BE8-C14A8FC343B1}"/>
    <cellStyle name="20% - Accent5 3 2 2" xfId="616" xr:uid="{00000000-0005-0000-0000-00004B000000}"/>
    <cellStyle name="20% - Accent5 3 2 2 10" xfId="8947" xr:uid="{FCD45E5F-B258-4940-ABA7-5974E33FDD3F}"/>
    <cellStyle name="20% - Accent5 3 2 2 10 2" xfId="18895" xr:uid="{91619037-89C3-44C9-AE4B-D30B632E80FB}"/>
    <cellStyle name="20% - Accent5 3 2 2 11" xfId="9776" xr:uid="{E8B90EFB-CCDC-4DB8-963D-3D04951970A0}"/>
    <cellStyle name="20% - Accent5 3 2 2 11 2" xfId="19724" xr:uid="{064D5203-E7C5-4E29-B58B-637B8D1FA9DE}"/>
    <cellStyle name="20% - Accent5 3 2 2 12" xfId="10605" xr:uid="{82657E2A-568F-45BD-AA43-A67C7BB4F2E2}"/>
    <cellStyle name="20% - Accent5 3 2 2 12 2" xfId="20553" xr:uid="{6E6DCFCE-2FF9-4C0F-A775-4A241C83323E}"/>
    <cellStyle name="20% - Accent5 3 2 2 13" xfId="1486" xr:uid="{4B0DD8B6-CF46-4FD4-A3C6-9E2F3759EEDF}"/>
    <cellStyle name="20% - Accent5 3 2 2 14" xfId="11434" xr:uid="{991107C4-8FD7-4E02-9150-F20ED4A25AA0}"/>
    <cellStyle name="20% - Accent5 3 2 2 2" xfId="2315" xr:uid="{A0847C81-AF05-46F2-9677-1CF5FE54B099}"/>
    <cellStyle name="20% - Accent5 3 2 2 2 2" xfId="12263" xr:uid="{000F94D7-2286-461E-87A8-6936FEA763EC}"/>
    <cellStyle name="20% - Accent5 3 2 2 3" xfId="3144" xr:uid="{E117D601-17C6-4082-B703-4C5963E2375A}"/>
    <cellStyle name="20% - Accent5 3 2 2 3 2" xfId="13092" xr:uid="{D0ADA43B-D9A3-438F-BE1A-A961C99809A0}"/>
    <cellStyle name="20% - Accent5 3 2 2 4" xfId="3973" xr:uid="{F6CEC2D0-9428-46F2-BA85-DA28F393C08F}"/>
    <cellStyle name="20% - Accent5 3 2 2 4 2" xfId="13921" xr:uid="{A4129CDD-F770-42DA-93C4-00D398F9B087}"/>
    <cellStyle name="20% - Accent5 3 2 2 5" xfId="4802" xr:uid="{11854459-B286-466F-A718-DC93114DAB70}"/>
    <cellStyle name="20% - Accent5 3 2 2 5 2" xfId="14750" xr:uid="{04FD8D8C-66F3-4E00-AEDD-05727BF791FF}"/>
    <cellStyle name="20% - Accent5 3 2 2 6" xfId="5631" xr:uid="{49884F5E-A259-4280-8CC5-C47612FDF122}"/>
    <cellStyle name="20% - Accent5 3 2 2 6 2" xfId="15579" xr:uid="{E2FB4E51-2643-420D-8A5C-CAA2764E8BC7}"/>
    <cellStyle name="20% - Accent5 3 2 2 7" xfId="6460" xr:uid="{DBDF6987-D641-4319-AC18-AAFC84340453}"/>
    <cellStyle name="20% - Accent5 3 2 2 7 2" xfId="16408" xr:uid="{892B2A50-A4B7-407F-AB48-B7B9AC5935AA}"/>
    <cellStyle name="20% - Accent5 3 2 2 8" xfId="7289" xr:uid="{FFE9906A-4B57-43C6-8125-893D6F87296A}"/>
    <cellStyle name="20% - Accent5 3 2 2 8 2" xfId="17237" xr:uid="{2038C760-E41C-4829-9D3B-56134AF471E9}"/>
    <cellStyle name="20% - Accent5 3 2 2 9" xfId="8118" xr:uid="{60F8C9DC-A566-42BE-BA80-F5E5B63A482A}"/>
    <cellStyle name="20% - Accent5 3 2 2 9 2" xfId="18066" xr:uid="{367ACBF5-0321-47F1-B193-D12C3888CDBB}"/>
    <cellStyle name="20% - Accent5 3 2 3" xfId="1899" xr:uid="{7D17F61D-AC45-4271-9D78-17D2CA5A08EF}"/>
    <cellStyle name="20% - Accent5 3 2 3 2" xfId="11847" xr:uid="{14BEE4A0-978E-4EE6-A9F5-1ACA523BA5BE}"/>
    <cellStyle name="20% - Accent5 3 2 4" xfId="2728" xr:uid="{7E6D2EB0-0302-4312-A5EA-75D3DCAF7F5F}"/>
    <cellStyle name="20% - Accent5 3 2 4 2" xfId="12676" xr:uid="{ED7B3985-00D6-4C02-8FF3-59798452A06D}"/>
    <cellStyle name="20% - Accent5 3 2 5" xfId="3557" xr:uid="{65F54AD2-7C32-4316-BD16-B840932ABD74}"/>
    <cellStyle name="20% - Accent5 3 2 5 2" xfId="13505" xr:uid="{6412397C-A78C-4F43-869E-A034AD815D71}"/>
    <cellStyle name="20% - Accent5 3 2 6" xfId="4386" xr:uid="{C62A7D54-FCE0-4CF6-AE3C-239563B54720}"/>
    <cellStyle name="20% - Accent5 3 2 6 2" xfId="14334" xr:uid="{56BE2D34-75AC-4D8F-9A88-D4695445D67D}"/>
    <cellStyle name="20% - Accent5 3 2 7" xfId="5215" xr:uid="{47D7E40E-1FE4-4473-9486-4E52ACDE27AB}"/>
    <cellStyle name="20% - Accent5 3 2 7 2" xfId="15163" xr:uid="{7532E18C-EA97-4BB8-A96C-D3CDC0A25597}"/>
    <cellStyle name="20% - Accent5 3 2 8" xfId="6044" xr:uid="{5ECF91B7-1491-42F7-A699-6F19B0A58EC9}"/>
    <cellStyle name="20% - Accent5 3 2 8 2" xfId="15992" xr:uid="{F536ACCF-4509-43F3-A15F-99AE160CBDBA}"/>
    <cellStyle name="20% - Accent5 3 2 9" xfId="6873" xr:uid="{BE5B3444-D6B2-49EA-8735-C98ADA0F9437}"/>
    <cellStyle name="20% - Accent5 3 2 9 2" xfId="16821" xr:uid="{207E49FE-CB9E-4B71-A5B1-C5B32D8C7DEA}"/>
    <cellStyle name="20% - Accent5 3 3" xfId="615" xr:uid="{00000000-0005-0000-0000-00004C000000}"/>
    <cellStyle name="20% - Accent5 3 3 10" xfId="8946" xr:uid="{27A41E74-A014-4869-AB0A-E0C94CD1ECF6}"/>
    <cellStyle name="20% - Accent5 3 3 10 2" xfId="18894" xr:uid="{0E007DC6-A29D-45F2-AF18-8C3692587BF7}"/>
    <cellStyle name="20% - Accent5 3 3 11" xfId="9775" xr:uid="{F5AFE512-DD3C-44B2-AFE6-CF02AF90DDF3}"/>
    <cellStyle name="20% - Accent5 3 3 11 2" xfId="19723" xr:uid="{E81C8EA1-686F-4B11-8A73-D1D4643F2F1A}"/>
    <cellStyle name="20% - Accent5 3 3 12" xfId="10604" xr:uid="{AD29CE00-DCFE-41D5-8FD8-B42ECE92F7F9}"/>
    <cellStyle name="20% - Accent5 3 3 12 2" xfId="20552" xr:uid="{C3A97EED-6E3E-45EC-AED4-062C0F919269}"/>
    <cellStyle name="20% - Accent5 3 3 13" xfId="1485" xr:uid="{C28DC1EE-2BA3-466C-89B1-3725371D3E56}"/>
    <cellStyle name="20% - Accent5 3 3 14" xfId="11433" xr:uid="{9A30909F-36AD-473D-825E-88F1D97CDA5D}"/>
    <cellStyle name="20% - Accent5 3 3 2" xfId="2314" xr:uid="{AA97FA0D-13C1-4B9C-97DF-320F4BAC088C}"/>
    <cellStyle name="20% - Accent5 3 3 2 2" xfId="12262" xr:uid="{7309AEEE-E643-4C05-9DCC-66F04144945D}"/>
    <cellStyle name="20% - Accent5 3 3 3" xfId="3143" xr:uid="{9125CF72-7F20-4408-9210-804BDA66A066}"/>
    <cellStyle name="20% - Accent5 3 3 3 2" xfId="13091" xr:uid="{7E1C86B4-23D3-4ED2-99D2-E7626597EBD6}"/>
    <cellStyle name="20% - Accent5 3 3 4" xfId="3972" xr:uid="{BA4C72D6-81FC-4D95-9212-789BF05C01AC}"/>
    <cellStyle name="20% - Accent5 3 3 4 2" xfId="13920" xr:uid="{8844B2F0-D5A9-42E4-9498-DB38973744AC}"/>
    <cellStyle name="20% - Accent5 3 3 5" xfId="4801" xr:uid="{7412C303-B7FD-4771-9D6B-B55F866E6B9E}"/>
    <cellStyle name="20% - Accent5 3 3 5 2" xfId="14749" xr:uid="{D71CD0DC-EF95-4AD2-AEC9-2175F1E3C25A}"/>
    <cellStyle name="20% - Accent5 3 3 6" xfId="5630" xr:uid="{96B0D3F2-4D56-4C41-802D-780BAEE86ED3}"/>
    <cellStyle name="20% - Accent5 3 3 6 2" xfId="15578" xr:uid="{F06A7DE8-835A-4260-B976-B8F773077DB7}"/>
    <cellStyle name="20% - Accent5 3 3 7" xfId="6459" xr:uid="{ADAD59BC-8A4F-4CA1-B129-07B83F680659}"/>
    <cellStyle name="20% - Accent5 3 3 7 2" xfId="16407" xr:uid="{DCD63904-D5C4-474C-804F-115392139013}"/>
    <cellStyle name="20% - Accent5 3 3 8" xfId="7288" xr:uid="{38B49AD5-4F07-476F-BBF3-6749536F1151}"/>
    <cellStyle name="20% - Accent5 3 3 8 2" xfId="17236" xr:uid="{BC2301D3-B2A4-4017-8B2E-9D882CE1A4AD}"/>
    <cellStyle name="20% - Accent5 3 3 9" xfId="8117" xr:uid="{308ECBAB-6E8E-44F6-A693-FA47AE39B5C6}"/>
    <cellStyle name="20% - Accent5 3 3 9 2" xfId="18065" xr:uid="{01640FE0-2DBC-4E1D-A16C-280B175AC363}"/>
    <cellStyle name="20% - Accent5 3 4" xfId="1898" xr:uid="{BF315EA0-40CE-4880-9120-CE74D8887E98}"/>
    <cellStyle name="20% - Accent5 3 4 2" xfId="11846" xr:uid="{3BB6D6CE-8429-4165-8F4F-3CA62F9884DD}"/>
    <cellStyle name="20% - Accent5 3 5" xfId="2727" xr:uid="{5FE710C8-B78E-430C-9C03-D0288A6738DD}"/>
    <cellStyle name="20% - Accent5 3 5 2" xfId="12675" xr:uid="{DDA744E7-B283-49A3-BE19-2B536E603858}"/>
    <cellStyle name="20% - Accent5 3 6" xfId="3556" xr:uid="{92FB30AA-7229-486E-AFE8-DD74660D210D}"/>
    <cellStyle name="20% - Accent5 3 6 2" xfId="13504" xr:uid="{27685757-348D-4839-9519-6B02E9186ADA}"/>
    <cellStyle name="20% - Accent5 3 7" xfId="4385" xr:uid="{56620155-3EE1-4F9E-99B5-03D939DA5BE6}"/>
    <cellStyle name="20% - Accent5 3 7 2" xfId="14333" xr:uid="{DA47855B-3CCD-4F11-BF0E-7CF6314E1553}"/>
    <cellStyle name="20% - Accent5 3 8" xfId="5214" xr:uid="{6A1F7F26-704F-4F71-83E6-305613CECFF0}"/>
    <cellStyle name="20% - Accent5 3 8 2" xfId="15162" xr:uid="{B7E320C4-914A-4E43-96D8-9870C10C29B7}"/>
    <cellStyle name="20% - Accent5 3 9" xfId="6043" xr:uid="{668BCF34-FF7D-492B-A6A7-46D2239D54A9}"/>
    <cellStyle name="20% - Accent5 3 9 2" xfId="15991" xr:uid="{8ED93F5D-332D-42B5-8E75-B16A2F65717B}"/>
    <cellStyle name="20% - Accent5 4" xfId="40" xr:uid="{00000000-0005-0000-0000-00004D000000}"/>
    <cellStyle name="20% - Accent5 4 10" xfId="7703" xr:uid="{9BEE363C-6B91-485A-84CC-93154D0B4F33}"/>
    <cellStyle name="20% - Accent5 4 10 2" xfId="17651" xr:uid="{F644BB43-559A-40F3-A038-A1B51EB737EE}"/>
    <cellStyle name="20% - Accent5 4 11" xfId="8532" xr:uid="{CFC266B6-D824-4DC8-8B07-878D9D8993FC}"/>
    <cellStyle name="20% - Accent5 4 11 2" xfId="18480" xr:uid="{E5978811-979A-4693-9248-2FE26BC92463}"/>
    <cellStyle name="20% - Accent5 4 12" xfId="9361" xr:uid="{2DDB5DC9-7044-46A3-AC96-7E1D9AEC817B}"/>
    <cellStyle name="20% - Accent5 4 12 2" xfId="19309" xr:uid="{E712645D-CB05-4D1A-AD2B-233E5EEE5E46}"/>
    <cellStyle name="20% - Accent5 4 13" xfId="10190" xr:uid="{9A38DCE1-F3C6-4D7D-AF8D-907C82E16AD5}"/>
    <cellStyle name="20% - Accent5 4 13 2" xfId="20138" xr:uid="{10CE2C61-52EA-4D4D-BD4D-384CF3D03347}"/>
    <cellStyle name="20% - Accent5 4 14" xfId="1071" xr:uid="{3FB0C1E9-EDA4-40CD-B8A5-49F83CC39C6C}"/>
    <cellStyle name="20% - Accent5 4 15" xfId="11019" xr:uid="{FE160CC1-4EDC-4BB0-8112-2605FD96B86F}"/>
    <cellStyle name="20% - Accent5 4 2" xfId="617" xr:uid="{00000000-0005-0000-0000-00004E000000}"/>
    <cellStyle name="20% - Accent5 4 2 10" xfId="8948" xr:uid="{DDF6176F-B1B2-4159-BF4A-02D5F4CBE1F7}"/>
    <cellStyle name="20% - Accent5 4 2 10 2" xfId="18896" xr:uid="{15619750-5F3D-4E2E-9A53-89F0BBA3EC20}"/>
    <cellStyle name="20% - Accent5 4 2 11" xfId="9777" xr:uid="{16174F66-8985-4BC8-9388-4AC2B8DA240F}"/>
    <cellStyle name="20% - Accent5 4 2 11 2" xfId="19725" xr:uid="{F4960CE5-B9CB-40DD-AE5D-AD282509265F}"/>
    <cellStyle name="20% - Accent5 4 2 12" xfId="10606" xr:uid="{C85648E6-CEF1-4448-BE6F-CC98A536A858}"/>
    <cellStyle name="20% - Accent5 4 2 12 2" xfId="20554" xr:uid="{D64C9E03-3F34-4809-9517-3A65669F5732}"/>
    <cellStyle name="20% - Accent5 4 2 13" xfId="1487" xr:uid="{BADADB48-C743-49B7-B290-ECE5F39F3D05}"/>
    <cellStyle name="20% - Accent5 4 2 14" xfId="11435" xr:uid="{5BFB4EAF-5DE1-4F39-AE4E-1A82B71942AE}"/>
    <cellStyle name="20% - Accent5 4 2 2" xfId="2316" xr:uid="{B7CC5B5D-0F61-44DF-B34C-4AC69638087E}"/>
    <cellStyle name="20% - Accent5 4 2 2 2" xfId="12264" xr:uid="{E56B8BD4-ACBA-47FC-ADAC-E15ECAA14431}"/>
    <cellStyle name="20% - Accent5 4 2 3" xfId="3145" xr:uid="{AD4419E1-39E1-4B73-9A03-FD232BC9A583}"/>
    <cellStyle name="20% - Accent5 4 2 3 2" xfId="13093" xr:uid="{C0B15517-E553-435F-8D83-60DE2A02CC85}"/>
    <cellStyle name="20% - Accent5 4 2 4" xfId="3974" xr:uid="{16641C3E-A789-4EDB-91F0-927791093902}"/>
    <cellStyle name="20% - Accent5 4 2 4 2" xfId="13922" xr:uid="{EF93D1B0-9816-4038-93AE-517C08A6A9BF}"/>
    <cellStyle name="20% - Accent5 4 2 5" xfId="4803" xr:uid="{D0CB6B48-15EF-43FE-A471-397FE81C845D}"/>
    <cellStyle name="20% - Accent5 4 2 5 2" xfId="14751" xr:uid="{D82BA9A7-7622-43BD-8606-C8EFA21958DA}"/>
    <cellStyle name="20% - Accent5 4 2 6" xfId="5632" xr:uid="{02AC46F0-0458-4BE1-9486-5FC4422E840D}"/>
    <cellStyle name="20% - Accent5 4 2 6 2" xfId="15580" xr:uid="{8032B160-2BB4-49CC-BDE6-B24F044D6D76}"/>
    <cellStyle name="20% - Accent5 4 2 7" xfId="6461" xr:uid="{FE8B8AC3-325D-42FE-B53B-87F64F562771}"/>
    <cellStyle name="20% - Accent5 4 2 7 2" xfId="16409" xr:uid="{FFCDD017-6D17-4C96-B945-5E833F067910}"/>
    <cellStyle name="20% - Accent5 4 2 8" xfId="7290" xr:uid="{DE302065-0617-448F-B884-437E3C5C7987}"/>
    <cellStyle name="20% - Accent5 4 2 8 2" xfId="17238" xr:uid="{C6C7AC96-5B17-43C4-8C16-16868E50F6AC}"/>
    <cellStyle name="20% - Accent5 4 2 9" xfId="8119" xr:uid="{B795B605-A73A-4754-8734-5684E4360C97}"/>
    <cellStyle name="20% - Accent5 4 2 9 2" xfId="18067" xr:uid="{B9504096-6044-49EF-80F7-4427F5845F46}"/>
    <cellStyle name="20% - Accent5 4 3" xfId="1900" xr:uid="{AA5C7301-5964-4F9D-8FE4-31308CDC0F98}"/>
    <cellStyle name="20% - Accent5 4 3 2" xfId="11848" xr:uid="{A34BC098-2631-41C1-B5D2-B9E2FE04C2C4}"/>
    <cellStyle name="20% - Accent5 4 4" xfId="2729" xr:uid="{43AF08D0-E846-4BD6-B48F-8AD446B828AB}"/>
    <cellStyle name="20% - Accent5 4 4 2" xfId="12677" xr:uid="{55573533-13FA-465D-BD14-56661327C614}"/>
    <cellStyle name="20% - Accent5 4 5" xfId="3558" xr:uid="{D9BF19E7-A269-44D5-979F-7262D8AE0A6B}"/>
    <cellStyle name="20% - Accent5 4 5 2" xfId="13506" xr:uid="{C0BA1887-CADC-45E4-9000-867DB560CC87}"/>
    <cellStyle name="20% - Accent5 4 6" xfId="4387" xr:uid="{377AE33C-5C5A-42AE-BE66-4FB410F8FC29}"/>
    <cellStyle name="20% - Accent5 4 6 2" xfId="14335" xr:uid="{544AC31B-A54E-41DE-946E-454CF17879B1}"/>
    <cellStyle name="20% - Accent5 4 7" xfId="5216" xr:uid="{D925AD76-8543-49BE-8F12-03E80B650DF9}"/>
    <cellStyle name="20% - Accent5 4 7 2" xfId="15164" xr:uid="{3519CDB5-568C-4FC0-A4C2-E179EB024521}"/>
    <cellStyle name="20% - Accent5 4 8" xfId="6045" xr:uid="{FA2ACE8C-B06A-436E-917F-FECE98512222}"/>
    <cellStyle name="20% - Accent5 4 8 2" xfId="15993" xr:uid="{6AFE7D0B-34DF-40E0-A269-7F449B63BF23}"/>
    <cellStyle name="20% - Accent5 4 9" xfId="6874" xr:uid="{B2EFA85F-39D8-4696-AEEA-4BE1E9F39D4F}"/>
    <cellStyle name="20% - Accent5 4 9 2" xfId="16822" xr:uid="{88140810-59E5-49DE-BD6A-196B29061D05}"/>
    <cellStyle name="20% - Accent5 5" xfId="610" xr:uid="{00000000-0005-0000-0000-00004F000000}"/>
    <cellStyle name="20% - Accent5 5 10" xfId="8941" xr:uid="{82BCA208-860A-4CC7-A05A-D9AFAE79AE1D}"/>
    <cellStyle name="20% - Accent5 5 10 2" xfId="18889" xr:uid="{E21CC2CB-0338-490B-BD20-6A005BFC31AA}"/>
    <cellStyle name="20% - Accent5 5 11" xfId="9770" xr:uid="{82A48848-9AB3-45E0-89B0-FA95D29D04E5}"/>
    <cellStyle name="20% - Accent5 5 11 2" xfId="19718" xr:uid="{CA82F672-03F3-4A0E-82E5-12C334E3C4AE}"/>
    <cellStyle name="20% - Accent5 5 12" xfId="10599" xr:uid="{AD5EB97C-3AFE-4DA4-BAAA-23E44BB924D9}"/>
    <cellStyle name="20% - Accent5 5 12 2" xfId="20547" xr:uid="{00BCD63B-2380-4FA5-B23F-A48CD7F13C9B}"/>
    <cellStyle name="20% - Accent5 5 13" xfId="1480" xr:uid="{7B769154-4630-494A-8D08-6FAFEAB9CA77}"/>
    <cellStyle name="20% - Accent5 5 14" xfId="11428" xr:uid="{28466CB3-BE20-41D9-A03A-06D57E343565}"/>
    <cellStyle name="20% - Accent5 5 2" xfId="2309" xr:uid="{FBAB9FB5-8E7A-4927-B170-04988DF8BBC1}"/>
    <cellStyle name="20% - Accent5 5 2 2" xfId="12257" xr:uid="{08AEB4A9-142C-4D6B-B50A-062E3535E153}"/>
    <cellStyle name="20% - Accent5 5 3" xfId="3138" xr:uid="{C2F9D17A-C3AF-499C-AA62-34B75066F46F}"/>
    <cellStyle name="20% - Accent5 5 3 2" xfId="13086" xr:uid="{724994CF-CB90-498F-ACF8-2476E0BD813E}"/>
    <cellStyle name="20% - Accent5 5 4" xfId="3967" xr:uid="{E0965B1B-2885-4FAD-8ECF-A454927B72D1}"/>
    <cellStyle name="20% - Accent5 5 4 2" xfId="13915" xr:uid="{9FE315D5-D593-497E-B67F-CCE451F953EA}"/>
    <cellStyle name="20% - Accent5 5 5" xfId="4796" xr:uid="{534DFD26-053C-4BE3-A41E-360F7DE0B480}"/>
    <cellStyle name="20% - Accent5 5 5 2" xfId="14744" xr:uid="{1446E02E-C441-45AF-89C4-107B8E82E775}"/>
    <cellStyle name="20% - Accent5 5 6" xfId="5625" xr:uid="{B9B0B7D7-F396-4D1E-8AB0-BEB19A23C41F}"/>
    <cellStyle name="20% - Accent5 5 6 2" xfId="15573" xr:uid="{A622E667-EDA9-477C-8B08-327F28BA1BB3}"/>
    <cellStyle name="20% - Accent5 5 7" xfId="6454" xr:uid="{13CAD5F1-F660-440D-AFCA-E172873DB27A}"/>
    <cellStyle name="20% - Accent5 5 7 2" xfId="16402" xr:uid="{63D28B98-6D52-4A17-899E-E2ECE83954F0}"/>
    <cellStyle name="20% - Accent5 5 8" xfId="7283" xr:uid="{6D9E5ADB-770F-499C-978D-63EEE524E5CB}"/>
    <cellStyle name="20% - Accent5 5 8 2" xfId="17231" xr:uid="{2789592A-16BB-4CC2-886C-51AB22AA5B0F}"/>
    <cellStyle name="20% - Accent5 5 9" xfId="8112" xr:uid="{0F50C9AC-38D2-4C98-AD71-444B43EDC65D}"/>
    <cellStyle name="20% - Accent5 5 9 2" xfId="18060" xr:uid="{CF454E9C-95ED-4112-B04D-DA1499C11EBE}"/>
    <cellStyle name="20% - Accent5 6" xfId="1893" xr:uid="{6C881F5D-2A43-49F5-A39D-A182CECD5E8E}"/>
    <cellStyle name="20% - Accent5 6 2" xfId="11841" xr:uid="{E890DE01-9745-49F8-8046-6A622CC7FCB7}"/>
    <cellStyle name="20% - Accent5 7" xfId="2722" xr:uid="{1FFBE5D8-F908-4329-B8AD-07559B1083B0}"/>
    <cellStyle name="20% - Accent5 7 2" xfId="12670" xr:uid="{66021400-B74B-4645-8FF8-4C97DA16D56D}"/>
    <cellStyle name="20% - Accent5 8" xfId="3551" xr:uid="{38BA27DC-D0F6-402D-A17C-1C393C8BA4AE}"/>
    <cellStyle name="20% - Accent5 8 2" xfId="13499" xr:uid="{0A50A123-CDF2-4216-AF39-725B8034CF03}"/>
    <cellStyle name="20% - Accent5 9" xfId="4380" xr:uid="{8B589EC4-1423-4939-83D5-9B39F81AA5F0}"/>
    <cellStyle name="20% - Accent5 9 2" xfId="14328" xr:uid="{7499B879-6AA1-460B-802A-3154655CAB53}"/>
    <cellStyle name="20% - Accent6" xfId="41" builtinId="50" customBuiltin="1"/>
    <cellStyle name="20% - Accent6 10" xfId="5217" xr:uid="{52E1040D-87ED-4FE6-8FA4-0F80CEFD41E4}"/>
    <cellStyle name="20% - Accent6 10 2" xfId="15165" xr:uid="{586FCC0A-BDF9-4041-9D43-8EB0FD5A9954}"/>
    <cellStyle name="20% - Accent6 11" xfId="6046" xr:uid="{2CD87C18-48E1-4CAD-9B68-C434BBC38376}"/>
    <cellStyle name="20% - Accent6 11 2" xfId="15994" xr:uid="{A4295950-C542-4D3C-A42A-10AA12D641A4}"/>
    <cellStyle name="20% - Accent6 12" xfId="6875" xr:uid="{5F2B5034-A0A4-4C35-B020-576B82563799}"/>
    <cellStyle name="20% - Accent6 12 2" xfId="16823" xr:uid="{41DCB840-44EE-46C2-BC86-10F1D0F605FD}"/>
    <cellStyle name="20% - Accent6 13" xfId="7704" xr:uid="{D9EA9655-6D9D-406E-A1A3-CE3A07A7FC3E}"/>
    <cellStyle name="20% - Accent6 13 2" xfId="17652" xr:uid="{A9C60624-8678-4A24-BC96-78E9B9A3C710}"/>
    <cellStyle name="20% - Accent6 14" xfId="8533" xr:uid="{8180C808-6EB4-41AF-91DC-9702D91E7CE3}"/>
    <cellStyle name="20% - Accent6 14 2" xfId="18481" xr:uid="{61F65FD0-185A-45D1-B948-985D7DC3AC78}"/>
    <cellStyle name="20% - Accent6 15" xfId="9362" xr:uid="{6F693AD1-713B-410C-BFA9-A053A5D4E077}"/>
    <cellStyle name="20% - Accent6 15 2" xfId="19310" xr:uid="{D2DC1359-E20A-40CA-B76B-429E65E50617}"/>
    <cellStyle name="20% - Accent6 16" xfId="10191" xr:uid="{C69B60C7-D355-45E3-AD1D-2F1A79642F9B}"/>
    <cellStyle name="20% - Accent6 16 2" xfId="20139" xr:uid="{4F550877-4BCB-4C24-B571-0E7F09F94B03}"/>
    <cellStyle name="20% - Accent6 17" xfId="1072" xr:uid="{12C6943A-C4D7-41BC-8A53-0CB374E84EA4}"/>
    <cellStyle name="20% - Accent6 18" xfId="11020" xr:uid="{49292A88-5E6C-4769-9A70-841C3DD8C597}"/>
    <cellStyle name="20% - Accent6 2" xfId="42" xr:uid="{00000000-0005-0000-0000-000051000000}"/>
    <cellStyle name="20% - Accent6 2 10" xfId="6047" xr:uid="{CCD773C6-F5F8-45AF-BA04-9B5BF8EF01A7}"/>
    <cellStyle name="20% - Accent6 2 10 2" xfId="15995" xr:uid="{87B28073-B342-4DD6-A6F3-D7070F98E2BC}"/>
    <cellStyle name="20% - Accent6 2 11" xfId="6876" xr:uid="{2E880D49-4655-4D60-9393-DFDAA59683BD}"/>
    <cellStyle name="20% - Accent6 2 11 2" xfId="16824" xr:uid="{36443602-3339-4074-9010-7B3A46BB4D7A}"/>
    <cellStyle name="20% - Accent6 2 12" xfId="7705" xr:uid="{EB65E932-F257-417C-B5C7-3F6CED8EA5BB}"/>
    <cellStyle name="20% - Accent6 2 12 2" xfId="17653" xr:uid="{CD495724-8012-4AD5-94C9-B1BB07502D87}"/>
    <cellStyle name="20% - Accent6 2 13" xfId="8534" xr:uid="{4B48DF39-3499-49F3-8508-18442F6BB44E}"/>
    <cellStyle name="20% - Accent6 2 13 2" xfId="18482" xr:uid="{76F4355E-0494-4AAB-A7C0-571BB80F0A3D}"/>
    <cellStyle name="20% - Accent6 2 14" xfId="9363" xr:uid="{111A185A-F8BA-420D-A028-5F14B1091711}"/>
    <cellStyle name="20% - Accent6 2 14 2" xfId="19311" xr:uid="{09378675-E74D-4760-B9F1-27439CBF003A}"/>
    <cellStyle name="20% - Accent6 2 15" xfId="10192" xr:uid="{90CFAEA4-3BDF-48B6-8C40-969B552440D6}"/>
    <cellStyle name="20% - Accent6 2 15 2" xfId="20140" xr:uid="{CC73657D-7C26-4006-B82C-59A611204FC6}"/>
    <cellStyle name="20% - Accent6 2 16" xfId="1073" xr:uid="{1E59FAB9-CC7F-4781-A604-8AFF526A6B5F}"/>
    <cellStyle name="20% - Accent6 2 17" xfId="11021" xr:uid="{5E27C658-6162-41EA-A472-FB0D64535D0E}"/>
    <cellStyle name="20% - Accent6 2 2" xfId="43" xr:uid="{00000000-0005-0000-0000-000052000000}"/>
    <cellStyle name="20% - Accent6 2 2 10" xfId="6877" xr:uid="{0139C552-766A-4126-A19D-00F1B77D8531}"/>
    <cellStyle name="20% - Accent6 2 2 10 2" xfId="16825" xr:uid="{18979733-7D52-4195-88CA-F8848623073A}"/>
    <cellStyle name="20% - Accent6 2 2 11" xfId="7706" xr:uid="{FD48E591-D3E3-43B6-9D8E-5E78C64FFC00}"/>
    <cellStyle name="20% - Accent6 2 2 11 2" xfId="17654" xr:uid="{736A0B78-3C67-44E2-AC4D-FE54C6A36104}"/>
    <cellStyle name="20% - Accent6 2 2 12" xfId="8535" xr:uid="{CF6B76D8-FA6B-45D0-9519-C200E4B376C6}"/>
    <cellStyle name="20% - Accent6 2 2 12 2" xfId="18483" xr:uid="{1F7B7856-D146-4E18-A7EE-CD7F9004B25F}"/>
    <cellStyle name="20% - Accent6 2 2 13" xfId="9364" xr:uid="{307CB2BA-3070-483C-9F4F-1E6D566C5E1A}"/>
    <cellStyle name="20% - Accent6 2 2 13 2" xfId="19312" xr:uid="{95D5115E-5FB5-4ACC-8149-A8D29A6E207E}"/>
    <cellStyle name="20% - Accent6 2 2 14" xfId="10193" xr:uid="{5ACED664-5D78-4A81-9889-F48083BB7736}"/>
    <cellStyle name="20% - Accent6 2 2 14 2" xfId="20141" xr:uid="{DF9084AA-F638-44A7-8511-EF1F56594E01}"/>
    <cellStyle name="20% - Accent6 2 2 15" xfId="1074" xr:uid="{5360BEF5-51D1-4AE8-8733-6A9BA5E142D0}"/>
    <cellStyle name="20% - Accent6 2 2 16" xfId="11022" xr:uid="{222CC4BE-7BCD-4F96-AB35-B876CD2E3265}"/>
    <cellStyle name="20% - Accent6 2 2 2" xfId="44" xr:uid="{00000000-0005-0000-0000-000053000000}"/>
    <cellStyle name="20% - Accent6 2 2 2 10" xfId="7707" xr:uid="{ECDE2502-FB7D-458D-AAED-A102316436B4}"/>
    <cellStyle name="20% - Accent6 2 2 2 10 2" xfId="17655" xr:uid="{7C09679E-09E7-4AC4-8069-8AA8405D2B56}"/>
    <cellStyle name="20% - Accent6 2 2 2 11" xfId="8536" xr:uid="{BC86E574-65B6-41B8-849A-4C7786ADF2F3}"/>
    <cellStyle name="20% - Accent6 2 2 2 11 2" xfId="18484" xr:uid="{3BE425D6-4D3B-41AD-95E9-E48C6E51B08F}"/>
    <cellStyle name="20% - Accent6 2 2 2 12" xfId="9365" xr:uid="{4097B5A6-D194-48E4-B292-F9EB78D6A2B9}"/>
    <cellStyle name="20% - Accent6 2 2 2 12 2" xfId="19313" xr:uid="{9AD95848-6469-438E-9C19-7B496FF0FA28}"/>
    <cellStyle name="20% - Accent6 2 2 2 13" xfId="10194" xr:uid="{C4FEF999-445F-4F25-B40F-825CD0C6F6CD}"/>
    <cellStyle name="20% - Accent6 2 2 2 13 2" xfId="20142" xr:uid="{C1033105-E38E-45B3-B921-64AFB708A6A7}"/>
    <cellStyle name="20% - Accent6 2 2 2 14" xfId="1075" xr:uid="{B6330734-56D0-43D4-895D-6F1FF4D74FAC}"/>
    <cellStyle name="20% - Accent6 2 2 2 15" xfId="11023" xr:uid="{A1E22C1E-5E5B-432F-817E-85655AFCE939}"/>
    <cellStyle name="20% - Accent6 2 2 2 2" xfId="621" xr:uid="{00000000-0005-0000-0000-000054000000}"/>
    <cellStyle name="20% - Accent6 2 2 2 2 10" xfId="8952" xr:uid="{FC953776-BFBB-4F3E-ACBA-C5868F379C82}"/>
    <cellStyle name="20% - Accent6 2 2 2 2 10 2" xfId="18900" xr:uid="{4C4D048E-2328-47AF-9DDC-62BB28DC7492}"/>
    <cellStyle name="20% - Accent6 2 2 2 2 11" xfId="9781" xr:uid="{A7FD7771-27D3-4AFE-B1C5-1A5FD00D061A}"/>
    <cellStyle name="20% - Accent6 2 2 2 2 11 2" xfId="19729" xr:uid="{35411A1F-341C-4D3D-89CB-F61B6720BDCD}"/>
    <cellStyle name="20% - Accent6 2 2 2 2 12" xfId="10610" xr:uid="{EE00E7E1-3FC1-415C-B9AD-9C684C3B2F5B}"/>
    <cellStyle name="20% - Accent6 2 2 2 2 12 2" xfId="20558" xr:uid="{0960BBE5-B0C2-43AE-B4ED-95A91B250185}"/>
    <cellStyle name="20% - Accent6 2 2 2 2 13" xfId="1491" xr:uid="{AD389BC9-BCCC-45DF-89EC-CB3B1C08C044}"/>
    <cellStyle name="20% - Accent6 2 2 2 2 14" xfId="11439" xr:uid="{CA26AFFE-4665-4C34-AAC8-11A3EF5A6B90}"/>
    <cellStyle name="20% - Accent6 2 2 2 2 2" xfId="2320" xr:uid="{0AAFC23C-5A9E-40B2-9C3E-BAB2ECEEEDE9}"/>
    <cellStyle name="20% - Accent6 2 2 2 2 2 2" xfId="12268" xr:uid="{10511078-02B9-4336-95D2-34DDA2EFD7AF}"/>
    <cellStyle name="20% - Accent6 2 2 2 2 3" xfId="3149" xr:uid="{42C496E8-0EBC-4466-B39D-A4498B1C3B6F}"/>
    <cellStyle name="20% - Accent6 2 2 2 2 3 2" xfId="13097" xr:uid="{3932A650-701F-412F-A472-374477C9EB4B}"/>
    <cellStyle name="20% - Accent6 2 2 2 2 4" xfId="3978" xr:uid="{C9C5A297-44E3-48D1-8C7A-F52641BAFD96}"/>
    <cellStyle name="20% - Accent6 2 2 2 2 4 2" xfId="13926" xr:uid="{12801FD0-143F-4C24-B42A-A1800C2912BC}"/>
    <cellStyle name="20% - Accent6 2 2 2 2 5" xfId="4807" xr:uid="{44DB9779-81DB-4DA7-8C91-A37AF94016FE}"/>
    <cellStyle name="20% - Accent6 2 2 2 2 5 2" xfId="14755" xr:uid="{53694C6A-2811-461C-9D83-5F77329188D7}"/>
    <cellStyle name="20% - Accent6 2 2 2 2 6" xfId="5636" xr:uid="{6600CD01-01DD-4752-BF77-FB56BDF4C768}"/>
    <cellStyle name="20% - Accent6 2 2 2 2 6 2" xfId="15584" xr:uid="{94242EE7-ABF2-45CE-B8CC-7E0E3DC625EA}"/>
    <cellStyle name="20% - Accent6 2 2 2 2 7" xfId="6465" xr:uid="{C03A830F-4B10-4251-9415-93737AAEE62A}"/>
    <cellStyle name="20% - Accent6 2 2 2 2 7 2" xfId="16413" xr:uid="{5F991164-192E-4321-B4D4-F5E64CCB7342}"/>
    <cellStyle name="20% - Accent6 2 2 2 2 8" xfId="7294" xr:uid="{71FC4970-52DA-4110-AEA5-38B20A8C9870}"/>
    <cellStyle name="20% - Accent6 2 2 2 2 8 2" xfId="17242" xr:uid="{A762D3FB-83BF-45AB-A889-36C448DF865F}"/>
    <cellStyle name="20% - Accent6 2 2 2 2 9" xfId="8123" xr:uid="{448A22F1-1A41-470F-B92E-AE6889DC535B}"/>
    <cellStyle name="20% - Accent6 2 2 2 2 9 2" xfId="18071" xr:uid="{B888F1E2-2B58-43A3-AFA7-CB40D8D811A8}"/>
    <cellStyle name="20% - Accent6 2 2 2 3" xfId="1904" xr:uid="{97CEEEDF-C3AE-40C0-9021-60C3A3D3123F}"/>
    <cellStyle name="20% - Accent6 2 2 2 3 2" xfId="11852" xr:uid="{DB3BBA16-A324-4002-BA11-2E341F991C7E}"/>
    <cellStyle name="20% - Accent6 2 2 2 4" xfId="2733" xr:uid="{88A18BE4-1C6A-41D6-BFE2-F4394470EFAA}"/>
    <cellStyle name="20% - Accent6 2 2 2 4 2" xfId="12681" xr:uid="{D0970DC6-6D18-4240-96CF-F05D7A5E0E10}"/>
    <cellStyle name="20% - Accent6 2 2 2 5" xfId="3562" xr:uid="{36687E66-87B6-4770-A0F9-83A32D0BA827}"/>
    <cellStyle name="20% - Accent6 2 2 2 5 2" xfId="13510" xr:uid="{C9BDF689-0601-4F55-8BEB-E9019668641F}"/>
    <cellStyle name="20% - Accent6 2 2 2 6" xfId="4391" xr:uid="{34E95BDE-5126-4657-B653-14C109A5CF31}"/>
    <cellStyle name="20% - Accent6 2 2 2 6 2" xfId="14339" xr:uid="{E997BF31-6138-4582-9253-BCCE99794A12}"/>
    <cellStyle name="20% - Accent6 2 2 2 7" xfId="5220" xr:uid="{07D31BD9-EF85-43A9-829B-650EAB10FB52}"/>
    <cellStyle name="20% - Accent6 2 2 2 7 2" xfId="15168" xr:uid="{534918CA-E226-4D85-8493-C47DC2D6A4C7}"/>
    <cellStyle name="20% - Accent6 2 2 2 8" xfId="6049" xr:uid="{5CA2D9E3-FFC2-4930-906C-1AB052C4C787}"/>
    <cellStyle name="20% - Accent6 2 2 2 8 2" xfId="15997" xr:uid="{4366BF40-DFF0-4960-AB6F-569B40BA075E}"/>
    <cellStyle name="20% - Accent6 2 2 2 9" xfId="6878" xr:uid="{B43C7825-15A7-4F12-BDFD-75A229A20E21}"/>
    <cellStyle name="20% - Accent6 2 2 2 9 2" xfId="16826" xr:uid="{B802223F-AC20-4202-8AFB-9A3E1BC7BD09}"/>
    <cellStyle name="20% - Accent6 2 2 3" xfId="620" xr:uid="{00000000-0005-0000-0000-000055000000}"/>
    <cellStyle name="20% - Accent6 2 2 3 10" xfId="8951" xr:uid="{D60D4ECB-A7E5-4C03-8FBF-9E0BFD6C9357}"/>
    <cellStyle name="20% - Accent6 2 2 3 10 2" xfId="18899" xr:uid="{420E9991-C474-4E4F-98CE-2351F0C2B058}"/>
    <cellStyle name="20% - Accent6 2 2 3 11" xfId="9780" xr:uid="{56482947-B84B-49AF-BD5F-C7D7C6DBF15E}"/>
    <cellStyle name="20% - Accent6 2 2 3 11 2" xfId="19728" xr:uid="{C1C53315-25E9-4380-9E4B-7EA7AC790D9E}"/>
    <cellStyle name="20% - Accent6 2 2 3 12" xfId="10609" xr:uid="{330FAF58-8DE5-428D-94CA-38011872077A}"/>
    <cellStyle name="20% - Accent6 2 2 3 12 2" xfId="20557" xr:uid="{828C5C8A-47E4-4405-A6BC-E1724281A1DA}"/>
    <cellStyle name="20% - Accent6 2 2 3 13" xfId="1490" xr:uid="{D85F7DCD-295C-4E78-BA87-FB9149CEEFFA}"/>
    <cellStyle name="20% - Accent6 2 2 3 14" xfId="11438" xr:uid="{112D13B8-9BD8-4B9F-85F1-11B433EBD929}"/>
    <cellStyle name="20% - Accent6 2 2 3 2" xfId="2319" xr:uid="{B5BA8652-37C7-4B57-9C80-64BA02E958B2}"/>
    <cellStyle name="20% - Accent6 2 2 3 2 2" xfId="12267" xr:uid="{5AA234AD-447F-4616-8224-7D4971113ED6}"/>
    <cellStyle name="20% - Accent6 2 2 3 3" xfId="3148" xr:uid="{DE4A578C-9F43-4FC6-A7EF-CD54BA91CD6D}"/>
    <cellStyle name="20% - Accent6 2 2 3 3 2" xfId="13096" xr:uid="{EC8BD523-969F-4339-9E81-9278465FAA7E}"/>
    <cellStyle name="20% - Accent6 2 2 3 4" xfId="3977" xr:uid="{B118FCDF-A2F2-4263-B1FF-AAE60BC0888A}"/>
    <cellStyle name="20% - Accent6 2 2 3 4 2" xfId="13925" xr:uid="{0C6C9A81-C0A5-473F-A3B8-10927ACBA194}"/>
    <cellStyle name="20% - Accent6 2 2 3 5" xfId="4806" xr:uid="{86EF4008-F8D1-42E0-8DD9-65E0A9ABB519}"/>
    <cellStyle name="20% - Accent6 2 2 3 5 2" xfId="14754" xr:uid="{4ED9D0DD-3AFF-49D7-B187-D04C3A1FCB3B}"/>
    <cellStyle name="20% - Accent6 2 2 3 6" xfId="5635" xr:uid="{A9918E86-219D-4EC7-9687-6B463C454174}"/>
    <cellStyle name="20% - Accent6 2 2 3 6 2" xfId="15583" xr:uid="{C71C6780-6BC2-49AD-B089-72FD86B669F7}"/>
    <cellStyle name="20% - Accent6 2 2 3 7" xfId="6464" xr:uid="{27FFC97F-2677-4017-A053-9B65D6102F1B}"/>
    <cellStyle name="20% - Accent6 2 2 3 7 2" xfId="16412" xr:uid="{9F39723B-A7D6-47A5-A2B2-21668303D3B5}"/>
    <cellStyle name="20% - Accent6 2 2 3 8" xfId="7293" xr:uid="{797E6990-1330-4470-907C-33F31CA65AFA}"/>
    <cellStyle name="20% - Accent6 2 2 3 8 2" xfId="17241" xr:uid="{E417912D-AEF4-4D22-8F14-63BD91D5D6C5}"/>
    <cellStyle name="20% - Accent6 2 2 3 9" xfId="8122" xr:uid="{B23BF594-486F-46CB-86C2-FB23CC4A2CA0}"/>
    <cellStyle name="20% - Accent6 2 2 3 9 2" xfId="18070" xr:uid="{8ED0FF71-3578-42BC-A7BA-EFFA027AAE14}"/>
    <cellStyle name="20% - Accent6 2 2 4" xfId="1903" xr:uid="{A2E6523C-864E-4B0D-8C41-DD1BD97FB474}"/>
    <cellStyle name="20% - Accent6 2 2 4 2" xfId="11851" xr:uid="{A48E17EF-CC8C-455A-9D59-DE0B600965C0}"/>
    <cellStyle name="20% - Accent6 2 2 5" xfId="2732" xr:uid="{907FA7C9-843F-41F3-B376-C0FCB2A19F1D}"/>
    <cellStyle name="20% - Accent6 2 2 5 2" xfId="12680" xr:uid="{F9171A74-660C-44B1-B10B-B5F3CC0D1A65}"/>
    <cellStyle name="20% - Accent6 2 2 6" xfId="3561" xr:uid="{BCCD20EF-EC54-48EB-86CF-FDBEE54C7986}"/>
    <cellStyle name="20% - Accent6 2 2 6 2" xfId="13509" xr:uid="{D2043C06-3155-4CF8-8B15-3747A7541EA7}"/>
    <cellStyle name="20% - Accent6 2 2 7" xfId="4390" xr:uid="{C35966F7-E3F4-404F-AF30-55634FED1548}"/>
    <cellStyle name="20% - Accent6 2 2 7 2" xfId="14338" xr:uid="{46509BFA-EB98-48D2-94A4-D79113C7240E}"/>
    <cellStyle name="20% - Accent6 2 2 8" xfId="5219" xr:uid="{CB225D0C-2F04-4C29-9E2A-5963C10409CF}"/>
    <cellStyle name="20% - Accent6 2 2 8 2" xfId="15167" xr:uid="{1E01B7B4-9581-4424-8E71-C30B475A0B00}"/>
    <cellStyle name="20% - Accent6 2 2 9" xfId="6048" xr:uid="{9D89D278-EE6A-47CA-B3D5-2353E38613D3}"/>
    <cellStyle name="20% - Accent6 2 2 9 2" xfId="15996" xr:uid="{81EAAA62-8A4F-4E8B-8B82-55DFAEFF89AC}"/>
    <cellStyle name="20% - Accent6 2 3" xfId="45" xr:uid="{00000000-0005-0000-0000-000056000000}"/>
    <cellStyle name="20% - Accent6 2 3 10" xfId="7708" xr:uid="{EC80084E-EE2F-4522-AD4D-D1889DCAF8F0}"/>
    <cellStyle name="20% - Accent6 2 3 10 2" xfId="17656" xr:uid="{E6E40648-C951-4326-9902-D58ECC07E4E7}"/>
    <cellStyle name="20% - Accent6 2 3 11" xfId="8537" xr:uid="{008E7AE9-788D-43EB-A02F-B175109958D8}"/>
    <cellStyle name="20% - Accent6 2 3 11 2" xfId="18485" xr:uid="{84F53B0F-EF59-4214-B966-372B12736123}"/>
    <cellStyle name="20% - Accent6 2 3 12" xfId="9366" xr:uid="{E6AE8512-CB21-4711-84F2-F51F917A67F4}"/>
    <cellStyle name="20% - Accent6 2 3 12 2" xfId="19314" xr:uid="{13A63632-92A9-434B-A2AB-F6CEACB17DDB}"/>
    <cellStyle name="20% - Accent6 2 3 13" xfId="10195" xr:uid="{039C71D6-627C-4B40-8D8F-B060CF51A6BE}"/>
    <cellStyle name="20% - Accent6 2 3 13 2" xfId="20143" xr:uid="{842D0A6E-F163-4E4E-A614-A3C9055EA9E6}"/>
    <cellStyle name="20% - Accent6 2 3 14" xfId="1076" xr:uid="{0A6ACB9B-3D95-42A9-B362-B4B9BCC22CD8}"/>
    <cellStyle name="20% - Accent6 2 3 15" xfId="11024" xr:uid="{C607FF46-6DE3-4854-9FC6-DF0A06C93799}"/>
    <cellStyle name="20% - Accent6 2 3 2" xfId="622" xr:uid="{00000000-0005-0000-0000-000057000000}"/>
    <cellStyle name="20% - Accent6 2 3 2 10" xfId="8953" xr:uid="{D07D923E-52EF-4955-A6D8-8D035B382851}"/>
    <cellStyle name="20% - Accent6 2 3 2 10 2" xfId="18901" xr:uid="{D6F2AC83-47BA-41DC-A0BD-95BD411282EC}"/>
    <cellStyle name="20% - Accent6 2 3 2 11" xfId="9782" xr:uid="{F0C9C215-0253-403A-92EC-8D5A1777032D}"/>
    <cellStyle name="20% - Accent6 2 3 2 11 2" xfId="19730" xr:uid="{29C2F0A5-42BA-4546-AA71-EF0E79855123}"/>
    <cellStyle name="20% - Accent6 2 3 2 12" xfId="10611" xr:uid="{38830631-181B-43CC-813D-9A4C317A91C5}"/>
    <cellStyle name="20% - Accent6 2 3 2 12 2" xfId="20559" xr:uid="{671BDBE9-C5E1-432C-9E4F-BBF39F2A2644}"/>
    <cellStyle name="20% - Accent6 2 3 2 13" xfId="1492" xr:uid="{783E0BF0-F99A-4CD8-AAD3-95DABF10468A}"/>
    <cellStyle name="20% - Accent6 2 3 2 14" xfId="11440" xr:uid="{A5FFE5B6-4BC8-46C3-B0FA-72BF86A199AE}"/>
    <cellStyle name="20% - Accent6 2 3 2 2" xfId="2321" xr:uid="{F7767E90-518A-45CC-9EA8-4AAACB514511}"/>
    <cellStyle name="20% - Accent6 2 3 2 2 2" xfId="12269" xr:uid="{D07921E3-6ED6-4DA0-A5A7-A18F02BB00BB}"/>
    <cellStyle name="20% - Accent6 2 3 2 3" xfId="3150" xr:uid="{75F93371-A745-44E3-988B-C0B7EDF37A0B}"/>
    <cellStyle name="20% - Accent6 2 3 2 3 2" xfId="13098" xr:uid="{4E6A8B93-77E9-4676-B4BE-63B90B90BB1C}"/>
    <cellStyle name="20% - Accent6 2 3 2 4" xfId="3979" xr:uid="{496A79F7-0826-4B5B-A7ED-619CDD9ECAE3}"/>
    <cellStyle name="20% - Accent6 2 3 2 4 2" xfId="13927" xr:uid="{ED37D99A-3BE4-426B-A12D-EEC9673724A8}"/>
    <cellStyle name="20% - Accent6 2 3 2 5" xfId="4808" xr:uid="{B4BF2F71-6CC1-4407-8EF3-B258FAE529F8}"/>
    <cellStyle name="20% - Accent6 2 3 2 5 2" xfId="14756" xr:uid="{2B9F887C-646A-4C81-9DD0-E81054AC78AA}"/>
    <cellStyle name="20% - Accent6 2 3 2 6" xfId="5637" xr:uid="{F26B65D8-7C9F-437A-B22C-13592DFCE7ED}"/>
    <cellStyle name="20% - Accent6 2 3 2 6 2" xfId="15585" xr:uid="{A96FC31B-0040-405B-B246-4D6594C0B004}"/>
    <cellStyle name="20% - Accent6 2 3 2 7" xfId="6466" xr:uid="{72C906A5-C836-4E67-981C-6781B3FD2113}"/>
    <cellStyle name="20% - Accent6 2 3 2 7 2" xfId="16414" xr:uid="{AD124AB9-3149-4B45-B05B-0A646FD333AB}"/>
    <cellStyle name="20% - Accent6 2 3 2 8" xfId="7295" xr:uid="{1A70669E-C1AD-46C5-A5B0-1D7314E438FD}"/>
    <cellStyle name="20% - Accent6 2 3 2 8 2" xfId="17243" xr:uid="{7E1FEE89-FD86-415D-AA03-DE36BBA45BC0}"/>
    <cellStyle name="20% - Accent6 2 3 2 9" xfId="8124" xr:uid="{B787B58E-442B-4249-940A-11B3A8A23711}"/>
    <cellStyle name="20% - Accent6 2 3 2 9 2" xfId="18072" xr:uid="{621BD21B-D6EA-4463-8D5D-8C630F9F463A}"/>
    <cellStyle name="20% - Accent6 2 3 3" xfId="1905" xr:uid="{588C4C6E-105A-40BE-B1A1-46956D20FD29}"/>
    <cellStyle name="20% - Accent6 2 3 3 2" xfId="11853" xr:uid="{D81CC9F5-EBD6-4FAB-B0CC-7EB1D55816F7}"/>
    <cellStyle name="20% - Accent6 2 3 4" xfId="2734" xr:uid="{6507D726-4F8F-4968-99DE-0F710B50DEAB}"/>
    <cellStyle name="20% - Accent6 2 3 4 2" xfId="12682" xr:uid="{08E40091-AD46-4CB9-BE7A-9D6E33C2D8A5}"/>
    <cellStyle name="20% - Accent6 2 3 5" xfId="3563" xr:uid="{00539042-F439-4342-99A0-2B9545FDE790}"/>
    <cellStyle name="20% - Accent6 2 3 5 2" xfId="13511" xr:uid="{C968F338-8702-4D00-B5A4-AF492A369A1F}"/>
    <cellStyle name="20% - Accent6 2 3 6" xfId="4392" xr:uid="{1825104C-1F23-4D28-A4F3-909F41FA80F1}"/>
    <cellStyle name="20% - Accent6 2 3 6 2" xfId="14340" xr:uid="{90D4E782-F9DC-4F69-954E-5556BAB464EC}"/>
    <cellStyle name="20% - Accent6 2 3 7" xfId="5221" xr:uid="{144F0619-7B4B-4D91-ADE8-B944EFFE11BA}"/>
    <cellStyle name="20% - Accent6 2 3 7 2" xfId="15169" xr:uid="{3BEC3924-7608-4432-B0E0-93C99632609E}"/>
    <cellStyle name="20% - Accent6 2 3 8" xfId="6050" xr:uid="{482B3B28-9192-4834-A8A4-D3594243F52C}"/>
    <cellStyle name="20% - Accent6 2 3 8 2" xfId="15998" xr:uid="{FBD34E07-A266-4B18-968E-458412DE8ADD}"/>
    <cellStyle name="20% - Accent6 2 3 9" xfId="6879" xr:uid="{27FB5E38-F4EB-4CA3-AB90-00C04BD19E33}"/>
    <cellStyle name="20% - Accent6 2 3 9 2" xfId="16827" xr:uid="{2EEC245B-A0F9-4B3F-BE46-7D4754713070}"/>
    <cellStyle name="20% - Accent6 2 4" xfId="619" xr:uid="{00000000-0005-0000-0000-000058000000}"/>
    <cellStyle name="20% - Accent6 2 4 10" xfId="8950" xr:uid="{CDE27B14-A839-4AF3-A977-37206EC87588}"/>
    <cellStyle name="20% - Accent6 2 4 10 2" xfId="18898" xr:uid="{DC501AFF-8481-4157-BD33-2AEF572A64E3}"/>
    <cellStyle name="20% - Accent6 2 4 11" xfId="9779" xr:uid="{0B997142-CDEF-4973-B163-45A63FF660E6}"/>
    <cellStyle name="20% - Accent6 2 4 11 2" xfId="19727" xr:uid="{2A571893-302E-44EC-94AA-7EEB50C266F8}"/>
    <cellStyle name="20% - Accent6 2 4 12" xfId="10608" xr:uid="{16E2F792-0069-48E9-A7C6-F55429558392}"/>
    <cellStyle name="20% - Accent6 2 4 12 2" xfId="20556" xr:uid="{57D6BF61-76CC-445A-B967-057CB7AE1E8D}"/>
    <cellStyle name="20% - Accent6 2 4 13" xfId="1489" xr:uid="{E1C47270-FC43-4E82-B20F-12D5AD895692}"/>
    <cellStyle name="20% - Accent6 2 4 14" xfId="11437" xr:uid="{D7F2AB68-386E-48F2-A0E1-B363C4554375}"/>
    <cellStyle name="20% - Accent6 2 4 2" xfId="2318" xr:uid="{31D1AC7F-EAFC-4CE3-9DD7-DD5FA1CF6CC1}"/>
    <cellStyle name="20% - Accent6 2 4 2 2" xfId="12266" xr:uid="{3B41CE84-4AA4-4392-8EBB-54D6DFE889EB}"/>
    <cellStyle name="20% - Accent6 2 4 3" xfId="3147" xr:uid="{CCB88E86-E662-4AC2-A374-3015B719B2DB}"/>
    <cellStyle name="20% - Accent6 2 4 3 2" xfId="13095" xr:uid="{270C4F93-1004-4956-8B01-C18AF78BFE5A}"/>
    <cellStyle name="20% - Accent6 2 4 4" xfId="3976" xr:uid="{E18CED06-C2CA-425A-8259-86B8C8A60693}"/>
    <cellStyle name="20% - Accent6 2 4 4 2" xfId="13924" xr:uid="{B1021293-5A60-4CEA-9056-2CA1BDC58928}"/>
    <cellStyle name="20% - Accent6 2 4 5" xfId="4805" xr:uid="{7CDA6203-77E8-4D48-AFE6-382C06AE4DB6}"/>
    <cellStyle name="20% - Accent6 2 4 5 2" xfId="14753" xr:uid="{7D65F3E0-E92F-49F9-93A1-0F61DE818B14}"/>
    <cellStyle name="20% - Accent6 2 4 6" xfId="5634" xr:uid="{C2B7A079-389E-4BB2-B7F1-F63C1264600F}"/>
    <cellStyle name="20% - Accent6 2 4 6 2" xfId="15582" xr:uid="{9F1D725F-170A-4217-B21E-6299C228216B}"/>
    <cellStyle name="20% - Accent6 2 4 7" xfId="6463" xr:uid="{B77BCDBD-3B1F-438C-A370-BB21B62F2765}"/>
    <cellStyle name="20% - Accent6 2 4 7 2" xfId="16411" xr:uid="{B2EE9738-8817-4555-8FEE-9FB65E9A9305}"/>
    <cellStyle name="20% - Accent6 2 4 8" xfId="7292" xr:uid="{A9988826-DA30-43B0-9925-C196CE34B457}"/>
    <cellStyle name="20% - Accent6 2 4 8 2" xfId="17240" xr:uid="{0AF23519-78CB-4340-80BE-B72C4B2B3552}"/>
    <cellStyle name="20% - Accent6 2 4 9" xfId="8121" xr:uid="{C63C6FF1-029B-453E-A755-99F737F48C37}"/>
    <cellStyle name="20% - Accent6 2 4 9 2" xfId="18069" xr:uid="{467D9644-C111-4048-AD0D-CC31660CB50B}"/>
    <cellStyle name="20% - Accent6 2 5" xfId="1902" xr:uid="{31691456-1D8B-4641-B3B1-19F7B7B9D3FF}"/>
    <cellStyle name="20% - Accent6 2 5 2" xfId="11850" xr:uid="{7F79CD63-3BCA-425D-A3D1-3D3B213B03DB}"/>
    <cellStyle name="20% - Accent6 2 6" xfId="2731" xr:uid="{B9FAF5CF-78BB-4D8A-A6C6-B272DBA0B920}"/>
    <cellStyle name="20% - Accent6 2 6 2" xfId="12679" xr:uid="{3D6C7F8C-FCF6-48D5-AB69-2A1691E29CD9}"/>
    <cellStyle name="20% - Accent6 2 7" xfId="3560" xr:uid="{54A9DA67-223C-4D6F-8761-5021025504BE}"/>
    <cellStyle name="20% - Accent6 2 7 2" xfId="13508" xr:uid="{9F167DCF-7569-402A-AE6C-A2A988A1A422}"/>
    <cellStyle name="20% - Accent6 2 8" xfId="4389" xr:uid="{C7C5EECF-9AEA-42B9-8565-2DC8C7A1AD35}"/>
    <cellStyle name="20% - Accent6 2 8 2" xfId="14337" xr:uid="{3684F24A-E89B-4EBF-881E-AB95C76ACE03}"/>
    <cellStyle name="20% - Accent6 2 9" xfId="5218" xr:uid="{C691E889-DC0D-44FA-BB6E-D8F809A79B55}"/>
    <cellStyle name="20% - Accent6 2 9 2" xfId="15166" xr:uid="{DE5C5DEB-ED83-49A0-8754-2250096265FE}"/>
    <cellStyle name="20% - Accent6 3" xfId="46" xr:uid="{00000000-0005-0000-0000-000059000000}"/>
    <cellStyle name="20% - Accent6 3 10" xfId="6880" xr:uid="{1C50B28D-E931-4BFD-B5A8-F9AC2943C1BB}"/>
    <cellStyle name="20% - Accent6 3 10 2" xfId="16828" xr:uid="{18558A97-3F7E-4A08-88C1-DE213D1CBC80}"/>
    <cellStyle name="20% - Accent6 3 11" xfId="7709" xr:uid="{4D914E9E-3078-4EDE-BF0F-56E06C5FCBE4}"/>
    <cellStyle name="20% - Accent6 3 11 2" xfId="17657" xr:uid="{DA1F74B4-4377-40E8-ACC7-4AC2179E25A3}"/>
    <cellStyle name="20% - Accent6 3 12" xfId="8538" xr:uid="{60D5E6F8-8BEC-4A57-ACE8-B0E417674C84}"/>
    <cellStyle name="20% - Accent6 3 12 2" xfId="18486" xr:uid="{5826201A-8812-4A47-AE86-99D0BDB986EB}"/>
    <cellStyle name="20% - Accent6 3 13" xfId="9367" xr:uid="{9844117B-B90D-4AC7-9F25-557D7CB6D394}"/>
    <cellStyle name="20% - Accent6 3 13 2" xfId="19315" xr:uid="{292722EA-A3C6-48C8-9D98-0E2C3ACB359B}"/>
    <cellStyle name="20% - Accent6 3 14" xfId="10196" xr:uid="{5BBEACDB-A0E7-4993-8819-3959D2B5B8EA}"/>
    <cellStyle name="20% - Accent6 3 14 2" xfId="20144" xr:uid="{8A401BC5-8C54-4DB1-BAFE-55163827FF63}"/>
    <cellStyle name="20% - Accent6 3 15" xfId="1077" xr:uid="{5B6D94C0-EA87-4A73-9D1B-75775E1CFB2C}"/>
    <cellStyle name="20% - Accent6 3 16" xfId="11025" xr:uid="{6F80E23D-7D23-4195-9217-98A82CD95B5C}"/>
    <cellStyle name="20% - Accent6 3 2" xfId="47" xr:uid="{00000000-0005-0000-0000-00005A000000}"/>
    <cellStyle name="20% - Accent6 3 2 10" xfId="7710" xr:uid="{69D39AF3-B349-46A5-8883-72E66880803B}"/>
    <cellStyle name="20% - Accent6 3 2 10 2" xfId="17658" xr:uid="{8737F3DF-C413-4EB3-86F2-6AC61D51AC4E}"/>
    <cellStyle name="20% - Accent6 3 2 11" xfId="8539" xr:uid="{824110BD-2037-438A-8161-D524B80BABF8}"/>
    <cellStyle name="20% - Accent6 3 2 11 2" xfId="18487" xr:uid="{0181D7FB-16BE-47C1-BE79-379665924226}"/>
    <cellStyle name="20% - Accent6 3 2 12" xfId="9368" xr:uid="{B8E744F2-26A2-444D-BC7A-DB5F9FCA759F}"/>
    <cellStyle name="20% - Accent6 3 2 12 2" xfId="19316" xr:uid="{AA3D664D-601E-4066-8935-6B76E0CAF2A5}"/>
    <cellStyle name="20% - Accent6 3 2 13" xfId="10197" xr:uid="{DDDFFBBA-048E-4463-BDA3-1815940B1341}"/>
    <cellStyle name="20% - Accent6 3 2 13 2" xfId="20145" xr:uid="{8DDDD7BD-A4C2-4F15-8176-D77689056DB6}"/>
    <cellStyle name="20% - Accent6 3 2 14" xfId="1078" xr:uid="{E8784B87-8A3A-4B68-A06B-2BE9D02595AA}"/>
    <cellStyle name="20% - Accent6 3 2 15" xfId="11026" xr:uid="{8DA44BE8-D4BD-4727-A105-1B8F0AA893BE}"/>
    <cellStyle name="20% - Accent6 3 2 2" xfId="624" xr:uid="{00000000-0005-0000-0000-00005B000000}"/>
    <cellStyle name="20% - Accent6 3 2 2 10" xfId="8955" xr:uid="{113C5CBE-6F5E-426C-8B71-3AC796C8372D}"/>
    <cellStyle name="20% - Accent6 3 2 2 10 2" xfId="18903" xr:uid="{F0C9467E-42B0-4ADA-A71B-9124D9DAD54F}"/>
    <cellStyle name="20% - Accent6 3 2 2 11" xfId="9784" xr:uid="{CF2CCD6E-4FB6-4D80-9A22-89F7B56E0B5C}"/>
    <cellStyle name="20% - Accent6 3 2 2 11 2" xfId="19732" xr:uid="{BB2F65ED-F006-492F-B346-B0A1EF2E1A4B}"/>
    <cellStyle name="20% - Accent6 3 2 2 12" xfId="10613" xr:uid="{2BD4F78E-DA66-4114-9D7D-3D02541A075F}"/>
    <cellStyle name="20% - Accent6 3 2 2 12 2" xfId="20561" xr:uid="{E687D8AA-5877-4CBA-A196-D02875E89BF6}"/>
    <cellStyle name="20% - Accent6 3 2 2 13" xfId="1494" xr:uid="{C969D3AA-38D5-4495-93EE-2770451B580E}"/>
    <cellStyle name="20% - Accent6 3 2 2 14" xfId="11442" xr:uid="{2097412C-678F-4BEC-9637-7E866A49225F}"/>
    <cellStyle name="20% - Accent6 3 2 2 2" xfId="2323" xr:uid="{93CFB657-F538-4AFC-9A40-8DFDE3C702BD}"/>
    <cellStyle name="20% - Accent6 3 2 2 2 2" xfId="12271" xr:uid="{680C4B21-2A48-422F-BE5F-51D2D4A1D543}"/>
    <cellStyle name="20% - Accent6 3 2 2 3" xfId="3152" xr:uid="{ADD0A548-2A1E-4E1C-9F35-E7B57F01EDD5}"/>
    <cellStyle name="20% - Accent6 3 2 2 3 2" xfId="13100" xr:uid="{678EFF04-3CCC-4BAD-AAE3-B22A131F4B36}"/>
    <cellStyle name="20% - Accent6 3 2 2 4" xfId="3981" xr:uid="{D3F3F1C2-C299-4557-B46D-18ADD4F5A064}"/>
    <cellStyle name="20% - Accent6 3 2 2 4 2" xfId="13929" xr:uid="{E88BE545-95CC-4552-BB22-D1B2CF25CE45}"/>
    <cellStyle name="20% - Accent6 3 2 2 5" xfId="4810" xr:uid="{01BFD596-BB09-4502-93DE-CF1638AE09BE}"/>
    <cellStyle name="20% - Accent6 3 2 2 5 2" xfId="14758" xr:uid="{2F608C94-53B1-43C5-80B1-57B1C1D8C6E5}"/>
    <cellStyle name="20% - Accent6 3 2 2 6" xfId="5639" xr:uid="{D5D3396E-C9F8-4F71-86B1-AE19601F52C0}"/>
    <cellStyle name="20% - Accent6 3 2 2 6 2" xfId="15587" xr:uid="{F1EFE925-86A2-4AA1-8420-FA6A9E3FC00E}"/>
    <cellStyle name="20% - Accent6 3 2 2 7" xfId="6468" xr:uid="{443B5DAD-8328-4C01-ADE2-5F54F3D6CD5A}"/>
    <cellStyle name="20% - Accent6 3 2 2 7 2" xfId="16416" xr:uid="{79B9BED6-8F1D-47DC-B4AD-32873E517522}"/>
    <cellStyle name="20% - Accent6 3 2 2 8" xfId="7297" xr:uid="{6AFAF393-97F6-4576-963A-7CE30672A761}"/>
    <cellStyle name="20% - Accent6 3 2 2 8 2" xfId="17245" xr:uid="{31B21225-60BC-48F7-AF5C-F9A9FDDD328C}"/>
    <cellStyle name="20% - Accent6 3 2 2 9" xfId="8126" xr:uid="{E89403F1-95E6-4028-9A82-0A91D81C41D1}"/>
    <cellStyle name="20% - Accent6 3 2 2 9 2" xfId="18074" xr:uid="{A5ED2C0A-325F-4741-8D2A-C1FF59F56B55}"/>
    <cellStyle name="20% - Accent6 3 2 3" xfId="1907" xr:uid="{2AD9ED5C-7483-456C-8C15-335404098108}"/>
    <cellStyle name="20% - Accent6 3 2 3 2" xfId="11855" xr:uid="{7A46F86F-0176-4050-BD5A-E12FD606CEB6}"/>
    <cellStyle name="20% - Accent6 3 2 4" xfId="2736" xr:uid="{16EB7ECA-2E97-4744-854A-129991BAFFC9}"/>
    <cellStyle name="20% - Accent6 3 2 4 2" xfId="12684" xr:uid="{50115295-DBE4-42F3-957A-292B38A6D7C7}"/>
    <cellStyle name="20% - Accent6 3 2 5" xfId="3565" xr:uid="{7258D6B3-DDCD-4E40-A433-7EC57554FB27}"/>
    <cellStyle name="20% - Accent6 3 2 5 2" xfId="13513" xr:uid="{F68D3AA4-1A9B-4961-8DCD-A8025CD76A07}"/>
    <cellStyle name="20% - Accent6 3 2 6" xfId="4394" xr:uid="{6B849557-BE34-49B6-8D65-2F844A3AFA42}"/>
    <cellStyle name="20% - Accent6 3 2 6 2" xfId="14342" xr:uid="{A52FDFC4-2936-46C9-BAC2-3A6462ACBEF1}"/>
    <cellStyle name="20% - Accent6 3 2 7" xfId="5223" xr:uid="{0FF5D747-2431-4AAA-B985-1AE422491FC0}"/>
    <cellStyle name="20% - Accent6 3 2 7 2" xfId="15171" xr:uid="{E8179A99-C00E-45C3-94F8-724E74482475}"/>
    <cellStyle name="20% - Accent6 3 2 8" xfId="6052" xr:uid="{C86BD20A-6F62-4C7B-B4E5-50A2417B0A56}"/>
    <cellStyle name="20% - Accent6 3 2 8 2" xfId="16000" xr:uid="{6E336991-8735-47FF-89CD-279610B1881C}"/>
    <cellStyle name="20% - Accent6 3 2 9" xfId="6881" xr:uid="{A0B0A1DB-61A0-4A58-BE88-F265372C859A}"/>
    <cellStyle name="20% - Accent6 3 2 9 2" xfId="16829" xr:uid="{BE89F625-A6DE-4972-8AF1-09FB9F7EE5BB}"/>
    <cellStyle name="20% - Accent6 3 3" xfId="623" xr:uid="{00000000-0005-0000-0000-00005C000000}"/>
    <cellStyle name="20% - Accent6 3 3 10" xfId="8954" xr:uid="{C06C93E0-7C45-4C8C-A458-C12C71FDC668}"/>
    <cellStyle name="20% - Accent6 3 3 10 2" xfId="18902" xr:uid="{34BD7DBE-705D-4B70-9A79-18E16A3B2C93}"/>
    <cellStyle name="20% - Accent6 3 3 11" xfId="9783" xr:uid="{467976DA-91ED-4C6A-A051-A478F78D92BC}"/>
    <cellStyle name="20% - Accent6 3 3 11 2" xfId="19731" xr:uid="{2411F651-3407-452C-BA5E-BDA3CB1B047E}"/>
    <cellStyle name="20% - Accent6 3 3 12" xfId="10612" xr:uid="{A3AC1D52-A5E8-45F3-A1D2-15AB67C2F9D7}"/>
    <cellStyle name="20% - Accent6 3 3 12 2" xfId="20560" xr:uid="{5CB91A77-02E9-4488-B34A-EE5FBC48863D}"/>
    <cellStyle name="20% - Accent6 3 3 13" xfId="1493" xr:uid="{C0884979-FF89-4007-9904-9A75A3E4C68B}"/>
    <cellStyle name="20% - Accent6 3 3 14" xfId="11441" xr:uid="{AA35AAE8-AE6B-41DD-86B1-01EC162C63AD}"/>
    <cellStyle name="20% - Accent6 3 3 2" xfId="2322" xr:uid="{A8AEC2E0-6AB6-4887-80D1-F4596D462CB4}"/>
    <cellStyle name="20% - Accent6 3 3 2 2" xfId="12270" xr:uid="{1E0C02E0-62C1-4CB8-A3D3-995F9B4F7025}"/>
    <cellStyle name="20% - Accent6 3 3 3" xfId="3151" xr:uid="{CA954E38-2B6A-4D06-A920-D139825142CA}"/>
    <cellStyle name="20% - Accent6 3 3 3 2" xfId="13099" xr:uid="{68B2663A-FD2F-4CA0-96C1-9733AB55E752}"/>
    <cellStyle name="20% - Accent6 3 3 4" xfId="3980" xr:uid="{DE9EAD3E-DF92-49C3-BCF3-9E2859DAFC51}"/>
    <cellStyle name="20% - Accent6 3 3 4 2" xfId="13928" xr:uid="{D3F6F6AE-3524-45D8-8B2D-B12F3465C082}"/>
    <cellStyle name="20% - Accent6 3 3 5" xfId="4809" xr:uid="{2064AADB-B29D-4312-A575-058D25E76009}"/>
    <cellStyle name="20% - Accent6 3 3 5 2" xfId="14757" xr:uid="{961803D8-95DB-42CD-B212-42E120BEDE97}"/>
    <cellStyle name="20% - Accent6 3 3 6" xfId="5638" xr:uid="{8A787948-9B93-4032-8F63-FF749C2756AB}"/>
    <cellStyle name="20% - Accent6 3 3 6 2" xfId="15586" xr:uid="{2D7F5426-3D6E-4FEC-AE39-6E68DD70E7D2}"/>
    <cellStyle name="20% - Accent6 3 3 7" xfId="6467" xr:uid="{F69AD8A3-E12D-49C5-8047-1FF9D4479683}"/>
    <cellStyle name="20% - Accent6 3 3 7 2" xfId="16415" xr:uid="{010D9DDB-01F4-4339-9BBE-0CFECC05A90B}"/>
    <cellStyle name="20% - Accent6 3 3 8" xfId="7296" xr:uid="{FEC86C11-CB4B-41F3-A435-5A569CF2A4B9}"/>
    <cellStyle name="20% - Accent6 3 3 8 2" xfId="17244" xr:uid="{9DACFF02-1274-4C0C-99B7-B3B632331A03}"/>
    <cellStyle name="20% - Accent6 3 3 9" xfId="8125" xr:uid="{F9EF78F7-EB4E-42AF-A2B6-5EB031EADE19}"/>
    <cellStyle name="20% - Accent6 3 3 9 2" xfId="18073" xr:uid="{899FA4F5-0BCC-40CA-9CC1-2D0006E11ED0}"/>
    <cellStyle name="20% - Accent6 3 4" xfId="1906" xr:uid="{60A993A4-02A7-46DD-AAD2-E0AC8036E26E}"/>
    <cellStyle name="20% - Accent6 3 4 2" xfId="11854" xr:uid="{A7273804-FC8B-45A5-A568-387ED18363E1}"/>
    <cellStyle name="20% - Accent6 3 5" xfId="2735" xr:uid="{9DF9026D-FE98-4B95-896B-C58C06354291}"/>
    <cellStyle name="20% - Accent6 3 5 2" xfId="12683" xr:uid="{E6E7EED9-4F12-42F3-97AC-E7A1AF8C1DC6}"/>
    <cellStyle name="20% - Accent6 3 6" xfId="3564" xr:uid="{3F0D4015-1C7A-4B45-A204-23B0EDFEC46F}"/>
    <cellStyle name="20% - Accent6 3 6 2" xfId="13512" xr:uid="{84F39A68-DB59-4801-899A-E8BC3A3FE1A2}"/>
    <cellStyle name="20% - Accent6 3 7" xfId="4393" xr:uid="{9930221A-3070-4E3D-AEC6-60640A632C05}"/>
    <cellStyle name="20% - Accent6 3 7 2" xfId="14341" xr:uid="{509A13FF-A56E-4C80-96D9-C33627A43D37}"/>
    <cellStyle name="20% - Accent6 3 8" xfId="5222" xr:uid="{D245FE3E-82EA-47E9-8BBC-6C6DE3047C28}"/>
    <cellStyle name="20% - Accent6 3 8 2" xfId="15170" xr:uid="{EE1828BA-0900-4E2B-87DF-34AB8BF031F6}"/>
    <cellStyle name="20% - Accent6 3 9" xfId="6051" xr:uid="{FB04B16E-8FD0-400D-80F0-824BBF78C906}"/>
    <cellStyle name="20% - Accent6 3 9 2" xfId="15999" xr:uid="{8F9BE1CA-A99A-4FC8-A981-E1D275380736}"/>
    <cellStyle name="20% - Accent6 4" xfId="48" xr:uid="{00000000-0005-0000-0000-00005D000000}"/>
    <cellStyle name="20% - Accent6 4 10" xfId="7711" xr:uid="{9AC383B3-87EC-4A87-A3F5-5274CE824730}"/>
    <cellStyle name="20% - Accent6 4 10 2" xfId="17659" xr:uid="{1A0FF807-558D-4FE0-B384-DE77415930A3}"/>
    <cellStyle name="20% - Accent6 4 11" xfId="8540" xr:uid="{98D577EE-8887-46D9-9AE5-E1138920A68A}"/>
    <cellStyle name="20% - Accent6 4 11 2" xfId="18488" xr:uid="{ECF399CE-4988-49A8-9AC1-1532F129937B}"/>
    <cellStyle name="20% - Accent6 4 12" xfId="9369" xr:uid="{21499D23-FF62-449F-A2B2-C91AD911B1E0}"/>
    <cellStyle name="20% - Accent6 4 12 2" xfId="19317" xr:uid="{924AE10D-5E3D-404E-BE4F-0AC7D472FD86}"/>
    <cellStyle name="20% - Accent6 4 13" xfId="10198" xr:uid="{B071C3EB-3CE3-4187-8071-E00F571D9C80}"/>
    <cellStyle name="20% - Accent6 4 13 2" xfId="20146" xr:uid="{6D4284B2-4D31-494E-9C4C-514C763AD36E}"/>
    <cellStyle name="20% - Accent6 4 14" xfId="1079" xr:uid="{A73EBD1C-8A16-47CE-87F6-DE5A88E621AC}"/>
    <cellStyle name="20% - Accent6 4 15" xfId="11027" xr:uid="{813D346B-380C-499D-B1FA-914ABF282C7A}"/>
    <cellStyle name="20% - Accent6 4 2" xfId="625" xr:uid="{00000000-0005-0000-0000-00005E000000}"/>
    <cellStyle name="20% - Accent6 4 2 10" xfId="8956" xr:uid="{7FBAE034-57E6-4A9E-B931-9666D1E6511E}"/>
    <cellStyle name="20% - Accent6 4 2 10 2" xfId="18904" xr:uid="{1A2A8E7B-628C-4702-A197-CCC44101BE17}"/>
    <cellStyle name="20% - Accent6 4 2 11" xfId="9785" xr:uid="{87EA7565-1D63-4A96-A545-4B9352D7BD10}"/>
    <cellStyle name="20% - Accent6 4 2 11 2" xfId="19733" xr:uid="{A3A58E9D-12C8-431C-B0A8-9C871F389F9E}"/>
    <cellStyle name="20% - Accent6 4 2 12" xfId="10614" xr:uid="{17DA2C02-E180-4DEB-8AE9-44C541B64566}"/>
    <cellStyle name="20% - Accent6 4 2 12 2" xfId="20562" xr:uid="{93CF1AB5-14D9-434E-BA2B-40CAB22948D7}"/>
    <cellStyle name="20% - Accent6 4 2 13" xfId="1495" xr:uid="{1A6CCBC2-9E2E-4152-A520-3CAF9BAAE856}"/>
    <cellStyle name="20% - Accent6 4 2 14" xfId="11443" xr:uid="{9FDFB875-4DB2-45BA-8B0A-3111CE39C366}"/>
    <cellStyle name="20% - Accent6 4 2 2" xfId="2324" xr:uid="{38B0D540-0967-41DD-85A3-2256CAE99233}"/>
    <cellStyle name="20% - Accent6 4 2 2 2" xfId="12272" xr:uid="{75AB8E94-F572-45D5-ADA9-D3EA95A5AFD0}"/>
    <cellStyle name="20% - Accent6 4 2 3" xfId="3153" xr:uid="{58B2D436-75F5-47E3-9D70-CDF027056333}"/>
    <cellStyle name="20% - Accent6 4 2 3 2" xfId="13101" xr:uid="{33042B61-2569-4248-AAE0-574D9C6EC1F3}"/>
    <cellStyle name="20% - Accent6 4 2 4" xfId="3982" xr:uid="{A865BA21-F4EE-40EF-8C1D-0855DCB5EED6}"/>
    <cellStyle name="20% - Accent6 4 2 4 2" xfId="13930" xr:uid="{0A4B5C37-8434-4DC1-B687-473961DC082F}"/>
    <cellStyle name="20% - Accent6 4 2 5" xfId="4811" xr:uid="{63158DB4-95B7-4AC7-8160-69FC24E49543}"/>
    <cellStyle name="20% - Accent6 4 2 5 2" xfId="14759" xr:uid="{FBF12DFE-05C4-41FA-B246-A69A0131359A}"/>
    <cellStyle name="20% - Accent6 4 2 6" xfId="5640" xr:uid="{604F083A-C4D2-4B6D-BA0A-56BA83163114}"/>
    <cellStyle name="20% - Accent6 4 2 6 2" xfId="15588" xr:uid="{AC8B4138-D811-4A26-B1D2-B01EB934996D}"/>
    <cellStyle name="20% - Accent6 4 2 7" xfId="6469" xr:uid="{68459EC1-53BF-4879-BFB7-6C2AE0CC8A1F}"/>
    <cellStyle name="20% - Accent6 4 2 7 2" xfId="16417" xr:uid="{C0AC32FA-114A-49B3-BD53-ADF2C524FFA6}"/>
    <cellStyle name="20% - Accent6 4 2 8" xfId="7298" xr:uid="{D14A88A4-2A18-48E0-BB80-17A6718DD181}"/>
    <cellStyle name="20% - Accent6 4 2 8 2" xfId="17246" xr:uid="{0C5394F2-7F3F-425E-910E-046C82CFB061}"/>
    <cellStyle name="20% - Accent6 4 2 9" xfId="8127" xr:uid="{04BA6768-79C9-44A8-BAB1-0BA1075E4067}"/>
    <cellStyle name="20% - Accent6 4 2 9 2" xfId="18075" xr:uid="{5E43783D-F7DE-4FFF-976E-E8A6ED555C1A}"/>
    <cellStyle name="20% - Accent6 4 3" xfId="1908" xr:uid="{26F96DC5-422F-4DB3-B18C-F8614BDC6170}"/>
    <cellStyle name="20% - Accent6 4 3 2" xfId="11856" xr:uid="{7C763958-4422-483E-811A-FFD3CC1D3634}"/>
    <cellStyle name="20% - Accent6 4 4" xfId="2737" xr:uid="{AC5E7474-85C2-4AF0-94CE-B7D5DB058089}"/>
    <cellStyle name="20% - Accent6 4 4 2" xfId="12685" xr:uid="{8C5F2799-BD13-4133-9167-64ACC6451BEB}"/>
    <cellStyle name="20% - Accent6 4 5" xfId="3566" xr:uid="{35FA6B13-156F-4717-9C8E-D033D836C887}"/>
    <cellStyle name="20% - Accent6 4 5 2" xfId="13514" xr:uid="{1EBAEA44-CC13-4331-A0D1-4BD0C9C31505}"/>
    <cellStyle name="20% - Accent6 4 6" xfId="4395" xr:uid="{F7D15837-A427-4F50-BE2F-E63BD25F7CF7}"/>
    <cellStyle name="20% - Accent6 4 6 2" xfId="14343" xr:uid="{5D3ADE3C-4ECB-45CA-8651-9682EA1354F8}"/>
    <cellStyle name="20% - Accent6 4 7" xfId="5224" xr:uid="{D2044340-E250-43F8-BF3B-496CA4B2B85F}"/>
    <cellStyle name="20% - Accent6 4 7 2" xfId="15172" xr:uid="{2493350A-C95F-4979-9112-E6A4C37DFEEA}"/>
    <cellStyle name="20% - Accent6 4 8" xfId="6053" xr:uid="{64E48234-088F-4154-A529-96977D7FDBAD}"/>
    <cellStyle name="20% - Accent6 4 8 2" xfId="16001" xr:uid="{6F250820-C32A-4C86-A217-8995459B10DB}"/>
    <cellStyle name="20% - Accent6 4 9" xfId="6882" xr:uid="{E787B399-500A-4DAB-8709-36EEF92C6544}"/>
    <cellStyle name="20% - Accent6 4 9 2" xfId="16830" xr:uid="{A31C8A04-5C27-4DB2-ADD0-AEE272E8CF5E}"/>
    <cellStyle name="20% - Accent6 5" xfId="618" xr:uid="{00000000-0005-0000-0000-00005F000000}"/>
    <cellStyle name="20% - Accent6 5 10" xfId="8949" xr:uid="{0E85C953-8613-4427-BEE1-AB97BCC628DA}"/>
    <cellStyle name="20% - Accent6 5 10 2" xfId="18897" xr:uid="{5933AC9F-7333-48E5-BB50-FDB2F5E6EAB5}"/>
    <cellStyle name="20% - Accent6 5 11" xfId="9778" xr:uid="{F25F0B00-60E1-43E8-8B86-283FD701082E}"/>
    <cellStyle name="20% - Accent6 5 11 2" xfId="19726" xr:uid="{856B1683-5AA2-4AE4-87D7-79780B37D0EF}"/>
    <cellStyle name="20% - Accent6 5 12" xfId="10607" xr:uid="{53BE7E24-3F80-4044-AD8B-7D0B75A31257}"/>
    <cellStyle name="20% - Accent6 5 12 2" xfId="20555" xr:uid="{8B2C853C-ED0C-4B71-81AA-14C90E18EEA8}"/>
    <cellStyle name="20% - Accent6 5 13" xfId="1488" xr:uid="{92388C03-A6D4-43E6-9D73-B10ABB692206}"/>
    <cellStyle name="20% - Accent6 5 14" xfId="11436" xr:uid="{45DEC755-C68B-46CA-B54E-00920841F876}"/>
    <cellStyle name="20% - Accent6 5 2" xfId="2317" xr:uid="{50AD67B5-BE01-4489-9947-1C2BC28FBB83}"/>
    <cellStyle name="20% - Accent6 5 2 2" xfId="12265" xr:uid="{0087129B-3121-4D67-AEDC-1606CFB0C201}"/>
    <cellStyle name="20% - Accent6 5 3" xfId="3146" xr:uid="{CF1ACFC8-60D8-4B32-8B50-3FE6F3430C27}"/>
    <cellStyle name="20% - Accent6 5 3 2" xfId="13094" xr:uid="{085AFE92-215B-412F-BDF3-F52E46A557F3}"/>
    <cellStyle name="20% - Accent6 5 4" xfId="3975" xr:uid="{F4D0C303-1ED7-4AA2-86E1-53F68115BBF8}"/>
    <cellStyle name="20% - Accent6 5 4 2" xfId="13923" xr:uid="{5A9B88B3-DCA7-4FD8-BEF7-B2737F1BCBF0}"/>
    <cellStyle name="20% - Accent6 5 5" xfId="4804" xr:uid="{FA40F1AE-2FA0-4F33-A497-66E430335166}"/>
    <cellStyle name="20% - Accent6 5 5 2" xfId="14752" xr:uid="{BB4199A5-FACE-44D3-AB1F-30251E8768D7}"/>
    <cellStyle name="20% - Accent6 5 6" xfId="5633" xr:uid="{88956C1A-AC05-407C-91A4-26C879C0A63D}"/>
    <cellStyle name="20% - Accent6 5 6 2" xfId="15581" xr:uid="{7861BBB4-62EA-4196-A06C-925C52F714A9}"/>
    <cellStyle name="20% - Accent6 5 7" xfId="6462" xr:uid="{3A8F32BA-D5FA-4090-A619-6DBF685DCAEE}"/>
    <cellStyle name="20% - Accent6 5 7 2" xfId="16410" xr:uid="{09C5C3A0-2F42-4302-9186-124F34D8CFD1}"/>
    <cellStyle name="20% - Accent6 5 8" xfId="7291" xr:uid="{888D882E-3F00-407E-82C1-FA23FDEBF53F}"/>
    <cellStyle name="20% - Accent6 5 8 2" xfId="17239" xr:uid="{A05EE3A9-0858-438C-B6E7-439F042077F3}"/>
    <cellStyle name="20% - Accent6 5 9" xfId="8120" xr:uid="{498EE162-FCEA-4358-87A5-52C02DD369C9}"/>
    <cellStyle name="20% - Accent6 5 9 2" xfId="18068" xr:uid="{1410CEDC-3329-46BE-88B9-495367AEAFA4}"/>
    <cellStyle name="20% - Accent6 6" xfId="1901" xr:uid="{1B1634AD-66C2-439E-8339-B66AA3DFE913}"/>
    <cellStyle name="20% - Accent6 6 2" xfId="11849" xr:uid="{2C39ECED-695E-4C51-9227-FF92F2A8AF84}"/>
    <cellStyle name="20% - Accent6 7" xfId="2730" xr:uid="{B755105D-79E5-457C-974E-1A9B3B2BA0F4}"/>
    <cellStyle name="20% - Accent6 7 2" xfId="12678" xr:uid="{5CFF0CD3-547E-4773-B90C-6AAED06BD87A}"/>
    <cellStyle name="20% - Accent6 8" xfId="3559" xr:uid="{502BC8D4-D0FB-4DF5-88D5-7F1E50F01936}"/>
    <cellStyle name="20% - Accent6 8 2" xfId="13507" xr:uid="{F9726F4F-718F-449E-BC99-67D029415A44}"/>
    <cellStyle name="20% - Accent6 9" xfId="4388" xr:uid="{371A7E8D-B4E5-4403-8FBF-3B7F93139C1B}"/>
    <cellStyle name="20% - Accent6 9 2" xfId="14336" xr:uid="{0966679F-CFE5-4900-9E1B-EA13112D68BF}"/>
    <cellStyle name="40% - Accent1" xfId="49" builtinId="31" customBuiltin="1"/>
    <cellStyle name="40% - Accent1 10" xfId="5225" xr:uid="{7D10DC8D-BD76-47BF-B070-A158F2D7C6FD}"/>
    <cellStyle name="40% - Accent1 10 2" xfId="15173" xr:uid="{54DF9D8E-D0FE-4DEA-ADD3-D70FA11A5B04}"/>
    <cellStyle name="40% - Accent1 11" xfId="6054" xr:uid="{7BE409EF-C5E3-465E-BCEF-81213EEBE82E}"/>
    <cellStyle name="40% - Accent1 11 2" xfId="16002" xr:uid="{206D1A99-8C89-48D9-9E4C-796385CFBF39}"/>
    <cellStyle name="40% - Accent1 12" xfId="6883" xr:uid="{C6221A23-3B46-4EC2-9BE1-EDB7A659022D}"/>
    <cellStyle name="40% - Accent1 12 2" xfId="16831" xr:uid="{11585FA3-AAD3-447F-B3F3-427E762AE05F}"/>
    <cellStyle name="40% - Accent1 13" xfId="7712" xr:uid="{30BAA890-D30C-4A9D-B382-D8D31D9809B5}"/>
    <cellStyle name="40% - Accent1 13 2" xfId="17660" xr:uid="{8695CB6E-367B-4DCA-A2D0-5EFD6653E7B3}"/>
    <cellStyle name="40% - Accent1 14" xfId="8541" xr:uid="{7D94622A-85E0-494C-BB21-1DD02DB4AB74}"/>
    <cellStyle name="40% - Accent1 14 2" xfId="18489" xr:uid="{B3FE34B4-3F8E-46A1-BCE6-489AC3D7A5C5}"/>
    <cellStyle name="40% - Accent1 15" xfId="9370" xr:uid="{C9AAA14E-F680-4A8F-A70F-7157B0CFB5AA}"/>
    <cellStyle name="40% - Accent1 15 2" xfId="19318" xr:uid="{F94F1B5B-FBA2-445E-B6A4-21DABBC56E23}"/>
    <cellStyle name="40% - Accent1 16" xfId="10199" xr:uid="{98D882C4-F679-4FA4-9516-AC33F38EBB82}"/>
    <cellStyle name="40% - Accent1 16 2" xfId="20147" xr:uid="{A9949192-6282-4951-8395-F1C05905F9DF}"/>
    <cellStyle name="40% - Accent1 17" xfId="1080" xr:uid="{749848AE-BE61-49FA-BCF5-9B978CD7E8C1}"/>
    <cellStyle name="40% - Accent1 18" xfId="11028" xr:uid="{7592FC71-EA09-4138-B0EF-48FC45D1C9AF}"/>
    <cellStyle name="40% - Accent1 2" xfId="50" xr:uid="{00000000-0005-0000-0000-000061000000}"/>
    <cellStyle name="40% - Accent1 2 10" xfId="6055" xr:uid="{83906B9C-141F-46BC-A81F-DB08F1F48F79}"/>
    <cellStyle name="40% - Accent1 2 10 2" xfId="16003" xr:uid="{49E030B6-2139-41EB-BB8B-B459130E1B85}"/>
    <cellStyle name="40% - Accent1 2 11" xfId="6884" xr:uid="{42D76974-94B8-45ED-939B-98FB4939131F}"/>
    <cellStyle name="40% - Accent1 2 11 2" xfId="16832" xr:uid="{A29D292F-6AB1-4CCB-816F-462CBD6CCADF}"/>
    <cellStyle name="40% - Accent1 2 12" xfId="7713" xr:uid="{211854FE-B326-4771-9EB6-9DBE108E747E}"/>
    <cellStyle name="40% - Accent1 2 12 2" xfId="17661" xr:uid="{25FE44FB-CD5F-41CE-8EC6-8774A5580252}"/>
    <cellStyle name="40% - Accent1 2 13" xfId="8542" xr:uid="{733D809B-68DB-4635-A15B-246D901A3C4C}"/>
    <cellStyle name="40% - Accent1 2 13 2" xfId="18490" xr:uid="{77936154-EC21-4CE1-99D5-08AABD9A7F43}"/>
    <cellStyle name="40% - Accent1 2 14" xfId="9371" xr:uid="{F805E76B-59EF-4D5D-86F2-6DEA80B96CED}"/>
    <cellStyle name="40% - Accent1 2 14 2" xfId="19319" xr:uid="{C50D4FDC-16B3-41FD-BC58-36B0EDD5ECE5}"/>
    <cellStyle name="40% - Accent1 2 15" xfId="10200" xr:uid="{6A38201B-D052-4F20-8629-95822483B9F9}"/>
    <cellStyle name="40% - Accent1 2 15 2" xfId="20148" xr:uid="{858EBB6E-F8A1-4FAD-8F9B-80DD86D215F7}"/>
    <cellStyle name="40% - Accent1 2 16" xfId="1081" xr:uid="{09C14541-6924-4875-8158-3069186DB46A}"/>
    <cellStyle name="40% - Accent1 2 17" xfId="11029" xr:uid="{9ADB2625-B78C-4A66-9EB4-436BED9311ED}"/>
    <cellStyle name="40% - Accent1 2 2" xfId="51" xr:uid="{00000000-0005-0000-0000-000062000000}"/>
    <cellStyle name="40% - Accent1 2 2 10" xfId="6885" xr:uid="{99CFEC8C-A14B-4061-9B3E-FFF6C7211933}"/>
    <cellStyle name="40% - Accent1 2 2 10 2" xfId="16833" xr:uid="{975076FF-5BD7-478D-AD70-6A6FA09C7345}"/>
    <cellStyle name="40% - Accent1 2 2 11" xfId="7714" xr:uid="{2EDD7F6B-1A43-4B02-90CB-9667E15ED9C1}"/>
    <cellStyle name="40% - Accent1 2 2 11 2" xfId="17662" xr:uid="{5C589980-0117-4F09-A40C-DBE580ED8587}"/>
    <cellStyle name="40% - Accent1 2 2 12" xfId="8543" xr:uid="{1CAE2A00-450D-47C7-B49F-0D4A319F96F0}"/>
    <cellStyle name="40% - Accent1 2 2 12 2" xfId="18491" xr:uid="{E07C1D93-53FA-4580-85DE-53D780EBB20E}"/>
    <cellStyle name="40% - Accent1 2 2 13" xfId="9372" xr:uid="{22A20572-F315-40C0-A90F-85004AD0DBF5}"/>
    <cellStyle name="40% - Accent1 2 2 13 2" xfId="19320" xr:uid="{E4A56C0B-86D8-4168-8D54-7BF998EF53A5}"/>
    <cellStyle name="40% - Accent1 2 2 14" xfId="10201" xr:uid="{3624745F-F46F-42A1-B046-01DC8A703BE1}"/>
    <cellStyle name="40% - Accent1 2 2 14 2" xfId="20149" xr:uid="{1BC2E595-ECE3-4F51-8BCD-23AF670C5154}"/>
    <cellStyle name="40% - Accent1 2 2 15" xfId="1082" xr:uid="{339B3C53-A395-497C-85B6-65D3F10355BE}"/>
    <cellStyle name="40% - Accent1 2 2 16" xfId="11030" xr:uid="{294869E0-BD70-4119-8A7B-EB4443E5C535}"/>
    <cellStyle name="40% - Accent1 2 2 2" xfId="52" xr:uid="{00000000-0005-0000-0000-000063000000}"/>
    <cellStyle name="40% - Accent1 2 2 2 10" xfId="7715" xr:uid="{DBB12B6C-7AE3-4998-8800-8B8438D9B8A9}"/>
    <cellStyle name="40% - Accent1 2 2 2 10 2" xfId="17663" xr:uid="{4BF019C0-1D05-4334-A275-40320907C8CA}"/>
    <cellStyle name="40% - Accent1 2 2 2 11" xfId="8544" xr:uid="{00CBE648-9D26-4331-B440-CFC693925A66}"/>
    <cellStyle name="40% - Accent1 2 2 2 11 2" xfId="18492" xr:uid="{C5258AA3-B945-47B3-9FB6-403167671390}"/>
    <cellStyle name="40% - Accent1 2 2 2 12" xfId="9373" xr:uid="{340E1E5C-ECC1-4200-9FAC-CC72E4E2247C}"/>
    <cellStyle name="40% - Accent1 2 2 2 12 2" xfId="19321" xr:uid="{3A98D826-8358-4EED-BFF7-7779D5AF84D3}"/>
    <cellStyle name="40% - Accent1 2 2 2 13" xfId="10202" xr:uid="{03FAA8C8-C9FA-4E9C-835E-0245BDB6AB56}"/>
    <cellStyle name="40% - Accent1 2 2 2 13 2" xfId="20150" xr:uid="{425D1B29-9615-4EA7-80AE-6331829D80FE}"/>
    <cellStyle name="40% - Accent1 2 2 2 14" xfId="1083" xr:uid="{655DD6F2-612E-4261-A294-6D975BF636CD}"/>
    <cellStyle name="40% - Accent1 2 2 2 15" xfId="11031" xr:uid="{43D2F40B-C252-48FF-898D-963EBFBD5DE6}"/>
    <cellStyle name="40% - Accent1 2 2 2 2" xfId="629" xr:uid="{00000000-0005-0000-0000-000064000000}"/>
    <cellStyle name="40% - Accent1 2 2 2 2 10" xfId="8960" xr:uid="{A96D0D88-5B09-45AC-BEC7-E4BC2EC19368}"/>
    <cellStyle name="40% - Accent1 2 2 2 2 10 2" xfId="18908" xr:uid="{5148EFB8-0C09-400F-9DF2-B8CB3921376F}"/>
    <cellStyle name="40% - Accent1 2 2 2 2 11" xfId="9789" xr:uid="{7457FE81-69C7-41E4-84CB-C2E032B625D8}"/>
    <cellStyle name="40% - Accent1 2 2 2 2 11 2" xfId="19737" xr:uid="{F8F3A655-F882-43E9-8806-F7FD47BD106E}"/>
    <cellStyle name="40% - Accent1 2 2 2 2 12" xfId="10618" xr:uid="{079ACCB4-41F1-4FD2-8B51-C0CD2B872FF2}"/>
    <cellStyle name="40% - Accent1 2 2 2 2 12 2" xfId="20566" xr:uid="{D2AA80FE-A18B-4A39-BD8A-CD93DFE9197B}"/>
    <cellStyle name="40% - Accent1 2 2 2 2 13" xfId="1499" xr:uid="{EE64717C-0CAD-4773-A527-B5E454304E20}"/>
    <cellStyle name="40% - Accent1 2 2 2 2 14" xfId="11447" xr:uid="{AE474F65-EA41-487C-ABB5-3DC9D40C3821}"/>
    <cellStyle name="40% - Accent1 2 2 2 2 2" xfId="2328" xr:uid="{A655B7EE-D88B-470F-8E35-82CC0919E95A}"/>
    <cellStyle name="40% - Accent1 2 2 2 2 2 2" xfId="12276" xr:uid="{CBD062C6-C12D-443A-9F24-76B822503874}"/>
    <cellStyle name="40% - Accent1 2 2 2 2 3" xfId="3157" xr:uid="{C3D8F0D1-CB1E-4D30-9AA7-7E74D1FD1D22}"/>
    <cellStyle name="40% - Accent1 2 2 2 2 3 2" xfId="13105" xr:uid="{A005827B-774F-4226-A2E0-126B78AF981C}"/>
    <cellStyle name="40% - Accent1 2 2 2 2 4" xfId="3986" xr:uid="{F58C5C0A-DC7B-4F22-8AFD-043FF07FF2C0}"/>
    <cellStyle name="40% - Accent1 2 2 2 2 4 2" xfId="13934" xr:uid="{5BC0D765-874C-46AC-A52E-1456087B47B0}"/>
    <cellStyle name="40% - Accent1 2 2 2 2 5" xfId="4815" xr:uid="{913D3AF6-98B0-4137-80E1-F410374636D6}"/>
    <cellStyle name="40% - Accent1 2 2 2 2 5 2" xfId="14763" xr:uid="{A74AAE93-F58D-4E66-A469-F2AEF4082E43}"/>
    <cellStyle name="40% - Accent1 2 2 2 2 6" xfId="5644" xr:uid="{995B5E9A-5CA2-487E-ABF9-90D770E4C92D}"/>
    <cellStyle name="40% - Accent1 2 2 2 2 6 2" xfId="15592" xr:uid="{9C8CB5E6-18FD-4292-82AF-1BC5981321C4}"/>
    <cellStyle name="40% - Accent1 2 2 2 2 7" xfId="6473" xr:uid="{9AE14FA5-7CB1-4BE9-81EA-2E1A45B46918}"/>
    <cellStyle name="40% - Accent1 2 2 2 2 7 2" xfId="16421" xr:uid="{F1DA7EAD-BA6E-4A09-BDF7-F968880E3ACF}"/>
    <cellStyle name="40% - Accent1 2 2 2 2 8" xfId="7302" xr:uid="{994BFD03-E041-49D7-A691-5C625EE44B8F}"/>
    <cellStyle name="40% - Accent1 2 2 2 2 8 2" xfId="17250" xr:uid="{193C4443-637E-43FE-BBCA-61D1FBC15691}"/>
    <cellStyle name="40% - Accent1 2 2 2 2 9" xfId="8131" xr:uid="{1DFDF019-E1E6-42CE-B5AA-1DF5AB5B7D9D}"/>
    <cellStyle name="40% - Accent1 2 2 2 2 9 2" xfId="18079" xr:uid="{8FFFCB7A-87BA-463C-887F-D5BA07A531C4}"/>
    <cellStyle name="40% - Accent1 2 2 2 3" xfId="1912" xr:uid="{231E3D6E-0281-4FA1-BF43-0F7A2050C44C}"/>
    <cellStyle name="40% - Accent1 2 2 2 3 2" xfId="11860" xr:uid="{362E5D72-BACF-4F06-8F3B-931ED140FB59}"/>
    <cellStyle name="40% - Accent1 2 2 2 4" xfId="2741" xr:uid="{76EC1274-A00B-4D6C-9DB9-1FE104B2EFEB}"/>
    <cellStyle name="40% - Accent1 2 2 2 4 2" xfId="12689" xr:uid="{67836C74-3A87-4902-A3DE-678F685E0403}"/>
    <cellStyle name="40% - Accent1 2 2 2 5" xfId="3570" xr:uid="{12649DAD-3514-4757-9DF8-EEED5C8C557B}"/>
    <cellStyle name="40% - Accent1 2 2 2 5 2" xfId="13518" xr:uid="{674B2A27-267E-4F85-9F67-E1932EC99610}"/>
    <cellStyle name="40% - Accent1 2 2 2 6" xfId="4399" xr:uid="{A176760B-8E88-4CD5-B987-8BFC5D117A78}"/>
    <cellStyle name="40% - Accent1 2 2 2 6 2" xfId="14347" xr:uid="{3EACE109-78BE-4A0C-98A4-7DDC098F7482}"/>
    <cellStyle name="40% - Accent1 2 2 2 7" xfId="5228" xr:uid="{0AA4BDAA-9177-4788-ACAC-9C9AC1CC1605}"/>
    <cellStyle name="40% - Accent1 2 2 2 7 2" xfId="15176" xr:uid="{D165371A-86A2-447D-8D53-3F94AA544F85}"/>
    <cellStyle name="40% - Accent1 2 2 2 8" xfId="6057" xr:uid="{0D96996C-CF3F-4EC0-9D2F-AF54179314E2}"/>
    <cellStyle name="40% - Accent1 2 2 2 8 2" xfId="16005" xr:uid="{48B1F759-4C28-44A3-9458-DA4BE2DB9E0D}"/>
    <cellStyle name="40% - Accent1 2 2 2 9" xfId="6886" xr:uid="{9B0E81EB-9E94-4047-9F49-FD713AC78555}"/>
    <cellStyle name="40% - Accent1 2 2 2 9 2" xfId="16834" xr:uid="{034B0E57-8E41-47C7-98BE-37E6C6CF959F}"/>
    <cellStyle name="40% - Accent1 2 2 3" xfId="628" xr:uid="{00000000-0005-0000-0000-000065000000}"/>
    <cellStyle name="40% - Accent1 2 2 3 10" xfId="8959" xr:uid="{DECB7DA4-F314-40A9-B6BC-4630558B948B}"/>
    <cellStyle name="40% - Accent1 2 2 3 10 2" xfId="18907" xr:uid="{8F76904D-633E-4C14-BB78-0D9B382E1CFA}"/>
    <cellStyle name="40% - Accent1 2 2 3 11" xfId="9788" xr:uid="{365C95CE-8FD2-4577-B9E5-56D1509F841F}"/>
    <cellStyle name="40% - Accent1 2 2 3 11 2" xfId="19736" xr:uid="{2FD428CC-41EC-48FC-A3EB-65E8B7A5CF3B}"/>
    <cellStyle name="40% - Accent1 2 2 3 12" xfId="10617" xr:uid="{692619ED-DDBD-46ED-80D3-9072A2F9DF67}"/>
    <cellStyle name="40% - Accent1 2 2 3 12 2" xfId="20565" xr:uid="{847C36BB-290C-4C3A-A327-4E6316790F6B}"/>
    <cellStyle name="40% - Accent1 2 2 3 13" xfId="1498" xr:uid="{1146D6F3-2837-4D47-81D8-8CCE0A72232B}"/>
    <cellStyle name="40% - Accent1 2 2 3 14" xfId="11446" xr:uid="{7CC03207-3E37-4336-9797-04BE0F122E77}"/>
    <cellStyle name="40% - Accent1 2 2 3 2" xfId="2327" xr:uid="{3B99B373-8E81-473D-80CB-6F265CBD03C2}"/>
    <cellStyle name="40% - Accent1 2 2 3 2 2" xfId="12275" xr:uid="{445558F9-D43E-479B-823F-32F3E1571610}"/>
    <cellStyle name="40% - Accent1 2 2 3 3" xfId="3156" xr:uid="{84A95807-CC03-47D9-81F0-018E9619B628}"/>
    <cellStyle name="40% - Accent1 2 2 3 3 2" xfId="13104" xr:uid="{B4AABAB7-BD74-4900-A120-DA7EBE9E71C5}"/>
    <cellStyle name="40% - Accent1 2 2 3 4" xfId="3985" xr:uid="{3B7DF49F-E2A4-4E41-AF2A-0C42694E1255}"/>
    <cellStyle name="40% - Accent1 2 2 3 4 2" xfId="13933" xr:uid="{75ACA038-3C57-422A-ACB4-93811A0DEAE7}"/>
    <cellStyle name="40% - Accent1 2 2 3 5" xfId="4814" xr:uid="{CB55B5AA-52E6-43E1-A3C2-93521F93CC6F}"/>
    <cellStyle name="40% - Accent1 2 2 3 5 2" xfId="14762" xr:uid="{D5D05C3A-30D7-4198-8853-CB805DFAC979}"/>
    <cellStyle name="40% - Accent1 2 2 3 6" xfId="5643" xr:uid="{F274BB89-D2A8-4A36-A8D9-5D6F15F0D6B5}"/>
    <cellStyle name="40% - Accent1 2 2 3 6 2" xfId="15591" xr:uid="{8FEC21F9-2521-4B69-ABF9-D36EF94E306B}"/>
    <cellStyle name="40% - Accent1 2 2 3 7" xfId="6472" xr:uid="{48F76FD0-9E55-444C-94A8-25ABC84BB775}"/>
    <cellStyle name="40% - Accent1 2 2 3 7 2" xfId="16420" xr:uid="{466F80D9-C9FB-4980-9333-DDF0308BE15B}"/>
    <cellStyle name="40% - Accent1 2 2 3 8" xfId="7301" xr:uid="{ECCB1420-3D35-487C-96F8-A5D3980B3A88}"/>
    <cellStyle name="40% - Accent1 2 2 3 8 2" xfId="17249" xr:uid="{727D88C1-B42B-4D8D-B3A6-41220C23140C}"/>
    <cellStyle name="40% - Accent1 2 2 3 9" xfId="8130" xr:uid="{75DDD787-39AB-4975-8868-908EFF888E18}"/>
    <cellStyle name="40% - Accent1 2 2 3 9 2" xfId="18078" xr:uid="{6E6E50A5-9EFA-440E-AE28-A29552A68794}"/>
    <cellStyle name="40% - Accent1 2 2 4" xfId="1911" xr:uid="{7668C244-EE7E-46FE-AC59-E1827A4B126F}"/>
    <cellStyle name="40% - Accent1 2 2 4 2" xfId="11859" xr:uid="{C85FA215-3098-40DF-A136-2A04F334CEB6}"/>
    <cellStyle name="40% - Accent1 2 2 5" xfId="2740" xr:uid="{DB83D314-13D4-4540-9545-E20207924905}"/>
    <cellStyle name="40% - Accent1 2 2 5 2" xfId="12688" xr:uid="{2A48454E-C96A-4F9B-B3BB-21A568C3BA66}"/>
    <cellStyle name="40% - Accent1 2 2 6" xfId="3569" xr:uid="{5044240E-FC07-488B-BCC1-1CD451EE3FFD}"/>
    <cellStyle name="40% - Accent1 2 2 6 2" xfId="13517" xr:uid="{81E22720-CA0D-40D0-B667-B9366C355E37}"/>
    <cellStyle name="40% - Accent1 2 2 7" xfId="4398" xr:uid="{9564B819-5490-410F-AC52-4B741CC28F73}"/>
    <cellStyle name="40% - Accent1 2 2 7 2" xfId="14346" xr:uid="{22D50F92-9029-42E5-B328-F6EB61B295D2}"/>
    <cellStyle name="40% - Accent1 2 2 8" xfId="5227" xr:uid="{6B1045C9-5E24-4419-BAB5-D1E6140BB364}"/>
    <cellStyle name="40% - Accent1 2 2 8 2" xfId="15175" xr:uid="{F60F2A33-88A3-486C-AD0F-F41C625C0A6B}"/>
    <cellStyle name="40% - Accent1 2 2 9" xfId="6056" xr:uid="{368517BD-288D-40D8-8EED-4CED38E91A8D}"/>
    <cellStyle name="40% - Accent1 2 2 9 2" xfId="16004" xr:uid="{BD266E6E-B95E-4157-9727-A5F6CF8832EC}"/>
    <cellStyle name="40% - Accent1 2 3" xfId="53" xr:uid="{00000000-0005-0000-0000-000066000000}"/>
    <cellStyle name="40% - Accent1 2 3 10" xfId="7716" xr:uid="{172DF240-CDAE-4748-8B98-8D329F68D2BF}"/>
    <cellStyle name="40% - Accent1 2 3 10 2" xfId="17664" xr:uid="{B1398552-2918-49C0-9F18-8CD31B9A6D47}"/>
    <cellStyle name="40% - Accent1 2 3 11" xfId="8545" xr:uid="{5B364B37-7994-4F55-8E3E-D5BF665CD6B9}"/>
    <cellStyle name="40% - Accent1 2 3 11 2" xfId="18493" xr:uid="{1037569D-181A-4A7F-B269-6AD1128AC843}"/>
    <cellStyle name="40% - Accent1 2 3 12" xfId="9374" xr:uid="{5C2EE6D2-F380-4599-B7D5-73870DC1A498}"/>
    <cellStyle name="40% - Accent1 2 3 12 2" xfId="19322" xr:uid="{8384F6F5-A501-4D69-8AFA-0FAD9F1B4924}"/>
    <cellStyle name="40% - Accent1 2 3 13" xfId="10203" xr:uid="{ED45B4DE-6850-4F06-9EC9-36569B8D2D37}"/>
    <cellStyle name="40% - Accent1 2 3 13 2" xfId="20151" xr:uid="{EDC10CA2-DF58-43FF-9D7D-2E940A0D52C4}"/>
    <cellStyle name="40% - Accent1 2 3 14" xfId="1084" xr:uid="{D653B481-A44D-4FE3-9C5C-E0672FDA82FF}"/>
    <cellStyle name="40% - Accent1 2 3 15" xfId="11032" xr:uid="{11B86022-F83C-46E5-9679-BA79DD8AF4D3}"/>
    <cellStyle name="40% - Accent1 2 3 2" xfId="630" xr:uid="{00000000-0005-0000-0000-000067000000}"/>
    <cellStyle name="40% - Accent1 2 3 2 10" xfId="8961" xr:uid="{C452A114-68E6-4056-B535-DF4DF551F230}"/>
    <cellStyle name="40% - Accent1 2 3 2 10 2" xfId="18909" xr:uid="{2CCB48CD-5B7D-4216-8252-5C63DE131610}"/>
    <cellStyle name="40% - Accent1 2 3 2 11" xfId="9790" xr:uid="{F3B30861-7EBD-4012-AC33-8A371F2F711B}"/>
    <cellStyle name="40% - Accent1 2 3 2 11 2" xfId="19738" xr:uid="{8B40013B-AE07-4765-9AC9-0ACBDA5D679D}"/>
    <cellStyle name="40% - Accent1 2 3 2 12" xfId="10619" xr:uid="{38F5CAEB-22F5-4954-B979-15A18C0CEB4C}"/>
    <cellStyle name="40% - Accent1 2 3 2 12 2" xfId="20567" xr:uid="{A29FF41D-C318-4B62-9893-2E2A406E2663}"/>
    <cellStyle name="40% - Accent1 2 3 2 13" xfId="1500" xr:uid="{437E702E-B8E1-4D58-B625-C6F8AD02AB5B}"/>
    <cellStyle name="40% - Accent1 2 3 2 14" xfId="11448" xr:uid="{201581B4-3FF4-438C-8F9E-C82F41F0939A}"/>
    <cellStyle name="40% - Accent1 2 3 2 2" xfId="2329" xr:uid="{FC482096-9200-4D81-92B3-52454A281669}"/>
    <cellStyle name="40% - Accent1 2 3 2 2 2" xfId="12277" xr:uid="{AE71097F-65C4-42C2-969E-D18517C5401B}"/>
    <cellStyle name="40% - Accent1 2 3 2 3" xfId="3158" xr:uid="{17281436-55A3-49B3-9B80-BF3A20BF9EA6}"/>
    <cellStyle name="40% - Accent1 2 3 2 3 2" xfId="13106" xr:uid="{D0B428A7-52A6-4E53-9E57-A6E57BFBB500}"/>
    <cellStyle name="40% - Accent1 2 3 2 4" xfId="3987" xr:uid="{7B06ABD2-CC0D-4179-ADD4-42413BB45588}"/>
    <cellStyle name="40% - Accent1 2 3 2 4 2" xfId="13935" xr:uid="{A79AC23E-080E-4FF9-BE38-D511CC0D4819}"/>
    <cellStyle name="40% - Accent1 2 3 2 5" xfId="4816" xr:uid="{D99B9821-9282-472F-BD3D-0E8625C5F6DF}"/>
    <cellStyle name="40% - Accent1 2 3 2 5 2" xfId="14764" xr:uid="{FB0A8A72-0B23-405E-B0DC-04B56C3D01F0}"/>
    <cellStyle name="40% - Accent1 2 3 2 6" xfId="5645" xr:uid="{54F1F8A1-048F-4EEF-A749-AA697E4D7B74}"/>
    <cellStyle name="40% - Accent1 2 3 2 6 2" xfId="15593" xr:uid="{70A1A467-6908-45F2-B379-81709E73A3CC}"/>
    <cellStyle name="40% - Accent1 2 3 2 7" xfId="6474" xr:uid="{6E0BD6C4-0F62-4E88-B307-E099E340CA17}"/>
    <cellStyle name="40% - Accent1 2 3 2 7 2" xfId="16422" xr:uid="{54BF197A-8874-4567-AC0E-3D421D89282F}"/>
    <cellStyle name="40% - Accent1 2 3 2 8" xfId="7303" xr:uid="{92BA00B4-801B-416B-B36D-69AC41DF4428}"/>
    <cellStyle name="40% - Accent1 2 3 2 8 2" xfId="17251" xr:uid="{DDC5E02E-B39D-465E-9694-50954B6895E4}"/>
    <cellStyle name="40% - Accent1 2 3 2 9" xfId="8132" xr:uid="{BA8A27CC-77B9-4E53-A87A-255F4314B313}"/>
    <cellStyle name="40% - Accent1 2 3 2 9 2" xfId="18080" xr:uid="{E6250A42-6692-4FD2-9975-3CCC7527D980}"/>
    <cellStyle name="40% - Accent1 2 3 3" xfId="1913" xr:uid="{23AA6996-F7E8-4AF0-9A89-154045AD6F4D}"/>
    <cellStyle name="40% - Accent1 2 3 3 2" xfId="11861" xr:uid="{D5F2F892-C066-4D7A-81CA-C0339E74BBCE}"/>
    <cellStyle name="40% - Accent1 2 3 4" xfId="2742" xr:uid="{F368AA68-621B-4F79-AF12-59F5DDFA5235}"/>
    <cellStyle name="40% - Accent1 2 3 4 2" xfId="12690" xr:uid="{A875B7A5-1D47-4FEC-9ABF-86F2FDBB257C}"/>
    <cellStyle name="40% - Accent1 2 3 5" xfId="3571" xr:uid="{A7174B7E-6815-4041-837D-05D86C4C9C32}"/>
    <cellStyle name="40% - Accent1 2 3 5 2" xfId="13519" xr:uid="{EE4DCB96-80EF-44CF-9019-2CB3E80CEA47}"/>
    <cellStyle name="40% - Accent1 2 3 6" xfId="4400" xr:uid="{FA51C4A6-EFA5-48F6-A7D5-AAD130B7CE67}"/>
    <cellStyle name="40% - Accent1 2 3 6 2" xfId="14348" xr:uid="{DF5FAB82-0632-4CE4-AB95-289BD9EB2365}"/>
    <cellStyle name="40% - Accent1 2 3 7" xfId="5229" xr:uid="{F1FA6366-57ED-4D87-A85F-56495D48EE5A}"/>
    <cellStyle name="40% - Accent1 2 3 7 2" xfId="15177" xr:uid="{1AE98A98-1610-4FFB-B6C3-C42941D1BF31}"/>
    <cellStyle name="40% - Accent1 2 3 8" xfId="6058" xr:uid="{F19C738A-A124-44AA-B683-340B5E546D51}"/>
    <cellStyle name="40% - Accent1 2 3 8 2" xfId="16006" xr:uid="{A4FC574A-B5F8-4441-9335-B064817C2A10}"/>
    <cellStyle name="40% - Accent1 2 3 9" xfId="6887" xr:uid="{5B3FE28C-BF87-4198-AA75-86916D94E9C9}"/>
    <cellStyle name="40% - Accent1 2 3 9 2" xfId="16835" xr:uid="{F6A2DDE8-688D-452D-BF0B-FB1F8B173E90}"/>
    <cellStyle name="40% - Accent1 2 4" xfId="627" xr:uid="{00000000-0005-0000-0000-000068000000}"/>
    <cellStyle name="40% - Accent1 2 4 10" xfId="8958" xr:uid="{7E2591D3-ECB4-494F-BD4B-764982A11E7B}"/>
    <cellStyle name="40% - Accent1 2 4 10 2" xfId="18906" xr:uid="{943DCE8D-71CD-4357-9C0A-833402072C82}"/>
    <cellStyle name="40% - Accent1 2 4 11" xfId="9787" xr:uid="{96FB97B3-63BD-4B9B-8A15-8BE0EAE10192}"/>
    <cellStyle name="40% - Accent1 2 4 11 2" xfId="19735" xr:uid="{2B50C997-5B0D-4950-9D9F-AB53482C06C5}"/>
    <cellStyle name="40% - Accent1 2 4 12" xfId="10616" xr:uid="{E4C6DB69-A983-4513-BD40-BF6522488717}"/>
    <cellStyle name="40% - Accent1 2 4 12 2" xfId="20564" xr:uid="{850BEF29-F3F2-4998-8F72-FE1A28E87B78}"/>
    <cellStyle name="40% - Accent1 2 4 13" xfId="1497" xr:uid="{6610F12D-463C-47B8-9625-7B14EDF3023B}"/>
    <cellStyle name="40% - Accent1 2 4 14" xfId="11445" xr:uid="{BF534C4D-7DC5-4E9D-9641-75AC73CA8BAC}"/>
    <cellStyle name="40% - Accent1 2 4 2" xfId="2326" xr:uid="{3FCCBA6B-1881-422C-BB0F-33BBFADC9C77}"/>
    <cellStyle name="40% - Accent1 2 4 2 2" xfId="12274" xr:uid="{A77E1232-3523-4A57-A6D2-620BE386B629}"/>
    <cellStyle name="40% - Accent1 2 4 3" xfId="3155" xr:uid="{D5EBCC3C-0363-4D3D-A60C-7E293CE2C26D}"/>
    <cellStyle name="40% - Accent1 2 4 3 2" xfId="13103" xr:uid="{B05AA991-F451-4454-96C2-798E43DCF441}"/>
    <cellStyle name="40% - Accent1 2 4 4" xfId="3984" xr:uid="{5ABDDCC7-3744-451A-9C1B-C5BE14EB2807}"/>
    <cellStyle name="40% - Accent1 2 4 4 2" xfId="13932" xr:uid="{C324E58F-4552-45BB-AD44-DF650C5D5D1F}"/>
    <cellStyle name="40% - Accent1 2 4 5" xfId="4813" xr:uid="{9FBE04AF-928A-44AE-8A18-330AE186B7FD}"/>
    <cellStyle name="40% - Accent1 2 4 5 2" xfId="14761" xr:uid="{D338CB14-DD3D-4239-8D44-1F506D01DCBB}"/>
    <cellStyle name="40% - Accent1 2 4 6" xfId="5642" xr:uid="{BE4491C6-6CA9-4920-AB75-FD32F6CC9562}"/>
    <cellStyle name="40% - Accent1 2 4 6 2" xfId="15590" xr:uid="{E28ECF60-B1A6-4486-ACC5-77CA299AF9C0}"/>
    <cellStyle name="40% - Accent1 2 4 7" xfId="6471" xr:uid="{5D4B9342-0D62-4882-983E-CCD6591AF62F}"/>
    <cellStyle name="40% - Accent1 2 4 7 2" xfId="16419" xr:uid="{02DF2FCD-FA92-4E2D-9AB6-F53FF40F598F}"/>
    <cellStyle name="40% - Accent1 2 4 8" xfId="7300" xr:uid="{56D73383-A6C3-40F1-B2CC-E8860A82AFAA}"/>
    <cellStyle name="40% - Accent1 2 4 8 2" xfId="17248" xr:uid="{C8DEC38A-004A-4DDF-857C-F644FEEBE0B2}"/>
    <cellStyle name="40% - Accent1 2 4 9" xfId="8129" xr:uid="{91BDD5B0-B853-4336-8D2A-D4B5052073A0}"/>
    <cellStyle name="40% - Accent1 2 4 9 2" xfId="18077" xr:uid="{3D929BD5-B1A7-4D24-8297-19DBD778F82C}"/>
    <cellStyle name="40% - Accent1 2 5" xfId="1910" xr:uid="{C3D7622E-1F46-4A05-BC07-A56406B2567B}"/>
    <cellStyle name="40% - Accent1 2 5 2" xfId="11858" xr:uid="{DD62B188-A337-4233-94D1-2D7FAA0D59C4}"/>
    <cellStyle name="40% - Accent1 2 6" xfId="2739" xr:uid="{945A8968-A826-4005-AF3E-83854F7812AD}"/>
    <cellStyle name="40% - Accent1 2 6 2" xfId="12687" xr:uid="{AFD8B693-E20A-49DF-BC83-92AA474159B6}"/>
    <cellStyle name="40% - Accent1 2 7" xfId="3568" xr:uid="{01765AB1-DFD7-4679-83A9-31BFD0E39CE8}"/>
    <cellStyle name="40% - Accent1 2 7 2" xfId="13516" xr:uid="{920F0257-EB2C-44CB-95F5-D87464F8BCEF}"/>
    <cellStyle name="40% - Accent1 2 8" xfId="4397" xr:uid="{EB2203F5-1AD3-46ED-B4A7-25A24831E065}"/>
    <cellStyle name="40% - Accent1 2 8 2" xfId="14345" xr:uid="{247A250A-82CA-47A7-A8E2-40E00B1A76E7}"/>
    <cellStyle name="40% - Accent1 2 9" xfId="5226" xr:uid="{4484A727-F628-4CDB-8426-588366C994E9}"/>
    <cellStyle name="40% - Accent1 2 9 2" xfId="15174" xr:uid="{D4CE0C63-F7AE-49D9-97DC-1DFD0880241E}"/>
    <cellStyle name="40% - Accent1 3" xfId="54" xr:uid="{00000000-0005-0000-0000-000069000000}"/>
    <cellStyle name="40% - Accent1 3 10" xfId="6888" xr:uid="{430081A8-3CF2-4F7E-8C34-E0EA9D22CE22}"/>
    <cellStyle name="40% - Accent1 3 10 2" xfId="16836" xr:uid="{473530FE-BC8A-4FE0-899B-5C70F25DBFE7}"/>
    <cellStyle name="40% - Accent1 3 11" xfId="7717" xr:uid="{19FEAA37-5583-4D9B-9FC7-192F625F6B6E}"/>
    <cellStyle name="40% - Accent1 3 11 2" xfId="17665" xr:uid="{F9B0275E-99F7-48B7-8584-3884E3F21A98}"/>
    <cellStyle name="40% - Accent1 3 12" xfId="8546" xr:uid="{4CBA4392-6DA7-48BE-BCD2-CA350BDB9F77}"/>
    <cellStyle name="40% - Accent1 3 12 2" xfId="18494" xr:uid="{336034BF-8CEA-4344-9557-5FB8C03596BA}"/>
    <cellStyle name="40% - Accent1 3 13" xfId="9375" xr:uid="{A3ACD76B-D44B-435C-9BD6-ECF5004725B5}"/>
    <cellStyle name="40% - Accent1 3 13 2" xfId="19323" xr:uid="{D3D20A3E-D05C-4D3F-BCC8-F68EDBDF5D9F}"/>
    <cellStyle name="40% - Accent1 3 14" xfId="10204" xr:uid="{6707BC32-BC3A-4482-856B-4525E6330782}"/>
    <cellStyle name="40% - Accent1 3 14 2" xfId="20152" xr:uid="{3EBE3F68-F0A3-4F75-87E3-E36FD35F1D01}"/>
    <cellStyle name="40% - Accent1 3 15" xfId="1085" xr:uid="{1A44BD2B-0E06-4280-8EE9-D897DC718911}"/>
    <cellStyle name="40% - Accent1 3 16" xfId="11033" xr:uid="{0AD295FC-615F-4ABD-8FA5-CC1D143F69C8}"/>
    <cellStyle name="40% - Accent1 3 2" xfId="55" xr:uid="{00000000-0005-0000-0000-00006A000000}"/>
    <cellStyle name="40% - Accent1 3 2 10" xfId="7718" xr:uid="{5651450B-C08F-407C-A0C6-201577D2B6CE}"/>
    <cellStyle name="40% - Accent1 3 2 10 2" xfId="17666" xr:uid="{0F641091-1F6F-4E02-9622-6E7B026B2569}"/>
    <cellStyle name="40% - Accent1 3 2 11" xfId="8547" xr:uid="{62000DB5-46EB-4CF9-B9B4-187D211B323A}"/>
    <cellStyle name="40% - Accent1 3 2 11 2" xfId="18495" xr:uid="{ABAF0297-B53A-4642-89A8-79A87F222EEF}"/>
    <cellStyle name="40% - Accent1 3 2 12" xfId="9376" xr:uid="{949213E8-46E4-4050-BA67-BC3519A316DD}"/>
    <cellStyle name="40% - Accent1 3 2 12 2" xfId="19324" xr:uid="{591BC318-2C24-420C-AF86-78756287D000}"/>
    <cellStyle name="40% - Accent1 3 2 13" xfId="10205" xr:uid="{B405D58C-EEF9-4FBE-BC73-F5CECB5E5794}"/>
    <cellStyle name="40% - Accent1 3 2 13 2" xfId="20153" xr:uid="{4909191B-88B5-4BE8-94D2-583DD5326DC9}"/>
    <cellStyle name="40% - Accent1 3 2 14" xfId="1086" xr:uid="{F0BCF062-5BCE-4983-8B50-0B3F844CCC75}"/>
    <cellStyle name="40% - Accent1 3 2 15" xfId="11034" xr:uid="{E26D771B-EAE1-4675-8631-B0D57772E18D}"/>
    <cellStyle name="40% - Accent1 3 2 2" xfId="632" xr:uid="{00000000-0005-0000-0000-00006B000000}"/>
    <cellStyle name="40% - Accent1 3 2 2 10" xfId="8963" xr:uid="{43A29966-C0B4-4D63-AE03-BC54DC64FDEE}"/>
    <cellStyle name="40% - Accent1 3 2 2 10 2" xfId="18911" xr:uid="{324F773F-AEBF-4B2A-9BFD-7AC0F507F4C5}"/>
    <cellStyle name="40% - Accent1 3 2 2 11" xfId="9792" xr:uid="{9D222007-5698-488E-8D86-945ACCFFCDD7}"/>
    <cellStyle name="40% - Accent1 3 2 2 11 2" xfId="19740" xr:uid="{77B7EB53-898F-486A-9547-554A6739156C}"/>
    <cellStyle name="40% - Accent1 3 2 2 12" xfId="10621" xr:uid="{B3375EC9-6E7C-46EF-B456-83FB5C34E764}"/>
    <cellStyle name="40% - Accent1 3 2 2 12 2" xfId="20569" xr:uid="{EC67E50A-B23E-4DFD-B78F-3C392DFC31F9}"/>
    <cellStyle name="40% - Accent1 3 2 2 13" xfId="1502" xr:uid="{1BC55EEF-DBEB-4AC2-8C63-889D8C6DCD04}"/>
    <cellStyle name="40% - Accent1 3 2 2 14" xfId="11450" xr:uid="{8DB5EC45-423E-4DD4-9E94-C5609DDE0CEB}"/>
    <cellStyle name="40% - Accent1 3 2 2 2" xfId="2331" xr:uid="{07BF0174-E16A-47EC-8A8C-F875854D0642}"/>
    <cellStyle name="40% - Accent1 3 2 2 2 2" xfId="12279" xr:uid="{4C1C3678-39F0-4DE4-BA28-1C99446556AA}"/>
    <cellStyle name="40% - Accent1 3 2 2 3" xfId="3160" xr:uid="{D903B224-EC0E-4CB8-8900-06BD561835F4}"/>
    <cellStyle name="40% - Accent1 3 2 2 3 2" xfId="13108" xr:uid="{FD437225-3956-42FC-A526-76BE24D5360C}"/>
    <cellStyle name="40% - Accent1 3 2 2 4" xfId="3989" xr:uid="{32C952D1-4B5F-429A-83DA-AA5564275B75}"/>
    <cellStyle name="40% - Accent1 3 2 2 4 2" xfId="13937" xr:uid="{1949E174-851D-48F7-9396-C374334D6802}"/>
    <cellStyle name="40% - Accent1 3 2 2 5" xfId="4818" xr:uid="{8197884B-C1BB-47D3-9E75-A992DB656DE4}"/>
    <cellStyle name="40% - Accent1 3 2 2 5 2" xfId="14766" xr:uid="{80E03118-FD6A-4BEE-A5FC-874CEDCDC6FF}"/>
    <cellStyle name="40% - Accent1 3 2 2 6" xfId="5647" xr:uid="{49EEEFD5-4986-4FDF-A9C5-BDAA34F93541}"/>
    <cellStyle name="40% - Accent1 3 2 2 6 2" xfId="15595" xr:uid="{B042DE7E-A1F8-479C-851E-E0C7B47056FE}"/>
    <cellStyle name="40% - Accent1 3 2 2 7" xfId="6476" xr:uid="{06D40B89-0ADB-43DB-8D68-F551E69BCFF5}"/>
    <cellStyle name="40% - Accent1 3 2 2 7 2" xfId="16424" xr:uid="{1C97014F-3792-49D2-8F39-F7DDC772E476}"/>
    <cellStyle name="40% - Accent1 3 2 2 8" xfId="7305" xr:uid="{F2D99B31-F566-4795-A582-AB427A67219B}"/>
    <cellStyle name="40% - Accent1 3 2 2 8 2" xfId="17253" xr:uid="{3930FA6B-9FF8-49CB-AF2F-56C96125DD48}"/>
    <cellStyle name="40% - Accent1 3 2 2 9" xfId="8134" xr:uid="{265BCD70-76EB-4211-824F-9F363FF655C7}"/>
    <cellStyle name="40% - Accent1 3 2 2 9 2" xfId="18082" xr:uid="{880EE584-494C-4941-8AC7-07984489B754}"/>
    <cellStyle name="40% - Accent1 3 2 3" xfId="1915" xr:uid="{89F5EE8A-129B-4D5C-9A67-503002555C07}"/>
    <cellStyle name="40% - Accent1 3 2 3 2" xfId="11863" xr:uid="{4E15CBA6-26DD-4AB4-8740-DA5DE357C701}"/>
    <cellStyle name="40% - Accent1 3 2 4" xfId="2744" xr:uid="{19E0E7B8-D231-45A2-A48A-E9A4D1FA1836}"/>
    <cellStyle name="40% - Accent1 3 2 4 2" xfId="12692" xr:uid="{44CA3C26-F285-4187-9D0D-3826EAC24505}"/>
    <cellStyle name="40% - Accent1 3 2 5" xfId="3573" xr:uid="{84AFD92E-8249-4670-9E18-6A733E63BDC2}"/>
    <cellStyle name="40% - Accent1 3 2 5 2" xfId="13521" xr:uid="{CE28F620-769F-4A29-997D-F26FECF40258}"/>
    <cellStyle name="40% - Accent1 3 2 6" xfId="4402" xr:uid="{23155BCF-A5FE-4A8E-9B40-CCE858115928}"/>
    <cellStyle name="40% - Accent1 3 2 6 2" xfId="14350" xr:uid="{D136E4D7-6234-461E-A52C-F52914294ACE}"/>
    <cellStyle name="40% - Accent1 3 2 7" xfId="5231" xr:uid="{F2568A1E-4608-4119-8D8B-9EDCC0722595}"/>
    <cellStyle name="40% - Accent1 3 2 7 2" xfId="15179" xr:uid="{FB41BC5C-8CD4-4DC3-B436-A7814D7AFA3E}"/>
    <cellStyle name="40% - Accent1 3 2 8" xfId="6060" xr:uid="{35EB6A7A-0192-45EC-8AF1-16B640169558}"/>
    <cellStyle name="40% - Accent1 3 2 8 2" xfId="16008" xr:uid="{A4670530-5070-4710-BCFF-2F535F801C24}"/>
    <cellStyle name="40% - Accent1 3 2 9" xfId="6889" xr:uid="{ED8BE161-D7D7-4B3C-8610-4333516D12F2}"/>
    <cellStyle name="40% - Accent1 3 2 9 2" xfId="16837" xr:uid="{3D1DC29F-76A4-4FFC-8659-59A08787F0E5}"/>
    <cellStyle name="40% - Accent1 3 3" xfId="631" xr:uid="{00000000-0005-0000-0000-00006C000000}"/>
    <cellStyle name="40% - Accent1 3 3 10" xfId="8962" xr:uid="{A1D11B95-53BA-4745-8F70-419436D0F47F}"/>
    <cellStyle name="40% - Accent1 3 3 10 2" xfId="18910" xr:uid="{6E0C1053-6884-48BD-B3CB-02F16691442F}"/>
    <cellStyle name="40% - Accent1 3 3 11" xfId="9791" xr:uid="{C1267297-61AE-44AB-BA36-8275F49FF738}"/>
    <cellStyle name="40% - Accent1 3 3 11 2" xfId="19739" xr:uid="{138253C5-FBC6-4D93-8D90-0E5DF41F712C}"/>
    <cellStyle name="40% - Accent1 3 3 12" xfId="10620" xr:uid="{C850C6A4-6972-4A03-9AB0-9D4D532DC3C1}"/>
    <cellStyle name="40% - Accent1 3 3 12 2" xfId="20568" xr:uid="{70112A71-28A7-4781-A1EE-8EF8A227D974}"/>
    <cellStyle name="40% - Accent1 3 3 13" xfId="1501" xr:uid="{C2BEB14C-62CE-462E-AAA4-E0AFCBF37B62}"/>
    <cellStyle name="40% - Accent1 3 3 14" xfId="11449" xr:uid="{7FA42D2B-76E4-4C24-9B64-A16766CCD7B9}"/>
    <cellStyle name="40% - Accent1 3 3 2" xfId="2330" xr:uid="{D767782D-8015-4ED2-8450-B8039A32732E}"/>
    <cellStyle name="40% - Accent1 3 3 2 2" xfId="12278" xr:uid="{707B2B5D-A5E1-4E4F-AC40-B84C24B8CE52}"/>
    <cellStyle name="40% - Accent1 3 3 3" xfId="3159" xr:uid="{7D88E02A-8D31-4BE3-8EAA-28DB71A4BDFB}"/>
    <cellStyle name="40% - Accent1 3 3 3 2" xfId="13107" xr:uid="{E9B7C490-DB7B-433F-9594-58782AFE65A7}"/>
    <cellStyle name="40% - Accent1 3 3 4" xfId="3988" xr:uid="{E3B94197-281C-4A0F-B001-5CC8E0671791}"/>
    <cellStyle name="40% - Accent1 3 3 4 2" xfId="13936" xr:uid="{DA551552-7204-4959-A471-2FA7F47D4F1D}"/>
    <cellStyle name="40% - Accent1 3 3 5" xfId="4817" xr:uid="{F2BB4A0D-316A-43D9-BA92-1D3AADADA5ED}"/>
    <cellStyle name="40% - Accent1 3 3 5 2" xfId="14765" xr:uid="{A7846304-C51B-43F1-A6C9-B65D522D19C2}"/>
    <cellStyle name="40% - Accent1 3 3 6" xfId="5646" xr:uid="{659B7645-F195-4133-B17D-EA73C725DE3F}"/>
    <cellStyle name="40% - Accent1 3 3 6 2" xfId="15594" xr:uid="{33E96270-0DBE-421D-A4D0-8BE2D835E2C3}"/>
    <cellStyle name="40% - Accent1 3 3 7" xfId="6475" xr:uid="{7F5993B1-95C7-4E63-8E27-91632244E40F}"/>
    <cellStyle name="40% - Accent1 3 3 7 2" xfId="16423" xr:uid="{F060B18F-4D6A-4339-A4D2-76F7F4BA1D52}"/>
    <cellStyle name="40% - Accent1 3 3 8" xfId="7304" xr:uid="{0036E80A-6C02-49F7-BDA7-E4CD926948D1}"/>
    <cellStyle name="40% - Accent1 3 3 8 2" xfId="17252" xr:uid="{91508BA1-AE10-4065-BF4C-7DD559A4CB30}"/>
    <cellStyle name="40% - Accent1 3 3 9" xfId="8133" xr:uid="{EBD8FB59-0296-4D10-96C9-DAD068994F8A}"/>
    <cellStyle name="40% - Accent1 3 3 9 2" xfId="18081" xr:uid="{22AC8647-7D0B-451D-8637-917149035F82}"/>
    <cellStyle name="40% - Accent1 3 4" xfId="1914" xr:uid="{5B74463F-2A2F-469D-BDAB-3B2C36DB640E}"/>
    <cellStyle name="40% - Accent1 3 4 2" xfId="11862" xr:uid="{44558DE3-F1B1-42BD-B38F-2A5F0D08E940}"/>
    <cellStyle name="40% - Accent1 3 5" xfId="2743" xr:uid="{C915BD63-0A4E-49FC-876F-D5F0BEC0B367}"/>
    <cellStyle name="40% - Accent1 3 5 2" xfId="12691" xr:uid="{82E73072-5AF6-4BBF-8E91-54D3EFB9D3EB}"/>
    <cellStyle name="40% - Accent1 3 6" xfId="3572" xr:uid="{52CEBB54-8821-467D-9377-4E8F40A26812}"/>
    <cellStyle name="40% - Accent1 3 6 2" xfId="13520" xr:uid="{2BC501E8-A287-416B-9837-290A1D6EF57E}"/>
    <cellStyle name="40% - Accent1 3 7" xfId="4401" xr:uid="{12C25613-1177-4B4D-A317-94EF1BBF3EEC}"/>
    <cellStyle name="40% - Accent1 3 7 2" xfId="14349" xr:uid="{CACE2FE4-C671-4902-9979-043F5EDC929A}"/>
    <cellStyle name="40% - Accent1 3 8" xfId="5230" xr:uid="{731FFEBF-F205-419F-BB75-4E4784D06B76}"/>
    <cellStyle name="40% - Accent1 3 8 2" xfId="15178" xr:uid="{89CECCDB-E1E1-4150-A290-5F16FAB409E5}"/>
    <cellStyle name="40% - Accent1 3 9" xfId="6059" xr:uid="{130D046D-5917-4F43-B0E3-D5366AB52ED2}"/>
    <cellStyle name="40% - Accent1 3 9 2" xfId="16007" xr:uid="{17450948-5FCF-4118-BEB3-23F0FE282897}"/>
    <cellStyle name="40% - Accent1 4" xfId="56" xr:uid="{00000000-0005-0000-0000-00006D000000}"/>
    <cellStyle name="40% - Accent1 4 10" xfId="7719" xr:uid="{00E84AC8-D637-4043-A91B-73B50B805E97}"/>
    <cellStyle name="40% - Accent1 4 10 2" xfId="17667" xr:uid="{E17D1AAB-26F5-4FB1-A3ED-0D1F898F8445}"/>
    <cellStyle name="40% - Accent1 4 11" xfId="8548" xr:uid="{32A6BBB0-8A54-402A-B4CF-C1DA92099735}"/>
    <cellStyle name="40% - Accent1 4 11 2" xfId="18496" xr:uid="{2B880030-ABFF-4F46-9B53-7BAD0F5C3A0C}"/>
    <cellStyle name="40% - Accent1 4 12" xfId="9377" xr:uid="{76801DE1-B3CA-40DB-8CA4-87B83A735F1C}"/>
    <cellStyle name="40% - Accent1 4 12 2" xfId="19325" xr:uid="{151AA58E-B574-4561-BDCD-662D262C6F25}"/>
    <cellStyle name="40% - Accent1 4 13" xfId="10206" xr:uid="{B07CA96A-170C-4A71-BFF5-CD3E6B8A4284}"/>
    <cellStyle name="40% - Accent1 4 13 2" xfId="20154" xr:uid="{A4BA7234-2580-4088-9981-5CFACDA8A41F}"/>
    <cellStyle name="40% - Accent1 4 14" xfId="1087" xr:uid="{E3914803-6C7B-4A24-A970-9023DD865C30}"/>
    <cellStyle name="40% - Accent1 4 15" xfId="11035" xr:uid="{A3DCB93B-4A92-4B99-8C11-349EBA90D63D}"/>
    <cellStyle name="40% - Accent1 4 2" xfId="633" xr:uid="{00000000-0005-0000-0000-00006E000000}"/>
    <cellStyle name="40% - Accent1 4 2 10" xfId="8964" xr:uid="{8ABA588E-22EB-4A1E-8EB3-5D9EFCCC560D}"/>
    <cellStyle name="40% - Accent1 4 2 10 2" xfId="18912" xr:uid="{33EB121F-2385-4250-A61B-6D86D2D4A8FC}"/>
    <cellStyle name="40% - Accent1 4 2 11" xfId="9793" xr:uid="{61308454-5F9B-4C2F-B05D-FAC898C232AB}"/>
    <cellStyle name="40% - Accent1 4 2 11 2" xfId="19741" xr:uid="{9059DA86-F71D-48CC-A92F-8BCE04010509}"/>
    <cellStyle name="40% - Accent1 4 2 12" xfId="10622" xr:uid="{902CD720-6319-461C-B7B3-23BF49907F98}"/>
    <cellStyle name="40% - Accent1 4 2 12 2" xfId="20570" xr:uid="{FB3DD887-19F5-48DC-B56E-CFDB8F2CF10B}"/>
    <cellStyle name="40% - Accent1 4 2 13" xfId="1503" xr:uid="{B6409AE4-7768-4EC3-817B-D1960749F42B}"/>
    <cellStyle name="40% - Accent1 4 2 14" xfId="11451" xr:uid="{96E39BB7-1207-426C-B749-57B20EF0F80D}"/>
    <cellStyle name="40% - Accent1 4 2 2" xfId="2332" xr:uid="{0E635B4E-3ACE-4E8C-A40E-F81E2EC353C9}"/>
    <cellStyle name="40% - Accent1 4 2 2 2" xfId="12280" xr:uid="{AE90EB56-B1B3-4FCD-BE84-CF1FC7AF4739}"/>
    <cellStyle name="40% - Accent1 4 2 3" xfId="3161" xr:uid="{63AD426C-4C9A-4EFB-B472-59E01F242D0E}"/>
    <cellStyle name="40% - Accent1 4 2 3 2" xfId="13109" xr:uid="{E7758CD4-3260-43BC-9AD9-567B0E420ED1}"/>
    <cellStyle name="40% - Accent1 4 2 4" xfId="3990" xr:uid="{94EAF4F9-F2A9-4824-8472-9DAD42EFBF9A}"/>
    <cellStyle name="40% - Accent1 4 2 4 2" xfId="13938" xr:uid="{F9C4B776-57B4-4D68-BA91-8746EB1DF5CB}"/>
    <cellStyle name="40% - Accent1 4 2 5" xfId="4819" xr:uid="{B372AC1D-DC5D-48CC-A13F-08F6BB89DB32}"/>
    <cellStyle name="40% - Accent1 4 2 5 2" xfId="14767" xr:uid="{76ADFD79-F041-4192-8DF1-1F204C3704A7}"/>
    <cellStyle name="40% - Accent1 4 2 6" xfId="5648" xr:uid="{F602C670-6DDA-4171-96E3-B4B1478737E7}"/>
    <cellStyle name="40% - Accent1 4 2 6 2" xfId="15596" xr:uid="{82813F15-30A0-4063-A913-EA367B65AF04}"/>
    <cellStyle name="40% - Accent1 4 2 7" xfId="6477" xr:uid="{ADD771C9-9624-46B1-974F-F1128895E981}"/>
    <cellStyle name="40% - Accent1 4 2 7 2" xfId="16425" xr:uid="{A0BA7ADA-55BA-4C7E-B8D9-54190C22DB7B}"/>
    <cellStyle name="40% - Accent1 4 2 8" xfId="7306" xr:uid="{810ECE59-2F13-4419-A7ED-E78882F28139}"/>
    <cellStyle name="40% - Accent1 4 2 8 2" xfId="17254" xr:uid="{19958E6B-235D-4CCB-9CF3-04C4E1043EB2}"/>
    <cellStyle name="40% - Accent1 4 2 9" xfId="8135" xr:uid="{3E6C8BE9-5B77-46AA-BBCE-2EECFAE38DE9}"/>
    <cellStyle name="40% - Accent1 4 2 9 2" xfId="18083" xr:uid="{7FD57E82-C4C6-4808-AB3A-E449E4FB79DA}"/>
    <cellStyle name="40% - Accent1 4 3" xfId="1916" xr:uid="{07FB7610-726F-41D7-A58F-0D6666C80CD5}"/>
    <cellStyle name="40% - Accent1 4 3 2" xfId="11864" xr:uid="{E5030E23-E0CD-4A9D-BC09-C9DCD94B1804}"/>
    <cellStyle name="40% - Accent1 4 4" xfId="2745" xr:uid="{7B10EE49-4573-4AAA-998F-32AEFAC7DD71}"/>
    <cellStyle name="40% - Accent1 4 4 2" xfId="12693" xr:uid="{804B06AC-5D3B-450F-9C23-5BF2471DCBE6}"/>
    <cellStyle name="40% - Accent1 4 5" xfId="3574" xr:uid="{863F0324-D606-4AA5-BE24-AC7147123498}"/>
    <cellStyle name="40% - Accent1 4 5 2" xfId="13522" xr:uid="{CB8E0DBA-4E6C-428B-8E1E-A5FD9BABAA63}"/>
    <cellStyle name="40% - Accent1 4 6" xfId="4403" xr:uid="{92A7B4A0-E811-4FE8-B124-9D07D954210E}"/>
    <cellStyle name="40% - Accent1 4 6 2" xfId="14351" xr:uid="{D6F1D5B4-5426-415C-93AE-368343EF5229}"/>
    <cellStyle name="40% - Accent1 4 7" xfId="5232" xr:uid="{CC7512C3-0535-45BC-83D3-D2343C1F135F}"/>
    <cellStyle name="40% - Accent1 4 7 2" xfId="15180" xr:uid="{07BE6EBE-7B6B-4AD2-A431-D807F642E0E3}"/>
    <cellStyle name="40% - Accent1 4 8" xfId="6061" xr:uid="{E5B4CBB2-00D4-4FC0-A190-9258AC9817E8}"/>
    <cellStyle name="40% - Accent1 4 8 2" xfId="16009" xr:uid="{05D340B0-32E2-4668-B403-22DCA94D7183}"/>
    <cellStyle name="40% - Accent1 4 9" xfId="6890" xr:uid="{9E23DD64-97A6-4D92-8C74-19F84C874B87}"/>
    <cellStyle name="40% - Accent1 4 9 2" xfId="16838" xr:uid="{A47B0DD5-684E-4B29-A36B-EAD71CD0583C}"/>
    <cellStyle name="40% - Accent1 5" xfId="626" xr:uid="{00000000-0005-0000-0000-00006F000000}"/>
    <cellStyle name="40% - Accent1 5 10" xfId="8957" xr:uid="{6142B844-F80C-435D-B9B5-166656C4253C}"/>
    <cellStyle name="40% - Accent1 5 10 2" xfId="18905" xr:uid="{E77A856C-BF6F-4B40-A018-44B3CD501ADD}"/>
    <cellStyle name="40% - Accent1 5 11" xfId="9786" xr:uid="{825B5E59-9BB0-4815-BEC5-FD11E19894A3}"/>
    <cellStyle name="40% - Accent1 5 11 2" xfId="19734" xr:uid="{7018E694-ED7A-4CDB-BCE0-F0CC24ADD792}"/>
    <cellStyle name="40% - Accent1 5 12" xfId="10615" xr:uid="{D9353CA0-00D2-427D-BEEA-8DAF5D1893BC}"/>
    <cellStyle name="40% - Accent1 5 12 2" xfId="20563" xr:uid="{7D64547B-336F-4A27-BBD5-940C1DF24363}"/>
    <cellStyle name="40% - Accent1 5 13" xfId="1496" xr:uid="{0157A19F-D3FB-405A-8BBD-8C859541A296}"/>
    <cellStyle name="40% - Accent1 5 14" xfId="11444" xr:uid="{5856D528-79FE-4F95-8313-FCBBE9B8CB21}"/>
    <cellStyle name="40% - Accent1 5 2" xfId="2325" xr:uid="{ED450C69-A5DF-4DD9-8684-F7E951A8CB3E}"/>
    <cellStyle name="40% - Accent1 5 2 2" xfId="12273" xr:uid="{399042F7-C634-4083-AC6C-F32FA3889926}"/>
    <cellStyle name="40% - Accent1 5 3" xfId="3154" xr:uid="{71E8911C-6232-48DD-A09A-8A1B1FBA78FF}"/>
    <cellStyle name="40% - Accent1 5 3 2" xfId="13102" xr:uid="{BCDFFA3C-8F0A-4868-9715-4127D96F738E}"/>
    <cellStyle name="40% - Accent1 5 4" xfId="3983" xr:uid="{A396C81C-6ECF-4C6A-9650-FEAB939DE11A}"/>
    <cellStyle name="40% - Accent1 5 4 2" xfId="13931" xr:uid="{DA2BF645-8FB5-42D2-B5BB-33A9D4C4FE10}"/>
    <cellStyle name="40% - Accent1 5 5" xfId="4812" xr:uid="{2A507A17-4C3A-46D9-B99D-E05A7CF68230}"/>
    <cellStyle name="40% - Accent1 5 5 2" xfId="14760" xr:uid="{56D1A64B-1032-4898-9CBA-57DE6E2E7F5E}"/>
    <cellStyle name="40% - Accent1 5 6" xfId="5641" xr:uid="{32908FAE-FB45-48BD-8CE1-6D8CAC9896DF}"/>
    <cellStyle name="40% - Accent1 5 6 2" xfId="15589" xr:uid="{A822A255-6870-4BB6-9195-330355EB9F85}"/>
    <cellStyle name="40% - Accent1 5 7" xfId="6470" xr:uid="{DD06950D-DDB6-4F13-A90B-C5AC785E244D}"/>
    <cellStyle name="40% - Accent1 5 7 2" xfId="16418" xr:uid="{718F2F8A-40F6-47AC-BB5C-ECD2529B349F}"/>
    <cellStyle name="40% - Accent1 5 8" xfId="7299" xr:uid="{2DA8AB59-3B8C-4CE0-A887-094DF92EDC4E}"/>
    <cellStyle name="40% - Accent1 5 8 2" xfId="17247" xr:uid="{B15CD844-AB61-4081-995D-D56E5280C83B}"/>
    <cellStyle name="40% - Accent1 5 9" xfId="8128" xr:uid="{B8501482-1B99-4422-A608-4E8213F9E00B}"/>
    <cellStyle name="40% - Accent1 5 9 2" xfId="18076" xr:uid="{5DBDE99B-77E5-4E4F-8D70-8C3560EE5311}"/>
    <cellStyle name="40% - Accent1 6" xfId="1909" xr:uid="{E1BA0640-7116-4496-A70D-CA5DF2062FC1}"/>
    <cellStyle name="40% - Accent1 6 2" xfId="11857" xr:uid="{C7450FF4-208E-4A71-835A-6511DE680295}"/>
    <cellStyle name="40% - Accent1 7" xfId="2738" xr:uid="{B4BD23CE-DCE2-486F-9095-D9340E662192}"/>
    <cellStyle name="40% - Accent1 7 2" xfId="12686" xr:uid="{4A2560E2-6651-4C83-9899-33D613FF8CE6}"/>
    <cellStyle name="40% - Accent1 8" xfId="3567" xr:uid="{2DA507B5-9242-4C02-8943-213693A46529}"/>
    <cellStyle name="40% - Accent1 8 2" xfId="13515" xr:uid="{85306918-1FBF-401D-9BE5-1220F6848815}"/>
    <cellStyle name="40% - Accent1 9" xfId="4396" xr:uid="{49519EF1-0B76-4C0C-97AE-51213F6AC1D2}"/>
    <cellStyle name="40% - Accent1 9 2" xfId="14344" xr:uid="{E8CF41A6-6EC7-42F4-A446-0722E3B25208}"/>
    <cellStyle name="40% - Accent2" xfId="57" builtinId="35" customBuiltin="1"/>
    <cellStyle name="40% - Accent2 10" xfId="5233" xr:uid="{08421684-6E24-4451-8E4A-AD43F17E5F6B}"/>
    <cellStyle name="40% - Accent2 10 2" xfId="15181" xr:uid="{AB1031D1-1ADE-4BF4-8911-8C91D9C50A55}"/>
    <cellStyle name="40% - Accent2 11" xfId="6062" xr:uid="{39B40473-EFC8-4616-94A4-62294CA50E31}"/>
    <cellStyle name="40% - Accent2 11 2" xfId="16010" xr:uid="{53CF2509-00AD-42D0-BAC9-5DD9C6DEBC23}"/>
    <cellStyle name="40% - Accent2 12" xfId="6891" xr:uid="{E58246FB-24CF-4971-8B5B-6C9C78C89101}"/>
    <cellStyle name="40% - Accent2 12 2" xfId="16839" xr:uid="{1C3238C1-D8FE-4DF7-B9FD-BA1A2BF69856}"/>
    <cellStyle name="40% - Accent2 13" xfId="7720" xr:uid="{FEB97EE8-691B-454B-90B8-C6C9087C84DC}"/>
    <cellStyle name="40% - Accent2 13 2" xfId="17668" xr:uid="{CD965301-7BDE-4BA7-9E3F-D01E7451077C}"/>
    <cellStyle name="40% - Accent2 14" xfId="8549" xr:uid="{F7BF916B-836B-455C-8321-B5AD5FF9A64D}"/>
    <cellStyle name="40% - Accent2 14 2" xfId="18497" xr:uid="{F05BDF46-9C71-4706-A34F-83721CBF6F0B}"/>
    <cellStyle name="40% - Accent2 15" xfId="9378" xr:uid="{B47C4137-4C06-4FEB-A2A5-048FB8FDA66B}"/>
    <cellStyle name="40% - Accent2 15 2" xfId="19326" xr:uid="{53DCBB07-2D12-41FD-8195-D32A787C69D5}"/>
    <cellStyle name="40% - Accent2 16" xfId="10207" xr:uid="{1DB51841-5F37-4E28-AD1B-12EFD859B806}"/>
    <cellStyle name="40% - Accent2 16 2" xfId="20155" xr:uid="{E65A1840-7BF4-4E3F-A844-C999E7A7B187}"/>
    <cellStyle name="40% - Accent2 17" xfId="1088" xr:uid="{55EA7A04-1878-4C80-A813-79E36693B4AF}"/>
    <cellStyle name="40% - Accent2 18" xfId="11036" xr:uid="{DB89CBB5-E1AE-4177-9AA4-7F686F59DA34}"/>
    <cellStyle name="40% - Accent2 2" xfId="58" xr:uid="{00000000-0005-0000-0000-000071000000}"/>
    <cellStyle name="40% - Accent2 2 10" xfId="6063" xr:uid="{41FE729E-796D-46A9-AC4D-C062A6D88636}"/>
    <cellStyle name="40% - Accent2 2 10 2" xfId="16011" xr:uid="{7A9B751A-93D6-4D6C-AF20-A05CB37F2CC2}"/>
    <cellStyle name="40% - Accent2 2 11" xfId="6892" xr:uid="{C3849940-EB79-46C6-930B-EE6DE052E3E1}"/>
    <cellStyle name="40% - Accent2 2 11 2" xfId="16840" xr:uid="{D961E2CF-A946-432D-AF74-BD67C2E3D4DE}"/>
    <cellStyle name="40% - Accent2 2 12" xfId="7721" xr:uid="{5A07DCE3-DFAA-4347-B34C-281DCEF1EAE1}"/>
    <cellStyle name="40% - Accent2 2 12 2" xfId="17669" xr:uid="{B16A28C1-315D-4BF7-AA98-7595077FD5FF}"/>
    <cellStyle name="40% - Accent2 2 13" xfId="8550" xr:uid="{B660F7E5-501D-473B-AAEB-AD778FD575B4}"/>
    <cellStyle name="40% - Accent2 2 13 2" xfId="18498" xr:uid="{A5316843-CF1E-41AA-98B7-92BB086CAC0F}"/>
    <cellStyle name="40% - Accent2 2 14" xfId="9379" xr:uid="{03753812-BC8A-4C7F-A136-26229FD2C196}"/>
    <cellStyle name="40% - Accent2 2 14 2" xfId="19327" xr:uid="{1A43BC11-C6AB-4971-82BE-91B3D6E96729}"/>
    <cellStyle name="40% - Accent2 2 15" xfId="10208" xr:uid="{ACADE5F7-51E0-4A19-83F4-BA3A126188FA}"/>
    <cellStyle name="40% - Accent2 2 15 2" xfId="20156" xr:uid="{B4590FDD-A847-40E2-895C-5287031456E9}"/>
    <cellStyle name="40% - Accent2 2 16" xfId="1089" xr:uid="{32930734-F333-49F0-A0A6-6D4CACDF47B3}"/>
    <cellStyle name="40% - Accent2 2 17" xfId="11037" xr:uid="{A5324243-0039-4774-8B2B-D6BEB345D5A4}"/>
    <cellStyle name="40% - Accent2 2 2" xfId="59" xr:uid="{00000000-0005-0000-0000-000072000000}"/>
    <cellStyle name="40% - Accent2 2 2 10" xfId="6893" xr:uid="{D2D94CF9-7731-4E84-ADAC-AFD57CCCC17D}"/>
    <cellStyle name="40% - Accent2 2 2 10 2" xfId="16841" xr:uid="{4845A1D0-A571-40A7-8586-E560B90289C2}"/>
    <cellStyle name="40% - Accent2 2 2 11" xfId="7722" xr:uid="{7B72FFD8-D41F-4EB1-9D56-F798D391C70E}"/>
    <cellStyle name="40% - Accent2 2 2 11 2" xfId="17670" xr:uid="{D83D0E7F-0665-468F-82BE-445728AB6872}"/>
    <cellStyle name="40% - Accent2 2 2 12" xfId="8551" xr:uid="{ECA4B38A-6F60-42EA-AABD-9A9AAA4D7A4D}"/>
    <cellStyle name="40% - Accent2 2 2 12 2" xfId="18499" xr:uid="{F85C9488-E7A5-43C5-A2AE-36514EC708DC}"/>
    <cellStyle name="40% - Accent2 2 2 13" xfId="9380" xr:uid="{9853A1F9-3BEC-4FC8-B2EC-DECBDE586FEC}"/>
    <cellStyle name="40% - Accent2 2 2 13 2" xfId="19328" xr:uid="{9A58B19F-425E-48ED-9E01-344AE87E21BB}"/>
    <cellStyle name="40% - Accent2 2 2 14" xfId="10209" xr:uid="{1583497C-8B52-43E7-8E7E-C99B834C0828}"/>
    <cellStyle name="40% - Accent2 2 2 14 2" xfId="20157" xr:uid="{0DF60C2E-9B13-428C-B5CD-A4009E8F2473}"/>
    <cellStyle name="40% - Accent2 2 2 15" xfId="1090" xr:uid="{6C4FE408-FA12-49DC-87BC-4AF02FAEC13B}"/>
    <cellStyle name="40% - Accent2 2 2 16" xfId="11038" xr:uid="{5938447D-9237-4EFF-8919-0DC432296FE6}"/>
    <cellStyle name="40% - Accent2 2 2 2" xfId="60" xr:uid="{00000000-0005-0000-0000-000073000000}"/>
    <cellStyle name="40% - Accent2 2 2 2 10" xfId="7723" xr:uid="{4382C688-50F3-4139-8075-518E9ACFB9EB}"/>
    <cellStyle name="40% - Accent2 2 2 2 10 2" xfId="17671" xr:uid="{5CACB51C-1B8A-4F47-83CA-C93DA86BE944}"/>
    <cellStyle name="40% - Accent2 2 2 2 11" xfId="8552" xr:uid="{66EF843C-E462-4D35-B690-968ADE9F8482}"/>
    <cellStyle name="40% - Accent2 2 2 2 11 2" xfId="18500" xr:uid="{4544A5EF-1866-481E-8997-683C30B6A805}"/>
    <cellStyle name="40% - Accent2 2 2 2 12" xfId="9381" xr:uid="{3DDFE115-CBB4-4BBB-BA7B-70CBACCA8C15}"/>
    <cellStyle name="40% - Accent2 2 2 2 12 2" xfId="19329" xr:uid="{165DCF2C-318B-42D9-85F7-CB84D9CB84D0}"/>
    <cellStyle name="40% - Accent2 2 2 2 13" xfId="10210" xr:uid="{F018186E-01F7-41B7-B6F5-772A354F5591}"/>
    <cellStyle name="40% - Accent2 2 2 2 13 2" xfId="20158" xr:uid="{F04311BE-216B-4769-AB21-E920568D3EF1}"/>
    <cellStyle name="40% - Accent2 2 2 2 14" xfId="1091" xr:uid="{C1866BD6-E820-472E-923A-2BEFB528C2FA}"/>
    <cellStyle name="40% - Accent2 2 2 2 15" xfId="11039" xr:uid="{CC9277D9-068C-4D32-B225-8A008B59D5EB}"/>
    <cellStyle name="40% - Accent2 2 2 2 2" xfId="637" xr:uid="{00000000-0005-0000-0000-000074000000}"/>
    <cellStyle name="40% - Accent2 2 2 2 2 10" xfId="8968" xr:uid="{40DA3F00-F5A1-4D37-8D7C-7986CF67EF94}"/>
    <cellStyle name="40% - Accent2 2 2 2 2 10 2" xfId="18916" xr:uid="{F9C918E8-F038-413C-A69E-2B2E462D0C2E}"/>
    <cellStyle name="40% - Accent2 2 2 2 2 11" xfId="9797" xr:uid="{2C49ABC6-65D4-40DA-BC7B-7C8989C7FD9C}"/>
    <cellStyle name="40% - Accent2 2 2 2 2 11 2" xfId="19745" xr:uid="{24BD11C4-B2FA-4679-A34B-96C55CF65E8A}"/>
    <cellStyle name="40% - Accent2 2 2 2 2 12" xfId="10626" xr:uid="{2893E93B-3316-456F-A371-34E80789D497}"/>
    <cellStyle name="40% - Accent2 2 2 2 2 12 2" xfId="20574" xr:uid="{C026F2C8-605C-4889-AAA0-5AF5E300BB19}"/>
    <cellStyle name="40% - Accent2 2 2 2 2 13" xfId="1507" xr:uid="{ED177258-4522-4E47-B5D7-242F87FE5F05}"/>
    <cellStyle name="40% - Accent2 2 2 2 2 14" xfId="11455" xr:uid="{C0247821-F0E1-4B71-A445-72F1A629BCCE}"/>
    <cellStyle name="40% - Accent2 2 2 2 2 2" xfId="2336" xr:uid="{A216FC7D-0185-49F5-9750-B894C0B2ADE5}"/>
    <cellStyle name="40% - Accent2 2 2 2 2 2 2" xfId="12284" xr:uid="{59050E17-1213-46AD-98FE-56B8E81E5617}"/>
    <cellStyle name="40% - Accent2 2 2 2 2 3" xfId="3165" xr:uid="{402B81F8-DAF5-4FCC-B906-02B352EBC32E}"/>
    <cellStyle name="40% - Accent2 2 2 2 2 3 2" xfId="13113" xr:uid="{165F9AC0-E23E-485F-BE4C-4C701F5F81CD}"/>
    <cellStyle name="40% - Accent2 2 2 2 2 4" xfId="3994" xr:uid="{00EFB0A3-0126-43FB-ABEA-B0FD96CE91F7}"/>
    <cellStyle name="40% - Accent2 2 2 2 2 4 2" xfId="13942" xr:uid="{723851D4-2FAC-484F-A486-8430A2E522A2}"/>
    <cellStyle name="40% - Accent2 2 2 2 2 5" xfId="4823" xr:uid="{129B59D9-4E45-4C95-BE0E-5F4DCB55927C}"/>
    <cellStyle name="40% - Accent2 2 2 2 2 5 2" xfId="14771" xr:uid="{C6690895-DF37-410A-AFA8-9E1951A0023F}"/>
    <cellStyle name="40% - Accent2 2 2 2 2 6" xfId="5652" xr:uid="{7EC28C98-ED4A-4F3F-9454-7B9498D9E24C}"/>
    <cellStyle name="40% - Accent2 2 2 2 2 6 2" xfId="15600" xr:uid="{6FAFAF47-37E9-4321-8C44-28646C920CF0}"/>
    <cellStyle name="40% - Accent2 2 2 2 2 7" xfId="6481" xr:uid="{EC73BFF4-73BD-4F09-943A-4403820C6996}"/>
    <cellStyle name="40% - Accent2 2 2 2 2 7 2" xfId="16429" xr:uid="{7516BB8A-7E15-4AEF-9B68-87F616A0ABBC}"/>
    <cellStyle name="40% - Accent2 2 2 2 2 8" xfId="7310" xr:uid="{51D17005-F3DA-49E8-ABCE-9FE87CABE285}"/>
    <cellStyle name="40% - Accent2 2 2 2 2 8 2" xfId="17258" xr:uid="{8111D737-006B-4D43-BF91-9C56A84EDD58}"/>
    <cellStyle name="40% - Accent2 2 2 2 2 9" xfId="8139" xr:uid="{195595E5-5615-419D-A990-4F7CD961B278}"/>
    <cellStyle name="40% - Accent2 2 2 2 2 9 2" xfId="18087" xr:uid="{DA3FA7F8-FD2E-4DEB-869D-A51C23F1CCC7}"/>
    <cellStyle name="40% - Accent2 2 2 2 3" xfId="1920" xr:uid="{B13184B2-E895-45AF-8321-285E4BDC1D98}"/>
    <cellStyle name="40% - Accent2 2 2 2 3 2" xfId="11868" xr:uid="{2A70C678-0904-4ECC-9201-C92FB508096B}"/>
    <cellStyle name="40% - Accent2 2 2 2 4" xfId="2749" xr:uid="{BDC1E7D0-5172-48CE-ABD0-B820D56E7A36}"/>
    <cellStyle name="40% - Accent2 2 2 2 4 2" xfId="12697" xr:uid="{3D59CA6A-B130-4750-8A4F-1367CABC0CE4}"/>
    <cellStyle name="40% - Accent2 2 2 2 5" xfId="3578" xr:uid="{5EE0D322-A0C4-4602-A1D2-3D3E8311F08C}"/>
    <cellStyle name="40% - Accent2 2 2 2 5 2" xfId="13526" xr:uid="{AC0DD1EC-0FE5-4B83-B908-AD9CABABC325}"/>
    <cellStyle name="40% - Accent2 2 2 2 6" xfId="4407" xr:uid="{6E759E76-D9A4-4DCE-93C9-5CA06E63F9DB}"/>
    <cellStyle name="40% - Accent2 2 2 2 6 2" xfId="14355" xr:uid="{C37C5A30-9992-4E38-81DC-D136A128C2A5}"/>
    <cellStyle name="40% - Accent2 2 2 2 7" xfId="5236" xr:uid="{5452BE0A-74FD-4E27-8518-8308CA5576D9}"/>
    <cellStyle name="40% - Accent2 2 2 2 7 2" xfId="15184" xr:uid="{947466A9-2F60-423A-A412-2981F33E3173}"/>
    <cellStyle name="40% - Accent2 2 2 2 8" xfId="6065" xr:uid="{FEF3D429-FDBD-455E-8174-2CEEA07F85E8}"/>
    <cellStyle name="40% - Accent2 2 2 2 8 2" xfId="16013" xr:uid="{970C997F-CC20-4D0B-8C0B-58A55E03E28E}"/>
    <cellStyle name="40% - Accent2 2 2 2 9" xfId="6894" xr:uid="{0408018A-C2BF-4FAA-A674-C57BE3BCF3E3}"/>
    <cellStyle name="40% - Accent2 2 2 2 9 2" xfId="16842" xr:uid="{B41F3FB4-5A3B-4EC2-A8A3-788A6C1EDF95}"/>
    <cellStyle name="40% - Accent2 2 2 3" xfId="636" xr:uid="{00000000-0005-0000-0000-000075000000}"/>
    <cellStyle name="40% - Accent2 2 2 3 10" xfId="8967" xr:uid="{8B3B45FA-4EC1-483C-9B01-1D9FDFA7358A}"/>
    <cellStyle name="40% - Accent2 2 2 3 10 2" xfId="18915" xr:uid="{88E5416E-3138-4296-B7C9-3188DE97BAB2}"/>
    <cellStyle name="40% - Accent2 2 2 3 11" xfId="9796" xr:uid="{742173E4-4438-4D8C-A77C-5A05DC138533}"/>
    <cellStyle name="40% - Accent2 2 2 3 11 2" xfId="19744" xr:uid="{EFE578BC-7BBD-4C33-B5C1-C7EB9BFD1C81}"/>
    <cellStyle name="40% - Accent2 2 2 3 12" xfId="10625" xr:uid="{0A667402-E4D5-4C34-96D4-46220FFFE28B}"/>
    <cellStyle name="40% - Accent2 2 2 3 12 2" xfId="20573" xr:uid="{973B2FAF-CE97-4183-BCD9-9AA734010D60}"/>
    <cellStyle name="40% - Accent2 2 2 3 13" xfId="1506" xr:uid="{5866734C-4F15-4750-B7DE-3E2F52592DFC}"/>
    <cellStyle name="40% - Accent2 2 2 3 14" xfId="11454" xr:uid="{A05D4D12-B5FB-46F7-AB69-724B4A04A101}"/>
    <cellStyle name="40% - Accent2 2 2 3 2" xfId="2335" xr:uid="{15A9B9B8-DB00-45D6-8F42-120E311A7D82}"/>
    <cellStyle name="40% - Accent2 2 2 3 2 2" xfId="12283" xr:uid="{17ECBCF7-B7AF-4C99-B498-D76990F1B481}"/>
    <cellStyle name="40% - Accent2 2 2 3 3" xfId="3164" xr:uid="{92C93BEA-4868-4A7E-8765-054181C15FE8}"/>
    <cellStyle name="40% - Accent2 2 2 3 3 2" xfId="13112" xr:uid="{5BFABD0D-445A-44B1-B599-AB21475A8516}"/>
    <cellStyle name="40% - Accent2 2 2 3 4" xfId="3993" xr:uid="{5922690E-8797-4BE5-8FB1-B114C272DD6F}"/>
    <cellStyle name="40% - Accent2 2 2 3 4 2" xfId="13941" xr:uid="{FCD908CB-3ADD-4DDD-B798-44D411AC235F}"/>
    <cellStyle name="40% - Accent2 2 2 3 5" xfId="4822" xr:uid="{62FA4D83-6D15-4B96-89AD-E17B5EC2C73B}"/>
    <cellStyle name="40% - Accent2 2 2 3 5 2" xfId="14770" xr:uid="{05877C5F-D108-4F7C-B2E1-FA0C4FAA4B27}"/>
    <cellStyle name="40% - Accent2 2 2 3 6" xfId="5651" xr:uid="{0BDA8B72-38FD-4F7E-A62C-C051BE5707EB}"/>
    <cellStyle name="40% - Accent2 2 2 3 6 2" xfId="15599" xr:uid="{1AF25D2F-E88B-452A-9F58-1595B28ED03A}"/>
    <cellStyle name="40% - Accent2 2 2 3 7" xfId="6480" xr:uid="{3D9E6F06-27C3-4B66-9109-3D678C017144}"/>
    <cellStyle name="40% - Accent2 2 2 3 7 2" xfId="16428" xr:uid="{4A951684-030E-4403-A0BD-DAB3BD8B934E}"/>
    <cellStyle name="40% - Accent2 2 2 3 8" xfId="7309" xr:uid="{4F4669C2-1E0B-4F37-B329-196351C3D33E}"/>
    <cellStyle name="40% - Accent2 2 2 3 8 2" xfId="17257" xr:uid="{B89BA304-A9F3-4C77-866A-21344BE79A56}"/>
    <cellStyle name="40% - Accent2 2 2 3 9" xfId="8138" xr:uid="{28D7CA87-4534-4C74-810D-5CD6203D787F}"/>
    <cellStyle name="40% - Accent2 2 2 3 9 2" xfId="18086" xr:uid="{565D790B-4BDE-4D75-91DD-EE231220D6F1}"/>
    <cellStyle name="40% - Accent2 2 2 4" xfId="1919" xr:uid="{654AE00E-F9D9-4E41-97BC-2AC29B16DF5C}"/>
    <cellStyle name="40% - Accent2 2 2 4 2" xfId="11867" xr:uid="{BF63DF0F-4EBA-444F-B444-9C2D31F3261C}"/>
    <cellStyle name="40% - Accent2 2 2 5" xfId="2748" xr:uid="{A3DB7005-C8B0-457E-B289-3481B8B9A4DC}"/>
    <cellStyle name="40% - Accent2 2 2 5 2" xfId="12696" xr:uid="{A6530659-F798-4912-92CB-9AB4F6EA36CC}"/>
    <cellStyle name="40% - Accent2 2 2 6" xfId="3577" xr:uid="{21868C0F-5846-4A39-BE9A-69743E92D65D}"/>
    <cellStyle name="40% - Accent2 2 2 6 2" xfId="13525" xr:uid="{9C1E9AA5-BA56-4498-A2B6-9F8BFC2F50C6}"/>
    <cellStyle name="40% - Accent2 2 2 7" xfId="4406" xr:uid="{849D5761-C682-4F62-8927-81EA1C6FB383}"/>
    <cellStyle name="40% - Accent2 2 2 7 2" xfId="14354" xr:uid="{8F52ACA7-6702-405C-BC23-31CEA7F61A3F}"/>
    <cellStyle name="40% - Accent2 2 2 8" xfId="5235" xr:uid="{405A15D8-A5B8-4DE0-9E8F-CC51E3D6F05E}"/>
    <cellStyle name="40% - Accent2 2 2 8 2" xfId="15183" xr:uid="{34385C33-0419-4D1D-8C9F-18CE4EA6D20F}"/>
    <cellStyle name="40% - Accent2 2 2 9" xfId="6064" xr:uid="{80290578-A2BC-4EFA-A12D-40D932DFC355}"/>
    <cellStyle name="40% - Accent2 2 2 9 2" xfId="16012" xr:uid="{5E0D8569-D91B-4502-ADF2-ABF413464E7A}"/>
    <cellStyle name="40% - Accent2 2 3" xfId="61" xr:uid="{00000000-0005-0000-0000-000076000000}"/>
    <cellStyle name="40% - Accent2 2 3 10" xfId="7724" xr:uid="{BEDD17C2-1453-4E20-AF48-44E49BBDA1DC}"/>
    <cellStyle name="40% - Accent2 2 3 10 2" xfId="17672" xr:uid="{416EE735-9753-4C01-9D9E-72A0D58BDEE5}"/>
    <cellStyle name="40% - Accent2 2 3 11" xfId="8553" xr:uid="{1C80A67D-2E1D-40F3-A8EA-2930DEA52C33}"/>
    <cellStyle name="40% - Accent2 2 3 11 2" xfId="18501" xr:uid="{28E86576-92AC-4918-937E-B6E99D6C9C63}"/>
    <cellStyle name="40% - Accent2 2 3 12" xfId="9382" xr:uid="{959D747E-D2A2-46A3-B10D-115548CF3BCE}"/>
    <cellStyle name="40% - Accent2 2 3 12 2" xfId="19330" xr:uid="{C205C7FF-748C-4069-93ED-ADBBBB4F6799}"/>
    <cellStyle name="40% - Accent2 2 3 13" xfId="10211" xr:uid="{B679479B-D339-44D6-8595-19D324B9014A}"/>
    <cellStyle name="40% - Accent2 2 3 13 2" xfId="20159" xr:uid="{E8A635D6-03EC-4EE0-9887-613EFB5537AB}"/>
    <cellStyle name="40% - Accent2 2 3 14" xfId="1092" xr:uid="{B444B62A-AB01-420C-9C7F-ACFDE59751A2}"/>
    <cellStyle name="40% - Accent2 2 3 15" xfId="11040" xr:uid="{EC7B62CF-D83C-4A06-B903-89B285E7AA65}"/>
    <cellStyle name="40% - Accent2 2 3 2" xfId="638" xr:uid="{00000000-0005-0000-0000-000077000000}"/>
    <cellStyle name="40% - Accent2 2 3 2 10" xfId="8969" xr:uid="{931645A0-0EC6-4A36-8F5D-9F71A48396DC}"/>
    <cellStyle name="40% - Accent2 2 3 2 10 2" xfId="18917" xr:uid="{617324FA-43CA-4A4C-8909-1F1F186D5BA9}"/>
    <cellStyle name="40% - Accent2 2 3 2 11" xfId="9798" xr:uid="{142C18FB-2ECC-4956-AAE1-553AE9437E3D}"/>
    <cellStyle name="40% - Accent2 2 3 2 11 2" xfId="19746" xr:uid="{CAD7EC3C-9781-4732-B5C1-B3CB930E4604}"/>
    <cellStyle name="40% - Accent2 2 3 2 12" xfId="10627" xr:uid="{6A23F0F1-6E2C-4E23-81E8-00208AF37CA2}"/>
    <cellStyle name="40% - Accent2 2 3 2 12 2" xfId="20575" xr:uid="{2172ACCB-0ADB-4368-AC93-5E585A1055CB}"/>
    <cellStyle name="40% - Accent2 2 3 2 13" xfId="1508" xr:uid="{832C349B-6C3B-43B2-A714-C85F26B4C24C}"/>
    <cellStyle name="40% - Accent2 2 3 2 14" xfId="11456" xr:uid="{81B1735E-D0D4-4E0E-8861-23282FD3A2B6}"/>
    <cellStyle name="40% - Accent2 2 3 2 2" xfId="2337" xr:uid="{EF7022FA-2644-454E-91AD-D6B4F80F4FA6}"/>
    <cellStyle name="40% - Accent2 2 3 2 2 2" xfId="12285" xr:uid="{1EEA245D-7871-4C34-A55F-AC60C49952A1}"/>
    <cellStyle name="40% - Accent2 2 3 2 3" xfId="3166" xr:uid="{F93298C0-27C0-4361-A3E2-F14F119AE337}"/>
    <cellStyle name="40% - Accent2 2 3 2 3 2" xfId="13114" xr:uid="{DB1D2649-187C-41BC-9918-99BEB4E6FEE3}"/>
    <cellStyle name="40% - Accent2 2 3 2 4" xfId="3995" xr:uid="{3A89F1CE-DDF3-4E12-A013-51E338456384}"/>
    <cellStyle name="40% - Accent2 2 3 2 4 2" xfId="13943" xr:uid="{0D8F25C9-FE99-49DB-BC46-DF6364C7387A}"/>
    <cellStyle name="40% - Accent2 2 3 2 5" xfId="4824" xr:uid="{7B0A2B92-A97B-462C-AE6A-C0E33447B56F}"/>
    <cellStyle name="40% - Accent2 2 3 2 5 2" xfId="14772" xr:uid="{290A0642-5E74-4244-9E58-8391E8CD4107}"/>
    <cellStyle name="40% - Accent2 2 3 2 6" xfId="5653" xr:uid="{A14A677C-F8FD-4B75-9DEB-7ADF41822031}"/>
    <cellStyle name="40% - Accent2 2 3 2 6 2" xfId="15601" xr:uid="{F13469E1-0926-4EF5-8B43-09C50EAAE726}"/>
    <cellStyle name="40% - Accent2 2 3 2 7" xfId="6482" xr:uid="{E69B5A9F-04F2-4CA6-AD9E-AC65CA191778}"/>
    <cellStyle name="40% - Accent2 2 3 2 7 2" xfId="16430" xr:uid="{8954535E-F51C-4DB8-8284-C64247064911}"/>
    <cellStyle name="40% - Accent2 2 3 2 8" xfId="7311" xr:uid="{979A9467-0507-476F-9B9F-504AFEA361DC}"/>
    <cellStyle name="40% - Accent2 2 3 2 8 2" xfId="17259" xr:uid="{D99DDADE-A792-4ACA-8122-A2D8316367FB}"/>
    <cellStyle name="40% - Accent2 2 3 2 9" xfId="8140" xr:uid="{FEE76EA4-7F50-4C6D-B399-F798FDC0D0AD}"/>
    <cellStyle name="40% - Accent2 2 3 2 9 2" xfId="18088" xr:uid="{3A7ACA2D-1670-4EB0-966A-5322DCCF5FB2}"/>
    <cellStyle name="40% - Accent2 2 3 3" xfId="1921" xr:uid="{F86C4979-1A65-4AE6-847D-56068BD8E7AD}"/>
    <cellStyle name="40% - Accent2 2 3 3 2" xfId="11869" xr:uid="{07ACEE3D-C6A4-4FF5-8A8D-DBE2A0527635}"/>
    <cellStyle name="40% - Accent2 2 3 4" xfId="2750" xr:uid="{B1F30951-CCA2-4A87-9A92-C4560E6CEC74}"/>
    <cellStyle name="40% - Accent2 2 3 4 2" xfId="12698" xr:uid="{1A9E8D35-351D-4073-B234-991D744A3861}"/>
    <cellStyle name="40% - Accent2 2 3 5" xfId="3579" xr:uid="{629CE605-EE84-43A0-B6A3-794631067610}"/>
    <cellStyle name="40% - Accent2 2 3 5 2" xfId="13527" xr:uid="{5B3FFC1B-4024-4B40-87F7-F8F7B6C96E0D}"/>
    <cellStyle name="40% - Accent2 2 3 6" xfId="4408" xr:uid="{8B42020C-B102-4BEF-B69D-C4B918BB99D0}"/>
    <cellStyle name="40% - Accent2 2 3 6 2" xfId="14356" xr:uid="{0E5AFA97-449C-438B-AB24-2B0DC1A0CD60}"/>
    <cellStyle name="40% - Accent2 2 3 7" xfId="5237" xr:uid="{14E320D5-BFD9-4F80-9F05-F4231431FB41}"/>
    <cellStyle name="40% - Accent2 2 3 7 2" xfId="15185" xr:uid="{E4D07684-69C4-4BAF-8767-D293836EB0AC}"/>
    <cellStyle name="40% - Accent2 2 3 8" xfId="6066" xr:uid="{B90BA267-A14B-46CC-8E21-36BD1228AB2F}"/>
    <cellStyle name="40% - Accent2 2 3 8 2" xfId="16014" xr:uid="{82BF016C-2D67-4C6C-BA06-DEED8FF4941D}"/>
    <cellStyle name="40% - Accent2 2 3 9" xfId="6895" xr:uid="{95F62FA3-E3FB-4189-BB77-551E541ECD41}"/>
    <cellStyle name="40% - Accent2 2 3 9 2" xfId="16843" xr:uid="{0678E546-8A68-4CB9-980B-ABB959126641}"/>
    <cellStyle name="40% - Accent2 2 4" xfId="635" xr:uid="{00000000-0005-0000-0000-000078000000}"/>
    <cellStyle name="40% - Accent2 2 4 10" xfId="8966" xr:uid="{CC60BD54-11BC-46EA-82A6-95666D891589}"/>
    <cellStyle name="40% - Accent2 2 4 10 2" xfId="18914" xr:uid="{A5EA5199-1213-4055-9540-DB04F61FB9DF}"/>
    <cellStyle name="40% - Accent2 2 4 11" xfId="9795" xr:uid="{D4B77615-42AA-419F-90E8-55299DC09049}"/>
    <cellStyle name="40% - Accent2 2 4 11 2" xfId="19743" xr:uid="{93A288AE-22CF-40AF-9F3E-B8BD5EDB8936}"/>
    <cellStyle name="40% - Accent2 2 4 12" xfId="10624" xr:uid="{54F0ED46-6619-4586-9131-10ECB7F7B2F2}"/>
    <cellStyle name="40% - Accent2 2 4 12 2" xfId="20572" xr:uid="{BF9BE75D-CB90-4384-AE1E-9A4553CA0080}"/>
    <cellStyle name="40% - Accent2 2 4 13" xfId="1505" xr:uid="{09424A4D-A45C-4BA9-8249-77C08462020E}"/>
    <cellStyle name="40% - Accent2 2 4 14" xfId="11453" xr:uid="{261DAA05-BB2E-4CF3-BE60-C6198717DC37}"/>
    <cellStyle name="40% - Accent2 2 4 2" xfId="2334" xr:uid="{6A682FE7-0DCE-407C-A1AD-16554658B108}"/>
    <cellStyle name="40% - Accent2 2 4 2 2" xfId="12282" xr:uid="{DFB56F8A-3F59-404D-83FA-583465F0EF29}"/>
    <cellStyle name="40% - Accent2 2 4 3" xfId="3163" xr:uid="{959AE008-F0B3-4A14-8A29-BDE65EC4BF31}"/>
    <cellStyle name="40% - Accent2 2 4 3 2" xfId="13111" xr:uid="{4FA8A364-A73E-45F5-B511-B9CF0A30BA76}"/>
    <cellStyle name="40% - Accent2 2 4 4" xfId="3992" xr:uid="{63EC3893-A044-436D-AB09-05C30BA1AD90}"/>
    <cellStyle name="40% - Accent2 2 4 4 2" xfId="13940" xr:uid="{23BE9EAA-347C-48D6-822E-910C63822721}"/>
    <cellStyle name="40% - Accent2 2 4 5" xfId="4821" xr:uid="{BEF32DB3-3F03-455C-826D-65910E8B61CD}"/>
    <cellStyle name="40% - Accent2 2 4 5 2" xfId="14769" xr:uid="{27B99A14-1C3B-4527-B608-BB06A1198AD0}"/>
    <cellStyle name="40% - Accent2 2 4 6" xfId="5650" xr:uid="{E292D747-B8CE-4147-A57E-2532FD191DDB}"/>
    <cellStyle name="40% - Accent2 2 4 6 2" xfId="15598" xr:uid="{B2230CCB-AF52-4A5F-990D-904E3179D281}"/>
    <cellStyle name="40% - Accent2 2 4 7" xfId="6479" xr:uid="{140192CE-86D1-4DFF-9B5E-760D1A36C32C}"/>
    <cellStyle name="40% - Accent2 2 4 7 2" xfId="16427" xr:uid="{03F7B4C9-A6F7-411F-8C8A-97D5B41C4E59}"/>
    <cellStyle name="40% - Accent2 2 4 8" xfId="7308" xr:uid="{09544E6C-1469-4BEA-ADF6-35C07568E5B0}"/>
    <cellStyle name="40% - Accent2 2 4 8 2" xfId="17256" xr:uid="{8B814FFC-3992-49E8-BA88-4182F97049A2}"/>
    <cellStyle name="40% - Accent2 2 4 9" xfId="8137" xr:uid="{6E92B4C2-853C-48BC-94FC-82DB358BDF82}"/>
    <cellStyle name="40% - Accent2 2 4 9 2" xfId="18085" xr:uid="{7B1273B6-86E2-4C8E-B55E-14299068F72C}"/>
    <cellStyle name="40% - Accent2 2 5" xfId="1918" xr:uid="{F9FFACEE-215C-4A6D-A59F-C55C81D1D4B3}"/>
    <cellStyle name="40% - Accent2 2 5 2" xfId="11866" xr:uid="{05D9EBE5-C861-4F7B-9279-4717EDD507F3}"/>
    <cellStyle name="40% - Accent2 2 6" xfId="2747" xr:uid="{143CEA4F-393A-4676-B8F6-3E6F9431AFA4}"/>
    <cellStyle name="40% - Accent2 2 6 2" xfId="12695" xr:uid="{4570CC46-31E8-46AD-8ABD-46882D99B5AF}"/>
    <cellStyle name="40% - Accent2 2 7" xfId="3576" xr:uid="{6C02512A-1707-4268-8D71-3615CDE187D8}"/>
    <cellStyle name="40% - Accent2 2 7 2" xfId="13524" xr:uid="{64C0FC8A-2955-476C-83FD-51560DF235E3}"/>
    <cellStyle name="40% - Accent2 2 8" xfId="4405" xr:uid="{2604D6B3-AA06-473E-A52D-802DDE1032C0}"/>
    <cellStyle name="40% - Accent2 2 8 2" xfId="14353" xr:uid="{E4B7E3F8-02EA-4085-B0C1-ADE56E5F0476}"/>
    <cellStyle name="40% - Accent2 2 9" xfId="5234" xr:uid="{AEB7E4C9-8ACD-4151-AABD-EC1B3F954B2E}"/>
    <cellStyle name="40% - Accent2 2 9 2" xfId="15182" xr:uid="{0EB1445D-4925-4353-84BC-6BE19123CBC6}"/>
    <cellStyle name="40% - Accent2 3" xfId="62" xr:uid="{00000000-0005-0000-0000-000079000000}"/>
    <cellStyle name="40% - Accent2 3 10" xfId="6896" xr:uid="{F207BF98-074F-4179-A07D-432438B4DAC8}"/>
    <cellStyle name="40% - Accent2 3 10 2" xfId="16844" xr:uid="{2B4CD63A-4028-43E0-99D9-929876A520EC}"/>
    <cellStyle name="40% - Accent2 3 11" xfId="7725" xr:uid="{BCC97190-6281-4800-B204-19898214389D}"/>
    <cellStyle name="40% - Accent2 3 11 2" xfId="17673" xr:uid="{25CEE3E2-37EA-44BF-9B72-38F3299D2A16}"/>
    <cellStyle name="40% - Accent2 3 12" xfId="8554" xr:uid="{B4D41FF2-81EC-4144-916F-AFADD4ADD833}"/>
    <cellStyle name="40% - Accent2 3 12 2" xfId="18502" xr:uid="{2F12F32A-A1EE-4093-A238-CD3790990404}"/>
    <cellStyle name="40% - Accent2 3 13" xfId="9383" xr:uid="{785763B8-17B1-4FC3-A8E7-3E730AA14BE0}"/>
    <cellStyle name="40% - Accent2 3 13 2" xfId="19331" xr:uid="{83CBE1ED-3D05-4008-A9EE-434836664C09}"/>
    <cellStyle name="40% - Accent2 3 14" xfId="10212" xr:uid="{AAE3062F-7D3A-4586-9B19-ACCB3025A7D3}"/>
    <cellStyle name="40% - Accent2 3 14 2" xfId="20160" xr:uid="{3EF5E746-77C9-44CE-AABF-150699425083}"/>
    <cellStyle name="40% - Accent2 3 15" xfId="1093" xr:uid="{70C53097-CA39-41B9-8097-D3697766AC59}"/>
    <cellStyle name="40% - Accent2 3 16" xfId="11041" xr:uid="{C6E437C6-6CFF-492D-BC76-4896606AB840}"/>
    <cellStyle name="40% - Accent2 3 2" xfId="63" xr:uid="{00000000-0005-0000-0000-00007A000000}"/>
    <cellStyle name="40% - Accent2 3 2 10" xfId="7726" xr:uid="{DF1F2671-E255-411F-8004-DEE39542897E}"/>
    <cellStyle name="40% - Accent2 3 2 10 2" xfId="17674" xr:uid="{2162DF7B-EE7B-4172-8A8D-D11059FFC3C4}"/>
    <cellStyle name="40% - Accent2 3 2 11" xfId="8555" xr:uid="{D72FFE37-2CFF-4ED8-9F21-6EA77C81B541}"/>
    <cellStyle name="40% - Accent2 3 2 11 2" xfId="18503" xr:uid="{056F8A14-36A4-429D-8A50-7BD709DF5350}"/>
    <cellStyle name="40% - Accent2 3 2 12" xfId="9384" xr:uid="{687BD685-AB39-4851-BCF2-472AD1C748F4}"/>
    <cellStyle name="40% - Accent2 3 2 12 2" xfId="19332" xr:uid="{991F60E4-B0EF-464A-908F-B08921BD3BD3}"/>
    <cellStyle name="40% - Accent2 3 2 13" xfId="10213" xr:uid="{EFA14A59-70F0-42F3-96E2-4726A6888E07}"/>
    <cellStyle name="40% - Accent2 3 2 13 2" xfId="20161" xr:uid="{D29228A6-D375-417F-BD25-F0037432B551}"/>
    <cellStyle name="40% - Accent2 3 2 14" xfId="1094" xr:uid="{D8B521EA-2BE6-4C46-83B7-34403377DB0B}"/>
    <cellStyle name="40% - Accent2 3 2 15" xfId="11042" xr:uid="{D925DC25-54C5-4927-80CC-4DAF73E67EB3}"/>
    <cellStyle name="40% - Accent2 3 2 2" xfId="640" xr:uid="{00000000-0005-0000-0000-00007B000000}"/>
    <cellStyle name="40% - Accent2 3 2 2 10" xfId="8971" xr:uid="{1BBD4A0A-2775-427E-9225-A8688F48C7BB}"/>
    <cellStyle name="40% - Accent2 3 2 2 10 2" xfId="18919" xr:uid="{188653A8-13ED-44AB-B14D-372D4902801C}"/>
    <cellStyle name="40% - Accent2 3 2 2 11" xfId="9800" xr:uid="{7A10EE82-3FE3-4D95-BA5D-3738DD1F32D5}"/>
    <cellStyle name="40% - Accent2 3 2 2 11 2" xfId="19748" xr:uid="{FFAFFCBC-8BE5-4C2D-98B5-D2F10F8591FE}"/>
    <cellStyle name="40% - Accent2 3 2 2 12" xfId="10629" xr:uid="{3F23C91A-9855-4537-89BF-E6472FC65181}"/>
    <cellStyle name="40% - Accent2 3 2 2 12 2" xfId="20577" xr:uid="{E954F085-8324-4030-BD47-59D841282134}"/>
    <cellStyle name="40% - Accent2 3 2 2 13" xfId="1510" xr:uid="{F192126E-7566-40F8-BDCB-676ED7FE8AF6}"/>
    <cellStyle name="40% - Accent2 3 2 2 14" xfId="11458" xr:uid="{C6FA2372-7C6C-4DA5-B51F-5BA6BFA0CB02}"/>
    <cellStyle name="40% - Accent2 3 2 2 2" xfId="2339" xr:uid="{3EEEE2E0-A38F-450A-B6C8-FAA48BAF49F2}"/>
    <cellStyle name="40% - Accent2 3 2 2 2 2" xfId="12287" xr:uid="{851C2B5A-F62B-4448-B95F-CB042F19DC26}"/>
    <cellStyle name="40% - Accent2 3 2 2 3" xfId="3168" xr:uid="{10E8103D-AC83-48D0-9241-EB06EE2F773A}"/>
    <cellStyle name="40% - Accent2 3 2 2 3 2" xfId="13116" xr:uid="{3BF68C36-488B-45B0-B7A1-477A3192EF27}"/>
    <cellStyle name="40% - Accent2 3 2 2 4" xfId="3997" xr:uid="{B00BEE80-50E9-4C9A-BDE7-3AB8A23ED24A}"/>
    <cellStyle name="40% - Accent2 3 2 2 4 2" xfId="13945" xr:uid="{74E5F556-96EF-4222-89EA-4F0611C0B22A}"/>
    <cellStyle name="40% - Accent2 3 2 2 5" xfId="4826" xr:uid="{9FEEF997-8D38-4170-9929-C9BE743F8CA4}"/>
    <cellStyle name="40% - Accent2 3 2 2 5 2" xfId="14774" xr:uid="{1EA1F4B8-7D6F-4B82-9E38-94BADDB514D6}"/>
    <cellStyle name="40% - Accent2 3 2 2 6" xfId="5655" xr:uid="{6BDA1065-170E-4DC4-9FBE-22A685DBDEAC}"/>
    <cellStyle name="40% - Accent2 3 2 2 6 2" xfId="15603" xr:uid="{F8874ED4-50E1-4D8E-B1D1-F6B708FAF36C}"/>
    <cellStyle name="40% - Accent2 3 2 2 7" xfId="6484" xr:uid="{E07C5E5C-B2E5-4007-ACB5-0E3F42525D7E}"/>
    <cellStyle name="40% - Accent2 3 2 2 7 2" xfId="16432" xr:uid="{73B7DAB6-1B14-4ADF-8869-1B8788F33F42}"/>
    <cellStyle name="40% - Accent2 3 2 2 8" xfId="7313" xr:uid="{564C24E8-7EAE-4A86-9387-9399843630CF}"/>
    <cellStyle name="40% - Accent2 3 2 2 8 2" xfId="17261" xr:uid="{FCD071BA-A889-429B-B375-945409D21535}"/>
    <cellStyle name="40% - Accent2 3 2 2 9" xfId="8142" xr:uid="{04AB7762-4079-421C-99DA-89EB647FB6A1}"/>
    <cellStyle name="40% - Accent2 3 2 2 9 2" xfId="18090" xr:uid="{94969561-B9E9-45C8-8B02-D437284554FA}"/>
    <cellStyle name="40% - Accent2 3 2 3" xfId="1923" xr:uid="{D8BF345A-AF26-43C8-8650-0BA3711E3BFD}"/>
    <cellStyle name="40% - Accent2 3 2 3 2" xfId="11871" xr:uid="{D1CF697E-3520-4C19-AF4A-D0FF27838734}"/>
    <cellStyle name="40% - Accent2 3 2 4" xfId="2752" xr:uid="{60165F3E-5944-443B-9241-0E1CECA39749}"/>
    <cellStyle name="40% - Accent2 3 2 4 2" xfId="12700" xr:uid="{4A3BFFAD-A786-4A72-8A49-9B78B7CB26AB}"/>
    <cellStyle name="40% - Accent2 3 2 5" xfId="3581" xr:uid="{E625DACD-9AB2-41FE-8845-D882F79C1D60}"/>
    <cellStyle name="40% - Accent2 3 2 5 2" xfId="13529" xr:uid="{3181C349-DE0B-4F42-BEB3-A8936D09E513}"/>
    <cellStyle name="40% - Accent2 3 2 6" xfId="4410" xr:uid="{51ADEA32-53F6-410F-904E-59E0EA95B0FE}"/>
    <cellStyle name="40% - Accent2 3 2 6 2" xfId="14358" xr:uid="{51FBCDD8-425B-4B4B-98C9-CD2FEDE4FA2C}"/>
    <cellStyle name="40% - Accent2 3 2 7" xfId="5239" xr:uid="{BF6634B9-0754-4F98-9D4F-2A03571E0D05}"/>
    <cellStyle name="40% - Accent2 3 2 7 2" xfId="15187" xr:uid="{8C7F97A1-1E0A-4A1C-B6A6-E050383B013C}"/>
    <cellStyle name="40% - Accent2 3 2 8" xfId="6068" xr:uid="{5044E2C2-983B-4230-B439-BAD1F5DD0E2B}"/>
    <cellStyle name="40% - Accent2 3 2 8 2" xfId="16016" xr:uid="{C1D79252-1144-4AC5-AF2A-EC01393F9143}"/>
    <cellStyle name="40% - Accent2 3 2 9" xfId="6897" xr:uid="{035E6721-57DB-4006-8764-8F3FB86045D4}"/>
    <cellStyle name="40% - Accent2 3 2 9 2" xfId="16845" xr:uid="{2C43B8D5-46F1-466F-8F89-CC091E2D0272}"/>
    <cellStyle name="40% - Accent2 3 3" xfId="639" xr:uid="{00000000-0005-0000-0000-00007C000000}"/>
    <cellStyle name="40% - Accent2 3 3 10" xfId="8970" xr:uid="{ABCE9E64-4929-470A-B681-051A3961DF45}"/>
    <cellStyle name="40% - Accent2 3 3 10 2" xfId="18918" xr:uid="{419C0B67-121D-40F1-A4D1-1BC25CD0AF51}"/>
    <cellStyle name="40% - Accent2 3 3 11" xfId="9799" xr:uid="{7B77D856-A922-40E1-A416-E78B788B0E3C}"/>
    <cellStyle name="40% - Accent2 3 3 11 2" xfId="19747" xr:uid="{E36BAE76-E521-4504-B12E-B22A53268FE5}"/>
    <cellStyle name="40% - Accent2 3 3 12" xfId="10628" xr:uid="{92E3864D-9824-4CDF-B1B4-36897BE82DC9}"/>
    <cellStyle name="40% - Accent2 3 3 12 2" xfId="20576" xr:uid="{6146961C-E486-41E5-BB64-05CCF11301E9}"/>
    <cellStyle name="40% - Accent2 3 3 13" xfId="1509" xr:uid="{B70A462A-258A-4390-8058-950AF1820B0A}"/>
    <cellStyle name="40% - Accent2 3 3 14" xfId="11457" xr:uid="{C70AB74D-956F-41E8-974B-2FBE423B4999}"/>
    <cellStyle name="40% - Accent2 3 3 2" xfId="2338" xr:uid="{B0DD1AD0-170A-4657-88EF-7C6516F81ED2}"/>
    <cellStyle name="40% - Accent2 3 3 2 2" xfId="12286" xr:uid="{744243D7-EB01-4C4E-898C-63E37FCC4C90}"/>
    <cellStyle name="40% - Accent2 3 3 3" xfId="3167" xr:uid="{ABAEF798-4E01-4619-B6D9-63430D4C60AE}"/>
    <cellStyle name="40% - Accent2 3 3 3 2" xfId="13115" xr:uid="{9AD64DEA-D37F-492E-B5E1-4EE137CDDADA}"/>
    <cellStyle name="40% - Accent2 3 3 4" xfId="3996" xr:uid="{BF948584-95DD-4082-9F2C-7EBDDD4E3789}"/>
    <cellStyle name="40% - Accent2 3 3 4 2" xfId="13944" xr:uid="{9F92577E-64A0-483F-A2B3-50E9B948B0E6}"/>
    <cellStyle name="40% - Accent2 3 3 5" xfId="4825" xr:uid="{9A2FA621-BE45-4A53-A070-15B6A14CBDCD}"/>
    <cellStyle name="40% - Accent2 3 3 5 2" xfId="14773" xr:uid="{C495EF4D-38FC-41D8-AF62-925E158F842C}"/>
    <cellStyle name="40% - Accent2 3 3 6" xfId="5654" xr:uid="{D5939B53-EC21-4D90-86AA-39E5C4AA1BFF}"/>
    <cellStyle name="40% - Accent2 3 3 6 2" xfId="15602" xr:uid="{3AB78819-F1E0-46D6-B412-E711AC445D02}"/>
    <cellStyle name="40% - Accent2 3 3 7" xfId="6483" xr:uid="{8B9F88CF-3B7F-46AB-A4F9-D43478064757}"/>
    <cellStyle name="40% - Accent2 3 3 7 2" xfId="16431" xr:uid="{7ACDE0DD-3DA5-4A64-85FE-0555B66F25F8}"/>
    <cellStyle name="40% - Accent2 3 3 8" xfId="7312" xr:uid="{492AB5C1-E510-4880-87CD-FAD4D44DD9F0}"/>
    <cellStyle name="40% - Accent2 3 3 8 2" xfId="17260" xr:uid="{3C54EECD-9421-4F5E-9076-63EE9F38AC22}"/>
    <cellStyle name="40% - Accent2 3 3 9" xfId="8141" xr:uid="{4A823062-28A3-4E90-A056-B2ADE3F28353}"/>
    <cellStyle name="40% - Accent2 3 3 9 2" xfId="18089" xr:uid="{859708C6-E4BB-4237-B7D6-E752D1D543C4}"/>
    <cellStyle name="40% - Accent2 3 4" xfId="1922" xr:uid="{3C39A552-7431-4180-B52C-BF31C724C989}"/>
    <cellStyle name="40% - Accent2 3 4 2" xfId="11870" xr:uid="{80BA1980-8ADE-45DB-BDE8-C20B430A5227}"/>
    <cellStyle name="40% - Accent2 3 5" xfId="2751" xr:uid="{48900184-A45A-4C8A-AC77-BE50A72B7B4C}"/>
    <cellStyle name="40% - Accent2 3 5 2" xfId="12699" xr:uid="{E22EFEF2-AA41-48D6-86A1-2A1A8F94724C}"/>
    <cellStyle name="40% - Accent2 3 6" xfId="3580" xr:uid="{46B88F6B-D90F-4F8F-AADA-987151DD036E}"/>
    <cellStyle name="40% - Accent2 3 6 2" xfId="13528" xr:uid="{E596521A-686B-4007-8A5A-7F9783FCA980}"/>
    <cellStyle name="40% - Accent2 3 7" xfId="4409" xr:uid="{DB2ACA4C-FCDF-437B-A71D-A8792C207F35}"/>
    <cellStyle name="40% - Accent2 3 7 2" xfId="14357" xr:uid="{6646DCE0-9EDC-4B98-A17E-7100C890711B}"/>
    <cellStyle name="40% - Accent2 3 8" xfId="5238" xr:uid="{48186C8E-CCBD-4B1C-99AC-DED57E0953A4}"/>
    <cellStyle name="40% - Accent2 3 8 2" xfId="15186" xr:uid="{C801402B-B686-47C3-A35A-6A9227C9F5CA}"/>
    <cellStyle name="40% - Accent2 3 9" xfId="6067" xr:uid="{E2A95956-ACE9-4ED0-9709-A3CC2C98D0AF}"/>
    <cellStyle name="40% - Accent2 3 9 2" xfId="16015" xr:uid="{D916C1D8-2CB6-483C-B1E2-43902CE17C25}"/>
    <cellStyle name="40% - Accent2 4" xfId="64" xr:uid="{00000000-0005-0000-0000-00007D000000}"/>
    <cellStyle name="40% - Accent2 4 10" xfId="7727" xr:uid="{D0E4E585-1423-4541-9B69-97DBC75E6AD4}"/>
    <cellStyle name="40% - Accent2 4 10 2" xfId="17675" xr:uid="{B159C36F-DFD1-4FBA-A0A0-F594314ACC51}"/>
    <cellStyle name="40% - Accent2 4 11" xfId="8556" xr:uid="{B4DE621A-2D24-474C-9DD0-DF7A4F64F3E9}"/>
    <cellStyle name="40% - Accent2 4 11 2" xfId="18504" xr:uid="{5D39B770-6E8D-4558-9AAE-16A210EBB879}"/>
    <cellStyle name="40% - Accent2 4 12" xfId="9385" xr:uid="{B50414AC-2D24-4361-8F82-CED87829A250}"/>
    <cellStyle name="40% - Accent2 4 12 2" xfId="19333" xr:uid="{936A73F1-A042-477B-8246-ABB14621FF25}"/>
    <cellStyle name="40% - Accent2 4 13" xfId="10214" xr:uid="{EA25CC69-9B37-438D-BA41-31CD4F143ECF}"/>
    <cellStyle name="40% - Accent2 4 13 2" xfId="20162" xr:uid="{B6EF461E-D337-495C-9C68-AE2663471711}"/>
    <cellStyle name="40% - Accent2 4 14" xfId="1095" xr:uid="{491B21BE-CBCA-4A36-A788-ED5D433CADB9}"/>
    <cellStyle name="40% - Accent2 4 15" xfId="11043" xr:uid="{D74C3560-DE5C-4136-BD3D-361DAE0AE145}"/>
    <cellStyle name="40% - Accent2 4 2" xfId="641" xr:uid="{00000000-0005-0000-0000-00007E000000}"/>
    <cellStyle name="40% - Accent2 4 2 10" xfId="8972" xr:uid="{66746A2F-F5E4-4F10-BC5D-228C0362BA5C}"/>
    <cellStyle name="40% - Accent2 4 2 10 2" xfId="18920" xr:uid="{6D225DA1-DB99-4890-A45C-037E01FC50F2}"/>
    <cellStyle name="40% - Accent2 4 2 11" xfId="9801" xr:uid="{71E6939C-0F87-443D-81F7-7F67CE91AFAB}"/>
    <cellStyle name="40% - Accent2 4 2 11 2" xfId="19749" xr:uid="{6E00FB16-0043-4BCA-9FF6-B60DA9B55ECF}"/>
    <cellStyle name="40% - Accent2 4 2 12" xfId="10630" xr:uid="{6DF5B3C4-F5A3-493C-89F5-8CCDC3195183}"/>
    <cellStyle name="40% - Accent2 4 2 12 2" xfId="20578" xr:uid="{C77E9EA6-31EC-465B-9B07-CAEB37BB62B4}"/>
    <cellStyle name="40% - Accent2 4 2 13" xfId="1511" xr:uid="{A6728C28-10F6-4026-AB3A-BF822DED09C6}"/>
    <cellStyle name="40% - Accent2 4 2 14" xfId="11459" xr:uid="{94837365-17DC-4584-ACFA-6A018C235D9D}"/>
    <cellStyle name="40% - Accent2 4 2 2" xfId="2340" xr:uid="{1AAFF032-93F0-40E0-B59D-3370DF961AA1}"/>
    <cellStyle name="40% - Accent2 4 2 2 2" xfId="12288" xr:uid="{04ED3823-14E0-4956-81EA-8AACDFE88C1E}"/>
    <cellStyle name="40% - Accent2 4 2 3" xfId="3169" xr:uid="{1C6E95FA-EEB0-42C1-A602-D7836133FF9D}"/>
    <cellStyle name="40% - Accent2 4 2 3 2" xfId="13117" xr:uid="{D3638EA1-8352-47AE-80B5-98066C5D4581}"/>
    <cellStyle name="40% - Accent2 4 2 4" xfId="3998" xr:uid="{A84A506F-4FC8-4213-A37E-875BE5C41E72}"/>
    <cellStyle name="40% - Accent2 4 2 4 2" xfId="13946" xr:uid="{E818B7AF-57AD-4981-A0CB-689C61773B31}"/>
    <cellStyle name="40% - Accent2 4 2 5" xfId="4827" xr:uid="{8E658130-9A98-4C32-BF71-C0E9049A1B36}"/>
    <cellStyle name="40% - Accent2 4 2 5 2" xfId="14775" xr:uid="{1D2C56F4-6E5C-4979-95D2-2CCE9844D60B}"/>
    <cellStyle name="40% - Accent2 4 2 6" xfId="5656" xr:uid="{22ADCE72-4570-404E-8150-15926CA53A9C}"/>
    <cellStyle name="40% - Accent2 4 2 6 2" xfId="15604" xr:uid="{01616A5A-2276-42EA-B069-A4D8F47EB331}"/>
    <cellStyle name="40% - Accent2 4 2 7" xfId="6485" xr:uid="{0B336E0F-3030-4809-A9FC-EB8DEA798655}"/>
    <cellStyle name="40% - Accent2 4 2 7 2" xfId="16433" xr:uid="{9CFB3E57-885B-425B-9978-52272A29B0C1}"/>
    <cellStyle name="40% - Accent2 4 2 8" xfId="7314" xr:uid="{5CE7396B-BE98-4506-B9A9-E0DB6DD0E4E9}"/>
    <cellStyle name="40% - Accent2 4 2 8 2" xfId="17262" xr:uid="{FD6F771A-C4D0-4007-B7DE-52018DABA0D2}"/>
    <cellStyle name="40% - Accent2 4 2 9" xfId="8143" xr:uid="{F6A06EB8-D83B-49E8-8F9F-E3C790BE745A}"/>
    <cellStyle name="40% - Accent2 4 2 9 2" xfId="18091" xr:uid="{70355FE8-E966-4CAA-BD8C-680B1E70CF5A}"/>
    <cellStyle name="40% - Accent2 4 3" xfId="1924" xr:uid="{53255603-6E28-4284-A6A9-E750AEA7E505}"/>
    <cellStyle name="40% - Accent2 4 3 2" xfId="11872" xr:uid="{32737A98-46CE-49D5-9E0E-2DC4B78220C2}"/>
    <cellStyle name="40% - Accent2 4 4" xfId="2753" xr:uid="{7B2ECD07-5091-4B4E-A29F-282CB955E73E}"/>
    <cellStyle name="40% - Accent2 4 4 2" xfId="12701" xr:uid="{42F0B3DF-BA55-487E-9F6D-909634304996}"/>
    <cellStyle name="40% - Accent2 4 5" xfId="3582" xr:uid="{B0400AF5-B8B4-4192-967C-129BFC4235F9}"/>
    <cellStyle name="40% - Accent2 4 5 2" xfId="13530" xr:uid="{CA0BCAE7-6BE1-4450-A598-0AC26721D00F}"/>
    <cellStyle name="40% - Accent2 4 6" xfId="4411" xr:uid="{982FDAB2-D40B-40FE-98F9-854A04B95FE6}"/>
    <cellStyle name="40% - Accent2 4 6 2" xfId="14359" xr:uid="{851E7632-076E-4D01-9488-71121180E070}"/>
    <cellStyle name="40% - Accent2 4 7" xfId="5240" xr:uid="{0E1F0715-AC31-4F9D-8AA4-FBB580D5C9E8}"/>
    <cellStyle name="40% - Accent2 4 7 2" xfId="15188" xr:uid="{23C57BEC-B897-45AB-9412-39A38D419341}"/>
    <cellStyle name="40% - Accent2 4 8" xfId="6069" xr:uid="{2D33A289-900E-4306-8C8A-1A0AE8B67EBE}"/>
    <cellStyle name="40% - Accent2 4 8 2" xfId="16017" xr:uid="{F1AE95D3-0BD6-4AFB-8A28-B82794B51867}"/>
    <cellStyle name="40% - Accent2 4 9" xfId="6898" xr:uid="{2E5EBA32-F47D-4C1A-9658-9BDB9ABE0F6A}"/>
    <cellStyle name="40% - Accent2 4 9 2" xfId="16846" xr:uid="{0C1A9549-D2DF-4EE4-BCDA-D211F59CC97A}"/>
    <cellStyle name="40% - Accent2 5" xfId="634" xr:uid="{00000000-0005-0000-0000-00007F000000}"/>
    <cellStyle name="40% - Accent2 5 10" xfId="8965" xr:uid="{38BEAC6B-D02C-460C-B213-036E7D9AAC73}"/>
    <cellStyle name="40% - Accent2 5 10 2" xfId="18913" xr:uid="{8CD3BF84-2967-45DB-BAD7-AFBCD820D955}"/>
    <cellStyle name="40% - Accent2 5 11" xfId="9794" xr:uid="{FAA713E7-F1AB-4CD1-A54C-AD6A9F2DA3A4}"/>
    <cellStyle name="40% - Accent2 5 11 2" xfId="19742" xr:uid="{CE6271D1-A07F-46C0-AA5D-AF433E0D6F11}"/>
    <cellStyle name="40% - Accent2 5 12" xfId="10623" xr:uid="{CE0FBF8E-5B29-45E9-9A17-DDB4BE10F249}"/>
    <cellStyle name="40% - Accent2 5 12 2" xfId="20571" xr:uid="{6B2528A0-C4C6-48F5-AA31-25B7C219B721}"/>
    <cellStyle name="40% - Accent2 5 13" xfId="1504" xr:uid="{7EB5767A-ED58-429D-AFEB-0928547F0477}"/>
    <cellStyle name="40% - Accent2 5 14" xfId="11452" xr:uid="{9380D900-CE5C-4246-A13C-AD887E242E1A}"/>
    <cellStyle name="40% - Accent2 5 2" xfId="2333" xr:uid="{74C4AEBC-12E1-4E22-AD62-E3DB6A8F602A}"/>
    <cellStyle name="40% - Accent2 5 2 2" xfId="12281" xr:uid="{EE91489F-3107-4891-B717-5D98961E9AF9}"/>
    <cellStyle name="40% - Accent2 5 3" xfId="3162" xr:uid="{48A8E086-CDD2-44F2-AFA0-5A4F751D6182}"/>
    <cellStyle name="40% - Accent2 5 3 2" xfId="13110" xr:uid="{3FD83D59-0484-4C46-9FBC-65FF4D235D97}"/>
    <cellStyle name="40% - Accent2 5 4" xfId="3991" xr:uid="{FE5E3DE4-C454-45C9-A5B6-6D57E6290AAF}"/>
    <cellStyle name="40% - Accent2 5 4 2" xfId="13939" xr:uid="{D6AB0A65-5BCA-45CB-A608-5570C3EE2C97}"/>
    <cellStyle name="40% - Accent2 5 5" xfId="4820" xr:uid="{31A1FDE9-59BB-47F0-A532-154F99B6B49E}"/>
    <cellStyle name="40% - Accent2 5 5 2" xfId="14768" xr:uid="{B0262B1B-304E-40A4-A02F-3249EE7DC148}"/>
    <cellStyle name="40% - Accent2 5 6" xfId="5649" xr:uid="{9194070C-530D-4485-AD8E-54452173F755}"/>
    <cellStyle name="40% - Accent2 5 6 2" xfId="15597" xr:uid="{80D0EC4A-517D-4CD1-91CD-C8835B0ABED9}"/>
    <cellStyle name="40% - Accent2 5 7" xfId="6478" xr:uid="{2045D6AE-385D-48D5-B480-26F0FAFB453E}"/>
    <cellStyle name="40% - Accent2 5 7 2" xfId="16426" xr:uid="{B2700278-3050-4188-993C-B489EA4D3281}"/>
    <cellStyle name="40% - Accent2 5 8" xfId="7307" xr:uid="{D0D99D8D-F442-4D62-845F-8A27C2170B6E}"/>
    <cellStyle name="40% - Accent2 5 8 2" xfId="17255" xr:uid="{22D0451D-079B-4D3F-BD5A-FCF6E91E974A}"/>
    <cellStyle name="40% - Accent2 5 9" xfId="8136" xr:uid="{4B920ADD-AF81-4F8B-9842-66EA1FD03927}"/>
    <cellStyle name="40% - Accent2 5 9 2" xfId="18084" xr:uid="{0BAE570E-60D0-41B1-B458-5DB7EEA0DF58}"/>
    <cellStyle name="40% - Accent2 6" xfId="1917" xr:uid="{96B73D40-1C29-45AA-907F-D4F7746D98B8}"/>
    <cellStyle name="40% - Accent2 6 2" xfId="11865" xr:uid="{9BB75696-41C6-407C-AB01-9855B587941F}"/>
    <cellStyle name="40% - Accent2 7" xfId="2746" xr:uid="{FD8C74D2-A5A5-4E9E-B9D1-19571753E7B1}"/>
    <cellStyle name="40% - Accent2 7 2" xfId="12694" xr:uid="{9D883CBB-8178-4B70-993F-8FC90669A0C6}"/>
    <cellStyle name="40% - Accent2 8" xfId="3575" xr:uid="{4CD90D9A-3DDC-44CD-9ECB-7F74AD1662AA}"/>
    <cellStyle name="40% - Accent2 8 2" xfId="13523" xr:uid="{0B2099E6-4ACD-4040-B9FA-B82D75E03805}"/>
    <cellStyle name="40% - Accent2 9" xfId="4404" xr:uid="{5357CCCB-6C9F-41AE-BEB6-9FBF18C819CE}"/>
    <cellStyle name="40% - Accent2 9 2" xfId="14352" xr:uid="{5D942AF5-35DA-4FA1-8844-BA93D600BB66}"/>
    <cellStyle name="40% - Accent3" xfId="65" builtinId="39" customBuiltin="1"/>
    <cellStyle name="40% - Accent3 10" xfId="5241" xr:uid="{C730C428-F341-4A99-ABA5-C0877D8C1DCC}"/>
    <cellStyle name="40% - Accent3 10 2" xfId="15189" xr:uid="{FD1465D9-19A4-4A3D-8893-A4DEFF6ED429}"/>
    <cellStyle name="40% - Accent3 11" xfId="6070" xr:uid="{086EF409-FB7E-4248-BAED-EFB4704C23B0}"/>
    <cellStyle name="40% - Accent3 11 2" xfId="16018" xr:uid="{38848C74-72CE-4B8B-8C7B-75E0ABF967E3}"/>
    <cellStyle name="40% - Accent3 12" xfId="6899" xr:uid="{027CDABC-31A1-43CD-986D-B347F1CA8200}"/>
    <cellStyle name="40% - Accent3 12 2" xfId="16847" xr:uid="{FD375413-8F6C-4F06-B42A-1039983A46F2}"/>
    <cellStyle name="40% - Accent3 13" xfId="7728" xr:uid="{FCC1ED50-ED93-4E18-937D-72805C4AF30D}"/>
    <cellStyle name="40% - Accent3 13 2" xfId="17676" xr:uid="{4ABA5564-A7D2-43A5-BC00-BF2437C73724}"/>
    <cellStyle name="40% - Accent3 14" xfId="8557" xr:uid="{BA4568D0-18AE-4A01-934C-7AC930D4D0CD}"/>
    <cellStyle name="40% - Accent3 14 2" xfId="18505" xr:uid="{694FF5FF-FCFE-4DE2-A6C6-94E131C11F0A}"/>
    <cellStyle name="40% - Accent3 15" xfId="9386" xr:uid="{20A367D7-5823-477E-B26B-86007DD750A2}"/>
    <cellStyle name="40% - Accent3 15 2" xfId="19334" xr:uid="{763640CD-6C0F-4604-8625-5C33B070ACE2}"/>
    <cellStyle name="40% - Accent3 16" xfId="10215" xr:uid="{F64F4DFB-0B63-403A-800F-AAE486284769}"/>
    <cellStyle name="40% - Accent3 16 2" xfId="20163" xr:uid="{702BA8B8-650C-4E1C-9EBE-49FC7E35723C}"/>
    <cellStyle name="40% - Accent3 17" xfId="1096" xr:uid="{F5BDB9B4-B8EA-4118-BE02-6CFEAD20019C}"/>
    <cellStyle name="40% - Accent3 18" xfId="11044" xr:uid="{6EAFD3F8-4614-424F-8B0E-AC2443105D0B}"/>
    <cellStyle name="40% - Accent3 2" xfId="66" xr:uid="{00000000-0005-0000-0000-000081000000}"/>
    <cellStyle name="40% - Accent3 2 10" xfId="6071" xr:uid="{D9604F6A-4A3B-4A37-B196-9CB4E9512ED4}"/>
    <cellStyle name="40% - Accent3 2 10 2" xfId="16019" xr:uid="{B6319530-35EA-4D8E-B22D-BD38B0A05EA6}"/>
    <cellStyle name="40% - Accent3 2 11" xfId="6900" xr:uid="{9F9EFB10-C252-4519-85E0-AE04ED4B81CB}"/>
    <cellStyle name="40% - Accent3 2 11 2" xfId="16848" xr:uid="{2B360861-B12B-4539-9D5C-E15BFA96F54D}"/>
    <cellStyle name="40% - Accent3 2 12" xfId="7729" xr:uid="{9F6B3296-3F75-4474-BF85-0F2B4D312E89}"/>
    <cellStyle name="40% - Accent3 2 12 2" xfId="17677" xr:uid="{F7062DF8-6E34-48B7-A2A3-D449916FE298}"/>
    <cellStyle name="40% - Accent3 2 13" xfId="8558" xr:uid="{F239E53B-4809-4D77-BD5F-ABA04FC66435}"/>
    <cellStyle name="40% - Accent3 2 13 2" xfId="18506" xr:uid="{5C7994F3-B677-4F6A-AF7A-F2B5C8080121}"/>
    <cellStyle name="40% - Accent3 2 14" xfId="9387" xr:uid="{CB21A45D-B8DC-4C52-B637-BA630238788A}"/>
    <cellStyle name="40% - Accent3 2 14 2" xfId="19335" xr:uid="{147CD5F8-9281-44F9-AAA9-A36B049447C5}"/>
    <cellStyle name="40% - Accent3 2 15" xfId="10216" xr:uid="{FB7EC5B3-FE50-4D8A-A894-B4CD3217CB3B}"/>
    <cellStyle name="40% - Accent3 2 15 2" xfId="20164" xr:uid="{0668BFEC-BA67-4A89-95E1-97CEA6722042}"/>
    <cellStyle name="40% - Accent3 2 16" xfId="1097" xr:uid="{1A9E2366-84B6-413A-ABE3-65494799A5B2}"/>
    <cellStyle name="40% - Accent3 2 17" xfId="11045" xr:uid="{A5704AFE-9B48-4FC4-8FD2-963BC8555272}"/>
    <cellStyle name="40% - Accent3 2 2" xfId="67" xr:uid="{00000000-0005-0000-0000-000082000000}"/>
    <cellStyle name="40% - Accent3 2 2 10" xfId="6901" xr:uid="{73728A03-E902-4964-B95D-CF2F4735446C}"/>
    <cellStyle name="40% - Accent3 2 2 10 2" xfId="16849" xr:uid="{1E449CAC-E8AE-42EF-97CF-AD7ECBD2D357}"/>
    <cellStyle name="40% - Accent3 2 2 11" xfId="7730" xr:uid="{217EE7E7-9B5E-4771-8A17-490729E3BFD2}"/>
    <cellStyle name="40% - Accent3 2 2 11 2" xfId="17678" xr:uid="{284E5879-4D4D-40E2-93BD-65E71E216518}"/>
    <cellStyle name="40% - Accent3 2 2 12" xfId="8559" xr:uid="{ABD3EFAB-7A1B-4EB5-A140-8F354321192C}"/>
    <cellStyle name="40% - Accent3 2 2 12 2" xfId="18507" xr:uid="{E8690838-89DF-40A1-AFEE-7C2D243E5893}"/>
    <cellStyle name="40% - Accent3 2 2 13" xfId="9388" xr:uid="{91CEDA7D-74D1-4831-BA63-662B7333B024}"/>
    <cellStyle name="40% - Accent3 2 2 13 2" xfId="19336" xr:uid="{5F3056BB-76C3-4BCA-A58E-9E181A6B17F6}"/>
    <cellStyle name="40% - Accent3 2 2 14" xfId="10217" xr:uid="{2CBB85D0-CECB-4613-9BD5-7EA172DC12C5}"/>
    <cellStyle name="40% - Accent3 2 2 14 2" xfId="20165" xr:uid="{E1E6E75F-34A1-4661-81CE-3373EDCD3B1B}"/>
    <cellStyle name="40% - Accent3 2 2 15" xfId="1098" xr:uid="{A203C303-E85F-4100-90A4-2A45107867E5}"/>
    <cellStyle name="40% - Accent3 2 2 16" xfId="11046" xr:uid="{B097F025-F8B3-44EA-9670-D19A3228E5CA}"/>
    <cellStyle name="40% - Accent3 2 2 2" xfId="68" xr:uid="{00000000-0005-0000-0000-000083000000}"/>
    <cellStyle name="40% - Accent3 2 2 2 10" xfId="7731" xr:uid="{C0E891F0-3288-463E-A060-245C680FE22B}"/>
    <cellStyle name="40% - Accent3 2 2 2 10 2" xfId="17679" xr:uid="{84D0E6C1-9541-485F-AAA3-781C2F10658F}"/>
    <cellStyle name="40% - Accent3 2 2 2 11" xfId="8560" xr:uid="{9A0EA638-B9FE-4517-B859-39D7A904BDC6}"/>
    <cellStyle name="40% - Accent3 2 2 2 11 2" xfId="18508" xr:uid="{3BEC2236-B30B-43A8-8551-ACAB3E5FEAB1}"/>
    <cellStyle name="40% - Accent3 2 2 2 12" xfId="9389" xr:uid="{790B08F1-CF27-4676-85F5-13B946B6CCD4}"/>
    <cellStyle name="40% - Accent3 2 2 2 12 2" xfId="19337" xr:uid="{13DF0BC7-3478-46FE-925B-28CB7031C930}"/>
    <cellStyle name="40% - Accent3 2 2 2 13" xfId="10218" xr:uid="{5CA7236F-96F0-4B30-BA52-B72B4756F9B6}"/>
    <cellStyle name="40% - Accent3 2 2 2 13 2" xfId="20166" xr:uid="{45FEAD0B-72B9-48DF-9032-0BA27EA23F18}"/>
    <cellStyle name="40% - Accent3 2 2 2 14" xfId="1099" xr:uid="{3B034FBB-108B-42CF-9B4F-8FBE0C9686EE}"/>
    <cellStyle name="40% - Accent3 2 2 2 15" xfId="11047" xr:uid="{6991BD28-C748-4DFF-9611-5410B584AFA7}"/>
    <cellStyle name="40% - Accent3 2 2 2 2" xfId="645" xr:uid="{00000000-0005-0000-0000-000084000000}"/>
    <cellStyle name="40% - Accent3 2 2 2 2 10" xfId="8976" xr:uid="{7741C351-F039-40F4-962E-561ED1413079}"/>
    <cellStyle name="40% - Accent3 2 2 2 2 10 2" xfId="18924" xr:uid="{42237F84-331E-453B-9491-EB4739F68B3A}"/>
    <cellStyle name="40% - Accent3 2 2 2 2 11" xfId="9805" xr:uid="{769FE022-6029-48A4-879B-8BEBCF662699}"/>
    <cellStyle name="40% - Accent3 2 2 2 2 11 2" xfId="19753" xr:uid="{58CBFA80-9ED3-42C1-88AC-FAF5D4E296A4}"/>
    <cellStyle name="40% - Accent3 2 2 2 2 12" xfId="10634" xr:uid="{DB1D3DC6-2112-4728-8A7F-09105883B8FC}"/>
    <cellStyle name="40% - Accent3 2 2 2 2 12 2" xfId="20582" xr:uid="{032585AD-4D9D-4EAB-BD50-4C58E88118EB}"/>
    <cellStyle name="40% - Accent3 2 2 2 2 13" xfId="1515" xr:uid="{EDD8628E-4246-4A13-8766-A86E45CCDB33}"/>
    <cellStyle name="40% - Accent3 2 2 2 2 14" xfId="11463" xr:uid="{BA806E30-9C85-4F8C-B026-E7AEA0C38C16}"/>
    <cellStyle name="40% - Accent3 2 2 2 2 2" xfId="2344" xr:uid="{5D7AD700-3A6F-49A5-98A7-0BAAE7AED5A8}"/>
    <cellStyle name="40% - Accent3 2 2 2 2 2 2" xfId="12292" xr:uid="{7AD47742-A37D-473A-A099-544C99318F32}"/>
    <cellStyle name="40% - Accent3 2 2 2 2 3" xfId="3173" xr:uid="{BFF2D12D-1FC7-45F3-B5CB-BCDDC073AE7E}"/>
    <cellStyle name="40% - Accent3 2 2 2 2 3 2" xfId="13121" xr:uid="{66C871C3-555B-45F9-B6A7-1C71B826244B}"/>
    <cellStyle name="40% - Accent3 2 2 2 2 4" xfId="4002" xr:uid="{0815B45D-1B9D-4A14-AA59-761DD4869A91}"/>
    <cellStyle name="40% - Accent3 2 2 2 2 4 2" xfId="13950" xr:uid="{6113E78C-1F77-4D02-991D-07F0802387F2}"/>
    <cellStyle name="40% - Accent3 2 2 2 2 5" xfId="4831" xr:uid="{5E4509FC-00CA-4D59-9397-1D95FB691C1A}"/>
    <cellStyle name="40% - Accent3 2 2 2 2 5 2" xfId="14779" xr:uid="{7F2C865E-10AC-4EBE-95A2-25886FF9E1D7}"/>
    <cellStyle name="40% - Accent3 2 2 2 2 6" xfId="5660" xr:uid="{FC599CE0-E860-4C4B-919B-A6B064C775BA}"/>
    <cellStyle name="40% - Accent3 2 2 2 2 6 2" xfId="15608" xr:uid="{79EF655F-74F2-4E38-9349-73C22E0CFF26}"/>
    <cellStyle name="40% - Accent3 2 2 2 2 7" xfId="6489" xr:uid="{17011D85-786D-4E52-B7CB-5842DFB7386C}"/>
    <cellStyle name="40% - Accent3 2 2 2 2 7 2" xfId="16437" xr:uid="{96010FC0-035F-4319-87C4-4D09DB40FB70}"/>
    <cellStyle name="40% - Accent3 2 2 2 2 8" xfId="7318" xr:uid="{584F31F0-D7A7-498E-BA0B-10D50FC16581}"/>
    <cellStyle name="40% - Accent3 2 2 2 2 8 2" xfId="17266" xr:uid="{47537D59-9EB5-4B15-90BD-B16C0698524C}"/>
    <cellStyle name="40% - Accent3 2 2 2 2 9" xfId="8147" xr:uid="{3A950953-6C20-4589-9185-71C626B2CC93}"/>
    <cellStyle name="40% - Accent3 2 2 2 2 9 2" xfId="18095" xr:uid="{EECEC71A-E856-457A-93AC-2309153A7462}"/>
    <cellStyle name="40% - Accent3 2 2 2 3" xfId="1928" xr:uid="{DD45771E-F7B6-45B5-9BCD-2436BEA2A17E}"/>
    <cellStyle name="40% - Accent3 2 2 2 3 2" xfId="11876" xr:uid="{8C43BF2E-5D0E-4203-8633-996EBE2927BB}"/>
    <cellStyle name="40% - Accent3 2 2 2 4" xfId="2757" xr:uid="{EC3D03ED-5979-4A75-821E-4460C5E19967}"/>
    <cellStyle name="40% - Accent3 2 2 2 4 2" xfId="12705" xr:uid="{8875E12E-81BC-4208-BC86-2B3595C2CE06}"/>
    <cellStyle name="40% - Accent3 2 2 2 5" xfId="3586" xr:uid="{633471B8-27DA-4DC1-B165-6FB92255B717}"/>
    <cellStyle name="40% - Accent3 2 2 2 5 2" xfId="13534" xr:uid="{35069B15-9485-4BC9-AC29-E7DE68BE8A15}"/>
    <cellStyle name="40% - Accent3 2 2 2 6" xfId="4415" xr:uid="{59C45294-C762-4805-B3E3-8C01B68A08A2}"/>
    <cellStyle name="40% - Accent3 2 2 2 6 2" xfId="14363" xr:uid="{DCE1F96B-B041-479D-8B94-1B6E75D9832B}"/>
    <cellStyle name="40% - Accent3 2 2 2 7" xfId="5244" xr:uid="{54AB54B6-47FB-4A7D-B637-DB27B0AFBC72}"/>
    <cellStyle name="40% - Accent3 2 2 2 7 2" xfId="15192" xr:uid="{314241A7-D5A7-4979-BB5B-7617C8A11B3D}"/>
    <cellStyle name="40% - Accent3 2 2 2 8" xfId="6073" xr:uid="{761D4FDD-8274-4EBC-9B25-4CB1A0EC7D57}"/>
    <cellStyle name="40% - Accent3 2 2 2 8 2" xfId="16021" xr:uid="{4962916B-F69D-41C3-A26A-7939246E9704}"/>
    <cellStyle name="40% - Accent3 2 2 2 9" xfId="6902" xr:uid="{8908AAA6-A366-489B-8C24-B736BA9A6DB7}"/>
    <cellStyle name="40% - Accent3 2 2 2 9 2" xfId="16850" xr:uid="{AE96A479-622A-49D3-99ED-D5687EC3118B}"/>
    <cellStyle name="40% - Accent3 2 2 3" xfId="644" xr:uid="{00000000-0005-0000-0000-000085000000}"/>
    <cellStyle name="40% - Accent3 2 2 3 10" xfId="8975" xr:uid="{4CF5F5C5-D54C-4EDF-849D-5A5B953D115F}"/>
    <cellStyle name="40% - Accent3 2 2 3 10 2" xfId="18923" xr:uid="{9A77FFB1-C812-473F-9981-F43E20C20897}"/>
    <cellStyle name="40% - Accent3 2 2 3 11" xfId="9804" xr:uid="{199606FA-F455-422C-B060-76DEBBE74834}"/>
    <cellStyle name="40% - Accent3 2 2 3 11 2" xfId="19752" xr:uid="{35BB5D32-021E-4FF4-BC71-CA4DDDC5B42D}"/>
    <cellStyle name="40% - Accent3 2 2 3 12" xfId="10633" xr:uid="{396E4CC0-B278-4831-8F76-072E2ADB489A}"/>
    <cellStyle name="40% - Accent3 2 2 3 12 2" xfId="20581" xr:uid="{691580DD-5632-4E84-9243-66259449E430}"/>
    <cellStyle name="40% - Accent3 2 2 3 13" xfId="1514" xr:uid="{EFBF2B50-3CE3-4B68-AAF9-76A07B98B94A}"/>
    <cellStyle name="40% - Accent3 2 2 3 14" xfId="11462" xr:uid="{498B6400-0FF7-4F61-8006-9717E46F3588}"/>
    <cellStyle name="40% - Accent3 2 2 3 2" xfId="2343" xr:uid="{94D984DA-2A7C-4940-A1ED-69FDB0429B3E}"/>
    <cellStyle name="40% - Accent3 2 2 3 2 2" xfId="12291" xr:uid="{D6DF3DDD-8FF3-4B1A-BAA7-838CDDC5E081}"/>
    <cellStyle name="40% - Accent3 2 2 3 3" xfId="3172" xr:uid="{5C858859-0E2D-473E-A71F-E9FEBED23E8C}"/>
    <cellStyle name="40% - Accent3 2 2 3 3 2" xfId="13120" xr:uid="{E6631172-6AB3-4EC8-AC81-05BD07BB1952}"/>
    <cellStyle name="40% - Accent3 2 2 3 4" xfId="4001" xr:uid="{8ED287AE-B445-4155-8A43-1923A6FA704D}"/>
    <cellStyle name="40% - Accent3 2 2 3 4 2" xfId="13949" xr:uid="{F435BA47-BAE0-497C-BAED-BF75729FF42B}"/>
    <cellStyle name="40% - Accent3 2 2 3 5" xfId="4830" xr:uid="{614EF473-6049-406E-8DCB-0D83678FA958}"/>
    <cellStyle name="40% - Accent3 2 2 3 5 2" xfId="14778" xr:uid="{E369F38C-E5C3-4C89-8633-227A0CB84182}"/>
    <cellStyle name="40% - Accent3 2 2 3 6" xfId="5659" xr:uid="{922F94BD-5020-4EAF-A050-5B9BC9591D16}"/>
    <cellStyle name="40% - Accent3 2 2 3 6 2" xfId="15607" xr:uid="{72C77BB4-90B6-49B9-9E91-CE4D5EFFBE0D}"/>
    <cellStyle name="40% - Accent3 2 2 3 7" xfId="6488" xr:uid="{E22A4A6A-D68C-4BA3-933A-3A199F93D1FE}"/>
    <cellStyle name="40% - Accent3 2 2 3 7 2" xfId="16436" xr:uid="{91AE57A6-250A-460B-A238-E5DC2F48B0F3}"/>
    <cellStyle name="40% - Accent3 2 2 3 8" xfId="7317" xr:uid="{C160F4ED-8438-4D71-A7D9-B907DDC20FE4}"/>
    <cellStyle name="40% - Accent3 2 2 3 8 2" xfId="17265" xr:uid="{F5257B67-C13A-471B-90F0-CB4F148EEBFA}"/>
    <cellStyle name="40% - Accent3 2 2 3 9" xfId="8146" xr:uid="{F5CB956A-46F7-40BB-BC08-635BCCABC9FA}"/>
    <cellStyle name="40% - Accent3 2 2 3 9 2" xfId="18094" xr:uid="{268CB328-7F57-45DF-BF52-4F26C88D2903}"/>
    <cellStyle name="40% - Accent3 2 2 4" xfId="1927" xr:uid="{E620E59B-EFD3-427E-A29D-8F554D1A0054}"/>
    <cellStyle name="40% - Accent3 2 2 4 2" xfId="11875" xr:uid="{8F8E6552-B75E-4A22-9921-1AECE6893EEB}"/>
    <cellStyle name="40% - Accent3 2 2 5" xfId="2756" xr:uid="{67CA2DA0-C5C8-46FB-8959-E832EF0FB48B}"/>
    <cellStyle name="40% - Accent3 2 2 5 2" xfId="12704" xr:uid="{9A3183CD-6C4E-4106-AE6B-AA50B8EEF517}"/>
    <cellStyle name="40% - Accent3 2 2 6" xfId="3585" xr:uid="{0DB3EFE6-2CAD-49AF-8CF3-5E9246212418}"/>
    <cellStyle name="40% - Accent3 2 2 6 2" xfId="13533" xr:uid="{3F0CC533-6D07-4C3C-A01B-FFA69D52B294}"/>
    <cellStyle name="40% - Accent3 2 2 7" xfId="4414" xr:uid="{886C64B2-412D-4B73-9AD6-D996621D3CC4}"/>
    <cellStyle name="40% - Accent3 2 2 7 2" xfId="14362" xr:uid="{1D5CE892-035C-448A-9016-33AEAEA73A43}"/>
    <cellStyle name="40% - Accent3 2 2 8" xfId="5243" xr:uid="{CC4E6B12-8DF9-4EF2-926F-0D77595527E8}"/>
    <cellStyle name="40% - Accent3 2 2 8 2" xfId="15191" xr:uid="{E22B9428-7FFB-40C7-9338-1CCA5FA08B38}"/>
    <cellStyle name="40% - Accent3 2 2 9" xfId="6072" xr:uid="{31BD2A7F-F22E-4AFA-B087-8440C464F7A2}"/>
    <cellStyle name="40% - Accent3 2 2 9 2" xfId="16020" xr:uid="{17A04A40-6A50-4B32-BEF7-604FAED1BDB7}"/>
    <cellStyle name="40% - Accent3 2 3" xfId="69" xr:uid="{00000000-0005-0000-0000-000086000000}"/>
    <cellStyle name="40% - Accent3 2 3 10" xfId="7732" xr:uid="{FD03A3C0-3DC7-4912-AE3E-A5239640CCBB}"/>
    <cellStyle name="40% - Accent3 2 3 10 2" xfId="17680" xr:uid="{ECE57AFA-0B3F-4B83-89B4-6B3C3DCC53F6}"/>
    <cellStyle name="40% - Accent3 2 3 11" xfId="8561" xr:uid="{3020DAFF-A19B-4C49-A0B6-CC0087C715E2}"/>
    <cellStyle name="40% - Accent3 2 3 11 2" xfId="18509" xr:uid="{3B679CEA-03C1-41C2-97F1-B446FF4B2945}"/>
    <cellStyle name="40% - Accent3 2 3 12" xfId="9390" xr:uid="{4D01A146-09DB-4E65-8659-3B8AD9522C7D}"/>
    <cellStyle name="40% - Accent3 2 3 12 2" xfId="19338" xr:uid="{8FEFCAF0-350D-4D45-A373-9F7AD9E07ED5}"/>
    <cellStyle name="40% - Accent3 2 3 13" xfId="10219" xr:uid="{8840C767-8D83-47AA-9002-D57F7867757B}"/>
    <cellStyle name="40% - Accent3 2 3 13 2" xfId="20167" xr:uid="{A1A39BC9-D7E4-4B93-A151-82149AD46C8D}"/>
    <cellStyle name="40% - Accent3 2 3 14" xfId="1100" xr:uid="{830F3EC6-73DA-47C6-9D46-0FC2FFB6BD9B}"/>
    <cellStyle name="40% - Accent3 2 3 15" xfId="11048" xr:uid="{27B79386-247A-4C9A-B74B-CE278320F6E5}"/>
    <cellStyle name="40% - Accent3 2 3 2" xfId="646" xr:uid="{00000000-0005-0000-0000-000087000000}"/>
    <cellStyle name="40% - Accent3 2 3 2 10" xfId="8977" xr:uid="{5F4A6746-E99F-4126-84E7-73AF7E1F5D15}"/>
    <cellStyle name="40% - Accent3 2 3 2 10 2" xfId="18925" xr:uid="{9C14F910-0354-4404-8B2E-3EACA1A81B6E}"/>
    <cellStyle name="40% - Accent3 2 3 2 11" xfId="9806" xr:uid="{EA7C13D8-CB82-4F13-9449-B21A231FBC82}"/>
    <cellStyle name="40% - Accent3 2 3 2 11 2" xfId="19754" xr:uid="{6DDF2231-70FA-4916-BA26-95908E2DDEBB}"/>
    <cellStyle name="40% - Accent3 2 3 2 12" xfId="10635" xr:uid="{F468387E-62FE-4E26-8B96-66440FB1FB88}"/>
    <cellStyle name="40% - Accent3 2 3 2 12 2" xfId="20583" xr:uid="{B95C3D19-2023-4D14-8CA2-D9E949711DF4}"/>
    <cellStyle name="40% - Accent3 2 3 2 13" xfId="1516" xr:uid="{A1250797-F88F-4694-9D92-E2BF239629FE}"/>
    <cellStyle name="40% - Accent3 2 3 2 14" xfId="11464" xr:uid="{386C9825-5420-44D3-A87E-1D8C9B0DDD19}"/>
    <cellStyle name="40% - Accent3 2 3 2 2" xfId="2345" xr:uid="{8DB85AEC-8C2B-45B9-80DC-9F244A7AC28F}"/>
    <cellStyle name="40% - Accent3 2 3 2 2 2" xfId="12293" xr:uid="{1BA4A934-A8D0-403E-9DAA-0F5FCCF97BD0}"/>
    <cellStyle name="40% - Accent3 2 3 2 3" xfId="3174" xr:uid="{6AA76927-1EFB-40A6-84A4-EF820AAF76A1}"/>
    <cellStyle name="40% - Accent3 2 3 2 3 2" xfId="13122" xr:uid="{DC215DA1-24D0-4E2F-9BDB-B835F52CB7A0}"/>
    <cellStyle name="40% - Accent3 2 3 2 4" xfId="4003" xr:uid="{B2EE9B28-E9EE-4F4D-8077-84811F370259}"/>
    <cellStyle name="40% - Accent3 2 3 2 4 2" xfId="13951" xr:uid="{324FB96F-0587-4988-818A-29686D981704}"/>
    <cellStyle name="40% - Accent3 2 3 2 5" xfId="4832" xr:uid="{E6C01AE7-CD4E-4377-8B61-59B65BD888A9}"/>
    <cellStyle name="40% - Accent3 2 3 2 5 2" xfId="14780" xr:uid="{2414B7BE-142B-4F21-9346-05FECEAB2B38}"/>
    <cellStyle name="40% - Accent3 2 3 2 6" xfId="5661" xr:uid="{F718BD37-ACAD-4626-9C9A-707434DB6240}"/>
    <cellStyle name="40% - Accent3 2 3 2 6 2" xfId="15609" xr:uid="{A97110B1-E02D-47C6-B2DA-1442375D70C3}"/>
    <cellStyle name="40% - Accent3 2 3 2 7" xfId="6490" xr:uid="{2BDD9CF9-D9F6-421A-A1D7-0F7D33ADBBC6}"/>
    <cellStyle name="40% - Accent3 2 3 2 7 2" xfId="16438" xr:uid="{F4682E25-CAF1-484A-9B9B-B3054E6AF548}"/>
    <cellStyle name="40% - Accent3 2 3 2 8" xfId="7319" xr:uid="{E8A1A67F-C479-4463-BDB5-7E1DDD9256BB}"/>
    <cellStyle name="40% - Accent3 2 3 2 8 2" xfId="17267" xr:uid="{F390B091-135C-4AB3-9D68-6AA26120C70F}"/>
    <cellStyle name="40% - Accent3 2 3 2 9" xfId="8148" xr:uid="{67C6E32B-2844-4749-A32C-77D3FAFC8C11}"/>
    <cellStyle name="40% - Accent3 2 3 2 9 2" xfId="18096" xr:uid="{C0FF2CAF-ADC0-47F4-8498-C25153E3C6AF}"/>
    <cellStyle name="40% - Accent3 2 3 3" xfId="1929" xr:uid="{C8208AAA-F621-4D80-B0E8-97C5AADD2123}"/>
    <cellStyle name="40% - Accent3 2 3 3 2" xfId="11877" xr:uid="{4C0E57E9-45FE-4859-BED8-8C48BE615596}"/>
    <cellStyle name="40% - Accent3 2 3 4" xfId="2758" xr:uid="{A13C0787-2760-4FEF-8D63-38D866F287A9}"/>
    <cellStyle name="40% - Accent3 2 3 4 2" xfId="12706" xr:uid="{9EDEDC0D-2AB5-466E-BD83-1DD2321063DC}"/>
    <cellStyle name="40% - Accent3 2 3 5" xfId="3587" xr:uid="{39F621F8-54DC-4FF9-93BE-201970BD62E7}"/>
    <cellStyle name="40% - Accent3 2 3 5 2" xfId="13535" xr:uid="{6DC7C20D-B05D-46BA-9248-99ACE5B35AC0}"/>
    <cellStyle name="40% - Accent3 2 3 6" xfId="4416" xr:uid="{E0D61A7A-A8A0-4F73-8989-D9BCD502A000}"/>
    <cellStyle name="40% - Accent3 2 3 6 2" xfId="14364" xr:uid="{BE4EC93D-B3F8-4FB9-8486-E7E07973F5C8}"/>
    <cellStyle name="40% - Accent3 2 3 7" xfId="5245" xr:uid="{07CCBF12-0976-4174-9DE9-44D0B7C57085}"/>
    <cellStyle name="40% - Accent3 2 3 7 2" xfId="15193" xr:uid="{AD3769C0-1A03-40B8-9651-61178387F756}"/>
    <cellStyle name="40% - Accent3 2 3 8" xfId="6074" xr:uid="{7E3933C6-8907-4B32-8FD8-8C9F83DFFEB6}"/>
    <cellStyle name="40% - Accent3 2 3 8 2" xfId="16022" xr:uid="{9BEE57D6-5558-4B13-8635-DF2FD7EA3D0D}"/>
    <cellStyle name="40% - Accent3 2 3 9" xfId="6903" xr:uid="{14842846-2275-4A23-8E7B-B1456EE95360}"/>
    <cellStyle name="40% - Accent3 2 3 9 2" xfId="16851" xr:uid="{415193CA-D81F-488D-8DCC-C089A4422D72}"/>
    <cellStyle name="40% - Accent3 2 4" xfId="643" xr:uid="{00000000-0005-0000-0000-000088000000}"/>
    <cellStyle name="40% - Accent3 2 4 10" xfId="8974" xr:uid="{42651030-E852-4EAD-81DB-0F1528216466}"/>
    <cellStyle name="40% - Accent3 2 4 10 2" xfId="18922" xr:uid="{4A3D5488-F5AE-4130-BCC0-4F3645C6EB2F}"/>
    <cellStyle name="40% - Accent3 2 4 11" xfId="9803" xr:uid="{3662F3CD-6576-48EB-BF1E-698ECEC34706}"/>
    <cellStyle name="40% - Accent3 2 4 11 2" xfId="19751" xr:uid="{1D8554C0-852C-4657-9A38-1F8FED3DDC72}"/>
    <cellStyle name="40% - Accent3 2 4 12" xfId="10632" xr:uid="{5347E293-3183-4924-B60C-9783909D7A8D}"/>
    <cellStyle name="40% - Accent3 2 4 12 2" xfId="20580" xr:uid="{EE0F2A88-278A-4DD5-9F57-C06B807671A2}"/>
    <cellStyle name="40% - Accent3 2 4 13" xfId="1513" xr:uid="{2AE29A18-8CD5-4FE5-B3FE-B3B0B9184711}"/>
    <cellStyle name="40% - Accent3 2 4 14" xfId="11461" xr:uid="{30CC33D2-76AF-4110-AE40-231CB58D0837}"/>
    <cellStyle name="40% - Accent3 2 4 2" xfId="2342" xr:uid="{88E546BF-C555-48AD-84B0-B33DCDFC4226}"/>
    <cellStyle name="40% - Accent3 2 4 2 2" xfId="12290" xr:uid="{36BA4137-4972-44AF-A062-8E731E188570}"/>
    <cellStyle name="40% - Accent3 2 4 3" xfId="3171" xr:uid="{BDAFEC18-66ED-4A65-A174-B0FF96C50B8E}"/>
    <cellStyle name="40% - Accent3 2 4 3 2" xfId="13119" xr:uid="{8561B24C-B452-4A19-B5F8-4BCFB73C8D4A}"/>
    <cellStyle name="40% - Accent3 2 4 4" xfId="4000" xr:uid="{0F9E7B48-F791-49A2-B058-A773E2142F76}"/>
    <cellStyle name="40% - Accent3 2 4 4 2" xfId="13948" xr:uid="{1ADDE38F-D9D0-41C7-8D98-A2A27A886C70}"/>
    <cellStyle name="40% - Accent3 2 4 5" xfId="4829" xr:uid="{77FAFE0E-7455-4256-91C5-D881E058CA70}"/>
    <cellStyle name="40% - Accent3 2 4 5 2" xfId="14777" xr:uid="{D29DD764-A7A9-4074-AD43-0DBD28345B3D}"/>
    <cellStyle name="40% - Accent3 2 4 6" xfId="5658" xr:uid="{85BB2013-14A6-4857-A5A9-553419C164E0}"/>
    <cellStyle name="40% - Accent3 2 4 6 2" xfId="15606" xr:uid="{F481C34A-0C67-49D5-9DA0-26DFF098B45B}"/>
    <cellStyle name="40% - Accent3 2 4 7" xfId="6487" xr:uid="{44C21073-68A7-446C-92B6-68B07E154893}"/>
    <cellStyle name="40% - Accent3 2 4 7 2" xfId="16435" xr:uid="{632BBA16-100C-4F04-86AD-211224BD4BF0}"/>
    <cellStyle name="40% - Accent3 2 4 8" xfId="7316" xr:uid="{1F6798FC-279C-45B1-A803-362E9BEB26D3}"/>
    <cellStyle name="40% - Accent3 2 4 8 2" xfId="17264" xr:uid="{FA3DF80A-348D-4D4E-96EB-E4B80086B8A5}"/>
    <cellStyle name="40% - Accent3 2 4 9" xfId="8145" xr:uid="{3A93B424-C7AD-46F9-B3DC-F68AFF2CE91B}"/>
    <cellStyle name="40% - Accent3 2 4 9 2" xfId="18093" xr:uid="{B29D9C46-C308-4CB7-B348-2484E2982CAC}"/>
    <cellStyle name="40% - Accent3 2 5" xfId="1926" xr:uid="{F5128903-5F9B-4932-BCE5-2E27A531B060}"/>
    <cellStyle name="40% - Accent3 2 5 2" xfId="11874" xr:uid="{04CF50C1-8201-4A7D-9498-4D30B7361885}"/>
    <cellStyle name="40% - Accent3 2 6" xfId="2755" xr:uid="{8B907524-B013-40BA-9480-5413CD74F1FB}"/>
    <cellStyle name="40% - Accent3 2 6 2" xfId="12703" xr:uid="{B35159E9-EF08-4075-B5FF-F71A9338C004}"/>
    <cellStyle name="40% - Accent3 2 7" xfId="3584" xr:uid="{07F41CEE-6F94-4895-AEBE-946E0F789C73}"/>
    <cellStyle name="40% - Accent3 2 7 2" xfId="13532" xr:uid="{9BBC1826-78EE-48B4-AE49-ECA9DB2185E0}"/>
    <cellStyle name="40% - Accent3 2 8" xfId="4413" xr:uid="{59577BF0-826B-4F7F-A0BA-3D5ABF5E6778}"/>
    <cellStyle name="40% - Accent3 2 8 2" xfId="14361" xr:uid="{E19ECC37-3C26-413A-B82A-AE38EDEC5F49}"/>
    <cellStyle name="40% - Accent3 2 9" xfId="5242" xr:uid="{25664561-E072-4821-8D9F-87C9B6A62E64}"/>
    <cellStyle name="40% - Accent3 2 9 2" xfId="15190" xr:uid="{8456F1E9-09B5-419E-8921-9D4124CA93CB}"/>
    <cellStyle name="40% - Accent3 3" xfId="70" xr:uid="{00000000-0005-0000-0000-000089000000}"/>
    <cellStyle name="40% - Accent3 3 10" xfId="6904" xr:uid="{B2586248-C1FE-4F38-9950-16C0019319EC}"/>
    <cellStyle name="40% - Accent3 3 10 2" xfId="16852" xr:uid="{0179AE72-DD67-4DE1-B67A-2F1807A64993}"/>
    <cellStyle name="40% - Accent3 3 11" xfId="7733" xr:uid="{9E62E3B3-A485-4087-A206-061A80E6FDE6}"/>
    <cellStyle name="40% - Accent3 3 11 2" xfId="17681" xr:uid="{64ECDE65-E437-414D-A35D-A78352D1929C}"/>
    <cellStyle name="40% - Accent3 3 12" xfId="8562" xr:uid="{0E301E63-165D-43DC-AE52-77DCE4C1AFBC}"/>
    <cellStyle name="40% - Accent3 3 12 2" xfId="18510" xr:uid="{22AD59E4-F1B5-471B-8185-DE33CC7EDFFE}"/>
    <cellStyle name="40% - Accent3 3 13" xfId="9391" xr:uid="{7AC946F3-D3D2-424C-B4BA-9B0B4700EE4F}"/>
    <cellStyle name="40% - Accent3 3 13 2" xfId="19339" xr:uid="{7DD2D5D7-F1AE-4CDE-B0D5-F9205945CD12}"/>
    <cellStyle name="40% - Accent3 3 14" xfId="10220" xr:uid="{6B742B07-C968-4AD4-BD5A-D9630C3F2C8F}"/>
    <cellStyle name="40% - Accent3 3 14 2" xfId="20168" xr:uid="{6D13F519-5DED-4A47-B8BD-DD750D301B8F}"/>
    <cellStyle name="40% - Accent3 3 15" xfId="1101" xr:uid="{06FBBFA6-430C-49BB-8AE3-A97D04CB3AB0}"/>
    <cellStyle name="40% - Accent3 3 16" xfId="11049" xr:uid="{226BEA56-9813-4E58-8249-454484E411D9}"/>
    <cellStyle name="40% - Accent3 3 2" xfId="71" xr:uid="{00000000-0005-0000-0000-00008A000000}"/>
    <cellStyle name="40% - Accent3 3 2 10" xfId="7734" xr:uid="{6101B90E-6230-4BE5-B5AA-CAFC039C8DA6}"/>
    <cellStyle name="40% - Accent3 3 2 10 2" xfId="17682" xr:uid="{6608E600-C849-486B-8A38-5B0D616CE697}"/>
    <cellStyle name="40% - Accent3 3 2 11" xfId="8563" xr:uid="{BD64A400-6603-4C9C-8458-5ADF325EE8BB}"/>
    <cellStyle name="40% - Accent3 3 2 11 2" xfId="18511" xr:uid="{038F1A1E-23F0-4036-B301-DAC69D4E854E}"/>
    <cellStyle name="40% - Accent3 3 2 12" xfId="9392" xr:uid="{10934059-F03A-401A-A483-607B24C99202}"/>
    <cellStyle name="40% - Accent3 3 2 12 2" xfId="19340" xr:uid="{B0A0E43C-F697-450F-82A0-4C50E2DD7C04}"/>
    <cellStyle name="40% - Accent3 3 2 13" xfId="10221" xr:uid="{714C8356-AA99-437C-A5A9-DFEE965B81FB}"/>
    <cellStyle name="40% - Accent3 3 2 13 2" xfId="20169" xr:uid="{6113892D-1FE7-4A34-AD93-025C12E671B1}"/>
    <cellStyle name="40% - Accent3 3 2 14" xfId="1102" xr:uid="{2C0EFF8D-20C4-40EE-B08D-1FEFEB862ED8}"/>
    <cellStyle name="40% - Accent3 3 2 15" xfId="11050" xr:uid="{7F9EFA09-D051-4E4E-AE84-DE17CC887442}"/>
    <cellStyle name="40% - Accent3 3 2 2" xfId="648" xr:uid="{00000000-0005-0000-0000-00008B000000}"/>
    <cellStyle name="40% - Accent3 3 2 2 10" xfId="8979" xr:uid="{E71CCB27-2E41-48CF-86CA-4CB530025640}"/>
    <cellStyle name="40% - Accent3 3 2 2 10 2" xfId="18927" xr:uid="{4D2A2921-2CA9-4868-9DE0-DAB76246FF40}"/>
    <cellStyle name="40% - Accent3 3 2 2 11" xfId="9808" xr:uid="{119C0B98-64A2-4ECA-9EDE-B99451978B98}"/>
    <cellStyle name="40% - Accent3 3 2 2 11 2" xfId="19756" xr:uid="{57D7765D-8DCF-4023-A9B3-4D015AD45574}"/>
    <cellStyle name="40% - Accent3 3 2 2 12" xfId="10637" xr:uid="{CF80C748-EA42-4BBE-AEDB-1FD872EF1F53}"/>
    <cellStyle name="40% - Accent3 3 2 2 12 2" xfId="20585" xr:uid="{F2D1A508-4A10-4ABE-8051-ECB94E8F009E}"/>
    <cellStyle name="40% - Accent3 3 2 2 13" xfId="1518" xr:uid="{1972E68B-615B-4D50-AEEA-F65893897A86}"/>
    <cellStyle name="40% - Accent3 3 2 2 14" xfId="11466" xr:uid="{35F0F624-1925-482B-A982-54069DF2AA5F}"/>
    <cellStyle name="40% - Accent3 3 2 2 2" xfId="2347" xr:uid="{A3AA8806-DA03-49CD-8172-00979C1EE17E}"/>
    <cellStyle name="40% - Accent3 3 2 2 2 2" xfId="12295" xr:uid="{4F91EFAF-17C6-4D15-9B60-1E8F9AA3C32B}"/>
    <cellStyle name="40% - Accent3 3 2 2 3" xfId="3176" xr:uid="{5F3B17B4-7D56-4915-8052-96E40CC45186}"/>
    <cellStyle name="40% - Accent3 3 2 2 3 2" xfId="13124" xr:uid="{BE944AAB-FBB7-4B77-9ED6-3F35C1A2BEFA}"/>
    <cellStyle name="40% - Accent3 3 2 2 4" xfId="4005" xr:uid="{A1564137-27B7-4760-A49D-E1155AF3B752}"/>
    <cellStyle name="40% - Accent3 3 2 2 4 2" xfId="13953" xr:uid="{DAEE5392-AD4A-4AE0-A5C6-306107054D07}"/>
    <cellStyle name="40% - Accent3 3 2 2 5" xfId="4834" xr:uid="{D92F3B98-DB7A-4F15-9F88-88F4CB55BFAB}"/>
    <cellStyle name="40% - Accent3 3 2 2 5 2" xfId="14782" xr:uid="{41589AA5-489D-4496-BB92-83B9D837FEE9}"/>
    <cellStyle name="40% - Accent3 3 2 2 6" xfId="5663" xr:uid="{0DDABFF8-D4CF-4741-B61C-0F1C41F49E58}"/>
    <cellStyle name="40% - Accent3 3 2 2 6 2" xfId="15611" xr:uid="{E4AC1284-6091-467B-90D2-75AEEA7253E4}"/>
    <cellStyle name="40% - Accent3 3 2 2 7" xfId="6492" xr:uid="{7BB9B8AE-6915-4ED6-80E2-1CD6B95A0112}"/>
    <cellStyle name="40% - Accent3 3 2 2 7 2" xfId="16440" xr:uid="{8E1F2CB7-9451-4D1A-A48E-B718D985708D}"/>
    <cellStyle name="40% - Accent3 3 2 2 8" xfId="7321" xr:uid="{F72BD27E-F496-4D00-A07C-BDAF76417715}"/>
    <cellStyle name="40% - Accent3 3 2 2 8 2" xfId="17269" xr:uid="{BE343905-F328-4F00-8AAB-B203122FB2AE}"/>
    <cellStyle name="40% - Accent3 3 2 2 9" xfId="8150" xr:uid="{5F81B3C7-90AF-4AA9-B38A-43E73E4F5F8B}"/>
    <cellStyle name="40% - Accent3 3 2 2 9 2" xfId="18098" xr:uid="{FD5A4726-3504-4371-990E-E312B6F1F592}"/>
    <cellStyle name="40% - Accent3 3 2 3" xfId="1931" xr:uid="{266D7BF4-1B13-4FF3-82F3-F7C245AB8C8A}"/>
    <cellStyle name="40% - Accent3 3 2 3 2" xfId="11879" xr:uid="{09FB4CBA-468E-4F63-B051-98148B6F06F4}"/>
    <cellStyle name="40% - Accent3 3 2 4" xfId="2760" xr:uid="{23A8C7E3-3407-4C60-B3F9-5A4B397E8405}"/>
    <cellStyle name="40% - Accent3 3 2 4 2" xfId="12708" xr:uid="{6CC42866-64A1-4685-BFBF-6141A74FAE40}"/>
    <cellStyle name="40% - Accent3 3 2 5" xfId="3589" xr:uid="{834656EB-CA6A-40CD-B49C-9E73332A753C}"/>
    <cellStyle name="40% - Accent3 3 2 5 2" xfId="13537" xr:uid="{5BEEAF8E-27FA-4E5A-83F6-F130F75492FE}"/>
    <cellStyle name="40% - Accent3 3 2 6" xfId="4418" xr:uid="{81350FFD-C5E6-4786-A318-7D5DCB8F1A17}"/>
    <cellStyle name="40% - Accent3 3 2 6 2" xfId="14366" xr:uid="{9991B465-E04C-46F0-9AC4-56DEDE32FC40}"/>
    <cellStyle name="40% - Accent3 3 2 7" xfId="5247" xr:uid="{76510F64-3615-4344-8715-088244A67202}"/>
    <cellStyle name="40% - Accent3 3 2 7 2" xfId="15195" xr:uid="{782BC3CA-8C10-432E-9937-F46459E7BF9B}"/>
    <cellStyle name="40% - Accent3 3 2 8" xfId="6076" xr:uid="{19B0559A-4010-4024-AF0C-244E9CD22419}"/>
    <cellStyle name="40% - Accent3 3 2 8 2" xfId="16024" xr:uid="{5519882D-026A-47DD-A472-DE4B9B6431AF}"/>
    <cellStyle name="40% - Accent3 3 2 9" xfId="6905" xr:uid="{0B593DE9-046D-4769-B6E9-4C682497D7A6}"/>
    <cellStyle name="40% - Accent3 3 2 9 2" xfId="16853" xr:uid="{6C61D059-1BA7-4541-88C4-3F8DA391CB6C}"/>
    <cellStyle name="40% - Accent3 3 3" xfId="647" xr:uid="{00000000-0005-0000-0000-00008C000000}"/>
    <cellStyle name="40% - Accent3 3 3 10" xfId="8978" xr:uid="{171A81F0-F71E-4B20-8653-5E1E4A0543A2}"/>
    <cellStyle name="40% - Accent3 3 3 10 2" xfId="18926" xr:uid="{60071903-624E-4F3C-9539-E3106AE0A7C3}"/>
    <cellStyle name="40% - Accent3 3 3 11" xfId="9807" xr:uid="{E082FF75-71C8-4AAE-AB1A-A06B5F56D6F4}"/>
    <cellStyle name="40% - Accent3 3 3 11 2" xfId="19755" xr:uid="{DE7E9053-A73C-42B2-9568-8B7E2388752D}"/>
    <cellStyle name="40% - Accent3 3 3 12" xfId="10636" xr:uid="{9044BDC4-42A1-4B06-934E-49DCAAA50C20}"/>
    <cellStyle name="40% - Accent3 3 3 12 2" xfId="20584" xr:uid="{2944DA8A-7774-4679-A297-15E5D2F26FCD}"/>
    <cellStyle name="40% - Accent3 3 3 13" xfId="1517" xr:uid="{CB16FB71-092A-493C-A6CC-A8DE93D0AC46}"/>
    <cellStyle name="40% - Accent3 3 3 14" xfId="11465" xr:uid="{4EE038A3-1689-4006-A809-9A5769784984}"/>
    <cellStyle name="40% - Accent3 3 3 2" xfId="2346" xr:uid="{69BEA720-6E8B-487C-ADD0-136D7C641D5F}"/>
    <cellStyle name="40% - Accent3 3 3 2 2" xfId="12294" xr:uid="{E73B0544-5714-40B1-8228-CFF0A4FE37DC}"/>
    <cellStyle name="40% - Accent3 3 3 3" xfId="3175" xr:uid="{CA1AFB43-5624-422B-AFD3-B35AC0227838}"/>
    <cellStyle name="40% - Accent3 3 3 3 2" xfId="13123" xr:uid="{EFF3D742-5260-4A0A-953B-8DF4C6A624DF}"/>
    <cellStyle name="40% - Accent3 3 3 4" xfId="4004" xr:uid="{057858D9-64A6-4768-9BD2-89CD4D383D74}"/>
    <cellStyle name="40% - Accent3 3 3 4 2" xfId="13952" xr:uid="{2B0E1F9C-3F55-4054-97F8-FD84209AF4DF}"/>
    <cellStyle name="40% - Accent3 3 3 5" xfId="4833" xr:uid="{6A8DF77B-0660-4FD5-B24F-B78608818A91}"/>
    <cellStyle name="40% - Accent3 3 3 5 2" xfId="14781" xr:uid="{84406ED5-EBF1-43D7-843E-308192F9E1D6}"/>
    <cellStyle name="40% - Accent3 3 3 6" xfId="5662" xr:uid="{A7A830B4-D425-43C0-B91A-FD4571505880}"/>
    <cellStyle name="40% - Accent3 3 3 6 2" xfId="15610" xr:uid="{6EC2C589-EAA8-426F-A08D-2362BA7D3C01}"/>
    <cellStyle name="40% - Accent3 3 3 7" xfId="6491" xr:uid="{55FC0051-6744-4AFD-BAB9-7AA7002E29C7}"/>
    <cellStyle name="40% - Accent3 3 3 7 2" xfId="16439" xr:uid="{4E9B9040-E8DC-4C0E-B23B-B6366EB93882}"/>
    <cellStyle name="40% - Accent3 3 3 8" xfId="7320" xr:uid="{78381568-F8A1-4EF7-860C-368FBCC28F78}"/>
    <cellStyle name="40% - Accent3 3 3 8 2" xfId="17268" xr:uid="{7E6F6DCA-92D9-4344-84EA-448EAE4E0978}"/>
    <cellStyle name="40% - Accent3 3 3 9" xfId="8149" xr:uid="{4F7DF82C-88DF-4137-9F84-9AF9C40F257D}"/>
    <cellStyle name="40% - Accent3 3 3 9 2" xfId="18097" xr:uid="{775C2A48-134E-407E-902D-739CCFCC5A9C}"/>
    <cellStyle name="40% - Accent3 3 4" xfId="1930" xr:uid="{824949D4-6145-4912-90F2-9B4DC9ACC38A}"/>
    <cellStyle name="40% - Accent3 3 4 2" xfId="11878" xr:uid="{71B3CCBC-4923-4B05-94E4-5373C23D8660}"/>
    <cellStyle name="40% - Accent3 3 5" xfId="2759" xr:uid="{D22942B4-8348-441E-82B8-603078357218}"/>
    <cellStyle name="40% - Accent3 3 5 2" xfId="12707" xr:uid="{5BB575B1-78D3-48EB-BA6B-6205C5082072}"/>
    <cellStyle name="40% - Accent3 3 6" xfId="3588" xr:uid="{13678F08-7712-4C27-9824-55ED1CA30718}"/>
    <cellStyle name="40% - Accent3 3 6 2" xfId="13536" xr:uid="{4B5EB232-C4CC-4425-BE83-9A3DE73A2EEE}"/>
    <cellStyle name="40% - Accent3 3 7" xfId="4417" xr:uid="{3AEF0539-73C0-4201-B694-11035F219891}"/>
    <cellStyle name="40% - Accent3 3 7 2" xfId="14365" xr:uid="{D3789179-EF44-4EBB-8F38-452CA95D495E}"/>
    <cellStyle name="40% - Accent3 3 8" xfId="5246" xr:uid="{4734D1B0-3F94-4494-9E9F-2B33E025D334}"/>
    <cellStyle name="40% - Accent3 3 8 2" xfId="15194" xr:uid="{820397D3-82C9-487E-95B5-C9075DAED1E9}"/>
    <cellStyle name="40% - Accent3 3 9" xfId="6075" xr:uid="{BCB87418-4635-4A95-8B41-C98723E7DAFE}"/>
    <cellStyle name="40% - Accent3 3 9 2" xfId="16023" xr:uid="{CA69A8AB-11FE-4120-A8B3-506E9C4AEFAE}"/>
    <cellStyle name="40% - Accent3 4" xfId="72" xr:uid="{00000000-0005-0000-0000-00008D000000}"/>
    <cellStyle name="40% - Accent3 4 10" xfId="7735" xr:uid="{04A72829-121D-4784-BCAF-A852ACC0EE87}"/>
    <cellStyle name="40% - Accent3 4 10 2" xfId="17683" xr:uid="{9EACE98E-1948-4A6D-8900-B8CE453618B9}"/>
    <cellStyle name="40% - Accent3 4 11" xfId="8564" xr:uid="{778B31DC-289F-4112-B5E3-4BEDF0CD42C0}"/>
    <cellStyle name="40% - Accent3 4 11 2" xfId="18512" xr:uid="{34BFF1F4-F5F8-4F4F-828E-9EEB2B40F1E3}"/>
    <cellStyle name="40% - Accent3 4 12" xfId="9393" xr:uid="{CF47FD59-EF92-40A8-8E0A-96DE5AC0CEF7}"/>
    <cellStyle name="40% - Accent3 4 12 2" xfId="19341" xr:uid="{CD8FAEE6-D8E5-4A80-A87B-2B2F94B1F73A}"/>
    <cellStyle name="40% - Accent3 4 13" xfId="10222" xr:uid="{56568831-78A4-4C06-8D08-18B039A27D32}"/>
    <cellStyle name="40% - Accent3 4 13 2" xfId="20170" xr:uid="{BAC63A53-3022-468F-A986-C156A7A1D130}"/>
    <cellStyle name="40% - Accent3 4 14" xfId="1103" xr:uid="{294EB907-C109-4920-B524-EB87D106B5FD}"/>
    <cellStyle name="40% - Accent3 4 15" xfId="11051" xr:uid="{55B55D16-FABF-4D00-BD5B-7D015D6D9F6E}"/>
    <cellStyle name="40% - Accent3 4 2" xfId="649" xr:uid="{00000000-0005-0000-0000-00008E000000}"/>
    <cellStyle name="40% - Accent3 4 2 10" xfId="8980" xr:uid="{FBCACB31-AFE8-4D55-A541-9E393D8695FC}"/>
    <cellStyle name="40% - Accent3 4 2 10 2" xfId="18928" xr:uid="{02871FBC-F1E3-4744-979F-DA4643B1F1DA}"/>
    <cellStyle name="40% - Accent3 4 2 11" xfId="9809" xr:uid="{B6B42EE8-D63E-475D-AC04-CC6624437FE9}"/>
    <cellStyle name="40% - Accent3 4 2 11 2" xfId="19757" xr:uid="{4E25F506-7403-466C-873E-7BDF4D792ECB}"/>
    <cellStyle name="40% - Accent3 4 2 12" xfId="10638" xr:uid="{4AB5F82B-7B42-431B-BB29-331F813BBAE8}"/>
    <cellStyle name="40% - Accent3 4 2 12 2" xfId="20586" xr:uid="{E18C587A-5DE6-4D72-9F16-4454E14661F9}"/>
    <cellStyle name="40% - Accent3 4 2 13" xfId="1519" xr:uid="{0557CD3C-74A8-4049-A870-F08E957D88A2}"/>
    <cellStyle name="40% - Accent3 4 2 14" xfId="11467" xr:uid="{42AB650A-03B7-48E3-978E-C712A89F047F}"/>
    <cellStyle name="40% - Accent3 4 2 2" xfId="2348" xr:uid="{0CB8FF05-84BE-4708-A712-BEFABD9CEE83}"/>
    <cellStyle name="40% - Accent3 4 2 2 2" xfId="12296" xr:uid="{CF8E7282-BAFF-41F2-9274-9C90AD3878F2}"/>
    <cellStyle name="40% - Accent3 4 2 3" xfId="3177" xr:uid="{29957292-AB08-4223-BF2A-EB8FBB30314B}"/>
    <cellStyle name="40% - Accent3 4 2 3 2" xfId="13125" xr:uid="{3D94B4E3-7E46-4BCF-BBE7-23C2F6F7C19C}"/>
    <cellStyle name="40% - Accent3 4 2 4" xfId="4006" xr:uid="{F864998C-08D6-48EA-BDE4-1AA395188B0B}"/>
    <cellStyle name="40% - Accent3 4 2 4 2" xfId="13954" xr:uid="{BB62C7E6-C1DD-49E3-B343-93C190907ED8}"/>
    <cellStyle name="40% - Accent3 4 2 5" xfId="4835" xr:uid="{898CC792-C98E-4206-A0FC-2B7305B569C4}"/>
    <cellStyle name="40% - Accent3 4 2 5 2" xfId="14783" xr:uid="{6A7D4B11-CA99-4BD5-A3C7-17013844B73A}"/>
    <cellStyle name="40% - Accent3 4 2 6" xfId="5664" xr:uid="{097868FB-01C8-418E-AE9D-6870C3FC77F7}"/>
    <cellStyle name="40% - Accent3 4 2 6 2" xfId="15612" xr:uid="{747D21EA-862F-4DAF-B563-B1348F87C10D}"/>
    <cellStyle name="40% - Accent3 4 2 7" xfId="6493" xr:uid="{10C49ED1-B5EB-490B-8FA5-0BD81695B2D4}"/>
    <cellStyle name="40% - Accent3 4 2 7 2" xfId="16441" xr:uid="{7D1AAA2F-C12C-47E9-87D3-9B14F55E7A0B}"/>
    <cellStyle name="40% - Accent3 4 2 8" xfId="7322" xr:uid="{5812F1E1-5CDF-4E77-A020-9323DC6C1093}"/>
    <cellStyle name="40% - Accent3 4 2 8 2" xfId="17270" xr:uid="{1788EB44-8619-4294-8C86-0E6412A24746}"/>
    <cellStyle name="40% - Accent3 4 2 9" xfId="8151" xr:uid="{9758C16A-A248-4557-936E-8C302F11412E}"/>
    <cellStyle name="40% - Accent3 4 2 9 2" xfId="18099" xr:uid="{E384C987-2E21-4C1A-9C30-6674519CC977}"/>
    <cellStyle name="40% - Accent3 4 3" xfId="1932" xr:uid="{D2E93180-7BB8-49AD-86AE-7C1935FAF53A}"/>
    <cellStyle name="40% - Accent3 4 3 2" xfId="11880" xr:uid="{FDB8E328-5A9D-4E46-82AB-309812D499D1}"/>
    <cellStyle name="40% - Accent3 4 4" xfId="2761" xr:uid="{1D8FD40F-6B35-4138-82B7-AC77CD377185}"/>
    <cellStyle name="40% - Accent3 4 4 2" xfId="12709" xr:uid="{9A5120F8-0623-4C4A-B884-318090EFED46}"/>
    <cellStyle name="40% - Accent3 4 5" xfId="3590" xr:uid="{440E0BF3-7E45-4335-A78F-DA6A7BB3C15C}"/>
    <cellStyle name="40% - Accent3 4 5 2" xfId="13538" xr:uid="{471638E2-E1C8-4E5F-97EC-F3110B61629C}"/>
    <cellStyle name="40% - Accent3 4 6" xfId="4419" xr:uid="{0BF199F4-0132-4EC9-93A3-05150A0E26B4}"/>
    <cellStyle name="40% - Accent3 4 6 2" xfId="14367" xr:uid="{68217CE6-528A-4D56-BF96-D8501E48F02D}"/>
    <cellStyle name="40% - Accent3 4 7" xfId="5248" xr:uid="{FDD0774E-FBD7-4316-892E-3E2C5463474D}"/>
    <cellStyle name="40% - Accent3 4 7 2" xfId="15196" xr:uid="{718B7922-FFCF-4710-A804-816E6B949F11}"/>
    <cellStyle name="40% - Accent3 4 8" xfId="6077" xr:uid="{D291387E-D181-4F60-B8D5-883D0CEAB28E}"/>
    <cellStyle name="40% - Accent3 4 8 2" xfId="16025" xr:uid="{27921C07-1D72-47CC-BF5C-DABA2C2B17BB}"/>
    <cellStyle name="40% - Accent3 4 9" xfId="6906" xr:uid="{DA9509FA-195A-4835-856E-1FD8A5D1C433}"/>
    <cellStyle name="40% - Accent3 4 9 2" xfId="16854" xr:uid="{715A9F96-88B4-4D19-8BE8-7F850F415DEE}"/>
    <cellStyle name="40% - Accent3 5" xfId="642" xr:uid="{00000000-0005-0000-0000-00008F000000}"/>
    <cellStyle name="40% - Accent3 5 10" xfId="8973" xr:uid="{0B831C1D-179F-4C27-A133-C0892B529892}"/>
    <cellStyle name="40% - Accent3 5 10 2" xfId="18921" xr:uid="{C23EF836-A6C3-4FD1-BF52-64866A73B46A}"/>
    <cellStyle name="40% - Accent3 5 11" xfId="9802" xr:uid="{29AC2D9F-2A15-4B7C-8BEF-0D1FD6E171DE}"/>
    <cellStyle name="40% - Accent3 5 11 2" xfId="19750" xr:uid="{EE94DD52-E524-4377-81B2-E98B5F128168}"/>
    <cellStyle name="40% - Accent3 5 12" xfId="10631" xr:uid="{39679564-9816-453D-99E4-21A916F93F04}"/>
    <cellStyle name="40% - Accent3 5 12 2" xfId="20579" xr:uid="{C70AAB7D-0570-49CB-AAD8-744C4C75CA8D}"/>
    <cellStyle name="40% - Accent3 5 13" xfId="1512" xr:uid="{D2082ACE-823C-400D-88E2-1548D4197CBE}"/>
    <cellStyle name="40% - Accent3 5 14" xfId="11460" xr:uid="{277C041E-931E-4F59-822D-1F4159E9D81F}"/>
    <cellStyle name="40% - Accent3 5 2" xfId="2341" xr:uid="{815204D2-18F5-499F-AD57-3C4625CFF65B}"/>
    <cellStyle name="40% - Accent3 5 2 2" xfId="12289" xr:uid="{291AFBFA-F0EC-4C68-85EC-9C72089376B0}"/>
    <cellStyle name="40% - Accent3 5 3" xfId="3170" xr:uid="{12B97A54-61C0-433C-B19C-9D691398DA08}"/>
    <cellStyle name="40% - Accent3 5 3 2" xfId="13118" xr:uid="{746DD29F-D22A-4BCB-9B71-1B06CC6C7B1C}"/>
    <cellStyle name="40% - Accent3 5 4" xfId="3999" xr:uid="{6FD86DA6-5FE5-48FC-9289-A3DCBAFCE06F}"/>
    <cellStyle name="40% - Accent3 5 4 2" xfId="13947" xr:uid="{451153D2-7181-439D-AEEC-BAEB2305C09A}"/>
    <cellStyle name="40% - Accent3 5 5" xfId="4828" xr:uid="{0A4769F1-D7A4-4099-81D6-1705BB720391}"/>
    <cellStyle name="40% - Accent3 5 5 2" xfId="14776" xr:uid="{A8CBB534-66C3-4912-AE44-D4CAB1990F2B}"/>
    <cellStyle name="40% - Accent3 5 6" xfId="5657" xr:uid="{9817361C-3A80-4D30-B909-3A8F08340036}"/>
    <cellStyle name="40% - Accent3 5 6 2" xfId="15605" xr:uid="{D34B0ACC-2362-44F4-9198-99BF629C16DB}"/>
    <cellStyle name="40% - Accent3 5 7" xfId="6486" xr:uid="{5FFD322B-0F6E-4BA0-A536-71C77B535CD7}"/>
    <cellStyle name="40% - Accent3 5 7 2" xfId="16434" xr:uid="{AAC77DEF-34FE-401D-8C77-61311912A1DD}"/>
    <cellStyle name="40% - Accent3 5 8" xfId="7315" xr:uid="{85228CE1-ED9E-4F49-B873-A37887F25281}"/>
    <cellStyle name="40% - Accent3 5 8 2" xfId="17263" xr:uid="{A82C0B0C-D6C3-46E0-A25A-7D7C91082279}"/>
    <cellStyle name="40% - Accent3 5 9" xfId="8144" xr:uid="{C634E45C-DC69-44A7-8ECC-C8BB4FABDD11}"/>
    <cellStyle name="40% - Accent3 5 9 2" xfId="18092" xr:uid="{1C7919C2-ACAE-4FA2-9659-7017C2AC3261}"/>
    <cellStyle name="40% - Accent3 6" xfId="1925" xr:uid="{ABF914FB-36A9-49EA-9196-AD2FA7A47E0F}"/>
    <cellStyle name="40% - Accent3 6 2" xfId="11873" xr:uid="{38182F30-0F5E-44E6-97EB-5E97FFE9C51B}"/>
    <cellStyle name="40% - Accent3 7" xfId="2754" xr:uid="{ABF6EEDC-551F-4ADB-B869-20C694F72204}"/>
    <cellStyle name="40% - Accent3 7 2" xfId="12702" xr:uid="{895E526C-A854-409C-A47A-8364C56B3B8D}"/>
    <cellStyle name="40% - Accent3 8" xfId="3583" xr:uid="{C0091909-7707-4777-8FC6-FBFEF9BCE332}"/>
    <cellStyle name="40% - Accent3 8 2" xfId="13531" xr:uid="{C64B0E30-217A-44B8-B9F6-34EBF45BCE1B}"/>
    <cellStyle name="40% - Accent3 9" xfId="4412" xr:uid="{F37C218D-9EAE-4829-87C0-9717ED4D04AA}"/>
    <cellStyle name="40% - Accent3 9 2" xfId="14360" xr:uid="{196E43D7-AD81-4390-8B34-D53B26408CEE}"/>
    <cellStyle name="40% - Accent4" xfId="73" builtinId="43" customBuiltin="1"/>
    <cellStyle name="40% - Accent4 10" xfId="5249" xr:uid="{C945157E-BC95-4867-AE54-86DAE8D54D16}"/>
    <cellStyle name="40% - Accent4 10 2" xfId="15197" xr:uid="{A90B571F-83F0-4E9C-A560-CAEF14F15116}"/>
    <cellStyle name="40% - Accent4 11" xfId="6078" xr:uid="{0C618297-9968-4E1F-A0E0-4CAADF36B0B0}"/>
    <cellStyle name="40% - Accent4 11 2" xfId="16026" xr:uid="{9800A95F-463B-4301-B97A-B9E0E04E624A}"/>
    <cellStyle name="40% - Accent4 12" xfId="6907" xr:uid="{D8FC734C-7DEA-4C9E-8B50-E545DABE3A4C}"/>
    <cellStyle name="40% - Accent4 12 2" xfId="16855" xr:uid="{B583D38C-3570-421F-AD8E-5997FB444068}"/>
    <cellStyle name="40% - Accent4 13" xfId="7736" xr:uid="{71C0A2A4-C355-40DD-A8BB-A168B0B9E8AB}"/>
    <cellStyle name="40% - Accent4 13 2" xfId="17684" xr:uid="{AA273C74-5E3F-483B-BD9F-19566DB0F8C8}"/>
    <cellStyle name="40% - Accent4 14" xfId="8565" xr:uid="{1EFB9D62-D5B5-4A4A-8B98-FD4E29B701D6}"/>
    <cellStyle name="40% - Accent4 14 2" xfId="18513" xr:uid="{8691FE6C-6C03-43BF-B5DC-EF9979C48642}"/>
    <cellStyle name="40% - Accent4 15" xfId="9394" xr:uid="{94FD83BE-6948-4917-8F9E-A67BE3F21FE4}"/>
    <cellStyle name="40% - Accent4 15 2" xfId="19342" xr:uid="{AEF12733-B1DC-47FC-A7D5-ACDEF3EBF2A2}"/>
    <cellStyle name="40% - Accent4 16" xfId="10223" xr:uid="{1FC92A1B-67DF-417A-829F-7A91BB08D669}"/>
    <cellStyle name="40% - Accent4 16 2" xfId="20171" xr:uid="{CBEE1147-ADAB-4935-9C72-29E80B965BFC}"/>
    <cellStyle name="40% - Accent4 17" xfId="1104" xr:uid="{A08DAB64-9EE5-4E0C-BCE6-1DA78F0943EB}"/>
    <cellStyle name="40% - Accent4 18" xfId="11052" xr:uid="{75B65C11-0722-4A86-951F-6A3B0E4CF6F5}"/>
    <cellStyle name="40% - Accent4 2" xfId="74" xr:uid="{00000000-0005-0000-0000-000091000000}"/>
    <cellStyle name="40% - Accent4 2 10" xfId="6079" xr:uid="{1AE5FFBB-6DF4-49E4-B444-43339F000E0A}"/>
    <cellStyle name="40% - Accent4 2 10 2" xfId="16027" xr:uid="{F01CC561-69EB-409D-99C9-C7D3F587308B}"/>
    <cellStyle name="40% - Accent4 2 11" xfId="6908" xr:uid="{94ADFE11-0205-4E36-BD4F-3F9E48FB2FCC}"/>
    <cellStyle name="40% - Accent4 2 11 2" xfId="16856" xr:uid="{C418EBD8-CF74-4D7A-9711-A850E4E80D21}"/>
    <cellStyle name="40% - Accent4 2 12" xfId="7737" xr:uid="{E0911382-0DFE-4A65-B583-F814F8E09A7B}"/>
    <cellStyle name="40% - Accent4 2 12 2" xfId="17685" xr:uid="{7A105817-977E-49EF-B954-EDB723121722}"/>
    <cellStyle name="40% - Accent4 2 13" xfId="8566" xr:uid="{A6AEF8F0-FDC5-4643-BD61-E42807F916DD}"/>
    <cellStyle name="40% - Accent4 2 13 2" xfId="18514" xr:uid="{6CE01131-E8E4-4707-9383-0C7455EF8722}"/>
    <cellStyle name="40% - Accent4 2 14" xfId="9395" xr:uid="{75AF94FB-EDB2-413C-90C9-3F21820DC3D5}"/>
    <cellStyle name="40% - Accent4 2 14 2" xfId="19343" xr:uid="{D76259A2-A80B-4381-B1A2-E902A2DB0BE1}"/>
    <cellStyle name="40% - Accent4 2 15" xfId="10224" xr:uid="{460D45B7-B326-4F4D-A47A-8B3FF51652F1}"/>
    <cellStyle name="40% - Accent4 2 15 2" xfId="20172" xr:uid="{6FFD28EC-802A-4595-A069-7CFF8D251C4A}"/>
    <cellStyle name="40% - Accent4 2 16" xfId="1105" xr:uid="{FA547C6D-8C20-46AD-BC15-BAE5AD2090CE}"/>
    <cellStyle name="40% - Accent4 2 17" xfId="11053" xr:uid="{5FD017A1-449C-4C02-8925-5C2875381C3D}"/>
    <cellStyle name="40% - Accent4 2 2" xfId="75" xr:uid="{00000000-0005-0000-0000-000092000000}"/>
    <cellStyle name="40% - Accent4 2 2 10" xfId="6909" xr:uid="{D5C7B858-87A2-4440-9152-AE5DE01AAF4E}"/>
    <cellStyle name="40% - Accent4 2 2 10 2" xfId="16857" xr:uid="{DBB1B654-D86E-45CE-BDA8-8577D56BFE25}"/>
    <cellStyle name="40% - Accent4 2 2 11" xfId="7738" xr:uid="{C9C5B83A-D45A-4E61-AAC6-A560382623FD}"/>
    <cellStyle name="40% - Accent4 2 2 11 2" xfId="17686" xr:uid="{87A90A38-1755-460C-B844-917B3FFA2CA8}"/>
    <cellStyle name="40% - Accent4 2 2 12" xfId="8567" xr:uid="{890D4CEE-51B0-4E38-8DD1-B77F3D24BFB2}"/>
    <cellStyle name="40% - Accent4 2 2 12 2" xfId="18515" xr:uid="{5731FDBF-A708-4336-87F8-2F1CF377A118}"/>
    <cellStyle name="40% - Accent4 2 2 13" xfId="9396" xr:uid="{F4CEAE44-71E0-47E1-AB3E-B3CC3A1EA3A8}"/>
    <cellStyle name="40% - Accent4 2 2 13 2" xfId="19344" xr:uid="{B03BEB6C-5766-4F39-BBFF-65E59985F9BE}"/>
    <cellStyle name="40% - Accent4 2 2 14" xfId="10225" xr:uid="{62D7E3E0-DEE4-4E3E-A1DD-6B2E53C50909}"/>
    <cellStyle name="40% - Accent4 2 2 14 2" xfId="20173" xr:uid="{1B4D3BB1-51A6-43A9-BEB0-AD557187DCB0}"/>
    <cellStyle name="40% - Accent4 2 2 15" xfId="1106" xr:uid="{E8E241AE-09E4-4BA6-BF2E-502A7ABD81A4}"/>
    <cellStyle name="40% - Accent4 2 2 16" xfId="11054" xr:uid="{37137A6B-E801-4D71-80C2-4D2A4CA27F47}"/>
    <cellStyle name="40% - Accent4 2 2 2" xfId="76" xr:uid="{00000000-0005-0000-0000-000093000000}"/>
    <cellStyle name="40% - Accent4 2 2 2 10" xfId="7739" xr:uid="{75C8FF78-99BF-44EB-8436-A99F59E51CE1}"/>
    <cellStyle name="40% - Accent4 2 2 2 10 2" xfId="17687" xr:uid="{ADAB6267-18E8-4360-90A8-DE147C04486B}"/>
    <cellStyle name="40% - Accent4 2 2 2 11" xfId="8568" xr:uid="{8F19152A-41CE-4DCF-AC2D-7CDDDF829C06}"/>
    <cellStyle name="40% - Accent4 2 2 2 11 2" xfId="18516" xr:uid="{A448F7A3-153D-48D6-BFE7-8F42C2B83AD4}"/>
    <cellStyle name="40% - Accent4 2 2 2 12" xfId="9397" xr:uid="{D4A4B398-A7D5-4482-8148-A9AEF0A2703A}"/>
    <cellStyle name="40% - Accent4 2 2 2 12 2" xfId="19345" xr:uid="{240E577D-88B3-4ABF-A925-B3765AD83EE7}"/>
    <cellStyle name="40% - Accent4 2 2 2 13" xfId="10226" xr:uid="{CBC0E468-9975-4CCB-82A2-E387F1BC755A}"/>
    <cellStyle name="40% - Accent4 2 2 2 13 2" xfId="20174" xr:uid="{A9DC329B-FC09-4F5A-9301-B60599B8A1BD}"/>
    <cellStyle name="40% - Accent4 2 2 2 14" xfId="1107" xr:uid="{56779052-883F-45A7-8885-28368B9F2070}"/>
    <cellStyle name="40% - Accent4 2 2 2 15" xfId="11055" xr:uid="{7E477C1A-DD40-4A2C-A040-C6D061F813FF}"/>
    <cellStyle name="40% - Accent4 2 2 2 2" xfId="653" xr:uid="{00000000-0005-0000-0000-000094000000}"/>
    <cellStyle name="40% - Accent4 2 2 2 2 10" xfId="8984" xr:uid="{28EBD5AE-855D-40C2-94F2-D0F4E6F5CD03}"/>
    <cellStyle name="40% - Accent4 2 2 2 2 10 2" xfId="18932" xr:uid="{5935C073-E56C-4A16-BF81-50FF38A7398A}"/>
    <cellStyle name="40% - Accent4 2 2 2 2 11" xfId="9813" xr:uid="{3AE0D399-54B5-4D15-AE1F-FA8ECA1060BD}"/>
    <cellStyle name="40% - Accent4 2 2 2 2 11 2" xfId="19761" xr:uid="{155F16F5-BF55-4319-AB76-E204E39CD791}"/>
    <cellStyle name="40% - Accent4 2 2 2 2 12" xfId="10642" xr:uid="{DA0FC5C1-EE2A-4256-8319-DE5B3077018A}"/>
    <cellStyle name="40% - Accent4 2 2 2 2 12 2" xfId="20590" xr:uid="{AC50F3E2-6251-49BD-8BE2-26811AE7DFD7}"/>
    <cellStyle name="40% - Accent4 2 2 2 2 13" xfId="1523" xr:uid="{AA257D01-F11A-41F6-B843-7814F4C31039}"/>
    <cellStyle name="40% - Accent4 2 2 2 2 14" xfId="11471" xr:uid="{451603E2-8DA4-43D3-9D25-04A734205FE8}"/>
    <cellStyle name="40% - Accent4 2 2 2 2 2" xfId="2352" xr:uid="{6E0FD626-48B4-4AC7-A3A9-FD16BADA9760}"/>
    <cellStyle name="40% - Accent4 2 2 2 2 2 2" xfId="12300" xr:uid="{8ECA67CD-655D-4A69-A55B-81EC892884C5}"/>
    <cellStyle name="40% - Accent4 2 2 2 2 3" xfId="3181" xr:uid="{1A28C94F-93CD-441E-A977-BCBBC230CE6C}"/>
    <cellStyle name="40% - Accent4 2 2 2 2 3 2" xfId="13129" xr:uid="{E7CA2E51-A241-4483-B115-72A99D925C7F}"/>
    <cellStyle name="40% - Accent4 2 2 2 2 4" xfId="4010" xr:uid="{696A4C98-B04C-4C33-9F86-88872A123C8F}"/>
    <cellStyle name="40% - Accent4 2 2 2 2 4 2" xfId="13958" xr:uid="{AD2DC8C7-B987-438E-A485-29D55361D1B5}"/>
    <cellStyle name="40% - Accent4 2 2 2 2 5" xfId="4839" xr:uid="{474C4BBD-B6AC-49A3-8A16-30DCDB0A3D7B}"/>
    <cellStyle name="40% - Accent4 2 2 2 2 5 2" xfId="14787" xr:uid="{FEA6E802-7341-444C-892A-17C78EA9A903}"/>
    <cellStyle name="40% - Accent4 2 2 2 2 6" xfId="5668" xr:uid="{880D655C-DF8B-4E04-8BC9-31864756098C}"/>
    <cellStyle name="40% - Accent4 2 2 2 2 6 2" xfId="15616" xr:uid="{DAB826B4-4B54-44F4-AE5F-5F60957D0760}"/>
    <cellStyle name="40% - Accent4 2 2 2 2 7" xfId="6497" xr:uid="{F82463AA-EFDD-44ED-B54D-043C972BC167}"/>
    <cellStyle name="40% - Accent4 2 2 2 2 7 2" xfId="16445" xr:uid="{1D608F7B-C8C8-4E9F-82A2-4BFEA7417C21}"/>
    <cellStyle name="40% - Accent4 2 2 2 2 8" xfId="7326" xr:uid="{F1C47204-2B86-40E4-B9A9-D7AC771BD78D}"/>
    <cellStyle name="40% - Accent4 2 2 2 2 8 2" xfId="17274" xr:uid="{470B7F7A-38AA-4201-82BF-AE71FA8F5781}"/>
    <cellStyle name="40% - Accent4 2 2 2 2 9" xfId="8155" xr:uid="{2B7BCEC7-8196-430D-AA29-B7276002DD67}"/>
    <cellStyle name="40% - Accent4 2 2 2 2 9 2" xfId="18103" xr:uid="{A0DF10A0-C2C2-4387-A8C5-97BA1FA33623}"/>
    <cellStyle name="40% - Accent4 2 2 2 3" xfId="1936" xr:uid="{1A58165D-F62A-428F-A2D3-745FF91A4014}"/>
    <cellStyle name="40% - Accent4 2 2 2 3 2" xfId="11884" xr:uid="{D409B774-27C7-41E1-A193-7004AF264553}"/>
    <cellStyle name="40% - Accent4 2 2 2 4" xfId="2765" xr:uid="{71706BF9-B89B-4B8D-9CE5-EDA60FAF65D4}"/>
    <cellStyle name="40% - Accent4 2 2 2 4 2" xfId="12713" xr:uid="{DFE458B1-F93B-477E-AF62-FE84F54BAE0D}"/>
    <cellStyle name="40% - Accent4 2 2 2 5" xfId="3594" xr:uid="{BFF82C4F-103E-4B64-A1AC-0EE0A68BE43E}"/>
    <cellStyle name="40% - Accent4 2 2 2 5 2" xfId="13542" xr:uid="{B64C10D7-3526-4AF5-AF2A-F3009FE6E02A}"/>
    <cellStyle name="40% - Accent4 2 2 2 6" xfId="4423" xr:uid="{E4D7E39C-3272-4AA1-A1AE-41CAB147A584}"/>
    <cellStyle name="40% - Accent4 2 2 2 6 2" xfId="14371" xr:uid="{9C3AA07F-FEC5-48F1-90F0-3414615FA6DB}"/>
    <cellStyle name="40% - Accent4 2 2 2 7" xfId="5252" xr:uid="{23DC7B79-EB51-44A8-9A0F-A9B111F7C1F9}"/>
    <cellStyle name="40% - Accent4 2 2 2 7 2" xfId="15200" xr:uid="{E463AAA2-12CB-473A-88A1-1B257EA35318}"/>
    <cellStyle name="40% - Accent4 2 2 2 8" xfId="6081" xr:uid="{7236DB9F-1548-4C98-B692-1724CFA48487}"/>
    <cellStyle name="40% - Accent4 2 2 2 8 2" xfId="16029" xr:uid="{5F531C9C-77FC-4C56-92A9-C691BD769335}"/>
    <cellStyle name="40% - Accent4 2 2 2 9" xfId="6910" xr:uid="{FE6F9A62-026E-4551-BD04-B37A7E30EA4A}"/>
    <cellStyle name="40% - Accent4 2 2 2 9 2" xfId="16858" xr:uid="{19063F72-F74C-4FAF-9D1A-30160B9696F1}"/>
    <cellStyle name="40% - Accent4 2 2 3" xfId="652" xr:uid="{00000000-0005-0000-0000-000095000000}"/>
    <cellStyle name="40% - Accent4 2 2 3 10" xfId="8983" xr:uid="{1180E18C-375F-48CD-8FB8-AD73E5964F91}"/>
    <cellStyle name="40% - Accent4 2 2 3 10 2" xfId="18931" xr:uid="{03080DC0-1A20-4D1A-8F75-4D5EF799931F}"/>
    <cellStyle name="40% - Accent4 2 2 3 11" xfId="9812" xr:uid="{BF0AA650-0F83-4F58-8611-36434582F538}"/>
    <cellStyle name="40% - Accent4 2 2 3 11 2" xfId="19760" xr:uid="{AACCEA2D-AFBC-4299-85E2-0B6EE89A22E9}"/>
    <cellStyle name="40% - Accent4 2 2 3 12" xfId="10641" xr:uid="{662D08B6-E3A9-482F-818D-A4FA8853B323}"/>
    <cellStyle name="40% - Accent4 2 2 3 12 2" xfId="20589" xr:uid="{16612700-F1DE-4089-9814-532AD2E7DC59}"/>
    <cellStyle name="40% - Accent4 2 2 3 13" xfId="1522" xr:uid="{AC5D5135-7BC3-41EF-A7EB-8CFC4ED0771D}"/>
    <cellStyle name="40% - Accent4 2 2 3 14" xfId="11470" xr:uid="{05112DE3-1DFA-425E-B306-EE55AD5E5259}"/>
    <cellStyle name="40% - Accent4 2 2 3 2" xfId="2351" xr:uid="{BA63CCDE-5D48-4A6A-ABFF-762501F9805F}"/>
    <cellStyle name="40% - Accent4 2 2 3 2 2" xfId="12299" xr:uid="{5EEAC5A8-81AA-4C67-A77B-E2438CE47C43}"/>
    <cellStyle name="40% - Accent4 2 2 3 3" xfId="3180" xr:uid="{6C6905F9-1BE6-4F39-B3C5-C16BAF3C6B92}"/>
    <cellStyle name="40% - Accent4 2 2 3 3 2" xfId="13128" xr:uid="{EDFF2495-FAF7-4C40-89DA-28C40675E06B}"/>
    <cellStyle name="40% - Accent4 2 2 3 4" xfId="4009" xr:uid="{0DC0F710-C676-4DAA-9966-3AB275F18B7F}"/>
    <cellStyle name="40% - Accent4 2 2 3 4 2" xfId="13957" xr:uid="{BE9A6687-058B-4710-834B-6E4C72BDA611}"/>
    <cellStyle name="40% - Accent4 2 2 3 5" xfId="4838" xr:uid="{D667B6C3-4642-4AC3-B092-06496C9D1A26}"/>
    <cellStyle name="40% - Accent4 2 2 3 5 2" xfId="14786" xr:uid="{444D6BD5-CA30-46BA-A8E6-549D09AEC01A}"/>
    <cellStyle name="40% - Accent4 2 2 3 6" xfId="5667" xr:uid="{11C16A5B-6C23-45B3-A7E8-E4C6601272BD}"/>
    <cellStyle name="40% - Accent4 2 2 3 6 2" xfId="15615" xr:uid="{4F392B1F-C2D1-4D83-973F-98F49F201BC6}"/>
    <cellStyle name="40% - Accent4 2 2 3 7" xfId="6496" xr:uid="{0216C336-4696-4988-A600-A8ED7DC72CAE}"/>
    <cellStyle name="40% - Accent4 2 2 3 7 2" xfId="16444" xr:uid="{D6FFF268-BFB0-4533-8F6C-C5A2E058F33A}"/>
    <cellStyle name="40% - Accent4 2 2 3 8" xfId="7325" xr:uid="{9439A83A-5A6E-4327-82AC-80DA990DE29C}"/>
    <cellStyle name="40% - Accent4 2 2 3 8 2" xfId="17273" xr:uid="{4FF9D04A-30A5-4C46-B980-2E5AA4E27E99}"/>
    <cellStyle name="40% - Accent4 2 2 3 9" xfId="8154" xr:uid="{E5DA1F1C-BD66-4451-B08E-A51E275F61FD}"/>
    <cellStyle name="40% - Accent4 2 2 3 9 2" xfId="18102" xr:uid="{F59BB859-2E74-4B7F-A8C2-CA0CA2948F01}"/>
    <cellStyle name="40% - Accent4 2 2 4" xfId="1935" xr:uid="{546C1812-D859-4466-BB12-DF801CC6FF9B}"/>
    <cellStyle name="40% - Accent4 2 2 4 2" xfId="11883" xr:uid="{F2595821-2903-4147-961E-59417CED56A0}"/>
    <cellStyle name="40% - Accent4 2 2 5" xfId="2764" xr:uid="{930B3099-B6E2-400E-A7BC-640039AFAF00}"/>
    <cellStyle name="40% - Accent4 2 2 5 2" xfId="12712" xr:uid="{09CC9F66-AD07-4330-8C98-9C128B5D29D9}"/>
    <cellStyle name="40% - Accent4 2 2 6" xfId="3593" xr:uid="{598FC414-FE3A-4A09-A823-0408F21390A3}"/>
    <cellStyle name="40% - Accent4 2 2 6 2" xfId="13541" xr:uid="{0A7EB465-5BCC-4DA0-8B01-6955EEE4D06D}"/>
    <cellStyle name="40% - Accent4 2 2 7" xfId="4422" xr:uid="{E9DD4D3A-0C50-4189-BEF8-F3E300900269}"/>
    <cellStyle name="40% - Accent4 2 2 7 2" xfId="14370" xr:uid="{938EE79F-5D10-4458-A710-25DDFD80D0EB}"/>
    <cellStyle name="40% - Accent4 2 2 8" xfId="5251" xr:uid="{681CD2F3-A07B-4022-8D39-D4D4245EBF74}"/>
    <cellStyle name="40% - Accent4 2 2 8 2" xfId="15199" xr:uid="{6186703B-46DE-4A83-A100-8E2DB9A6B24E}"/>
    <cellStyle name="40% - Accent4 2 2 9" xfId="6080" xr:uid="{12082BC0-8BC4-4FC5-A501-BFA6D3652A7F}"/>
    <cellStyle name="40% - Accent4 2 2 9 2" xfId="16028" xr:uid="{2FB66E6E-FF9D-49B6-9E3E-8D68B81C5746}"/>
    <cellStyle name="40% - Accent4 2 3" xfId="77" xr:uid="{00000000-0005-0000-0000-000096000000}"/>
    <cellStyle name="40% - Accent4 2 3 10" xfId="7740" xr:uid="{7F08F750-45F4-4972-A48D-13837D29C77E}"/>
    <cellStyle name="40% - Accent4 2 3 10 2" xfId="17688" xr:uid="{DB2C4A83-D0F4-460D-A354-59A65BE13C82}"/>
    <cellStyle name="40% - Accent4 2 3 11" xfId="8569" xr:uid="{236BB33D-A21F-45FD-8D50-942F09F0566F}"/>
    <cellStyle name="40% - Accent4 2 3 11 2" xfId="18517" xr:uid="{E2B3B749-06A1-443D-9EC8-90B1293F079E}"/>
    <cellStyle name="40% - Accent4 2 3 12" xfId="9398" xr:uid="{DAAD58A1-0951-48FC-B51A-126FA6ED7E48}"/>
    <cellStyle name="40% - Accent4 2 3 12 2" xfId="19346" xr:uid="{CC05559B-F54D-4977-94A8-596708A331B9}"/>
    <cellStyle name="40% - Accent4 2 3 13" xfId="10227" xr:uid="{130FAE19-9408-4AB9-B430-9C42FFF4DD46}"/>
    <cellStyle name="40% - Accent4 2 3 13 2" xfId="20175" xr:uid="{2AD54B22-217C-4E66-BF12-761364DE14D2}"/>
    <cellStyle name="40% - Accent4 2 3 14" xfId="1108" xr:uid="{D11483CA-E068-42D6-892B-45649A34B57F}"/>
    <cellStyle name="40% - Accent4 2 3 15" xfId="11056" xr:uid="{34B30F9F-6503-49E6-B2AD-26F89BFD5A31}"/>
    <cellStyle name="40% - Accent4 2 3 2" xfId="654" xr:uid="{00000000-0005-0000-0000-000097000000}"/>
    <cellStyle name="40% - Accent4 2 3 2 10" xfId="8985" xr:uid="{55CF1A71-53D8-4374-A8C6-8321AA1C7F61}"/>
    <cellStyle name="40% - Accent4 2 3 2 10 2" xfId="18933" xr:uid="{2240B803-E44F-4CD1-9CBF-1E68C59EF876}"/>
    <cellStyle name="40% - Accent4 2 3 2 11" xfId="9814" xr:uid="{6E549436-699E-4E40-81FF-97A33EE198CC}"/>
    <cellStyle name="40% - Accent4 2 3 2 11 2" xfId="19762" xr:uid="{77BE5052-246C-452D-A344-D181FFAC27B1}"/>
    <cellStyle name="40% - Accent4 2 3 2 12" xfId="10643" xr:uid="{1CB0EFDD-EAD5-4492-A04B-D6E423131E4C}"/>
    <cellStyle name="40% - Accent4 2 3 2 12 2" xfId="20591" xr:uid="{5DB3D575-8291-4D1A-BDFC-4CD0658906F9}"/>
    <cellStyle name="40% - Accent4 2 3 2 13" xfId="1524" xr:uid="{C495DF00-3310-49CD-A2A9-A30FC8A78A27}"/>
    <cellStyle name="40% - Accent4 2 3 2 14" xfId="11472" xr:uid="{FFA655A8-1258-4802-AA04-E69DB14C99A3}"/>
    <cellStyle name="40% - Accent4 2 3 2 2" xfId="2353" xr:uid="{2B9E9E21-4EDC-4DA0-B282-0201D817BE6A}"/>
    <cellStyle name="40% - Accent4 2 3 2 2 2" xfId="12301" xr:uid="{E2923603-7321-43A8-8776-84ED192E3576}"/>
    <cellStyle name="40% - Accent4 2 3 2 3" xfId="3182" xr:uid="{04EB110E-812D-4C87-859A-C9ACBD3964E7}"/>
    <cellStyle name="40% - Accent4 2 3 2 3 2" xfId="13130" xr:uid="{73C9EA51-7C7A-4F4A-9880-5DAE189B2F7D}"/>
    <cellStyle name="40% - Accent4 2 3 2 4" xfId="4011" xr:uid="{20FF3EA4-331A-48C3-811B-6325A66512AF}"/>
    <cellStyle name="40% - Accent4 2 3 2 4 2" xfId="13959" xr:uid="{69BE05A0-5A38-46F1-8ED2-3DF98D4119A9}"/>
    <cellStyle name="40% - Accent4 2 3 2 5" xfId="4840" xr:uid="{46875305-5CBB-48AE-93A6-CADDC3E1FA92}"/>
    <cellStyle name="40% - Accent4 2 3 2 5 2" xfId="14788" xr:uid="{FEF4C7BC-F0DE-465E-A83F-7A804649C6A3}"/>
    <cellStyle name="40% - Accent4 2 3 2 6" xfId="5669" xr:uid="{4E2A2C1A-FF4A-4D14-BF74-DE0A1AFC8ABF}"/>
    <cellStyle name="40% - Accent4 2 3 2 6 2" xfId="15617" xr:uid="{3E7E07E5-3462-4568-AE44-C365BD6077E1}"/>
    <cellStyle name="40% - Accent4 2 3 2 7" xfId="6498" xr:uid="{2796B08E-B0A1-4AAD-B62A-DEBE049364DB}"/>
    <cellStyle name="40% - Accent4 2 3 2 7 2" xfId="16446" xr:uid="{EAA92AB4-F050-43CC-A279-E59052D88FEA}"/>
    <cellStyle name="40% - Accent4 2 3 2 8" xfId="7327" xr:uid="{D179646A-8529-42F3-BB49-C5DB0067D4D7}"/>
    <cellStyle name="40% - Accent4 2 3 2 8 2" xfId="17275" xr:uid="{A31BBD36-BF6C-4F63-A1FD-53F1AAD49022}"/>
    <cellStyle name="40% - Accent4 2 3 2 9" xfId="8156" xr:uid="{23A51233-E7FB-4F55-8D1F-2D11D6EAEFAC}"/>
    <cellStyle name="40% - Accent4 2 3 2 9 2" xfId="18104" xr:uid="{F4A656B1-54A6-4AFC-8D8D-91D0F27E2471}"/>
    <cellStyle name="40% - Accent4 2 3 3" xfId="1937" xr:uid="{9E3F705A-C024-4F8A-9DDB-36399B764EE9}"/>
    <cellStyle name="40% - Accent4 2 3 3 2" xfId="11885" xr:uid="{75A8D6C2-BA06-45B6-8CAB-269DA2115B29}"/>
    <cellStyle name="40% - Accent4 2 3 4" xfId="2766" xr:uid="{00880C7B-93D4-4E20-9332-553BCF5298B3}"/>
    <cellStyle name="40% - Accent4 2 3 4 2" xfId="12714" xr:uid="{1AA303EB-B2A0-4096-B266-B230BABC3885}"/>
    <cellStyle name="40% - Accent4 2 3 5" xfId="3595" xr:uid="{3988A857-9635-4947-9B49-042E8D731FFE}"/>
    <cellStyle name="40% - Accent4 2 3 5 2" xfId="13543" xr:uid="{3A1B0F9B-F8CB-441E-98F8-4221238943E3}"/>
    <cellStyle name="40% - Accent4 2 3 6" xfId="4424" xr:uid="{DC713155-EE0B-4228-B6AB-8C93BF9B30CB}"/>
    <cellStyle name="40% - Accent4 2 3 6 2" xfId="14372" xr:uid="{0A3A8C15-7A07-488C-9857-15C9736096CA}"/>
    <cellStyle name="40% - Accent4 2 3 7" xfId="5253" xr:uid="{F3362E50-D121-458C-92A5-6329176F3652}"/>
    <cellStyle name="40% - Accent4 2 3 7 2" xfId="15201" xr:uid="{42574DAA-F872-4D1E-972A-98B3E3DD3A04}"/>
    <cellStyle name="40% - Accent4 2 3 8" xfId="6082" xr:uid="{F3F853A9-000A-4D99-877B-71EB2AC83DE3}"/>
    <cellStyle name="40% - Accent4 2 3 8 2" xfId="16030" xr:uid="{51BB50B9-C4E4-4F87-9F45-AECAA7496714}"/>
    <cellStyle name="40% - Accent4 2 3 9" xfId="6911" xr:uid="{CC1A8211-3F6D-4171-BA7A-52D1287DE0E4}"/>
    <cellStyle name="40% - Accent4 2 3 9 2" xfId="16859" xr:uid="{5F9E9D18-D916-42F4-8342-6CC840DAF914}"/>
    <cellStyle name="40% - Accent4 2 4" xfId="651" xr:uid="{00000000-0005-0000-0000-000098000000}"/>
    <cellStyle name="40% - Accent4 2 4 10" xfId="8982" xr:uid="{C56BF62E-7DB4-4C96-8BC2-14E00A60F357}"/>
    <cellStyle name="40% - Accent4 2 4 10 2" xfId="18930" xr:uid="{00978781-EC62-46EC-9819-8AFFD9727B3B}"/>
    <cellStyle name="40% - Accent4 2 4 11" xfId="9811" xr:uid="{56300108-6544-419A-9046-D368689207B7}"/>
    <cellStyle name="40% - Accent4 2 4 11 2" xfId="19759" xr:uid="{7E4F1A60-8C98-4A03-B91F-0CCDAFA587BB}"/>
    <cellStyle name="40% - Accent4 2 4 12" xfId="10640" xr:uid="{1390A09F-FD29-4CBA-8F53-B35315C7D175}"/>
    <cellStyle name="40% - Accent4 2 4 12 2" xfId="20588" xr:uid="{1706FEDD-DF43-4541-A1B5-213BF530606F}"/>
    <cellStyle name="40% - Accent4 2 4 13" xfId="1521" xr:uid="{9CE060B9-C06E-4EFD-9329-A46B03A68FDB}"/>
    <cellStyle name="40% - Accent4 2 4 14" xfId="11469" xr:uid="{62818E20-BE70-4DB1-BA87-6FF066E5168C}"/>
    <cellStyle name="40% - Accent4 2 4 2" xfId="2350" xr:uid="{9BF33560-910D-47CD-AC71-226E0A95AEA7}"/>
    <cellStyle name="40% - Accent4 2 4 2 2" xfId="12298" xr:uid="{7377D082-9235-4FF9-BCB3-E35EA6D9C122}"/>
    <cellStyle name="40% - Accent4 2 4 3" xfId="3179" xr:uid="{A50CE720-9ED5-45BE-925B-A224D1D3DAF8}"/>
    <cellStyle name="40% - Accent4 2 4 3 2" xfId="13127" xr:uid="{EF0DF1A7-2E52-47CA-A687-138FD47EF4AF}"/>
    <cellStyle name="40% - Accent4 2 4 4" xfId="4008" xr:uid="{8935016D-38D5-4282-8B21-437940180C1B}"/>
    <cellStyle name="40% - Accent4 2 4 4 2" xfId="13956" xr:uid="{2D56EAD5-E6F9-4F8F-BFC4-5F5F68D1A4E0}"/>
    <cellStyle name="40% - Accent4 2 4 5" xfId="4837" xr:uid="{721BBE54-71B6-4B66-95A8-15BD9587E1A1}"/>
    <cellStyle name="40% - Accent4 2 4 5 2" xfId="14785" xr:uid="{F040F6AD-9B02-46B4-8A71-D2509A705283}"/>
    <cellStyle name="40% - Accent4 2 4 6" xfId="5666" xr:uid="{A13D22D7-7A64-4B4B-B6DE-FD8C32905F78}"/>
    <cellStyle name="40% - Accent4 2 4 6 2" xfId="15614" xr:uid="{4EBE47FC-9474-4A57-A2A5-8F73324DA3DD}"/>
    <cellStyle name="40% - Accent4 2 4 7" xfId="6495" xr:uid="{1F9BF770-D76C-40EE-8108-913E92408826}"/>
    <cellStyle name="40% - Accent4 2 4 7 2" xfId="16443" xr:uid="{898D9E09-688D-479E-AE8C-D224255DEA82}"/>
    <cellStyle name="40% - Accent4 2 4 8" xfId="7324" xr:uid="{628271B4-DFE5-4C9D-B6DB-03FFBDF32CF3}"/>
    <cellStyle name="40% - Accent4 2 4 8 2" xfId="17272" xr:uid="{A4F652D1-7190-4E84-810F-07C6F2DB9BBB}"/>
    <cellStyle name="40% - Accent4 2 4 9" xfId="8153" xr:uid="{CD7452DE-F033-45CB-876D-2F740E41616D}"/>
    <cellStyle name="40% - Accent4 2 4 9 2" xfId="18101" xr:uid="{0FA2B73B-B6FE-476F-9A97-607DB9B59C87}"/>
    <cellStyle name="40% - Accent4 2 5" xfId="1934" xr:uid="{48CAF8E2-63CB-4F7E-A315-1D9BEEF66855}"/>
    <cellStyle name="40% - Accent4 2 5 2" xfId="11882" xr:uid="{23E8E3D8-4A1D-4FED-89BE-AB4C14333A50}"/>
    <cellStyle name="40% - Accent4 2 6" xfId="2763" xr:uid="{8CE4CCAF-B289-4B22-BC27-5474468D346E}"/>
    <cellStyle name="40% - Accent4 2 6 2" xfId="12711" xr:uid="{EF2873EE-403C-48BC-9769-47E42CB2ECB5}"/>
    <cellStyle name="40% - Accent4 2 7" xfId="3592" xr:uid="{9777965A-F432-4EE4-B4C9-D7E2319E2889}"/>
    <cellStyle name="40% - Accent4 2 7 2" xfId="13540" xr:uid="{E93EB08D-7588-4681-91DA-90FA609DDE06}"/>
    <cellStyle name="40% - Accent4 2 8" xfId="4421" xr:uid="{5694F8DA-F911-4D3B-AD72-39463812F4F7}"/>
    <cellStyle name="40% - Accent4 2 8 2" xfId="14369" xr:uid="{F3209DEE-7180-4E3D-A9D4-2AFCE4364369}"/>
    <cellStyle name="40% - Accent4 2 9" xfId="5250" xr:uid="{06879592-A99C-44DE-995C-785287EB0F29}"/>
    <cellStyle name="40% - Accent4 2 9 2" xfId="15198" xr:uid="{D3CA37CE-8106-4807-B51F-A396075CBCEA}"/>
    <cellStyle name="40% - Accent4 3" xfId="78" xr:uid="{00000000-0005-0000-0000-000099000000}"/>
    <cellStyle name="40% - Accent4 3 10" xfId="6912" xr:uid="{89B90B53-1A90-477F-A8FF-9451F997A760}"/>
    <cellStyle name="40% - Accent4 3 10 2" xfId="16860" xr:uid="{F0B6F3F0-7393-4037-B1E1-9D206C8C90F3}"/>
    <cellStyle name="40% - Accent4 3 11" xfId="7741" xr:uid="{33710446-7966-4B87-98F9-C7B3468EAD0A}"/>
    <cellStyle name="40% - Accent4 3 11 2" xfId="17689" xr:uid="{28FFC8A4-3F2E-471B-B4C3-BF35A2AD4A86}"/>
    <cellStyle name="40% - Accent4 3 12" xfId="8570" xr:uid="{1FA106F1-E94D-48B7-BDED-0FBBC413D1B2}"/>
    <cellStyle name="40% - Accent4 3 12 2" xfId="18518" xr:uid="{CE6B6554-0DDF-4FBC-AC00-9BB404A3DDB1}"/>
    <cellStyle name="40% - Accent4 3 13" xfId="9399" xr:uid="{5C0ED358-D175-425C-AF99-073E971CCEA8}"/>
    <cellStyle name="40% - Accent4 3 13 2" xfId="19347" xr:uid="{8FCBD25C-1C87-4B4F-AE77-76D71A3EDC62}"/>
    <cellStyle name="40% - Accent4 3 14" xfId="10228" xr:uid="{3FCD3D0B-BA5E-428F-8E09-FC1787FC9118}"/>
    <cellStyle name="40% - Accent4 3 14 2" xfId="20176" xr:uid="{59D058D9-AC73-4382-A0AE-E74437C0A58D}"/>
    <cellStyle name="40% - Accent4 3 15" xfId="1109" xr:uid="{2D1716C4-FA85-4CE6-98D9-0E74FAF73D4D}"/>
    <cellStyle name="40% - Accent4 3 16" xfId="11057" xr:uid="{B0575605-C33C-486D-AB7B-2C02849503BB}"/>
    <cellStyle name="40% - Accent4 3 2" xfId="79" xr:uid="{00000000-0005-0000-0000-00009A000000}"/>
    <cellStyle name="40% - Accent4 3 2 10" xfId="7742" xr:uid="{5F7D681A-873E-4F05-A653-DA1EAE6D4F1A}"/>
    <cellStyle name="40% - Accent4 3 2 10 2" xfId="17690" xr:uid="{CBBEA57B-AB41-4C76-87AA-DE430204AAD6}"/>
    <cellStyle name="40% - Accent4 3 2 11" xfId="8571" xr:uid="{EEF111A3-754E-42B7-A3AF-AF7A54DA0009}"/>
    <cellStyle name="40% - Accent4 3 2 11 2" xfId="18519" xr:uid="{0052AA8A-2DE5-407A-8CD2-7B39F04851CF}"/>
    <cellStyle name="40% - Accent4 3 2 12" xfId="9400" xr:uid="{57D32951-96BF-4182-B570-B45FCBB8B80F}"/>
    <cellStyle name="40% - Accent4 3 2 12 2" xfId="19348" xr:uid="{8205C60D-4206-49A3-B742-45A93C42182F}"/>
    <cellStyle name="40% - Accent4 3 2 13" xfId="10229" xr:uid="{71F656FD-81BB-4C68-BF72-048C3209CEE8}"/>
    <cellStyle name="40% - Accent4 3 2 13 2" xfId="20177" xr:uid="{0D049136-9C07-4CA3-BD37-FEC5627F71F9}"/>
    <cellStyle name="40% - Accent4 3 2 14" xfId="1110" xr:uid="{ABABBD5F-16BE-4BF7-947D-485EBDF51572}"/>
    <cellStyle name="40% - Accent4 3 2 15" xfId="11058" xr:uid="{0B794B0B-0572-4A4A-9AFB-1A681CABC391}"/>
    <cellStyle name="40% - Accent4 3 2 2" xfId="656" xr:uid="{00000000-0005-0000-0000-00009B000000}"/>
    <cellStyle name="40% - Accent4 3 2 2 10" xfId="8987" xr:uid="{637746C3-68A4-4EFE-87CB-9A385FE82E7D}"/>
    <cellStyle name="40% - Accent4 3 2 2 10 2" xfId="18935" xr:uid="{A90359CE-5A77-4655-B08C-53D03D6A982B}"/>
    <cellStyle name="40% - Accent4 3 2 2 11" xfId="9816" xr:uid="{A447D34D-96C1-4446-A524-F8B943B21AC8}"/>
    <cellStyle name="40% - Accent4 3 2 2 11 2" xfId="19764" xr:uid="{4E036D31-DE91-4BE4-B137-121BD68E511B}"/>
    <cellStyle name="40% - Accent4 3 2 2 12" xfId="10645" xr:uid="{48D1463A-BA48-43AD-AC6B-0D438053B1B9}"/>
    <cellStyle name="40% - Accent4 3 2 2 12 2" xfId="20593" xr:uid="{55EDCD6B-B131-4AE4-8495-9FA86A51E7E0}"/>
    <cellStyle name="40% - Accent4 3 2 2 13" xfId="1526" xr:uid="{07A12CE3-0A28-40EF-9F50-ABE0FBC8ED77}"/>
    <cellStyle name="40% - Accent4 3 2 2 14" xfId="11474" xr:uid="{DA457FAD-6718-4020-A83F-561449DFEBEC}"/>
    <cellStyle name="40% - Accent4 3 2 2 2" xfId="2355" xr:uid="{34BAAA79-84F6-47E4-B04B-4EB91B577E89}"/>
    <cellStyle name="40% - Accent4 3 2 2 2 2" xfId="12303" xr:uid="{7627ACA0-A032-4775-B384-A2BE069FBB57}"/>
    <cellStyle name="40% - Accent4 3 2 2 3" xfId="3184" xr:uid="{9F3F2D6C-3404-432C-8B93-3B58A2DE95A1}"/>
    <cellStyle name="40% - Accent4 3 2 2 3 2" xfId="13132" xr:uid="{8A6D5EAE-E8CB-427C-8BDB-85E527C53709}"/>
    <cellStyle name="40% - Accent4 3 2 2 4" xfId="4013" xr:uid="{B331047F-FF15-45E7-9F9D-EE5125ABBC97}"/>
    <cellStyle name="40% - Accent4 3 2 2 4 2" xfId="13961" xr:uid="{9DDBE11A-F479-4337-8296-037EFAE64380}"/>
    <cellStyle name="40% - Accent4 3 2 2 5" xfId="4842" xr:uid="{D659C955-B947-4EDD-B536-50B925831575}"/>
    <cellStyle name="40% - Accent4 3 2 2 5 2" xfId="14790" xr:uid="{DD387EAF-ED3C-4570-839F-A15C28F4EADE}"/>
    <cellStyle name="40% - Accent4 3 2 2 6" xfId="5671" xr:uid="{ABA661E6-4CD6-4C33-A527-26B4C487DDDC}"/>
    <cellStyle name="40% - Accent4 3 2 2 6 2" xfId="15619" xr:uid="{C29D444C-2518-4CBE-882E-4D2578DF9C9C}"/>
    <cellStyle name="40% - Accent4 3 2 2 7" xfId="6500" xr:uid="{0B9DAF16-7196-4553-9053-3C39E257D64F}"/>
    <cellStyle name="40% - Accent4 3 2 2 7 2" xfId="16448" xr:uid="{1B35C308-37FB-4F44-B15A-3370CC13BD13}"/>
    <cellStyle name="40% - Accent4 3 2 2 8" xfId="7329" xr:uid="{B4CC61A2-E7C3-4AC1-9AE9-D1260A232CB8}"/>
    <cellStyle name="40% - Accent4 3 2 2 8 2" xfId="17277" xr:uid="{EF796F3F-1B48-4045-944D-3CC67B7DCA23}"/>
    <cellStyle name="40% - Accent4 3 2 2 9" xfId="8158" xr:uid="{CAEAE989-FC16-441B-8BDC-A5697D03A286}"/>
    <cellStyle name="40% - Accent4 3 2 2 9 2" xfId="18106" xr:uid="{2C6C9EC3-E73F-49AF-9BE2-D6531F8F37EB}"/>
    <cellStyle name="40% - Accent4 3 2 3" xfId="1939" xr:uid="{ACC037A6-3E08-4AB8-ABF0-1A4612B1DE68}"/>
    <cellStyle name="40% - Accent4 3 2 3 2" xfId="11887" xr:uid="{EECDCA1D-DD2B-4618-AFD3-EEB8CF8476DA}"/>
    <cellStyle name="40% - Accent4 3 2 4" xfId="2768" xr:uid="{9EE7F016-C4EC-4B72-8587-036DE91377BE}"/>
    <cellStyle name="40% - Accent4 3 2 4 2" xfId="12716" xr:uid="{A9F6C1C8-48BC-4A96-A090-90C6E1FB2151}"/>
    <cellStyle name="40% - Accent4 3 2 5" xfId="3597" xr:uid="{F531E7A7-5BCD-4B96-A2AE-85C16151DCEF}"/>
    <cellStyle name="40% - Accent4 3 2 5 2" xfId="13545" xr:uid="{344899D8-64C1-409E-BF91-AFE70177E285}"/>
    <cellStyle name="40% - Accent4 3 2 6" xfId="4426" xr:uid="{5F429F29-4938-44FE-AF9F-B53D069A10CA}"/>
    <cellStyle name="40% - Accent4 3 2 6 2" xfId="14374" xr:uid="{5F0C9E11-B0AB-4952-9DCA-FA6F516A6A7E}"/>
    <cellStyle name="40% - Accent4 3 2 7" xfId="5255" xr:uid="{EB006959-4F6F-46CB-9E2F-5D935DA1BDD2}"/>
    <cellStyle name="40% - Accent4 3 2 7 2" xfId="15203" xr:uid="{21EB0FE4-E30A-439C-BD13-FCC56CA02A25}"/>
    <cellStyle name="40% - Accent4 3 2 8" xfId="6084" xr:uid="{2EE63505-83B2-4B12-A73C-E110E5F31EE7}"/>
    <cellStyle name="40% - Accent4 3 2 8 2" xfId="16032" xr:uid="{2FD167E6-DA1F-4764-BC4E-6F527D07F2E4}"/>
    <cellStyle name="40% - Accent4 3 2 9" xfId="6913" xr:uid="{0E22E0E8-B53D-4B5B-8BBC-03646185EA3F}"/>
    <cellStyle name="40% - Accent4 3 2 9 2" xfId="16861" xr:uid="{D3839D20-04B6-4C58-8073-9AE08CF1DA38}"/>
    <cellStyle name="40% - Accent4 3 3" xfId="655" xr:uid="{00000000-0005-0000-0000-00009C000000}"/>
    <cellStyle name="40% - Accent4 3 3 10" xfId="8986" xr:uid="{2BAE9850-6A2F-4460-8DAC-0210825B6F34}"/>
    <cellStyle name="40% - Accent4 3 3 10 2" xfId="18934" xr:uid="{CBCA138F-449F-4C14-A283-BEB75AF3424C}"/>
    <cellStyle name="40% - Accent4 3 3 11" xfId="9815" xr:uid="{61A2C57C-7271-4599-A761-1560850BB22F}"/>
    <cellStyle name="40% - Accent4 3 3 11 2" xfId="19763" xr:uid="{99EA2329-0E07-4E68-BEEE-954F2B9058A5}"/>
    <cellStyle name="40% - Accent4 3 3 12" xfId="10644" xr:uid="{9A618FDF-5E89-4EED-B835-2266226C7E68}"/>
    <cellStyle name="40% - Accent4 3 3 12 2" xfId="20592" xr:uid="{C7876CC2-74E8-4AA0-9EED-1F2626EF0D84}"/>
    <cellStyle name="40% - Accent4 3 3 13" xfId="1525" xr:uid="{758BE1D0-864C-4C02-BC85-40682460A219}"/>
    <cellStyle name="40% - Accent4 3 3 14" xfId="11473" xr:uid="{6ADB61EA-51A0-4F40-B56F-7C8BC879E11B}"/>
    <cellStyle name="40% - Accent4 3 3 2" xfId="2354" xr:uid="{D67C107C-4B1D-44D6-B5AC-644CD1A2B3DE}"/>
    <cellStyle name="40% - Accent4 3 3 2 2" xfId="12302" xr:uid="{6F6D91FD-553A-4DDE-9D96-3D06F6F46D3E}"/>
    <cellStyle name="40% - Accent4 3 3 3" xfId="3183" xr:uid="{37A5B93E-7D7F-41FE-BA99-8BBDFA3B3248}"/>
    <cellStyle name="40% - Accent4 3 3 3 2" xfId="13131" xr:uid="{9893FFFF-E4AE-4CEC-BB9E-5ED8D2198749}"/>
    <cellStyle name="40% - Accent4 3 3 4" xfId="4012" xr:uid="{F194625E-62FB-4D87-8905-8A2959AF7B8D}"/>
    <cellStyle name="40% - Accent4 3 3 4 2" xfId="13960" xr:uid="{6245E47B-A34E-4D59-9107-298A6687895A}"/>
    <cellStyle name="40% - Accent4 3 3 5" xfId="4841" xr:uid="{676B4F97-3D56-4856-8DAB-FA8AAD6AC62B}"/>
    <cellStyle name="40% - Accent4 3 3 5 2" xfId="14789" xr:uid="{B0724B19-CBF8-43EB-9DE3-15DD3F98356E}"/>
    <cellStyle name="40% - Accent4 3 3 6" xfId="5670" xr:uid="{D1EA035E-4DA8-4D26-BF6D-6C824D6B0D0B}"/>
    <cellStyle name="40% - Accent4 3 3 6 2" xfId="15618" xr:uid="{94A35704-BCF9-4337-8468-8428A4F2EB11}"/>
    <cellStyle name="40% - Accent4 3 3 7" xfId="6499" xr:uid="{BEE40502-F5FE-49FF-A204-23BBDFE76F57}"/>
    <cellStyle name="40% - Accent4 3 3 7 2" xfId="16447" xr:uid="{78976776-0559-4E2D-887C-F6B4D21374D5}"/>
    <cellStyle name="40% - Accent4 3 3 8" xfId="7328" xr:uid="{CF8FE14F-8497-4DA2-B164-415829833E89}"/>
    <cellStyle name="40% - Accent4 3 3 8 2" xfId="17276" xr:uid="{5EE01B93-9A05-4847-B00D-E5CEBCE708B8}"/>
    <cellStyle name="40% - Accent4 3 3 9" xfId="8157" xr:uid="{AB7EA74B-8700-4B29-9C40-9870EFFF0E78}"/>
    <cellStyle name="40% - Accent4 3 3 9 2" xfId="18105" xr:uid="{13A08FF8-0B9F-4712-9415-AE84662F781A}"/>
    <cellStyle name="40% - Accent4 3 4" xfId="1938" xr:uid="{5B068FC5-644F-42DD-93E7-0713CAC1BF4E}"/>
    <cellStyle name="40% - Accent4 3 4 2" xfId="11886" xr:uid="{CEE3CD0F-5636-4F3D-ADA8-E12449E0F0EB}"/>
    <cellStyle name="40% - Accent4 3 5" xfId="2767" xr:uid="{6102827D-A09F-4CAC-BC0A-A1B70E5E7C1D}"/>
    <cellStyle name="40% - Accent4 3 5 2" xfId="12715" xr:uid="{5D05D496-EDEE-4DE0-8B5D-0AAD9989850B}"/>
    <cellStyle name="40% - Accent4 3 6" xfId="3596" xr:uid="{D3D9E788-072E-4A27-BD58-54C7EE0CFB7F}"/>
    <cellStyle name="40% - Accent4 3 6 2" xfId="13544" xr:uid="{9A5A0332-8ADE-4D82-A317-44079299AC48}"/>
    <cellStyle name="40% - Accent4 3 7" xfId="4425" xr:uid="{9C03F269-7CB4-4871-9366-CE844117076B}"/>
    <cellStyle name="40% - Accent4 3 7 2" xfId="14373" xr:uid="{097114CA-B6FC-46F3-9F0A-F5C985F1F5CD}"/>
    <cellStyle name="40% - Accent4 3 8" xfId="5254" xr:uid="{53155A7B-FBE0-4AB8-B73D-0693A1DB818E}"/>
    <cellStyle name="40% - Accent4 3 8 2" xfId="15202" xr:uid="{B36F2BB5-69E2-4259-8E16-4B8CEA00CD88}"/>
    <cellStyle name="40% - Accent4 3 9" xfId="6083" xr:uid="{117063E6-F219-4FC2-89AE-C0E7B01D1E93}"/>
    <cellStyle name="40% - Accent4 3 9 2" xfId="16031" xr:uid="{96210FE7-D496-46EE-880E-137AEFCC9D96}"/>
    <cellStyle name="40% - Accent4 4" xfId="80" xr:uid="{00000000-0005-0000-0000-00009D000000}"/>
    <cellStyle name="40% - Accent4 4 10" xfId="7743" xr:uid="{5A4739AC-723B-463C-B349-0750FF7FA0EC}"/>
    <cellStyle name="40% - Accent4 4 10 2" xfId="17691" xr:uid="{437A8D95-BCB7-491E-8F8C-75E7F1633112}"/>
    <cellStyle name="40% - Accent4 4 11" xfId="8572" xr:uid="{509AA587-7BF7-4427-B563-673A8515F048}"/>
    <cellStyle name="40% - Accent4 4 11 2" xfId="18520" xr:uid="{C60B8671-AF92-462A-BE9D-130F5764D5E4}"/>
    <cellStyle name="40% - Accent4 4 12" xfId="9401" xr:uid="{24CB2997-EA6F-47A8-8903-B3D7E35E5363}"/>
    <cellStyle name="40% - Accent4 4 12 2" xfId="19349" xr:uid="{4DAD0AA1-9E87-43A0-9AB0-54B6A142ACE4}"/>
    <cellStyle name="40% - Accent4 4 13" xfId="10230" xr:uid="{602EDEF8-7C04-4A68-AB98-39159DA4C58A}"/>
    <cellStyle name="40% - Accent4 4 13 2" xfId="20178" xr:uid="{2A42D9AC-1299-4D93-86EF-71AAFC2D122A}"/>
    <cellStyle name="40% - Accent4 4 14" xfId="1111" xr:uid="{0BC22229-D76A-4E7B-89C6-B91883ECEDC4}"/>
    <cellStyle name="40% - Accent4 4 15" xfId="11059" xr:uid="{E65E3D96-92ED-4C73-86F3-4F0FB96E6788}"/>
    <cellStyle name="40% - Accent4 4 2" xfId="657" xr:uid="{00000000-0005-0000-0000-00009E000000}"/>
    <cellStyle name="40% - Accent4 4 2 10" xfId="8988" xr:uid="{BA41999F-0FC2-4F30-94C8-ADB84B55BAC7}"/>
    <cellStyle name="40% - Accent4 4 2 10 2" xfId="18936" xr:uid="{DD1FC8CF-F8E8-4007-9AFB-4F56879019FF}"/>
    <cellStyle name="40% - Accent4 4 2 11" xfId="9817" xr:uid="{02BCD664-C234-408C-AF74-38FC65485B3E}"/>
    <cellStyle name="40% - Accent4 4 2 11 2" xfId="19765" xr:uid="{9E58F54F-4E14-48CC-88D3-EB03E712CA6B}"/>
    <cellStyle name="40% - Accent4 4 2 12" xfId="10646" xr:uid="{F30FC368-E2FE-4DC0-A624-C47CC888860B}"/>
    <cellStyle name="40% - Accent4 4 2 12 2" xfId="20594" xr:uid="{0C74CA59-8D23-4ABE-A495-80D89D102B30}"/>
    <cellStyle name="40% - Accent4 4 2 13" xfId="1527" xr:uid="{828E511F-ADA8-43CB-B884-7D4E9D24101E}"/>
    <cellStyle name="40% - Accent4 4 2 14" xfId="11475" xr:uid="{5031AC24-1931-454E-8D0B-298A89C596B2}"/>
    <cellStyle name="40% - Accent4 4 2 2" xfId="2356" xr:uid="{68BEE35C-28BC-4E2D-BBCA-843AA9411C2F}"/>
    <cellStyle name="40% - Accent4 4 2 2 2" xfId="12304" xr:uid="{8713B260-7640-4C17-899E-445142C4FFF7}"/>
    <cellStyle name="40% - Accent4 4 2 3" xfId="3185" xr:uid="{3E4EE096-A18B-4FE9-9299-6414EC31103F}"/>
    <cellStyle name="40% - Accent4 4 2 3 2" xfId="13133" xr:uid="{D680163D-50C9-4D80-A57F-88AE85072CAE}"/>
    <cellStyle name="40% - Accent4 4 2 4" xfId="4014" xr:uid="{9406A11B-E2CB-4CF3-A4A7-DD5CF44A505A}"/>
    <cellStyle name="40% - Accent4 4 2 4 2" xfId="13962" xr:uid="{4A419112-1148-426D-9BCB-74C5030FA733}"/>
    <cellStyle name="40% - Accent4 4 2 5" xfId="4843" xr:uid="{F9B15BA9-6B74-445D-B32A-065829AD796A}"/>
    <cellStyle name="40% - Accent4 4 2 5 2" xfId="14791" xr:uid="{7A8C8324-060C-4305-BB88-F4CCE48552EE}"/>
    <cellStyle name="40% - Accent4 4 2 6" xfId="5672" xr:uid="{3A111CE6-BB84-4CD0-9E54-95D6FA85F28A}"/>
    <cellStyle name="40% - Accent4 4 2 6 2" xfId="15620" xr:uid="{4B26DC3C-4DD9-46E8-9D3B-46AFD929D6A1}"/>
    <cellStyle name="40% - Accent4 4 2 7" xfId="6501" xr:uid="{36E83034-26E3-44E2-9F64-9D1C9E0A0817}"/>
    <cellStyle name="40% - Accent4 4 2 7 2" xfId="16449" xr:uid="{DDAEDB1E-6E95-4AAA-8CE2-5FBA9DB299DA}"/>
    <cellStyle name="40% - Accent4 4 2 8" xfId="7330" xr:uid="{6BEDAD3A-31CD-459E-B8C3-723FA3DF9703}"/>
    <cellStyle name="40% - Accent4 4 2 8 2" xfId="17278" xr:uid="{9B472D47-5C51-4ABD-8A1C-FA28F55AAF79}"/>
    <cellStyle name="40% - Accent4 4 2 9" xfId="8159" xr:uid="{7C4E2311-71E8-4B49-A7F7-E4159E44A0F1}"/>
    <cellStyle name="40% - Accent4 4 2 9 2" xfId="18107" xr:uid="{8BCE8BEB-655C-4DC7-A31F-656D3BC7E75C}"/>
    <cellStyle name="40% - Accent4 4 3" xfId="1940" xr:uid="{1773A283-F0D9-469C-A469-2B7D75D22EEB}"/>
    <cellStyle name="40% - Accent4 4 3 2" xfId="11888" xr:uid="{CF822F9E-D0B7-4068-B469-3279A802FB92}"/>
    <cellStyle name="40% - Accent4 4 4" xfId="2769" xr:uid="{173360D9-B84C-4C0A-9247-E1B358549E48}"/>
    <cellStyle name="40% - Accent4 4 4 2" xfId="12717" xr:uid="{43BA5DA7-1B72-4BEE-A5A9-2E6FAA98EF65}"/>
    <cellStyle name="40% - Accent4 4 5" xfId="3598" xr:uid="{DBC8500A-449D-4497-8264-0F11EAC4261F}"/>
    <cellStyle name="40% - Accent4 4 5 2" xfId="13546" xr:uid="{57A25227-FBC7-4308-AD1B-C6F2F0F614C2}"/>
    <cellStyle name="40% - Accent4 4 6" xfId="4427" xr:uid="{8AB9EE8D-793A-417A-B366-F2CCF7974DF8}"/>
    <cellStyle name="40% - Accent4 4 6 2" xfId="14375" xr:uid="{602845C2-9446-4D90-84E2-D637AA8D2802}"/>
    <cellStyle name="40% - Accent4 4 7" xfId="5256" xr:uid="{EBA0D4BF-D3C6-4D2B-A1D0-A658453F8E60}"/>
    <cellStyle name="40% - Accent4 4 7 2" xfId="15204" xr:uid="{EB22206C-8E83-4E15-B58A-9DD5B2760AED}"/>
    <cellStyle name="40% - Accent4 4 8" xfId="6085" xr:uid="{AD96E0D6-9C4A-4F2A-AC92-F01546859DE8}"/>
    <cellStyle name="40% - Accent4 4 8 2" xfId="16033" xr:uid="{4C8DA7A2-970D-432C-BD63-0E552DD1DFD5}"/>
    <cellStyle name="40% - Accent4 4 9" xfId="6914" xr:uid="{6B390F3E-BAFD-47B0-BF5C-B29C0CD0B64B}"/>
    <cellStyle name="40% - Accent4 4 9 2" xfId="16862" xr:uid="{58E8A8C9-F76E-4D7D-9A28-3128E9C9B3EE}"/>
    <cellStyle name="40% - Accent4 5" xfId="650" xr:uid="{00000000-0005-0000-0000-00009F000000}"/>
    <cellStyle name="40% - Accent4 5 10" xfId="8981" xr:uid="{11BEE4F4-6860-461D-B980-2AE7DFDE7BFF}"/>
    <cellStyle name="40% - Accent4 5 10 2" xfId="18929" xr:uid="{ADEE6F8D-EC79-450E-9241-556BB83BA3A4}"/>
    <cellStyle name="40% - Accent4 5 11" xfId="9810" xr:uid="{55CB259B-FD60-4A15-89CC-27FC8AE8D50B}"/>
    <cellStyle name="40% - Accent4 5 11 2" xfId="19758" xr:uid="{5468CBD8-C0F1-475C-87EF-8428153D0BD9}"/>
    <cellStyle name="40% - Accent4 5 12" xfId="10639" xr:uid="{E69BBA33-491C-4DA7-ACDF-1315035C9EAC}"/>
    <cellStyle name="40% - Accent4 5 12 2" xfId="20587" xr:uid="{0399EF29-40DB-4453-A764-61811608C23A}"/>
    <cellStyle name="40% - Accent4 5 13" xfId="1520" xr:uid="{14A86803-E7F8-48D6-B6E3-99C22AAE9DFA}"/>
    <cellStyle name="40% - Accent4 5 14" xfId="11468" xr:uid="{D3A5A77C-8E8E-44E3-A4B4-868C3BBE3EAC}"/>
    <cellStyle name="40% - Accent4 5 2" xfId="2349" xr:uid="{39C3B158-234A-4D96-9C09-5A638D3D8E84}"/>
    <cellStyle name="40% - Accent4 5 2 2" xfId="12297" xr:uid="{821DB742-C42B-411A-9ADD-AB74F8F09A5B}"/>
    <cellStyle name="40% - Accent4 5 3" xfId="3178" xr:uid="{E17FDE2D-A4A7-4355-BB01-95EE85521637}"/>
    <cellStyle name="40% - Accent4 5 3 2" xfId="13126" xr:uid="{273C63B7-F153-43D1-A01C-0CEDC695F2BD}"/>
    <cellStyle name="40% - Accent4 5 4" xfId="4007" xr:uid="{A3FCE47E-04FF-4908-8B3F-C5E01794F06D}"/>
    <cellStyle name="40% - Accent4 5 4 2" xfId="13955" xr:uid="{F40883C3-BCA3-4AA0-98D9-704566A1ADAB}"/>
    <cellStyle name="40% - Accent4 5 5" xfId="4836" xr:uid="{434DC8CC-8953-40E9-B356-D7AE66ADD908}"/>
    <cellStyle name="40% - Accent4 5 5 2" xfId="14784" xr:uid="{11312796-3DD0-4434-A08F-3DB58044AD25}"/>
    <cellStyle name="40% - Accent4 5 6" xfId="5665" xr:uid="{FDB82145-4133-42E6-BA90-59A46E15A450}"/>
    <cellStyle name="40% - Accent4 5 6 2" xfId="15613" xr:uid="{568D9F98-992B-4BF0-997B-F07198DF9B4B}"/>
    <cellStyle name="40% - Accent4 5 7" xfId="6494" xr:uid="{C866E384-B5EA-466A-920C-1564D9B11E28}"/>
    <cellStyle name="40% - Accent4 5 7 2" xfId="16442" xr:uid="{BCFA1A1B-80F7-4CA1-9983-BD4E8D3C93B7}"/>
    <cellStyle name="40% - Accent4 5 8" xfId="7323" xr:uid="{FE98FD93-0B53-4AA9-9012-236C819B822A}"/>
    <cellStyle name="40% - Accent4 5 8 2" xfId="17271" xr:uid="{7831E7C5-7EE0-49DB-89AD-ABB9117490C6}"/>
    <cellStyle name="40% - Accent4 5 9" xfId="8152" xr:uid="{EE4A7919-0B34-4B21-9D14-B6F1991BCAF0}"/>
    <cellStyle name="40% - Accent4 5 9 2" xfId="18100" xr:uid="{73C3CF9A-AC0D-43C9-ACF3-8F84ADCF764A}"/>
    <cellStyle name="40% - Accent4 6" xfId="1933" xr:uid="{59BC1682-3F6A-4701-8240-0B96F15A2370}"/>
    <cellStyle name="40% - Accent4 6 2" xfId="11881" xr:uid="{F42C75E5-9271-4977-8A12-92EC951D87A5}"/>
    <cellStyle name="40% - Accent4 7" xfId="2762" xr:uid="{1CFD9D38-6ADD-41E0-8E91-08F8C398638C}"/>
    <cellStyle name="40% - Accent4 7 2" xfId="12710" xr:uid="{732FA14B-FF69-464E-A397-E0B67F5C934B}"/>
    <cellStyle name="40% - Accent4 8" xfId="3591" xr:uid="{C4A1CA16-92A4-4E30-A365-0779B4C5EF4D}"/>
    <cellStyle name="40% - Accent4 8 2" xfId="13539" xr:uid="{F436F593-154E-43F3-8ECC-3668E89F771F}"/>
    <cellStyle name="40% - Accent4 9" xfId="4420" xr:uid="{3323B509-955C-4921-A51D-C4F160855D7B}"/>
    <cellStyle name="40% - Accent4 9 2" xfId="14368" xr:uid="{CD25844F-3F0E-4DBB-A1EF-8DC884518F16}"/>
    <cellStyle name="40% - Accent5" xfId="81" builtinId="47" customBuiltin="1"/>
    <cellStyle name="40% - Accent5 10" xfId="5257" xr:uid="{4D9B2606-8937-4CAF-BDDA-2499CBE7F13E}"/>
    <cellStyle name="40% - Accent5 10 2" xfId="15205" xr:uid="{5FFBA925-CF8A-44EC-A2A7-9CEAFAD01DA8}"/>
    <cellStyle name="40% - Accent5 11" xfId="6086" xr:uid="{44F238CC-963D-4957-87AA-78193426D33D}"/>
    <cellStyle name="40% - Accent5 11 2" xfId="16034" xr:uid="{CB4B5BC0-3D21-4F1C-8072-8A9C5C0988BB}"/>
    <cellStyle name="40% - Accent5 12" xfId="6915" xr:uid="{2AE58617-E64A-46F0-B298-02E8B94D1CAD}"/>
    <cellStyle name="40% - Accent5 12 2" xfId="16863" xr:uid="{33F51B49-D160-44A4-8761-9A7E37489ACC}"/>
    <cellStyle name="40% - Accent5 13" xfId="7744" xr:uid="{32C54B62-6925-453C-BDEF-8D91471AB6AC}"/>
    <cellStyle name="40% - Accent5 13 2" xfId="17692" xr:uid="{39C50619-6B03-4C56-BAE4-E31384F6BC42}"/>
    <cellStyle name="40% - Accent5 14" xfId="8573" xr:uid="{1C33DB5B-A079-442D-AAB4-FEF4B9A9F011}"/>
    <cellStyle name="40% - Accent5 14 2" xfId="18521" xr:uid="{0D1FE6B3-D305-47A0-8FF5-D489ADF8CA01}"/>
    <cellStyle name="40% - Accent5 15" xfId="9402" xr:uid="{8201940A-FBAA-48A0-B256-F64C78DB2515}"/>
    <cellStyle name="40% - Accent5 15 2" xfId="19350" xr:uid="{91D121F9-9579-4BF5-8825-BB276573DBED}"/>
    <cellStyle name="40% - Accent5 16" xfId="10231" xr:uid="{AF7848B0-E4B1-45B1-A8D8-7A16A5E1961C}"/>
    <cellStyle name="40% - Accent5 16 2" xfId="20179" xr:uid="{1CDF9B59-AD45-403F-A6C8-C009B5E2FA0F}"/>
    <cellStyle name="40% - Accent5 17" xfId="1112" xr:uid="{F530A4DB-00EB-4917-8502-5B5E4E53D8D1}"/>
    <cellStyle name="40% - Accent5 18" xfId="11060" xr:uid="{1BE6AB1B-248F-43EB-8115-C9BAEBD1358B}"/>
    <cellStyle name="40% - Accent5 2" xfId="82" xr:uid="{00000000-0005-0000-0000-0000A1000000}"/>
    <cellStyle name="40% - Accent5 2 10" xfId="6087" xr:uid="{E67E0E04-C7FA-4262-BE03-B210A4CB1142}"/>
    <cellStyle name="40% - Accent5 2 10 2" xfId="16035" xr:uid="{CE6BDD59-27BC-424D-87D5-3F08E5DFA05F}"/>
    <cellStyle name="40% - Accent5 2 11" xfId="6916" xr:uid="{84D48F0D-30DA-4175-8651-A9AF116BDC2D}"/>
    <cellStyle name="40% - Accent5 2 11 2" xfId="16864" xr:uid="{9D232745-3E84-44A4-BEC5-386C839CB9BF}"/>
    <cellStyle name="40% - Accent5 2 12" xfId="7745" xr:uid="{84E1AA80-9838-47D3-A042-4710E8FEE0F4}"/>
    <cellStyle name="40% - Accent5 2 12 2" xfId="17693" xr:uid="{6C3F96F5-A393-4E56-ADB5-81E21CA04628}"/>
    <cellStyle name="40% - Accent5 2 13" xfId="8574" xr:uid="{ADEB5364-C982-4F92-913D-93D945E19A70}"/>
    <cellStyle name="40% - Accent5 2 13 2" xfId="18522" xr:uid="{64C6C718-2F87-451F-A36C-E5DC3F24DF5A}"/>
    <cellStyle name="40% - Accent5 2 14" xfId="9403" xr:uid="{E2D73CEB-74CD-407A-BA90-C17E6E946686}"/>
    <cellStyle name="40% - Accent5 2 14 2" xfId="19351" xr:uid="{5487AF04-ED1A-4004-8657-1016E5FB321B}"/>
    <cellStyle name="40% - Accent5 2 15" xfId="10232" xr:uid="{5D10CBE0-28E1-4FE7-A896-B78DE8606E45}"/>
    <cellStyle name="40% - Accent5 2 15 2" xfId="20180" xr:uid="{AF78EA17-B7DE-41EE-A4FA-13CDF808E030}"/>
    <cellStyle name="40% - Accent5 2 16" xfId="1113" xr:uid="{F9EE4038-8A53-4602-8E11-07898AD1FE71}"/>
    <cellStyle name="40% - Accent5 2 17" xfId="11061" xr:uid="{75AAFFD8-ABD3-4E98-9150-149103879E91}"/>
    <cellStyle name="40% - Accent5 2 2" xfId="83" xr:uid="{00000000-0005-0000-0000-0000A2000000}"/>
    <cellStyle name="40% - Accent5 2 2 10" xfId="6917" xr:uid="{0BB96F81-23CC-4025-86BB-DFBD062DEE7E}"/>
    <cellStyle name="40% - Accent5 2 2 10 2" xfId="16865" xr:uid="{E44E55C6-3A78-4018-AF03-910349CF0D68}"/>
    <cellStyle name="40% - Accent5 2 2 11" xfId="7746" xr:uid="{3DD70053-37EB-4111-B127-9CAC1E42060C}"/>
    <cellStyle name="40% - Accent5 2 2 11 2" xfId="17694" xr:uid="{72F2D718-66F6-4C04-BBBC-6BB54533C122}"/>
    <cellStyle name="40% - Accent5 2 2 12" xfId="8575" xr:uid="{94DE442E-ABF3-4802-9953-003D813494AA}"/>
    <cellStyle name="40% - Accent5 2 2 12 2" xfId="18523" xr:uid="{EA54670E-5F75-4E4F-81E3-FEE33D2F5971}"/>
    <cellStyle name="40% - Accent5 2 2 13" xfId="9404" xr:uid="{F640CF94-C0A9-4D41-9402-E13B5EC4774E}"/>
    <cellStyle name="40% - Accent5 2 2 13 2" xfId="19352" xr:uid="{8218D587-74FD-4B65-BD8F-10FA67B4B8E7}"/>
    <cellStyle name="40% - Accent5 2 2 14" xfId="10233" xr:uid="{3DDA9D8E-2D5A-4B3B-9206-3381361570A8}"/>
    <cellStyle name="40% - Accent5 2 2 14 2" xfId="20181" xr:uid="{3D5905EA-CF46-4ABD-BD94-6165A493023C}"/>
    <cellStyle name="40% - Accent5 2 2 15" xfId="1114" xr:uid="{1BA6A9BE-89E6-45AB-AE8E-925ABC803AAC}"/>
    <cellStyle name="40% - Accent5 2 2 16" xfId="11062" xr:uid="{1769B0BC-1107-472D-8AF5-31F31F875471}"/>
    <cellStyle name="40% - Accent5 2 2 2" xfId="84" xr:uid="{00000000-0005-0000-0000-0000A3000000}"/>
    <cellStyle name="40% - Accent5 2 2 2 10" xfId="7747" xr:uid="{55D83F44-F676-412A-964F-5A568A7CA5D0}"/>
    <cellStyle name="40% - Accent5 2 2 2 10 2" xfId="17695" xr:uid="{1B8B9B4E-C989-4E5F-845D-BC5E6DE94C61}"/>
    <cellStyle name="40% - Accent5 2 2 2 11" xfId="8576" xr:uid="{A13912DE-52C4-440C-975E-852B01547C85}"/>
    <cellStyle name="40% - Accent5 2 2 2 11 2" xfId="18524" xr:uid="{84FE498D-A7AD-40EF-8C15-983010D93476}"/>
    <cellStyle name="40% - Accent5 2 2 2 12" xfId="9405" xr:uid="{635956A2-D8A6-44A1-A3F3-E2ABA1DFFB01}"/>
    <cellStyle name="40% - Accent5 2 2 2 12 2" xfId="19353" xr:uid="{D77FEEBA-8C02-4264-B9AD-98EB3B662F4C}"/>
    <cellStyle name="40% - Accent5 2 2 2 13" xfId="10234" xr:uid="{EFEB8D19-1010-4A78-A62A-1DCCD5F945DD}"/>
    <cellStyle name="40% - Accent5 2 2 2 13 2" xfId="20182" xr:uid="{C66014A3-38AC-4B22-BE05-68D469C18214}"/>
    <cellStyle name="40% - Accent5 2 2 2 14" xfId="1115" xr:uid="{934A5DBB-582F-4194-A975-C8D9FA192D7A}"/>
    <cellStyle name="40% - Accent5 2 2 2 15" xfId="11063" xr:uid="{1983CD9B-EE3A-4214-9D18-D6ABBCFD3CC1}"/>
    <cellStyle name="40% - Accent5 2 2 2 2" xfId="661" xr:uid="{00000000-0005-0000-0000-0000A4000000}"/>
    <cellStyle name="40% - Accent5 2 2 2 2 10" xfId="8992" xr:uid="{EBF48696-E940-4FA4-BC19-742A133F5F20}"/>
    <cellStyle name="40% - Accent5 2 2 2 2 10 2" xfId="18940" xr:uid="{547DBF18-C46D-4837-ACC5-E4CEEA612F81}"/>
    <cellStyle name="40% - Accent5 2 2 2 2 11" xfId="9821" xr:uid="{936848E9-1B19-4742-B4D2-82632C3B434A}"/>
    <cellStyle name="40% - Accent5 2 2 2 2 11 2" xfId="19769" xr:uid="{76A96BE4-731C-4940-AF80-F6C15936FC89}"/>
    <cellStyle name="40% - Accent5 2 2 2 2 12" xfId="10650" xr:uid="{63F4162F-5A65-44C5-97EE-AAD0D733BC1B}"/>
    <cellStyle name="40% - Accent5 2 2 2 2 12 2" xfId="20598" xr:uid="{89ABCB0D-3F11-4B82-B7AB-99D97C043CE6}"/>
    <cellStyle name="40% - Accent5 2 2 2 2 13" xfId="1531" xr:uid="{2355BA02-184F-49D1-B382-A05E8FF99F4D}"/>
    <cellStyle name="40% - Accent5 2 2 2 2 14" xfId="11479" xr:uid="{30DA7971-25E0-48CA-BD05-36F12FB63FEF}"/>
    <cellStyle name="40% - Accent5 2 2 2 2 2" xfId="2360" xr:uid="{BD025B47-CCDE-496B-B09C-F6BDF2A3DF28}"/>
    <cellStyle name="40% - Accent5 2 2 2 2 2 2" xfId="12308" xr:uid="{590BDE23-6215-490E-BAC5-9C9B7AB869FC}"/>
    <cellStyle name="40% - Accent5 2 2 2 2 3" xfId="3189" xr:uid="{273A76A9-46EB-433E-A4A3-737EC729E3F1}"/>
    <cellStyle name="40% - Accent5 2 2 2 2 3 2" xfId="13137" xr:uid="{E9F1DDBD-8F0F-4643-977E-FC33DAF6124A}"/>
    <cellStyle name="40% - Accent5 2 2 2 2 4" xfId="4018" xr:uid="{4532CC6D-5C9D-48F8-83EA-4FEE6B7D399E}"/>
    <cellStyle name="40% - Accent5 2 2 2 2 4 2" xfId="13966" xr:uid="{D285F557-EF6D-46B8-A651-850A08317321}"/>
    <cellStyle name="40% - Accent5 2 2 2 2 5" xfId="4847" xr:uid="{546A2B4B-6D3E-40F7-B428-6F1214349AA4}"/>
    <cellStyle name="40% - Accent5 2 2 2 2 5 2" xfId="14795" xr:uid="{D977B4C4-1D47-49CD-8D17-1B75C713A9AD}"/>
    <cellStyle name="40% - Accent5 2 2 2 2 6" xfId="5676" xr:uid="{007FD6BD-66CE-4284-9A9A-68B61F286313}"/>
    <cellStyle name="40% - Accent5 2 2 2 2 6 2" xfId="15624" xr:uid="{81129604-FB71-4146-B304-D939EDF2F699}"/>
    <cellStyle name="40% - Accent5 2 2 2 2 7" xfId="6505" xr:uid="{A9BE99DE-4F17-4700-AFE7-A4DD36044FEA}"/>
    <cellStyle name="40% - Accent5 2 2 2 2 7 2" xfId="16453" xr:uid="{45DD122C-F3C8-460F-955F-B5644D5294B3}"/>
    <cellStyle name="40% - Accent5 2 2 2 2 8" xfId="7334" xr:uid="{F6230ECB-65E0-423B-9583-8828F6FAF155}"/>
    <cellStyle name="40% - Accent5 2 2 2 2 8 2" xfId="17282" xr:uid="{3826210F-C56A-411B-985E-7BE2025F78CE}"/>
    <cellStyle name="40% - Accent5 2 2 2 2 9" xfId="8163" xr:uid="{3DCE9934-0DA1-4C03-9F40-3C431429101C}"/>
    <cellStyle name="40% - Accent5 2 2 2 2 9 2" xfId="18111" xr:uid="{9A2BB1DA-4474-4B4C-8199-DF5CE8C6195A}"/>
    <cellStyle name="40% - Accent5 2 2 2 3" xfId="1944" xr:uid="{1712A808-1163-4E9E-BADB-C2B38A23392D}"/>
    <cellStyle name="40% - Accent5 2 2 2 3 2" xfId="11892" xr:uid="{A7FC6172-518A-40EB-8913-75E30DBDA121}"/>
    <cellStyle name="40% - Accent5 2 2 2 4" xfId="2773" xr:uid="{04200AC2-7082-478F-8A8F-7485F96D3AC0}"/>
    <cellStyle name="40% - Accent5 2 2 2 4 2" xfId="12721" xr:uid="{CE181B84-47C8-4E30-A53D-A97B74355426}"/>
    <cellStyle name="40% - Accent5 2 2 2 5" xfId="3602" xr:uid="{9055D4FB-B46A-40CD-82F7-93B861AA55B6}"/>
    <cellStyle name="40% - Accent5 2 2 2 5 2" xfId="13550" xr:uid="{59359F0E-6F42-4A36-B10D-A0009970E8A9}"/>
    <cellStyle name="40% - Accent5 2 2 2 6" xfId="4431" xr:uid="{4D16BF2A-372B-45E4-B77C-FD67187339F5}"/>
    <cellStyle name="40% - Accent5 2 2 2 6 2" xfId="14379" xr:uid="{E3ECAD96-4F44-4D7A-A475-A8A09940F9B2}"/>
    <cellStyle name="40% - Accent5 2 2 2 7" xfId="5260" xr:uid="{6FFC6980-A089-4AA0-920A-A2D6CDEEC464}"/>
    <cellStyle name="40% - Accent5 2 2 2 7 2" xfId="15208" xr:uid="{E0942507-4886-438B-BB3C-52C91D4724D3}"/>
    <cellStyle name="40% - Accent5 2 2 2 8" xfId="6089" xr:uid="{E7189A95-6BF3-4ED5-B1AF-6EBAFD7066F5}"/>
    <cellStyle name="40% - Accent5 2 2 2 8 2" xfId="16037" xr:uid="{0F4C6CCE-68FA-45AD-B57A-2A21EA8C5DD1}"/>
    <cellStyle name="40% - Accent5 2 2 2 9" xfId="6918" xr:uid="{41DC4AF4-DE52-4659-A1C0-EB2FD0FDAA26}"/>
    <cellStyle name="40% - Accent5 2 2 2 9 2" xfId="16866" xr:uid="{AB133024-421A-4A16-802C-CA4505FCC0EE}"/>
    <cellStyle name="40% - Accent5 2 2 3" xfId="660" xr:uid="{00000000-0005-0000-0000-0000A5000000}"/>
    <cellStyle name="40% - Accent5 2 2 3 10" xfId="8991" xr:uid="{0B479EE3-5F9E-4EF4-B7DF-F049082257D0}"/>
    <cellStyle name="40% - Accent5 2 2 3 10 2" xfId="18939" xr:uid="{E7FEE9F0-48F5-468A-9812-0F68FE7119F6}"/>
    <cellStyle name="40% - Accent5 2 2 3 11" xfId="9820" xr:uid="{1CFF8F86-7BDD-4101-B4F5-1117F3915879}"/>
    <cellStyle name="40% - Accent5 2 2 3 11 2" xfId="19768" xr:uid="{AE1AEE06-FA0F-46F1-8C8B-E7CAFA41C32C}"/>
    <cellStyle name="40% - Accent5 2 2 3 12" xfId="10649" xr:uid="{AE37C268-E861-4373-B6F7-C6EF7928D475}"/>
    <cellStyle name="40% - Accent5 2 2 3 12 2" xfId="20597" xr:uid="{1A9ACA6C-B570-4197-BB01-FDDDDB18080D}"/>
    <cellStyle name="40% - Accent5 2 2 3 13" xfId="1530" xr:uid="{89A82E4B-8EF9-4FB2-8CD2-61759960469A}"/>
    <cellStyle name="40% - Accent5 2 2 3 14" xfId="11478" xr:uid="{A3689FD2-D256-462A-B6F0-E17FA48F6F89}"/>
    <cellStyle name="40% - Accent5 2 2 3 2" xfId="2359" xr:uid="{B432FC15-96F7-470B-BD40-8E6D05EFDE5C}"/>
    <cellStyle name="40% - Accent5 2 2 3 2 2" xfId="12307" xr:uid="{0092CC1F-B2FC-4851-AB24-9555BC36FF53}"/>
    <cellStyle name="40% - Accent5 2 2 3 3" xfId="3188" xr:uid="{8ABC12C7-B4F1-48C6-91F7-44719DEE51D4}"/>
    <cellStyle name="40% - Accent5 2 2 3 3 2" xfId="13136" xr:uid="{06750B40-C74E-4FF3-97BD-DFBBBB5EEEB5}"/>
    <cellStyle name="40% - Accent5 2 2 3 4" xfId="4017" xr:uid="{F6A8A948-D61E-4C17-9660-0B9019FD7E3C}"/>
    <cellStyle name="40% - Accent5 2 2 3 4 2" xfId="13965" xr:uid="{ADFFE3A6-6238-4A9B-83ED-0F33CBCF64DC}"/>
    <cellStyle name="40% - Accent5 2 2 3 5" xfId="4846" xr:uid="{3259F87E-EA70-4190-B022-BDC7DA74870B}"/>
    <cellStyle name="40% - Accent5 2 2 3 5 2" xfId="14794" xr:uid="{37F8AC83-8265-4DCD-8833-AD3259D5AD80}"/>
    <cellStyle name="40% - Accent5 2 2 3 6" xfId="5675" xr:uid="{96AFC1A3-2E1E-4BDE-8B75-0351B2C3A792}"/>
    <cellStyle name="40% - Accent5 2 2 3 6 2" xfId="15623" xr:uid="{B049A8AE-C90A-4B27-A250-3C4441BA9829}"/>
    <cellStyle name="40% - Accent5 2 2 3 7" xfId="6504" xr:uid="{4CA23BBC-6A53-4C74-9B5B-B8B295DB0C9F}"/>
    <cellStyle name="40% - Accent5 2 2 3 7 2" xfId="16452" xr:uid="{329F8864-BCBF-4CC2-8CA0-B7491DFFC5B9}"/>
    <cellStyle name="40% - Accent5 2 2 3 8" xfId="7333" xr:uid="{AEC526A9-BCE4-4340-B10B-1C869B289FF1}"/>
    <cellStyle name="40% - Accent5 2 2 3 8 2" xfId="17281" xr:uid="{A2CFB51D-905F-42D7-85FA-A55818496390}"/>
    <cellStyle name="40% - Accent5 2 2 3 9" xfId="8162" xr:uid="{5479E16C-36A9-45FE-B1A3-8EB0B8965EBE}"/>
    <cellStyle name="40% - Accent5 2 2 3 9 2" xfId="18110" xr:uid="{DB83B1B3-60E4-4F15-953F-5ECB26DEF3CD}"/>
    <cellStyle name="40% - Accent5 2 2 4" xfId="1943" xr:uid="{507B15EB-A13A-46D2-97AF-E4927A800C64}"/>
    <cellStyle name="40% - Accent5 2 2 4 2" xfId="11891" xr:uid="{E11DB374-4748-45AA-B884-9808A0631497}"/>
    <cellStyle name="40% - Accent5 2 2 5" xfId="2772" xr:uid="{E06CA98C-A840-4B3A-8F7A-C1F1ACA4407C}"/>
    <cellStyle name="40% - Accent5 2 2 5 2" xfId="12720" xr:uid="{89DBFB0D-2026-4218-95D6-0A7507896143}"/>
    <cellStyle name="40% - Accent5 2 2 6" xfId="3601" xr:uid="{73B41506-BDD9-44CE-BAFE-48201A0DAB3E}"/>
    <cellStyle name="40% - Accent5 2 2 6 2" xfId="13549" xr:uid="{EB6F9F8D-0C11-444D-B3C5-A2F3DE0C020E}"/>
    <cellStyle name="40% - Accent5 2 2 7" xfId="4430" xr:uid="{A136822D-EC07-4646-BE99-5EBA741A208C}"/>
    <cellStyle name="40% - Accent5 2 2 7 2" xfId="14378" xr:uid="{831B416B-1AE1-4397-A33E-8E5A6E3BB818}"/>
    <cellStyle name="40% - Accent5 2 2 8" xfId="5259" xr:uid="{60DFD92A-99B1-43D0-AB7E-540443B1D7A6}"/>
    <cellStyle name="40% - Accent5 2 2 8 2" xfId="15207" xr:uid="{BB567F0B-D32E-43BF-867A-971551F23F3C}"/>
    <cellStyle name="40% - Accent5 2 2 9" xfId="6088" xr:uid="{F1E122B2-4B69-46FE-A6B5-7991664ED1C9}"/>
    <cellStyle name="40% - Accent5 2 2 9 2" xfId="16036" xr:uid="{0BC896A7-66D1-4B6E-AB06-036B0AB0020D}"/>
    <cellStyle name="40% - Accent5 2 3" xfId="85" xr:uid="{00000000-0005-0000-0000-0000A6000000}"/>
    <cellStyle name="40% - Accent5 2 3 10" xfId="7748" xr:uid="{96334076-4627-4A18-BBA4-1D9D449909A6}"/>
    <cellStyle name="40% - Accent5 2 3 10 2" xfId="17696" xr:uid="{5EBC44F4-A01E-4D8E-9FA0-65697FAB37D8}"/>
    <cellStyle name="40% - Accent5 2 3 11" xfId="8577" xr:uid="{052497B9-F3AD-4350-8AC5-57E35186C73F}"/>
    <cellStyle name="40% - Accent5 2 3 11 2" xfId="18525" xr:uid="{4A852148-798F-4736-854A-A84DBFCA49C4}"/>
    <cellStyle name="40% - Accent5 2 3 12" xfId="9406" xr:uid="{0DA5EAA9-F5B8-424B-BDA0-F7D6C01F261F}"/>
    <cellStyle name="40% - Accent5 2 3 12 2" xfId="19354" xr:uid="{40EE1EEF-310A-4D33-8D30-77D089D08A3E}"/>
    <cellStyle name="40% - Accent5 2 3 13" xfId="10235" xr:uid="{B3C7C33E-EE82-41C8-8F69-B12BA5DC3998}"/>
    <cellStyle name="40% - Accent5 2 3 13 2" xfId="20183" xr:uid="{22E55987-D18D-4658-8099-E44F4B46F539}"/>
    <cellStyle name="40% - Accent5 2 3 14" xfId="1116" xr:uid="{4C721F46-5437-4537-BD36-B1673CA0A40E}"/>
    <cellStyle name="40% - Accent5 2 3 15" xfId="11064" xr:uid="{3A58E9A1-EF12-45C0-95D4-14A7AFB2E8AA}"/>
    <cellStyle name="40% - Accent5 2 3 2" xfId="662" xr:uid="{00000000-0005-0000-0000-0000A7000000}"/>
    <cellStyle name="40% - Accent5 2 3 2 10" xfId="8993" xr:uid="{F2C29DE1-989C-49B4-9056-8DE26DA8744B}"/>
    <cellStyle name="40% - Accent5 2 3 2 10 2" xfId="18941" xr:uid="{986E29FB-92BF-4963-B3DF-5351DB9363DA}"/>
    <cellStyle name="40% - Accent5 2 3 2 11" xfId="9822" xr:uid="{44AA8770-8D00-4883-A09E-AE9BF8CDF2B7}"/>
    <cellStyle name="40% - Accent5 2 3 2 11 2" xfId="19770" xr:uid="{9EA479CA-04CA-4B2E-8BD9-CA952B47E11D}"/>
    <cellStyle name="40% - Accent5 2 3 2 12" xfId="10651" xr:uid="{0B673817-4A12-4C09-9C7B-E6EED79D47B8}"/>
    <cellStyle name="40% - Accent5 2 3 2 12 2" xfId="20599" xr:uid="{EAA195D0-E829-4E47-AE41-ADE905509402}"/>
    <cellStyle name="40% - Accent5 2 3 2 13" xfId="1532" xr:uid="{F84EE6B7-7779-463E-9059-CC4E28D97382}"/>
    <cellStyle name="40% - Accent5 2 3 2 14" xfId="11480" xr:uid="{DEDBF274-AF14-44F2-BB65-6D49FB179031}"/>
    <cellStyle name="40% - Accent5 2 3 2 2" xfId="2361" xr:uid="{EC3F52FA-2EC2-443E-8CB4-B2D6AD352523}"/>
    <cellStyle name="40% - Accent5 2 3 2 2 2" xfId="12309" xr:uid="{123F409A-A752-48B3-9BAD-AB17F4B74186}"/>
    <cellStyle name="40% - Accent5 2 3 2 3" xfId="3190" xr:uid="{3E29ADBC-0621-4D5B-A808-333CA3BAEE9F}"/>
    <cellStyle name="40% - Accent5 2 3 2 3 2" xfId="13138" xr:uid="{57783B1D-F601-45CE-A5A5-58012EF0350D}"/>
    <cellStyle name="40% - Accent5 2 3 2 4" xfId="4019" xr:uid="{FCE9DC4C-0A97-4781-8F13-867F56307913}"/>
    <cellStyle name="40% - Accent5 2 3 2 4 2" xfId="13967" xr:uid="{13FABBAA-B1E2-4991-88FD-F66208794B69}"/>
    <cellStyle name="40% - Accent5 2 3 2 5" xfId="4848" xr:uid="{9A87D802-E617-44D6-A651-D0739E1B3C0A}"/>
    <cellStyle name="40% - Accent5 2 3 2 5 2" xfId="14796" xr:uid="{2A694894-2757-4EDC-A721-761F6CDCD6BD}"/>
    <cellStyle name="40% - Accent5 2 3 2 6" xfId="5677" xr:uid="{AF4D962F-DA8A-4A83-8DD5-AAE5DEE8229F}"/>
    <cellStyle name="40% - Accent5 2 3 2 6 2" xfId="15625" xr:uid="{7107F3C2-C25C-48A6-9506-D3E2DBF933C1}"/>
    <cellStyle name="40% - Accent5 2 3 2 7" xfId="6506" xr:uid="{980AFD54-944B-464E-B0BE-83E199CC68D4}"/>
    <cellStyle name="40% - Accent5 2 3 2 7 2" xfId="16454" xr:uid="{2881B857-F4EF-4023-A219-7367EE780161}"/>
    <cellStyle name="40% - Accent5 2 3 2 8" xfId="7335" xr:uid="{1AA0B68D-9966-4693-9DBC-1E31D55F487B}"/>
    <cellStyle name="40% - Accent5 2 3 2 8 2" xfId="17283" xr:uid="{20344181-1D66-479E-956F-EBF0A790F864}"/>
    <cellStyle name="40% - Accent5 2 3 2 9" xfId="8164" xr:uid="{93CAD19F-4B64-4263-9052-8A4CD9157386}"/>
    <cellStyle name="40% - Accent5 2 3 2 9 2" xfId="18112" xr:uid="{D39412E4-7C93-4C4F-8F2E-E7BCB0FEB531}"/>
    <cellStyle name="40% - Accent5 2 3 3" xfId="1945" xr:uid="{62C32E05-56DB-488A-A73F-907B7C92942B}"/>
    <cellStyle name="40% - Accent5 2 3 3 2" xfId="11893" xr:uid="{0B1D7DB9-4510-4F3A-A806-8505714BC3D9}"/>
    <cellStyle name="40% - Accent5 2 3 4" xfId="2774" xr:uid="{6FB979DB-8647-43D8-87B2-F70D4BDFAE2E}"/>
    <cellStyle name="40% - Accent5 2 3 4 2" xfId="12722" xr:uid="{645BAF6C-30FD-4034-BD77-34BF3166C8C7}"/>
    <cellStyle name="40% - Accent5 2 3 5" xfId="3603" xr:uid="{68BA8C37-1643-4363-9FB1-6666B7A632A1}"/>
    <cellStyle name="40% - Accent5 2 3 5 2" xfId="13551" xr:uid="{F04BAAA8-E852-428F-BED1-283F8D56AAF7}"/>
    <cellStyle name="40% - Accent5 2 3 6" xfId="4432" xr:uid="{D7B3E369-4490-408D-B9FA-D9E86BB9A16E}"/>
    <cellStyle name="40% - Accent5 2 3 6 2" xfId="14380" xr:uid="{6F721DD8-B660-4238-AB52-B2214DD395A0}"/>
    <cellStyle name="40% - Accent5 2 3 7" xfId="5261" xr:uid="{C63B53D0-C376-465B-BE4D-B1724F57CF9B}"/>
    <cellStyle name="40% - Accent5 2 3 7 2" xfId="15209" xr:uid="{26D0E788-82AE-42FF-A714-3448C24B6E20}"/>
    <cellStyle name="40% - Accent5 2 3 8" xfId="6090" xr:uid="{39D991E5-C63E-407C-9D22-4E9E48FC1498}"/>
    <cellStyle name="40% - Accent5 2 3 8 2" xfId="16038" xr:uid="{64AF567A-4108-424D-9F91-0FE72DBAC05E}"/>
    <cellStyle name="40% - Accent5 2 3 9" xfId="6919" xr:uid="{69BF6DCE-6FD6-4D78-B5AB-3E645F50562C}"/>
    <cellStyle name="40% - Accent5 2 3 9 2" xfId="16867" xr:uid="{847374BC-74F7-4273-BF6F-D624AB338AA7}"/>
    <cellStyle name="40% - Accent5 2 4" xfId="659" xr:uid="{00000000-0005-0000-0000-0000A8000000}"/>
    <cellStyle name="40% - Accent5 2 4 10" xfId="8990" xr:uid="{5BE8C827-1450-44F0-969C-D7AB9E1377C8}"/>
    <cellStyle name="40% - Accent5 2 4 10 2" xfId="18938" xr:uid="{AB9590EE-9957-4EAA-85AC-4BC5CD436973}"/>
    <cellStyle name="40% - Accent5 2 4 11" xfId="9819" xr:uid="{6588DC2C-10AE-4AFB-8888-6A270B50716E}"/>
    <cellStyle name="40% - Accent5 2 4 11 2" xfId="19767" xr:uid="{B99AB2D3-979E-4CE7-82E3-634DA04CF9EE}"/>
    <cellStyle name="40% - Accent5 2 4 12" xfId="10648" xr:uid="{D80985B2-8448-4481-BE65-7280136A662B}"/>
    <cellStyle name="40% - Accent5 2 4 12 2" xfId="20596" xr:uid="{B9B7ED4C-DB5F-456E-B7BF-6AD5D6FCF4EF}"/>
    <cellStyle name="40% - Accent5 2 4 13" xfId="1529" xr:uid="{69F726AF-AD11-4C2A-BB9C-5B6C6AB14132}"/>
    <cellStyle name="40% - Accent5 2 4 14" xfId="11477" xr:uid="{8CC20891-5903-485A-A4E2-5BB1E92C2F17}"/>
    <cellStyle name="40% - Accent5 2 4 2" xfId="2358" xr:uid="{DBCB6BDE-4965-4276-B5EC-3CD44210D86D}"/>
    <cellStyle name="40% - Accent5 2 4 2 2" xfId="12306" xr:uid="{3282DDCF-F997-4EB9-B79E-0258E2051C5C}"/>
    <cellStyle name="40% - Accent5 2 4 3" xfId="3187" xr:uid="{AA08372B-5063-456D-9CB8-34A5E6FC7245}"/>
    <cellStyle name="40% - Accent5 2 4 3 2" xfId="13135" xr:uid="{66748FF8-735A-4269-A43E-E9C55465EFD0}"/>
    <cellStyle name="40% - Accent5 2 4 4" xfId="4016" xr:uid="{402423A2-F923-4C9B-9BAB-5C98151D5BB8}"/>
    <cellStyle name="40% - Accent5 2 4 4 2" xfId="13964" xr:uid="{23961291-31C3-491D-A55A-4ED3D6FAA1AA}"/>
    <cellStyle name="40% - Accent5 2 4 5" xfId="4845" xr:uid="{B9079467-7D91-4F8F-8B21-256588CDB855}"/>
    <cellStyle name="40% - Accent5 2 4 5 2" xfId="14793" xr:uid="{FE14FC50-BACA-4818-A55C-5B09E69BF606}"/>
    <cellStyle name="40% - Accent5 2 4 6" xfId="5674" xr:uid="{996B7C82-5601-4D61-97EB-5507F857182C}"/>
    <cellStyle name="40% - Accent5 2 4 6 2" xfId="15622" xr:uid="{42CEB144-4075-4796-B43C-BE7AB4BD2F5D}"/>
    <cellStyle name="40% - Accent5 2 4 7" xfId="6503" xr:uid="{CE207E6E-B20B-49D9-B42C-35A9439CF9A3}"/>
    <cellStyle name="40% - Accent5 2 4 7 2" xfId="16451" xr:uid="{FFE35CC3-D75C-4969-BB34-8DF161B58533}"/>
    <cellStyle name="40% - Accent5 2 4 8" xfId="7332" xr:uid="{B3E4F700-6F18-44E8-A393-AE4D995A438E}"/>
    <cellStyle name="40% - Accent5 2 4 8 2" xfId="17280" xr:uid="{00584F06-A8BB-4B6F-9AE0-F63EA0AA5B1B}"/>
    <cellStyle name="40% - Accent5 2 4 9" xfId="8161" xr:uid="{E2D287D7-5CF6-480B-B515-D578945B611D}"/>
    <cellStyle name="40% - Accent5 2 4 9 2" xfId="18109" xr:uid="{A0DCD62B-C667-427A-B34C-35CB6E1ED86B}"/>
    <cellStyle name="40% - Accent5 2 5" xfId="1942" xr:uid="{4BA116F9-CEC2-4BA3-AD0A-70EF56795349}"/>
    <cellStyle name="40% - Accent5 2 5 2" xfId="11890" xr:uid="{A564EF7B-81E1-438B-A2EB-D64CF57E65F3}"/>
    <cellStyle name="40% - Accent5 2 6" xfId="2771" xr:uid="{CCAC318A-78D5-466D-B882-4768E4F7ACB2}"/>
    <cellStyle name="40% - Accent5 2 6 2" xfId="12719" xr:uid="{67CB9425-B2D6-4A92-82A2-CE774869C6A7}"/>
    <cellStyle name="40% - Accent5 2 7" xfId="3600" xr:uid="{44927075-1B37-4337-A449-A18823871CBB}"/>
    <cellStyle name="40% - Accent5 2 7 2" xfId="13548" xr:uid="{EFA603EE-7BA0-4EF0-B61B-F69C5296B859}"/>
    <cellStyle name="40% - Accent5 2 8" xfId="4429" xr:uid="{363C54E7-A17F-4732-BB7A-4EE5DC681A10}"/>
    <cellStyle name="40% - Accent5 2 8 2" xfId="14377" xr:uid="{FAE028E1-2ED6-4D1A-91E5-66AD7A74A3F9}"/>
    <cellStyle name="40% - Accent5 2 9" xfId="5258" xr:uid="{69F27129-7922-460C-B397-58CA67760120}"/>
    <cellStyle name="40% - Accent5 2 9 2" xfId="15206" xr:uid="{EACAE484-7C6F-4A1E-BC73-E4DD619B278E}"/>
    <cellStyle name="40% - Accent5 3" xfId="86" xr:uid="{00000000-0005-0000-0000-0000A9000000}"/>
    <cellStyle name="40% - Accent5 3 10" xfId="6920" xr:uid="{49D44D87-3D83-49FE-8714-494031B24DA6}"/>
    <cellStyle name="40% - Accent5 3 10 2" xfId="16868" xr:uid="{630F2A8E-E37F-4073-B96F-671151C5A94B}"/>
    <cellStyle name="40% - Accent5 3 11" xfId="7749" xr:uid="{C8F075CE-8156-4900-8B98-AB830650985D}"/>
    <cellStyle name="40% - Accent5 3 11 2" xfId="17697" xr:uid="{E5A3F6F0-B8A3-4F2F-B7E1-B9A99E1B39A8}"/>
    <cellStyle name="40% - Accent5 3 12" xfId="8578" xr:uid="{AA16222C-F07B-4166-BC0B-11F2D8A3AECA}"/>
    <cellStyle name="40% - Accent5 3 12 2" xfId="18526" xr:uid="{19B363CB-29BE-4713-9060-40D2B86B5D3C}"/>
    <cellStyle name="40% - Accent5 3 13" xfId="9407" xr:uid="{71607ACC-FCAB-4B3F-911F-82B34274EDA0}"/>
    <cellStyle name="40% - Accent5 3 13 2" xfId="19355" xr:uid="{66B4095A-2B51-4745-AE21-FFA8D7075A3C}"/>
    <cellStyle name="40% - Accent5 3 14" xfId="10236" xr:uid="{6B8BD47A-0A42-4ABE-9C27-FA7F8355DBE3}"/>
    <cellStyle name="40% - Accent5 3 14 2" xfId="20184" xr:uid="{51756F6F-A4C5-4785-A595-3B4821397695}"/>
    <cellStyle name="40% - Accent5 3 15" xfId="1117" xr:uid="{E55291A8-6216-43A5-9B76-0B232024B581}"/>
    <cellStyle name="40% - Accent5 3 16" xfId="11065" xr:uid="{E1EC1337-C5AD-4DA2-8564-FFC80BE97EE3}"/>
    <cellStyle name="40% - Accent5 3 2" xfId="87" xr:uid="{00000000-0005-0000-0000-0000AA000000}"/>
    <cellStyle name="40% - Accent5 3 2 10" xfId="7750" xr:uid="{EAB6CABB-9B13-4325-8B7F-56D7174C684F}"/>
    <cellStyle name="40% - Accent5 3 2 10 2" xfId="17698" xr:uid="{35EA03B4-D27E-498E-ADC1-4E864527D9A3}"/>
    <cellStyle name="40% - Accent5 3 2 11" xfId="8579" xr:uid="{DC06523D-7BC7-4A9C-87D2-E168E2F91D35}"/>
    <cellStyle name="40% - Accent5 3 2 11 2" xfId="18527" xr:uid="{F672121F-BAC1-4BB5-A52B-5B0309F1F9A2}"/>
    <cellStyle name="40% - Accent5 3 2 12" xfId="9408" xr:uid="{BFD3E7D2-5F9C-4100-8DB8-06075697E4D7}"/>
    <cellStyle name="40% - Accent5 3 2 12 2" xfId="19356" xr:uid="{61E17308-EB64-4D21-A6D5-D3122FB2092F}"/>
    <cellStyle name="40% - Accent5 3 2 13" xfId="10237" xr:uid="{0BCD097E-5692-413B-A951-2F81C85916E1}"/>
    <cellStyle name="40% - Accent5 3 2 13 2" xfId="20185" xr:uid="{B5B40B82-16F3-4B42-B9A3-0CE0B2A88091}"/>
    <cellStyle name="40% - Accent5 3 2 14" xfId="1118" xr:uid="{9088DA04-6104-4B00-9E1D-751077017B89}"/>
    <cellStyle name="40% - Accent5 3 2 15" xfId="11066" xr:uid="{82BD75EA-7F47-4D63-86B3-8C4A7C37CA84}"/>
    <cellStyle name="40% - Accent5 3 2 2" xfId="664" xr:uid="{00000000-0005-0000-0000-0000AB000000}"/>
    <cellStyle name="40% - Accent5 3 2 2 10" xfId="8995" xr:uid="{4C3663B5-3216-4728-9FD2-4803D3B5DBF0}"/>
    <cellStyle name="40% - Accent5 3 2 2 10 2" xfId="18943" xr:uid="{68CE6BEC-40A8-4E13-9F6B-498363EADB15}"/>
    <cellStyle name="40% - Accent5 3 2 2 11" xfId="9824" xr:uid="{F96FA661-28F9-43AC-A52E-52B3CAC68C33}"/>
    <cellStyle name="40% - Accent5 3 2 2 11 2" xfId="19772" xr:uid="{87561C97-AAB3-46C6-80A4-7BA8ED5E550C}"/>
    <cellStyle name="40% - Accent5 3 2 2 12" xfId="10653" xr:uid="{7A08177B-9AA2-441D-A6FE-ADF5F3737329}"/>
    <cellStyle name="40% - Accent5 3 2 2 12 2" xfId="20601" xr:uid="{9DE19DD1-A911-408D-9524-AA8C5854103D}"/>
    <cellStyle name="40% - Accent5 3 2 2 13" xfId="1534" xr:uid="{A78DD480-F0D8-4127-85EB-23A6EE1D55D5}"/>
    <cellStyle name="40% - Accent5 3 2 2 14" xfId="11482" xr:uid="{18347C0F-F5C8-423C-AC7B-DD4883DDB0BE}"/>
    <cellStyle name="40% - Accent5 3 2 2 2" xfId="2363" xr:uid="{FA3D2FE4-660D-4B7B-AD92-BF563B84B081}"/>
    <cellStyle name="40% - Accent5 3 2 2 2 2" xfId="12311" xr:uid="{360FB383-4301-4BC6-94FF-72B2A171BE6D}"/>
    <cellStyle name="40% - Accent5 3 2 2 3" xfId="3192" xr:uid="{BFE735E3-C02A-4CEE-AF61-36CB817EB019}"/>
    <cellStyle name="40% - Accent5 3 2 2 3 2" xfId="13140" xr:uid="{F897F47A-5E5F-4920-B359-30771FDB6ACA}"/>
    <cellStyle name="40% - Accent5 3 2 2 4" xfId="4021" xr:uid="{F6B369B0-7911-4D13-A538-A3A599BCAC6E}"/>
    <cellStyle name="40% - Accent5 3 2 2 4 2" xfId="13969" xr:uid="{E5337BA0-DA03-41BF-8839-5E20AC917105}"/>
    <cellStyle name="40% - Accent5 3 2 2 5" xfId="4850" xr:uid="{13E63895-0AAF-43AA-AEE7-AE30E41FA733}"/>
    <cellStyle name="40% - Accent5 3 2 2 5 2" xfId="14798" xr:uid="{AB0774A0-5BA3-4C8F-978B-F16118815EAF}"/>
    <cellStyle name="40% - Accent5 3 2 2 6" xfId="5679" xr:uid="{1A2BB09D-ED89-470A-AB07-D7FE1ABA6EF8}"/>
    <cellStyle name="40% - Accent5 3 2 2 6 2" xfId="15627" xr:uid="{5B5BADCD-7F28-44DB-A913-11DB5C3B0D3C}"/>
    <cellStyle name="40% - Accent5 3 2 2 7" xfId="6508" xr:uid="{4D59E04C-BE60-4F62-8FDD-E7298DBC4DD0}"/>
    <cellStyle name="40% - Accent5 3 2 2 7 2" xfId="16456" xr:uid="{62E01FC8-3C32-4350-8B7C-DB5A301F3A19}"/>
    <cellStyle name="40% - Accent5 3 2 2 8" xfId="7337" xr:uid="{117344A2-27B6-4582-A4C3-AA8F3FC11F40}"/>
    <cellStyle name="40% - Accent5 3 2 2 8 2" xfId="17285" xr:uid="{E9370DFF-A809-4645-9022-2B953A85C71C}"/>
    <cellStyle name="40% - Accent5 3 2 2 9" xfId="8166" xr:uid="{BB1691F9-08B4-4E1A-8793-0D4C44BEAB67}"/>
    <cellStyle name="40% - Accent5 3 2 2 9 2" xfId="18114" xr:uid="{013FA42C-D52E-4FF4-97D3-CAD7CE6F393B}"/>
    <cellStyle name="40% - Accent5 3 2 3" xfId="1947" xr:uid="{48957BB1-8B58-4504-8AEA-199C4A885683}"/>
    <cellStyle name="40% - Accent5 3 2 3 2" xfId="11895" xr:uid="{F537902C-E3F1-4C00-B65D-C87F90CF1074}"/>
    <cellStyle name="40% - Accent5 3 2 4" xfId="2776" xr:uid="{6F03F45E-FA51-4B31-976F-E4B86BFD1D18}"/>
    <cellStyle name="40% - Accent5 3 2 4 2" xfId="12724" xr:uid="{97DEA847-9F07-4415-BB10-C9A97D184BA4}"/>
    <cellStyle name="40% - Accent5 3 2 5" xfId="3605" xr:uid="{DCA6FB96-72EF-449B-A8D7-49A727B7EB8A}"/>
    <cellStyle name="40% - Accent5 3 2 5 2" xfId="13553" xr:uid="{79D16052-BDAA-4558-928A-9F7C4809A300}"/>
    <cellStyle name="40% - Accent5 3 2 6" xfId="4434" xr:uid="{6947FFA6-93F8-4FBD-9983-56ED9A369CB0}"/>
    <cellStyle name="40% - Accent5 3 2 6 2" xfId="14382" xr:uid="{92D1CA35-7F6B-41BD-BFFB-36FE7AE4E0ED}"/>
    <cellStyle name="40% - Accent5 3 2 7" xfId="5263" xr:uid="{CB95490F-0D62-4B30-B294-1CEAB46E2FAC}"/>
    <cellStyle name="40% - Accent5 3 2 7 2" xfId="15211" xr:uid="{5253F816-C9F8-4064-8A50-904E87202015}"/>
    <cellStyle name="40% - Accent5 3 2 8" xfId="6092" xr:uid="{288D2F49-1783-4326-A58B-27A05737E8AE}"/>
    <cellStyle name="40% - Accent5 3 2 8 2" xfId="16040" xr:uid="{D1EA60D9-F8E4-4C03-9EE5-5E56B76A5EDD}"/>
    <cellStyle name="40% - Accent5 3 2 9" xfId="6921" xr:uid="{79B0DDE6-8E4F-4F79-9BCA-609B56C3D934}"/>
    <cellStyle name="40% - Accent5 3 2 9 2" xfId="16869" xr:uid="{D5FE17ED-1BA2-4DFC-BF99-8854A8354580}"/>
    <cellStyle name="40% - Accent5 3 3" xfId="663" xr:uid="{00000000-0005-0000-0000-0000AC000000}"/>
    <cellStyle name="40% - Accent5 3 3 10" xfId="8994" xr:uid="{E4E174E5-B49A-4CA2-AE6D-741BDCB08E0E}"/>
    <cellStyle name="40% - Accent5 3 3 10 2" xfId="18942" xr:uid="{00833F4C-FE6C-403A-AF08-971458BD1DBC}"/>
    <cellStyle name="40% - Accent5 3 3 11" xfId="9823" xr:uid="{3E231070-01C3-4A6D-A9B7-95D84F555D3E}"/>
    <cellStyle name="40% - Accent5 3 3 11 2" xfId="19771" xr:uid="{C906609F-B5E8-4E79-910D-E0BDD5821D9A}"/>
    <cellStyle name="40% - Accent5 3 3 12" xfId="10652" xr:uid="{F171A301-52F3-4550-8F07-BEF261A99EEE}"/>
    <cellStyle name="40% - Accent5 3 3 12 2" xfId="20600" xr:uid="{B417EFA2-AA7F-42E6-82E3-38F761A1A100}"/>
    <cellStyle name="40% - Accent5 3 3 13" xfId="1533" xr:uid="{706EFAC5-F393-4649-AD7D-E0AB539B7425}"/>
    <cellStyle name="40% - Accent5 3 3 14" xfId="11481" xr:uid="{1FC9467E-D616-481C-B008-34CC28A51D93}"/>
    <cellStyle name="40% - Accent5 3 3 2" xfId="2362" xr:uid="{C058A8DB-C086-473F-BA2B-0BEF1C35A1BE}"/>
    <cellStyle name="40% - Accent5 3 3 2 2" xfId="12310" xr:uid="{55C27B89-CA65-4B66-80E4-42CA944E00C9}"/>
    <cellStyle name="40% - Accent5 3 3 3" xfId="3191" xr:uid="{A1936CFE-453A-49B6-91F2-0882D82D583D}"/>
    <cellStyle name="40% - Accent5 3 3 3 2" xfId="13139" xr:uid="{FDB895BB-3341-4CC3-BE1E-70F7D5B05338}"/>
    <cellStyle name="40% - Accent5 3 3 4" xfId="4020" xr:uid="{87131AF0-6CA5-4BC9-B18F-2012196D69BD}"/>
    <cellStyle name="40% - Accent5 3 3 4 2" xfId="13968" xr:uid="{32E6A299-B5CF-4598-82D0-3E5F1F6B6C55}"/>
    <cellStyle name="40% - Accent5 3 3 5" xfId="4849" xr:uid="{59AE75DB-9A7C-4D4C-9F40-41F46D292448}"/>
    <cellStyle name="40% - Accent5 3 3 5 2" xfId="14797" xr:uid="{F0B3B2CF-0184-4E25-AEA8-FFDA87AF56E6}"/>
    <cellStyle name="40% - Accent5 3 3 6" xfId="5678" xr:uid="{07F9E1CD-64F1-4C03-A72A-BD8989F108C5}"/>
    <cellStyle name="40% - Accent5 3 3 6 2" xfId="15626" xr:uid="{F6ECE01F-FAD3-45BF-AA56-8F51C9F24F62}"/>
    <cellStyle name="40% - Accent5 3 3 7" xfId="6507" xr:uid="{93CC0BE6-6339-4874-AD30-25D43216D155}"/>
    <cellStyle name="40% - Accent5 3 3 7 2" xfId="16455" xr:uid="{E78F41FB-CEA4-48CF-9D17-78F88E9D9EDD}"/>
    <cellStyle name="40% - Accent5 3 3 8" xfId="7336" xr:uid="{8863E975-6915-4C08-BC85-C210CA65DFE8}"/>
    <cellStyle name="40% - Accent5 3 3 8 2" xfId="17284" xr:uid="{B2E06886-163F-4AFB-A334-33124F42D624}"/>
    <cellStyle name="40% - Accent5 3 3 9" xfId="8165" xr:uid="{BA067BDD-A4B8-4C3C-8211-905CEB49D876}"/>
    <cellStyle name="40% - Accent5 3 3 9 2" xfId="18113" xr:uid="{C2838782-3322-45AC-BA9D-635811D33205}"/>
    <cellStyle name="40% - Accent5 3 4" xfId="1946" xr:uid="{E2E13E15-3558-4DE1-B1EC-F6D34B66074E}"/>
    <cellStyle name="40% - Accent5 3 4 2" xfId="11894" xr:uid="{A74967E6-9FAC-4A54-88B6-2C86618832EF}"/>
    <cellStyle name="40% - Accent5 3 5" xfId="2775" xr:uid="{71E53237-68E1-4A21-A0EE-C93B31AEB5FB}"/>
    <cellStyle name="40% - Accent5 3 5 2" xfId="12723" xr:uid="{9BFBC50F-E5C6-4197-B1B3-3959E8600EA5}"/>
    <cellStyle name="40% - Accent5 3 6" xfId="3604" xr:uid="{5046F868-55FD-474C-B35C-AFF790A67FD7}"/>
    <cellStyle name="40% - Accent5 3 6 2" xfId="13552" xr:uid="{5FF3BCFC-579B-49EA-9FB4-1BD0CDF21743}"/>
    <cellStyle name="40% - Accent5 3 7" xfId="4433" xr:uid="{0332F0F1-C3C3-4CE1-BBAB-DC81D0ABBF3A}"/>
    <cellStyle name="40% - Accent5 3 7 2" xfId="14381" xr:uid="{5F620ABA-1E38-41D6-8E50-43DFCEED0515}"/>
    <cellStyle name="40% - Accent5 3 8" xfId="5262" xr:uid="{5885D7FE-1AAE-4C13-A92F-E935F4D29F10}"/>
    <cellStyle name="40% - Accent5 3 8 2" xfId="15210" xr:uid="{41B9D76C-2F80-486E-84BE-8A1645176C8F}"/>
    <cellStyle name="40% - Accent5 3 9" xfId="6091" xr:uid="{35EA2721-8BFE-4164-A817-AE317C73D7AB}"/>
    <cellStyle name="40% - Accent5 3 9 2" xfId="16039" xr:uid="{4851EA20-B6CB-4F52-8511-9021DB3EBD7A}"/>
    <cellStyle name="40% - Accent5 4" xfId="88" xr:uid="{00000000-0005-0000-0000-0000AD000000}"/>
    <cellStyle name="40% - Accent5 4 10" xfId="7751" xr:uid="{3F2EDB40-5518-447E-A6BA-3203FDAE0D6E}"/>
    <cellStyle name="40% - Accent5 4 10 2" xfId="17699" xr:uid="{65A4EE15-C7CA-4B81-A8E2-3AC7BC28925E}"/>
    <cellStyle name="40% - Accent5 4 11" xfId="8580" xr:uid="{EDAA2719-2B39-4B6E-8844-AF2B3A64C4C5}"/>
    <cellStyle name="40% - Accent5 4 11 2" xfId="18528" xr:uid="{6BC14E4E-D0B9-4255-B2EF-BBDF39A3C862}"/>
    <cellStyle name="40% - Accent5 4 12" xfId="9409" xr:uid="{C25B0B5C-4CE9-4100-BB07-16A4438FF023}"/>
    <cellStyle name="40% - Accent5 4 12 2" xfId="19357" xr:uid="{2F5A3A29-C798-478E-8C55-D6FFA9C9B585}"/>
    <cellStyle name="40% - Accent5 4 13" xfId="10238" xr:uid="{FEE9A072-181C-4564-8358-A461254A2836}"/>
    <cellStyle name="40% - Accent5 4 13 2" xfId="20186" xr:uid="{E2297DDA-BE9F-434A-8D98-82AE1E475D38}"/>
    <cellStyle name="40% - Accent5 4 14" xfId="1119" xr:uid="{45F44286-4890-4B7D-9A5F-B110DDECDDD7}"/>
    <cellStyle name="40% - Accent5 4 15" xfId="11067" xr:uid="{9EC436DF-1A0A-4B00-99EE-38DC8FF30F8C}"/>
    <cellStyle name="40% - Accent5 4 2" xfId="665" xr:uid="{00000000-0005-0000-0000-0000AE000000}"/>
    <cellStyle name="40% - Accent5 4 2 10" xfId="8996" xr:uid="{A4E0DD95-E577-4471-88C3-437AE9A9FDDB}"/>
    <cellStyle name="40% - Accent5 4 2 10 2" xfId="18944" xr:uid="{69605D78-E461-4594-999A-A44BAF42DFD1}"/>
    <cellStyle name="40% - Accent5 4 2 11" xfId="9825" xr:uid="{9A2C06A0-7773-45EB-A6A5-91B7CE223570}"/>
    <cellStyle name="40% - Accent5 4 2 11 2" xfId="19773" xr:uid="{35CE7EED-937F-4E61-B849-0228C697FC9E}"/>
    <cellStyle name="40% - Accent5 4 2 12" xfId="10654" xr:uid="{7B484AFB-60EE-47A5-BE81-0C170158CBFF}"/>
    <cellStyle name="40% - Accent5 4 2 12 2" xfId="20602" xr:uid="{B336C2E3-B2DB-4BB0-86F5-285FC5C34F2A}"/>
    <cellStyle name="40% - Accent5 4 2 13" xfId="1535" xr:uid="{BFEAC1B9-81A0-4A65-8312-A2A85390DEA1}"/>
    <cellStyle name="40% - Accent5 4 2 14" xfId="11483" xr:uid="{5665D715-40F5-46BE-A899-A25D896E5755}"/>
    <cellStyle name="40% - Accent5 4 2 2" xfId="2364" xr:uid="{70738DCD-5C15-4630-9184-5F892E6593AB}"/>
    <cellStyle name="40% - Accent5 4 2 2 2" xfId="12312" xr:uid="{B3382629-43BC-4A7D-AD04-D68A8B95CE82}"/>
    <cellStyle name="40% - Accent5 4 2 3" xfId="3193" xr:uid="{F388C46A-F63B-48C6-A279-7415B412CE67}"/>
    <cellStyle name="40% - Accent5 4 2 3 2" xfId="13141" xr:uid="{86E79328-610E-41B2-8F18-CC69E1ED45F4}"/>
    <cellStyle name="40% - Accent5 4 2 4" xfId="4022" xr:uid="{263D6F4B-A99D-4F5D-837A-7460296DD7D9}"/>
    <cellStyle name="40% - Accent5 4 2 4 2" xfId="13970" xr:uid="{DCFDC464-E8BC-48DB-B3CA-737306DB162E}"/>
    <cellStyle name="40% - Accent5 4 2 5" xfId="4851" xr:uid="{5A75F1E7-C525-455D-9C65-8B451870DE44}"/>
    <cellStyle name="40% - Accent5 4 2 5 2" xfId="14799" xr:uid="{B6C81AF2-0D0A-419A-B8F0-AB720BA2C43A}"/>
    <cellStyle name="40% - Accent5 4 2 6" xfId="5680" xr:uid="{6B18D676-9173-438E-B2D8-3B70C1554854}"/>
    <cellStyle name="40% - Accent5 4 2 6 2" xfId="15628" xr:uid="{549905A0-7C73-43C3-81A7-D58B98CF52B4}"/>
    <cellStyle name="40% - Accent5 4 2 7" xfId="6509" xr:uid="{FC58FDF5-CA85-47BC-8019-D0B6CC5DEBA9}"/>
    <cellStyle name="40% - Accent5 4 2 7 2" xfId="16457" xr:uid="{8ABC93A1-7CE4-4A3B-BAA5-FFDA127DC17A}"/>
    <cellStyle name="40% - Accent5 4 2 8" xfId="7338" xr:uid="{78DFADF6-4AE9-42C8-8205-7C9CC6B44E56}"/>
    <cellStyle name="40% - Accent5 4 2 8 2" xfId="17286" xr:uid="{00C12579-49CF-41F6-829C-F2D24E9845E2}"/>
    <cellStyle name="40% - Accent5 4 2 9" xfId="8167" xr:uid="{7B93027E-3912-45C9-A2DD-8BA0A8AD3015}"/>
    <cellStyle name="40% - Accent5 4 2 9 2" xfId="18115" xr:uid="{9002C459-D80B-4471-B360-28DBF286DDBF}"/>
    <cellStyle name="40% - Accent5 4 3" xfId="1948" xr:uid="{4C1512CD-B394-4D73-998C-92EEC498AF7D}"/>
    <cellStyle name="40% - Accent5 4 3 2" xfId="11896" xr:uid="{09B81233-1346-41A9-9E8E-729345EF3A27}"/>
    <cellStyle name="40% - Accent5 4 4" xfId="2777" xr:uid="{EF4956A8-82C3-47B9-B66A-9FD8244E8AF8}"/>
    <cellStyle name="40% - Accent5 4 4 2" xfId="12725" xr:uid="{716EED0C-A8EE-4260-BF03-20209A206E0C}"/>
    <cellStyle name="40% - Accent5 4 5" xfId="3606" xr:uid="{C8A29824-6130-48EA-B3C7-493046775A0D}"/>
    <cellStyle name="40% - Accent5 4 5 2" xfId="13554" xr:uid="{9FFA9E25-693A-4125-836A-8E7E63488CD5}"/>
    <cellStyle name="40% - Accent5 4 6" xfId="4435" xr:uid="{46E66A25-306D-4067-AC4F-974D8D2239BB}"/>
    <cellStyle name="40% - Accent5 4 6 2" xfId="14383" xr:uid="{D9CCFF47-643D-4903-9FA7-1EDA6DAE715E}"/>
    <cellStyle name="40% - Accent5 4 7" xfId="5264" xr:uid="{BB21BD95-6973-4B20-90CE-823074D5A134}"/>
    <cellStyle name="40% - Accent5 4 7 2" xfId="15212" xr:uid="{C06A8917-1E6D-4DA5-BA55-74EB260A72D9}"/>
    <cellStyle name="40% - Accent5 4 8" xfId="6093" xr:uid="{CF28F46C-51D7-4FF4-84C1-148AA0EB9B34}"/>
    <cellStyle name="40% - Accent5 4 8 2" xfId="16041" xr:uid="{2E3A8B65-2065-4537-AFE9-93F73EADCC15}"/>
    <cellStyle name="40% - Accent5 4 9" xfId="6922" xr:uid="{5BDA8E67-A020-475C-8209-EA54A3D8E002}"/>
    <cellStyle name="40% - Accent5 4 9 2" xfId="16870" xr:uid="{6273C63A-1324-4312-8A91-4588706C637C}"/>
    <cellStyle name="40% - Accent5 5" xfId="658" xr:uid="{00000000-0005-0000-0000-0000AF000000}"/>
    <cellStyle name="40% - Accent5 5 10" xfId="8989" xr:uid="{FB2332D9-C105-41BF-B7A2-E57E2DDB8413}"/>
    <cellStyle name="40% - Accent5 5 10 2" xfId="18937" xr:uid="{1F1F5C71-9B34-42E3-A461-ED63F51DDE88}"/>
    <cellStyle name="40% - Accent5 5 11" xfId="9818" xr:uid="{0216D659-580B-423A-9FE4-237534BF9E64}"/>
    <cellStyle name="40% - Accent5 5 11 2" xfId="19766" xr:uid="{8550F957-667D-46D8-BFA1-915F29B4D086}"/>
    <cellStyle name="40% - Accent5 5 12" xfId="10647" xr:uid="{C7BA52F1-3D37-478A-962C-955A14D4D98E}"/>
    <cellStyle name="40% - Accent5 5 12 2" xfId="20595" xr:uid="{63A9C512-E3BA-42AF-B1DD-5EDF95E9CF6E}"/>
    <cellStyle name="40% - Accent5 5 13" xfId="1528" xr:uid="{9869B825-493F-4BF0-A65E-5D2DBC55FBA0}"/>
    <cellStyle name="40% - Accent5 5 14" xfId="11476" xr:uid="{C84382BE-DB4B-4592-AA6E-E6AF777A854F}"/>
    <cellStyle name="40% - Accent5 5 2" xfId="2357" xr:uid="{2ACE8F33-0E8A-427C-AD00-48F465A7B9C6}"/>
    <cellStyle name="40% - Accent5 5 2 2" xfId="12305" xr:uid="{32721532-C508-4F46-B939-A97F2E2525AA}"/>
    <cellStyle name="40% - Accent5 5 3" xfId="3186" xr:uid="{13E9753C-7886-480D-B68F-A904A6BFAF4C}"/>
    <cellStyle name="40% - Accent5 5 3 2" xfId="13134" xr:uid="{FC33BEB2-E57F-4C20-887C-5051A9ECC91A}"/>
    <cellStyle name="40% - Accent5 5 4" xfId="4015" xr:uid="{2266278D-BB61-4023-98B5-8A605C7CF75A}"/>
    <cellStyle name="40% - Accent5 5 4 2" xfId="13963" xr:uid="{FD6E0FAB-5953-4F46-922F-8AE7F06AF8D6}"/>
    <cellStyle name="40% - Accent5 5 5" xfId="4844" xr:uid="{7D8E325E-D369-49FE-B013-43338AE206F0}"/>
    <cellStyle name="40% - Accent5 5 5 2" xfId="14792" xr:uid="{66207F9E-E7E8-403D-98AB-EBC3985A888D}"/>
    <cellStyle name="40% - Accent5 5 6" xfId="5673" xr:uid="{92B9EFFF-7173-42E0-9F69-4B4446BEA0E1}"/>
    <cellStyle name="40% - Accent5 5 6 2" xfId="15621" xr:uid="{4A001885-7B92-4C6D-AC2C-C682749A6A9C}"/>
    <cellStyle name="40% - Accent5 5 7" xfId="6502" xr:uid="{CAD8B55E-FD48-459B-B91E-5595777CDD0A}"/>
    <cellStyle name="40% - Accent5 5 7 2" xfId="16450" xr:uid="{BCEA686D-2D87-437D-8696-9A96FD921F84}"/>
    <cellStyle name="40% - Accent5 5 8" xfId="7331" xr:uid="{CE367C0F-B478-4939-859C-C0F5B3FD0ED4}"/>
    <cellStyle name="40% - Accent5 5 8 2" xfId="17279" xr:uid="{1EA74A8F-B94D-47BC-A763-E11E65A9AFC4}"/>
    <cellStyle name="40% - Accent5 5 9" xfId="8160" xr:uid="{500A3738-A37D-4E38-A8B3-A6EA7BDA905D}"/>
    <cellStyle name="40% - Accent5 5 9 2" xfId="18108" xr:uid="{E5F33279-92A7-4476-8886-61A783AFB61D}"/>
    <cellStyle name="40% - Accent5 6" xfId="1941" xr:uid="{5D4B35E7-E285-4C8C-AD57-A029E93A6E07}"/>
    <cellStyle name="40% - Accent5 6 2" xfId="11889" xr:uid="{D9E05F39-2933-411C-B097-C0560B6E9CD3}"/>
    <cellStyle name="40% - Accent5 7" xfId="2770" xr:uid="{25186757-71B6-4792-9954-D1CE1A3AD610}"/>
    <cellStyle name="40% - Accent5 7 2" xfId="12718" xr:uid="{641F0524-7339-4FF6-B3D1-D33E326BA382}"/>
    <cellStyle name="40% - Accent5 8" xfId="3599" xr:uid="{E8DA5A71-4EA8-4BB6-AE44-FF390EBA2185}"/>
    <cellStyle name="40% - Accent5 8 2" xfId="13547" xr:uid="{4B83648E-042B-4B0E-85C7-923EB38674D1}"/>
    <cellStyle name="40% - Accent5 9" xfId="4428" xr:uid="{9B8BE650-9A46-4F10-A013-2AF79147949A}"/>
    <cellStyle name="40% - Accent5 9 2" xfId="14376" xr:uid="{90606EFF-A85A-420A-A97B-28E1F9E5E7D5}"/>
    <cellStyle name="40% - Accent6" xfId="89" builtinId="51" customBuiltin="1"/>
    <cellStyle name="40% - Accent6 10" xfId="5265" xr:uid="{E4845262-AF96-419B-9AD5-9F0E57627C7F}"/>
    <cellStyle name="40% - Accent6 10 2" xfId="15213" xr:uid="{B2C0DDC0-3B1C-4E77-B82A-93F903F5095F}"/>
    <cellStyle name="40% - Accent6 11" xfId="6094" xr:uid="{C04ECD24-1C81-4EB7-BAD8-1746B50C4995}"/>
    <cellStyle name="40% - Accent6 11 2" xfId="16042" xr:uid="{CBA03FBC-DDE0-465B-A73B-A09837EF91A7}"/>
    <cellStyle name="40% - Accent6 12" xfId="6923" xr:uid="{9230AC32-6221-4B9F-B014-B701D3533358}"/>
    <cellStyle name="40% - Accent6 12 2" xfId="16871" xr:uid="{122405B8-FD21-4374-B36E-5295523727B6}"/>
    <cellStyle name="40% - Accent6 13" xfId="7752" xr:uid="{F940E560-CEE1-4A50-8B29-7F867079DD21}"/>
    <cellStyle name="40% - Accent6 13 2" xfId="17700" xr:uid="{40208309-9CD2-4A82-9B69-6A590AE6E2C0}"/>
    <cellStyle name="40% - Accent6 14" xfId="8581" xr:uid="{164D2E83-7BC6-4A3E-871B-1EEBD56AAA95}"/>
    <cellStyle name="40% - Accent6 14 2" xfId="18529" xr:uid="{35A7C92A-633A-4391-B70D-FF487EED3E67}"/>
    <cellStyle name="40% - Accent6 15" xfId="9410" xr:uid="{96177611-88E5-49BC-9453-572144A6D1B2}"/>
    <cellStyle name="40% - Accent6 15 2" xfId="19358" xr:uid="{9E164359-B703-4CBC-9D7E-6E67E5BFAEE0}"/>
    <cellStyle name="40% - Accent6 16" xfId="10239" xr:uid="{F5523D44-8AF8-4368-89EA-1BA5213A97E5}"/>
    <cellStyle name="40% - Accent6 16 2" xfId="20187" xr:uid="{CCBB6B0C-FCCE-4C55-AA7A-3C3D8FD7AFE3}"/>
    <cellStyle name="40% - Accent6 17" xfId="1120" xr:uid="{C1BAD73C-D3D6-4AE6-9353-93AC8719F796}"/>
    <cellStyle name="40% - Accent6 18" xfId="11068" xr:uid="{2D06379F-1351-427B-9A62-03B55AB165DE}"/>
    <cellStyle name="40% - Accent6 2" xfId="90" xr:uid="{00000000-0005-0000-0000-0000B1000000}"/>
    <cellStyle name="40% - Accent6 2 10" xfId="6095" xr:uid="{16FEB4CB-7AEC-4C8F-86F7-0B6A5F55A71E}"/>
    <cellStyle name="40% - Accent6 2 10 2" xfId="16043" xr:uid="{E0CB29A7-40C0-4195-A61F-653DC8FCD618}"/>
    <cellStyle name="40% - Accent6 2 11" xfId="6924" xr:uid="{8CF25E01-254F-4598-8E92-7063BA9DB257}"/>
    <cellStyle name="40% - Accent6 2 11 2" xfId="16872" xr:uid="{65C5928E-9924-4096-99E3-25403DF631A2}"/>
    <cellStyle name="40% - Accent6 2 12" xfId="7753" xr:uid="{9186E3FF-897C-4C56-BDF5-5E3970AED4EE}"/>
    <cellStyle name="40% - Accent6 2 12 2" xfId="17701" xr:uid="{25DBE0B1-E0B9-455F-83AF-0DDB96BCD277}"/>
    <cellStyle name="40% - Accent6 2 13" xfId="8582" xr:uid="{9A400578-6033-4597-AB91-D412BCFA383D}"/>
    <cellStyle name="40% - Accent6 2 13 2" xfId="18530" xr:uid="{037FA2C7-933C-47D6-9FEE-185A1F9463CA}"/>
    <cellStyle name="40% - Accent6 2 14" xfId="9411" xr:uid="{0F3F0B22-B1B7-4582-B0E5-D6796D5DAAE8}"/>
    <cellStyle name="40% - Accent6 2 14 2" xfId="19359" xr:uid="{57BB8E70-9483-42D4-B405-69E7A813594F}"/>
    <cellStyle name="40% - Accent6 2 15" xfId="10240" xr:uid="{1591FD57-FA0D-40DB-BEE8-C5D343AA39C2}"/>
    <cellStyle name="40% - Accent6 2 15 2" xfId="20188" xr:uid="{2B233F34-0DAB-484B-8860-7026F489E40E}"/>
    <cellStyle name="40% - Accent6 2 16" xfId="1121" xr:uid="{BE3D2C43-F82E-4C65-91AC-7D58928830FC}"/>
    <cellStyle name="40% - Accent6 2 17" xfId="11069" xr:uid="{90ED6B3D-E431-47E5-A8BB-011B92EA53B0}"/>
    <cellStyle name="40% - Accent6 2 2" xfId="91" xr:uid="{00000000-0005-0000-0000-0000B2000000}"/>
    <cellStyle name="40% - Accent6 2 2 10" xfId="6925" xr:uid="{8F72EB44-A6BA-45BA-87BF-555ACAE89AD6}"/>
    <cellStyle name="40% - Accent6 2 2 10 2" xfId="16873" xr:uid="{68F3656E-51FF-4A84-B206-329B68723C10}"/>
    <cellStyle name="40% - Accent6 2 2 11" xfId="7754" xr:uid="{3D578E84-C55E-4943-ACF0-1020EA162887}"/>
    <cellStyle name="40% - Accent6 2 2 11 2" xfId="17702" xr:uid="{A18BE433-2562-45FB-9F89-85EF6AFB12B4}"/>
    <cellStyle name="40% - Accent6 2 2 12" xfId="8583" xr:uid="{6340B4A7-EDF2-4448-B4BF-1D32F9F3390F}"/>
    <cellStyle name="40% - Accent6 2 2 12 2" xfId="18531" xr:uid="{E83EEBAF-4576-426A-B0DB-22524EA34DBB}"/>
    <cellStyle name="40% - Accent6 2 2 13" xfId="9412" xr:uid="{F5390527-4555-45FF-99F4-9043CE323E16}"/>
    <cellStyle name="40% - Accent6 2 2 13 2" xfId="19360" xr:uid="{9789963B-208C-486B-8280-4A2CD4455750}"/>
    <cellStyle name="40% - Accent6 2 2 14" xfId="10241" xr:uid="{4F7B749B-2B8F-42B9-9194-AE0CDF6BC9B2}"/>
    <cellStyle name="40% - Accent6 2 2 14 2" xfId="20189" xr:uid="{9C4B2206-C330-4AE7-972A-B04AE0F90AEF}"/>
    <cellStyle name="40% - Accent6 2 2 15" xfId="1122" xr:uid="{32C44682-EE0C-4C18-86EC-03F436026252}"/>
    <cellStyle name="40% - Accent6 2 2 16" xfId="11070" xr:uid="{2F6FA22C-953F-4C2B-BE9F-55953D382D8A}"/>
    <cellStyle name="40% - Accent6 2 2 2" xfId="92" xr:uid="{00000000-0005-0000-0000-0000B3000000}"/>
    <cellStyle name="40% - Accent6 2 2 2 10" xfId="7755" xr:uid="{4FD52D44-2DBB-47D8-8A8C-AAC2B7917AE7}"/>
    <cellStyle name="40% - Accent6 2 2 2 10 2" xfId="17703" xr:uid="{AA077759-0460-4959-9B5A-69B9E5ACEA5E}"/>
    <cellStyle name="40% - Accent6 2 2 2 11" xfId="8584" xr:uid="{7D65B649-C255-46A7-B408-5B4BFBD3E6C3}"/>
    <cellStyle name="40% - Accent6 2 2 2 11 2" xfId="18532" xr:uid="{3A3783A7-A758-4B0A-B0B9-6B3C02819251}"/>
    <cellStyle name="40% - Accent6 2 2 2 12" xfId="9413" xr:uid="{0C061A4D-096B-46D1-A70A-F10D0DEA86AD}"/>
    <cellStyle name="40% - Accent6 2 2 2 12 2" xfId="19361" xr:uid="{91E83DE6-31A6-4E0F-845B-DF191C2A695F}"/>
    <cellStyle name="40% - Accent6 2 2 2 13" xfId="10242" xr:uid="{6AF4B800-499C-4D22-8FE0-A6039A05D8F4}"/>
    <cellStyle name="40% - Accent6 2 2 2 13 2" xfId="20190" xr:uid="{32A48CE6-6449-4C3F-A318-EE8A9C36C2C8}"/>
    <cellStyle name="40% - Accent6 2 2 2 14" xfId="1123" xr:uid="{998A46B4-54E6-4FF6-BC5A-C29E09E939AE}"/>
    <cellStyle name="40% - Accent6 2 2 2 15" xfId="11071" xr:uid="{18AA459B-E3AE-4B89-9C78-0F728BCB5ED4}"/>
    <cellStyle name="40% - Accent6 2 2 2 2" xfId="669" xr:uid="{00000000-0005-0000-0000-0000B4000000}"/>
    <cellStyle name="40% - Accent6 2 2 2 2 10" xfId="9000" xr:uid="{C44A54B1-5B49-40C9-88A6-E441372AF96C}"/>
    <cellStyle name="40% - Accent6 2 2 2 2 10 2" xfId="18948" xr:uid="{E85E4611-2E79-4E11-B898-72D8C4C95609}"/>
    <cellStyle name="40% - Accent6 2 2 2 2 11" xfId="9829" xr:uid="{395E28E4-2E8E-41B0-82C7-289283F6772D}"/>
    <cellStyle name="40% - Accent6 2 2 2 2 11 2" xfId="19777" xr:uid="{A90C9710-6A0A-4AC7-AFCD-A0CC1966AAA8}"/>
    <cellStyle name="40% - Accent6 2 2 2 2 12" xfId="10658" xr:uid="{594C7EF0-0D2D-409E-A457-D821BA277A3C}"/>
    <cellStyle name="40% - Accent6 2 2 2 2 12 2" xfId="20606" xr:uid="{CDB02BBC-2EDF-4203-9A9C-ABF86D10D1CD}"/>
    <cellStyle name="40% - Accent6 2 2 2 2 13" xfId="1539" xr:uid="{864526DD-0A06-4EB4-84EC-F0E45634ABC0}"/>
    <cellStyle name="40% - Accent6 2 2 2 2 14" xfId="11487" xr:uid="{DDB12632-23FB-44F3-A444-0F460BAFFDD3}"/>
    <cellStyle name="40% - Accent6 2 2 2 2 2" xfId="2368" xr:uid="{902714D6-6CB3-4EC3-B06E-EA4ED979F24F}"/>
    <cellStyle name="40% - Accent6 2 2 2 2 2 2" xfId="12316" xr:uid="{5FE5AE48-D208-46F1-8FF2-0BAF3716B863}"/>
    <cellStyle name="40% - Accent6 2 2 2 2 3" xfId="3197" xr:uid="{44847E29-2D4E-46E1-BDD6-A780F4D24088}"/>
    <cellStyle name="40% - Accent6 2 2 2 2 3 2" xfId="13145" xr:uid="{9F7F749F-A7B0-4F00-AD18-DE6ADE7EA9AE}"/>
    <cellStyle name="40% - Accent6 2 2 2 2 4" xfId="4026" xr:uid="{77860C40-9749-4DB0-BDA1-6B32226B40A2}"/>
    <cellStyle name="40% - Accent6 2 2 2 2 4 2" xfId="13974" xr:uid="{EAA26058-BCAC-421E-9BA6-15E786AD7F24}"/>
    <cellStyle name="40% - Accent6 2 2 2 2 5" xfId="4855" xr:uid="{55880AB6-6870-4C4E-922D-C3736C3E9BF7}"/>
    <cellStyle name="40% - Accent6 2 2 2 2 5 2" xfId="14803" xr:uid="{F84DE454-A365-45B6-BC88-4BF35E79FB5F}"/>
    <cellStyle name="40% - Accent6 2 2 2 2 6" xfId="5684" xr:uid="{741F81F4-B54E-4FD7-AC85-9B39F3ED3670}"/>
    <cellStyle name="40% - Accent6 2 2 2 2 6 2" xfId="15632" xr:uid="{8584B32C-9867-454A-9F1A-B07E4A150C9D}"/>
    <cellStyle name="40% - Accent6 2 2 2 2 7" xfId="6513" xr:uid="{6537C532-57F2-444F-9F71-BE6FD9A5A2DF}"/>
    <cellStyle name="40% - Accent6 2 2 2 2 7 2" xfId="16461" xr:uid="{6B274C75-4C37-4583-9322-41E848CE08BE}"/>
    <cellStyle name="40% - Accent6 2 2 2 2 8" xfId="7342" xr:uid="{EAA64140-F7A9-4085-80EE-EAAA9ED42CD0}"/>
    <cellStyle name="40% - Accent6 2 2 2 2 8 2" xfId="17290" xr:uid="{B50D03A3-228F-415A-87E9-ECF4B892BC9D}"/>
    <cellStyle name="40% - Accent6 2 2 2 2 9" xfId="8171" xr:uid="{36C845E9-989A-44AC-8162-6583A736100D}"/>
    <cellStyle name="40% - Accent6 2 2 2 2 9 2" xfId="18119" xr:uid="{F6088CE9-B752-44A5-9A12-A81522FD5D73}"/>
    <cellStyle name="40% - Accent6 2 2 2 3" xfId="1952" xr:uid="{B53CEFA6-C671-4037-BF60-6C05BF00FF84}"/>
    <cellStyle name="40% - Accent6 2 2 2 3 2" xfId="11900" xr:uid="{D8522907-AF26-4C32-9E93-4E407784B621}"/>
    <cellStyle name="40% - Accent6 2 2 2 4" xfId="2781" xr:uid="{585F613E-E71C-41EB-875A-7E72D117A352}"/>
    <cellStyle name="40% - Accent6 2 2 2 4 2" xfId="12729" xr:uid="{715C4537-66F1-48E9-BC6C-4CC01FC5B134}"/>
    <cellStyle name="40% - Accent6 2 2 2 5" xfId="3610" xr:uid="{63090B27-B1B1-47B2-A502-390AF4EDBCE2}"/>
    <cellStyle name="40% - Accent6 2 2 2 5 2" xfId="13558" xr:uid="{8D82D07E-E989-477D-BE88-F29ED5A71BF6}"/>
    <cellStyle name="40% - Accent6 2 2 2 6" xfId="4439" xr:uid="{D1D7B28C-20F6-42A2-9711-2B9B73A82473}"/>
    <cellStyle name="40% - Accent6 2 2 2 6 2" xfId="14387" xr:uid="{6F7F3C03-887A-4DF5-924C-698982A193B4}"/>
    <cellStyle name="40% - Accent6 2 2 2 7" xfId="5268" xr:uid="{FFF44A1F-08A4-4122-94CA-BCC77FF1B9B1}"/>
    <cellStyle name="40% - Accent6 2 2 2 7 2" xfId="15216" xr:uid="{A43A5079-6D4D-409E-A129-B45122494E46}"/>
    <cellStyle name="40% - Accent6 2 2 2 8" xfId="6097" xr:uid="{FD0E3C0F-BDC3-48E2-AE55-5C88A105531C}"/>
    <cellStyle name="40% - Accent6 2 2 2 8 2" xfId="16045" xr:uid="{F00B2E91-CFC5-4584-92F4-0475666EBE28}"/>
    <cellStyle name="40% - Accent6 2 2 2 9" xfId="6926" xr:uid="{FE86A53F-FF07-440A-B91C-6A30F7B117F4}"/>
    <cellStyle name="40% - Accent6 2 2 2 9 2" xfId="16874" xr:uid="{7ED61C2D-7977-4953-AE7F-E44AFD0B2FEA}"/>
    <cellStyle name="40% - Accent6 2 2 3" xfId="668" xr:uid="{00000000-0005-0000-0000-0000B5000000}"/>
    <cellStyle name="40% - Accent6 2 2 3 10" xfId="8999" xr:uid="{B73C41AA-AD4A-4EC5-A0AF-BCCF72A22968}"/>
    <cellStyle name="40% - Accent6 2 2 3 10 2" xfId="18947" xr:uid="{3C286858-9C3D-4516-B13D-300C92A23036}"/>
    <cellStyle name="40% - Accent6 2 2 3 11" xfId="9828" xr:uid="{DF300EE0-9767-425F-AE1F-6A3D266C3EFB}"/>
    <cellStyle name="40% - Accent6 2 2 3 11 2" xfId="19776" xr:uid="{9E75D0EF-64F6-4538-9505-DEF8FD620DDD}"/>
    <cellStyle name="40% - Accent6 2 2 3 12" xfId="10657" xr:uid="{8E4CDD7E-647F-496F-B95B-6B2A5FE5FABD}"/>
    <cellStyle name="40% - Accent6 2 2 3 12 2" xfId="20605" xr:uid="{11580A78-D8C7-4B02-BCBA-BFD6C8CB4700}"/>
    <cellStyle name="40% - Accent6 2 2 3 13" xfId="1538" xr:uid="{5FFF9959-53A3-4BC5-ACCA-432FBBCEB773}"/>
    <cellStyle name="40% - Accent6 2 2 3 14" xfId="11486" xr:uid="{38C617A4-85A2-436A-902A-86F864B3FD42}"/>
    <cellStyle name="40% - Accent6 2 2 3 2" xfId="2367" xr:uid="{3E457D53-F2BC-48F7-B550-55EFE5E6DC76}"/>
    <cellStyle name="40% - Accent6 2 2 3 2 2" xfId="12315" xr:uid="{0E55C613-E394-4A5C-9A9E-EBBD03BC5F74}"/>
    <cellStyle name="40% - Accent6 2 2 3 3" xfId="3196" xr:uid="{3CFB3F4E-8940-46D7-9F70-4A65292338D4}"/>
    <cellStyle name="40% - Accent6 2 2 3 3 2" xfId="13144" xr:uid="{63BA0B16-2033-4CAF-BBF0-585C78CB1921}"/>
    <cellStyle name="40% - Accent6 2 2 3 4" xfId="4025" xr:uid="{2535C5A9-0EFA-4CC8-A396-1F891CD305C6}"/>
    <cellStyle name="40% - Accent6 2 2 3 4 2" xfId="13973" xr:uid="{0EC4233B-FCF7-4478-BA2E-A5AB2ADE8939}"/>
    <cellStyle name="40% - Accent6 2 2 3 5" xfId="4854" xr:uid="{92A4A273-EABC-4ED9-BC35-DC95C1BD4FE2}"/>
    <cellStyle name="40% - Accent6 2 2 3 5 2" xfId="14802" xr:uid="{103FF7FF-F3AB-4F53-B9D8-E2BD6C010E02}"/>
    <cellStyle name="40% - Accent6 2 2 3 6" xfId="5683" xr:uid="{85DCECFE-DADA-473A-960D-950F52E93A01}"/>
    <cellStyle name="40% - Accent6 2 2 3 6 2" xfId="15631" xr:uid="{F09FF33A-2756-46EC-B70A-2425FEA841C8}"/>
    <cellStyle name="40% - Accent6 2 2 3 7" xfId="6512" xr:uid="{9A286ADE-923B-41EA-A98B-DD2C64A720ED}"/>
    <cellStyle name="40% - Accent6 2 2 3 7 2" xfId="16460" xr:uid="{864D83CD-7E18-4996-9A89-519645D13A2C}"/>
    <cellStyle name="40% - Accent6 2 2 3 8" xfId="7341" xr:uid="{9BED3037-A773-4F05-B268-EA5369110244}"/>
    <cellStyle name="40% - Accent6 2 2 3 8 2" xfId="17289" xr:uid="{6F7F8A1E-3853-4930-8B18-5C2DEC0E7BA6}"/>
    <cellStyle name="40% - Accent6 2 2 3 9" xfId="8170" xr:uid="{19E651DD-70E8-4E3A-985E-B2D59E7638FF}"/>
    <cellStyle name="40% - Accent6 2 2 3 9 2" xfId="18118" xr:uid="{F7236BBA-2A84-48B4-B3D2-CADA282FF6C1}"/>
    <cellStyle name="40% - Accent6 2 2 4" xfId="1951" xr:uid="{FF093447-15F1-49C2-B313-1613F3EA2494}"/>
    <cellStyle name="40% - Accent6 2 2 4 2" xfId="11899" xr:uid="{91479C8A-B769-442B-B79D-DC0B8E5FAC79}"/>
    <cellStyle name="40% - Accent6 2 2 5" xfId="2780" xr:uid="{05C29351-1C98-42D7-98D2-EF64D6F853FB}"/>
    <cellStyle name="40% - Accent6 2 2 5 2" xfId="12728" xr:uid="{8C7EDC0D-657F-4AF4-B697-6412FF2843D7}"/>
    <cellStyle name="40% - Accent6 2 2 6" xfId="3609" xr:uid="{F624EC5C-BDA8-47A0-AE68-CC85B51156FE}"/>
    <cellStyle name="40% - Accent6 2 2 6 2" xfId="13557" xr:uid="{98D308BE-77FF-4950-8924-BF97C2F700DB}"/>
    <cellStyle name="40% - Accent6 2 2 7" xfId="4438" xr:uid="{46769098-ACAD-4D7A-A473-45C32D40E881}"/>
    <cellStyle name="40% - Accent6 2 2 7 2" xfId="14386" xr:uid="{E32C009C-7B84-41D5-ACB1-D67EB9592FDD}"/>
    <cellStyle name="40% - Accent6 2 2 8" xfId="5267" xr:uid="{0B59A7E9-002C-43E0-87B8-0C833C37F349}"/>
    <cellStyle name="40% - Accent6 2 2 8 2" xfId="15215" xr:uid="{4CC438F4-ECE8-4A13-80B5-9CAA060FA897}"/>
    <cellStyle name="40% - Accent6 2 2 9" xfId="6096" xr:uid="{3F8243E7-8B43-4CEF-9461-49C903E12C9B}"/>
    <cellStyle name="40% - Accent6 2 2 9 2" xfId="16044" xr:uid="{0D9D93E4-C838-452C-821A-F9059FCDBF6E}"/>
    <cellStyle name="40% - Accent6 2 3" xfId="93" xr:uid="{00000000-0005-0000-0000-0000B6000000}"/>
    <cellStyle name="40% - Accent6 2 3 10" xfId="7756" xr:uid="{F20C5092-5F21-4257-87E1-86365D936E0D}"/>
    <cellStyle name="40% - Accent6 2 3 10 2" xfId="17704" xr:uid="{1C2040E5-0754-4421-85E1-036CE118B6DD}"/>
    <cellStyle name="40% - Accent6 2 3 11" xfId="8585" xr:uid="{FD92812A-D42B-499C-96C1-5641D6CCA6D0}"/>
    <cellStyle name="40% - Accent6 2 3 11 2" xfId="18533" xr:uid="{2949EF13-851B-4ED3-A47C-6B8FEA7BC1EB}"/>
    <cellStyle name="40% - Accent6 2 3 12" xfId="9414" xr:uid="{904DFC1E-1F1D-4D7D-95F5-20768DA12067}"/>
    <cellStyle name="40% - Accent6 2 3 12 2" xfId="19362" xr:uid="{DD70A76D-1003-4609-A6D2-47C316A7DDC2}"/>
    <cellStyle name="40% - Accent6 2 3 13" xfId="10243" xr:uid="{3F2BE527-E586-4D1B-9A7A-1DA955156AD0}"/>
    <cellStyle name="40% - Accent6 2 3 13 2" xfId="20191" xr:uid="{8E4892FF-429C-469B-B6C2-04E428900EE1}"/>
    <cellStyle name="40% - Accent6 2 3 14" xfId="1124" xr:uid="{52757737-BEC8-446D-9E04-8ABA94306F40}"/>
    <cellStyle name="40% - Accent6 2 3 15" xfId="11072" xr:uid="{121BA518-33DA-45B6-99DA-A920B1160FBA}"/>
    <cellStyle name="40% - Accent6 2 3 2" xfId="670" xr:uid="{00000000-0005-0000-0000-0000B7000000}"/>
    <cellStyle name="40% - Accent6 2 3 2 10" xfId="9001" xr:uid="{CB0F2B15-10CF-4553-AA3E-B78AA4BB9B42}"/>
    <cellStyle name="40% - Accent6 2 3 2 10 2" xfId="18949" xr:uid="{E3B24DF7-A06E-4BC4-96A4-0156E0F9EA95}"/>
    <cellStyle name="40% - Accent6 2 3 2 11" xfId="9830" xr:uid="{4634371E-7E16-41F1-9785-37DEA20C60DC}"/>
    <cellStyle name="40% - Accent6 2 3 2 11 2" xfId="19778" xr:uid="{23D5BC5C-E240-48E2-B812-A165CBF324F5}"/>
    <cellStyle name="40% - Accent6 2 3 2 12" xfId="10659" xr:uid="{6EB0ED0F-0856-4728-8F56-041635A135FC}"/>
    <cellStyle name="40% - Accent6 2 3 2 12 2" xfId="20607" xr:uid="{392996AC-7E3C-44CD-9D77-2D13BC6B685D}"/>
    <cellStyle name="40% - Accent6 2 3 2 13" xfId="1540" xr:uid="{C00FEFD4-8FD6-41DC-B23B-23C5CD32C74A}"/>
    <cellStyle name="40% - Accent6 2 3 2 14" xfId="11488" xr:uid="{74D036E0-CD8C-4249-B06B-71D26A2581A4}"/>
    <cellStyle name="40% - Accent6 2 3 2 2" xfId="2369" xr:uid="{EA1C56DF-5327-41E0-8763-D2F608A826B7}"/>
    <cellStyle name="40% - Accent6 2 3 2 2 2" xfId="12317" xr:uid="{79956764-3F63-4F4E-B75F-952311D74F72}"/>
    <cellStyle name="40% - Accent6 2 3 2 3" xfId="3198" xr:uid="{7E2B0C79-47CA-441F-8287-0611BB4279C4}"/>
    <cellStyle name="40% - Accent6 2 3 2 3 2" xfId="13146" xr:uid="{867D3965-090A-443F-8417-0B27A3DAA37A}"/>
    <cellStyle name="40% - Accent6 2 3 2 4" xfId="4027" xr:uid="{0934D7E8-D16D-4964-A194-D240E74BA362}"/>
    <cellStyle name="40% - Accent6 2 3 2 4 2" xfId="13975" xr:uid="{CD5CC1B6-647B-48C8-A875-D2470D3141C8}"/>
    <cellStyle name="40% - Accent6 2 3 2 5" xfId="4856" xr:uid="{97814766-E5DF-4B23-8970-157772F0D1E6}"/>
    <cellStyle name="40% - Accent6 2 3 2 5 2" xfId="14804" xr:uid="{317DD6E7-4A06-43F2-A6EA-206DC3693245}"/>
    <cellStyle name="40% - Accent6 2 3 2 6" xfId="5685" xr:uid="{6B97EDAF-EB82-42E1-B459-24EB3507A1F9}"/>
    <cellStyle name="40% - Accent6 2 3 2 6 2" xfId="15633" xr:uid="{92E111C3-DCFB-4210-915F-ADD6F54F00C0}"/>
    <cellStyle name="40% - Accent6 2 3 2 7" xfId="6514" xr:uid="{BAB8DE1E-058B-4412-8276-07E5219FB000}"/>
    <cellStyle name="40% - Accent6 2 3 2 7 2" xfId="16462" xr:uid="{5731456F-DC5E-4918-95F3-1F85A6CC6A38}"/>
    <cellStyle name="40% - Accent6 2 3 2 8" xfId="7343" xr:uid="{3FC00537-9D00-4791-96B3-FB6FECDFEFF5}"/>
    <cellStyle name="40% - Accent6 2 3 2 8 2" xfId="17291" xr:uid="{237EB8C7-096B-498C-907C-D0B475314950}"/>
    <cellStyle name="40% - Accent6 2 3 2 9" xfId="8172" xr:uid="{B9181BFC-2909-4064-81C4-B4EC3F2CC0D8}"/>
    <cellStyle name="40% - Accent6 2 3 2 9 2" xfId="18120" xr:uid="{110E7617-0463-4708-83D5-7D138408378A}"/>
    <cellStyle name="40% - Accent6 2 3 3" xfId="1953" xr:uid="{24EDF445-2046-4BB7-9351-646DD4972DFF}"/>
    <cellStyle name="40% - Accent6 2 3 3 2" xfId="11901" xr:uid="{A41126CD-2095-4B75-85B9-0FAA7FCA2E7A}"/>
    <cellStyle name="40% - Accent6 2 3 4" xfId="2782" xr:uid="{2D307A2F-3A9D-47A5-A1EB-4920A871591A}"/>
    <cellStyle name="40% - Accent6 2 3 4 2" xfId="12730" xr:uid="{E76A6C1C-99A1-4A5E-9F7A-D8BB04AD6426}"/>
    <cellStyle name="40% - Accent6 2 3 5" xfId="3611" xr:uid="{0FBC15FB-AE8B-4A8A-936F-0B3D345193DC}"/>
    <cellStyle name="40% - Accent6 2 3 5 2" xfId="13559" xr:uid="{D86F19FF-1F80-4F75-AE50-BC915FEAC007}"/>
    <cellStyle name="40% - Accent6 2 3 6" xfId="4440" xr:uid="{6B4D4D82-CF17-444B-B034-AF3185BBCF1A}"/>
    <cellStyle name="40% - Accent6 2 3 6 2" xfId="14388" xr:uid="{FB913C94-298D-4A57-A3E8-E57127BDBE46}"/>
    <cellStyle name="40% - Accent6 2 3 7" xfId="5269" xr:uid="{CF597A89-419F-4153-9FCF-30BB18A794C7}"/>
    <cellStyle name="40% - Accent6 2 3 7 2" xfId="15217" xr:uid="{2A340B37-294E-4444-8198-50B0AEC7EF81}"/>
    <cellStyle name="40% - Accent6 2 3 8" xfId="6098" xr:uid="{C10E53A0-EFC6-488F-86EC-C3CA425E7B96}"/>
    <cellStyle name="40% - Accent6 2 3 8 2" xfId="16046" xr:uid="{ECBC7DFF-2BAE-4826-A9B9-B74C3B4142AC}"/>
    <cellStyle name="40% - Accent6 2 3 9" xfId="6927" xr:uid="{9334DFDE-477A-4A1F-A7EC-7CE915E6BBCF}"/>
    <cellStyle name="40% - Accent6 2 3 9 2" xfId="16875" xr:uid="{F996F400-A554-48CB-BE1D-B9816BD60158}"/>
    <cellStyle name="40% - Accent6 2 4" xfId="667" xr:uid="{00000000-0005-0000-0000-0000B8000000}"/>
    <cellStyle name="40% - Accent6 2 4 10" xfId="8998" xr:uid="{60F66871-00B5-4F98-AB07-C0B2B9B3ACC3}"/>
    <cellStyle name="40% - Accent6 2 4 10 2" xfId="18946" xr:uid="{AC4CD439-C0F4-4A3F-B032-899F7F67BBB7}"/>
    <cellStyle name="40% - Accent6 2 4 11" xfId="9827" xr:uid="{D1B5343B-ED48-4D70-8736-FDF2D20E1071}"/>
    <cellStyle name="40% - Accent6 2 4 11 2" xfId="19775" xr:uid="{80264326-B9D4-47A8-84A4-6955E2751063}"/>
    <cellStyle name="40% - Accent6 2 4 12" xfId="10656" xr:uid="{762E7CD7-C807-46C4-858C-A92BB0C53C48}"/>
    <cellStyle name="40% - Accent6 2 4 12 2" xfId="20604" xr:uid="{E2356103-8075-4B24-912C-3F73A3763188}"/>
    <cellStyle name="40% - Accent6 2 4 13" xfId="1537" xr:uid="{22475329-4D9A-40CF-8E0A-47297B6BFAC0}"/>
    <cellStyle name="40% - Accent6 2 4 14" xfId="11485" xr:uid="{100FE01B-53BB-432D-AAAF-09717A462036}"/>
    <cellStyle name="40% - Accent6 2 4 2" xfId="2366" xr:uid="{58FD57F9-839C-4889-9DFB-97883CCAA738}"/>
    <cellStyle name="40% - Accent6 2 4 2 2" xfId="12314" xr:uid="{AA560698-DB87-4E89-A1D8-E9BC717CD89C}"/>
    <cellStyle name="40% - Accent6 2 4 3" xfId="3195" xr:uid="{5C42B9AB-B461-443D-864D-06B46270905D}"/>
    <cellStyle name="40% - Accent6 2 4 3 2" xfId="13143" xr:uid="{B2964840-D157-41A4-AE26-3B9EB262FA1D}"/>
    <cellStyle name="40% - Accent6 2 4 4" xfId="4024" xr:uid="{7CCEEF45-0C04-4D21-95B0-F73F0936B728}"/>
    <cellStyle name="40% - Accent6 2 4 4 2" xfId="13972" xr:uid="{A3196D6F-44C9-4A70-87CD-3ACE503777E3}"/>
    <cellStyle name="40% - Accent6 2 4 5" xfId="4853" xr:uid="{8AA66E74-2E23-4426-BCF0-497F09CFB962}"/>
    <cellStyle name="40% - Accent6 2 4 5 2" xfId="14801" xr:uid="{F7589DC3-2CA9-4844-AC3A-A336E5D3B318}"/>
    <cellStyle name="40% - Accent6 2 4 6" xfId="5682" xr:uid="{DD2A01E2-221E-4722-9AD6-026F4F510EB7}"/>
    <cellStyle name="40% - Accent6 2 4 6 2" xfId="15630" xr:uid="{A185D887-0462-4EBC-8546-AF1334D62249}"/>
    <cellStyle name="40% - Accent6 2 4 7" xfId="6511" xr:uid="{14F57AC3-EBE1-40CA-99F5-3D82D3340FB6}"/>
    <cellStyle name="40% - Accent6 2 4 7 2" xfId="16459" xr:uid="{10781CAF-2B69-44B4-8D3F-00FB7B07447A}"/>
    <cellStyle name="40% - Accent6 2 4 8" xfId="7340" xr:uid="{644BA5C6-9275-4438-96C7-B038C393D079}"/>
    <cellStyle name="40% - Accent6 2 4 8 2" xfId="17288" xr:uid="{11DDE4B7-2212-43EF-90C2-E0EB9E0E0477}"/>
    <cellStyle name="40% - Accent6 2 4 9" xfId="8169" xr:uid="{18A4F93B-9C72-4417-B87E-49B0C17D1BCB}"/>
    <cellStyle name="40% - Accent6 2 4 9 2" xfId="18117" xr:uid="{BBF135D7-4584-4786-A8C5-32B1DFAEBCEB}"/>
    <cellStyle name="40% - Accent6 2 5" xfId="1950" xr:uid="{1C22FED1-394D-45BC-94F0-DB5AD69FDD1C}"/>
    <cellStyle name="40% - Accent6 2 5 2" xfId="11898" xr:uid="{0E449739-AF62-4C19-87BF-8D7A1C9DAB05}"/>
    <cellStyle name="40% - Accent6 2 6" xfId="2779" xr:uid="{26B5CC26-F152-48BF-B144-A44BFF66803A}"/>
    <cellStyle name="40% - Accent6 2 6 2" xfId="12727" xr:uid="{D8D8F556-1363-478A-9D91-C4780C427066}"/>
    <cellStyle name="40% - Accent6 2 7" xfId="3608" xr:uid="{CCA9116C-858F-4504-8FA5-1E393CA00E9C}"/>
    <cellStyle name="40% - Accent6 2 7 2" xfId="13556" xr:uid="{FD2E9FA8-C309-4BF3-9A72-AB336AAE2F99}"/>
    <cellStyle name="40% - Accent6 2 8" xfId="4437" xr:uid="{259640A8-31B8-4B42-AB76-8C50783514BF}"/>
    <cellStyle name="40% - Accent6 2 8 2" xfId="14385" xr:uid="{E92FFE7E-3DD5-4079-8E62-9D0F3DDCA228}"/>
    <cellStyle name="40% - Accent6 2 9" xfId="5266" xr:uid="{6E2A4983-DEBB-4A98-87EF-BF447C1EC119}"/>
    <cellStyle name="40% - Accent6 2 9 2" xfId="15214" xr:uid="{10A4CFDE-54B4-41AE-992A-7E6C5F7B9600}"/>
    <cellStyle name="40% - Accent6 3" xfId="94" xr:uid="{00000000-0005-0000-0000-0000B9000000}"/>
    <cellStyle name="40% - Accent6 3 10" xfId="6928" xr:uid="{00F2E068-0BAC-4083-AF6F-6CEDF0A30AC0}"/>
    <cellStyle name="40% - Accent6 3 10 2" xfId="16876" xr:uid="{A4AA4221-E0CB-49A6-B419-F135867FFF80}"/>
    <cellStyle name="40% - Accent6 3 11" xfId="7757" xr:uid="{FC5DA4B8-C053-4952-A247-3E3DEFA43D10}"/>
    <cellStyle name="40% - Accent6 3 11 2" xfId="17705" xr:uid="{1CFCADE6-4D2B-4D37-B622-0376D495B68B}"/>
    <cellStyle name="40% - Accent6 3 12" xfId="8586" xr:uid="{851B215A-A5F5-429E-B4C7-0F802376CAF1}"/>
    <cellStyle name="40% - Accent6 3 12 2" xfId="18534" xr:uid="{9DB87340-4348-4F4A-A46E-0BB14843882B}"/>
    <cellStyle name="40% - Accent6 3 13" xfId="9415" xr:uid="{09EBB54E-1BF0-453C-AF8F-FAE71683DE5C}"/>
    <cellStyle name="40% - Accent6 3 13 2" xfId="19363" xr:uid="{9B277C67-7B2F-4FB1-A426-BEE61C4B37E6}"/>
    <cellStyle name="40% - Accent6 3 14" xfId="10244" xr:uid="{AD07FC7D-E50B-44B7-B0BC-7402511287F8}"/>
    <cellStyle name="40% - Accent6 3 14 2" xfId="20192" xr:uid="{0F5D12B5-A7EE-4675-8518-01B778D8876F}"/>
    <cellStyle name="40% - Accent6 3 15" xfId="1125" xr:uid="{7E1828F9-AC66-4B24-8166-62E6D69E0932}"/>
    <cellStyle name="40% - Accent6 3 16" xfId="11073" xr:uid="{2A9A5784-1E31-4B47-B9A7-9847CDA1CB49}"/>
    <cellStyle name="40% - Accent6 3 2" xfId="95" xr:uid="{00000000-0005-0000-0000-0000BA000000}"/>
    <cellStyle name="40% - Accent6 3 2 10" xfId="7758" xr:uid="{CFDC9FA0-92FE-4C45-8CE7-FAB46982C418}"/>
    <cellStyle name="40% - Accent6 3 2 10 2" xfId="17706" xr:uid="{C6CE19A7-346A-4F34-AD8E-915E0A0724E0}"/>
    <cellStyle name="40% - Accent6 3 2 11" xfId="8587" xr:uid="{80579312-FF1D-4B1F-A778-CBBD7188D598}"/>
    <cellStyle name="40% - Accent6 3 2 11 2" xfId="18535" xr:uid="{A6E0A263-5A7E-4B0E-9F90-8BC0543B579B}"/>
    <cellStyle name="40% - Accent6 3 2 12" xfId="9416" xr:uid="{556C2970-F0F6-4CD5-ADE7-2A3C92036FE4}"/>
    <cellStyle name="40% - Accent6 3 2 12 2" xfId="19364" xr:uid="{DEA80861-7059-4BD2-A01D-C323744403A3}"/>
    <cellStyle name="40% - Accent6 3 2 13" xfId="10245" xr:uid="{2E59CF49-BFCA-44BA-8C01-951AC40514A7}"/>
    <cellStyle name="40% - Accent6 3 2 13 2" xfId="20193" xr:uid="{A122C841-F338-4415-8945-FAF5FFBBB01A}"/>
    <cellStyle name="40% - Accent6 3 2 14" xfId="1126" xr:uid="{1ACCA958-842E-4004-A934-C51BC93AEFD1}"/>
    <cellStyle name="40% - Accent6 3 2 15" xfId="11074" xr:uid="{5776E0CC-70B8-4243-9430-6845A32DF046}"/>
    <cellStyle name="40% - Accent6 3 2 2" xfId="672" xr:uid="{00000000-0005-0000-0000-0000BB000000}"/>
    <cellStyle name="40% - Accent6 3 2 2 10" xfId="9003" xr:uid="{07629503-B59F-4C60-B040-5934024D2660}"/>
    <cellStyle name="40% - Accent6 3 2 2 10 2" xfId="18951" xr:uid="{FAA6E9D7-FD40-4725-A787-BCD2D4C0B372}"/>
    <cellStyle name="40% - Accent6 3 2 2 11" xfId="9832" xr:uid="{01AEC9AC-9981-4E82-886A-0EC2F40C9EE8}"/>
    <cellStyle name="40% - Accent6 3 2 2 11 2" xfId="19780" xr:uid="{17F43B4F-1F7C-456B-A95A-415DFDB91AE4}"/>
    <cellStyle name="40% - Accent6 3 2 2 12" xfId="10661" xr:uid="{5D12CE7A-BA5E-4195-87AC-B653EF99911A}"/>
    <cellStyle name="40% - Accent6 3 2 2 12 2" xfId="20609" xr:uid="{F0165F75-8E1D-4BA2-94C6-97C3B107D485}"/>
    <cellStyle name="40% - Accent6 3 2 2 13" xfId="1542" xr:uid="{E8EC52D1-935D-42D4-97D7-0D13F1FBBD21}"/>
    <cellStyle name="40% - Accent6 3 2 2 14" xfId="11490" xr:uid="{FEA5BBDA-6D55-49B0-9D47-04E5FE4594BC}"/>
    <cellStyle name="40% - Accent6 3 2 2 2" xfId="2371" xr:uid="{0423D719-CD89-435E-8C19-7812F5C562CA}"/>
    <cellStyle name="40% - Accent6 3 2 2 2 2" xfId="12319" xr:uid="{932EFE3C-4EFB-4B49-82DA-5861C56A2BAC}"/>
    <cellStyle name="40% - Accent6 3 2 2 3" xfId="3200" xr:uid="{02D376E5-0791-4DE4-8B0D-E6CC6257E66C}"/>
    <cellStyle name="40% - Accent6 3 2 2 3 2" xfId="13148" xr:uid="{B0426C0C-B60D-41F3-A72A-EC61EAA70D84}"/>
    <cellStyle name="40% - Accent6 3 2 2 4" xfId="4029" xr:uid="{D1423D36-299E-48B3-B9BB-DA32F88804B5}"/>
    <cellStyle name="40% - Accent6 3 2 2 4 2" xfId="13977" xr:uid="{64C7723F-B086-4AE1-B2BC-AEE0E8245C61}"/>
    <cellStyle name="40% - Accent6 3 2 2 5" xfId="4858" xr:uid="{B14D463A-9472-45FC-B706-112225F2D9CE}"/>
    <cellStyle name="40% - Accent6 3 2 2 5 2" xfId="14806" xr:uid="{CB1E4EDE-17EC-4E29-A738-C014942CDC47}"/>
    <cellStyle name="40% - Accent6 3 2 2 6" xfId="5687" xr:uid="{58D13BB1-D73F-4FA8-9E0D-36473EDBEE42}"/>
    <cellStyle name="40% - Accent6 3 2 2 6 2" xfId="15635" xr:uid="{8A771E86-C947-4F20-885F-573F5FDCB972}"/>
    <cellStyle name="40% - Accent6 3 2 2 7" xfId="6516" xr:uid="{BD19D565-6DE0-4FA2-824B-0A0C8AD2D6C6}"/>
    <cellStyle name="40% - Accent6 3 2 2 7 2" xfId="16464" xr:uid="{20CF7F97-34F8-4B1B-B77D-57B14AB8AEC8}"/>
    <cellStyle name="40% - Accent6 3 2 2 8" xfId="7345" xr:uid="{D2FE56BA-FB57-4A13-837B-78B08C63729C}"/>
    <cellStyle name="40% - Accent6 3 2 2 8 2" xfId="17293" xr:uid="{EE611C0A-7354-4D59-B575-CBBCCE4572B5}"/>
    <cellStyle name="40% - Accent6 3 2 2 9" xfId="8174" xr:uid="{F152152B-1646-4CC5-82F3-7294B80BEB0D}"/>
    <cellStyle name="40% - Accent6 3 2 2 9 2" xfId="18122" xr:uid="{6F54D95A-655F-468F-992D-E6553E3ACB0E}"/>
    <cellStyle name="40% - Accent6 3 2 3" xfId="1955" xr:uid="{70C84EB9-5DCD-40B4-9DBA-1678C91A0E43}"/>
    <cellStyle name="40% - Accent6 3 2 3 2" xfId="11903" xr:uid="{380ED9F1-BF5B-4A1A-B336-45CC1239EE6B}"/>
    <cellStyle name="40% - Accent6 3 2 4" xfId="2784" xr:uid="{DC1ED3BA-E31C-4F46-8482-8079E1006FC6}"/>
    <cellStyle name="40% - Accent6 3 2 4 2" xfId="12732" xr:uid="{1E32F33E-B6CC-4636-A6A0-7FDE5D0D4A0E}"/>
    <cellStyle name="40% - Accent6 3 2 5" xfId="3613" xr:uid="{F1899CF9-2EBA-43EA-981F-B6D83A423883}"/>
    <cellStyle name="40% - Accent6 3 2 5 2" xfId="13561" xr:uid="{2BC6D9B7-874C-4F01-AC9D-8CC69A009659}"/>
    <cellStyle name="40% - Accent6 3 2 6" xfId="4442" xr:uid="{14E51BCD-C4D1-4DAE-A60D-B5C706EC7407}"/>
    <cellStyle name="40% - Accent6 3 2 6 2" xfId="14390" xr:uid="{670B1F26-48D6-4B92-8E71-5B7CC327ADCB}"/>
    <cellStyle name="40% - Accent6 3 2 7" xfId="5271" xr:uid="{80B0CAF5-9CEC-4302-9FA3-1691622B4988}"/>
    <cellStyle name="40% - Accent6 3 2 7 2" xfId="15219" xr:uid="{5DCCE3A1-FC20-44F7-991F-AB2C97BE8FA6}"/>
    <cellStyle name="40% - Accent6 3 2 8" xfId="6100" xr:uid="{1324375D-BC01-4D6F-A610-37966DC2E01E}"/>
    <cellStyle name="40% - Accent6 3 2 8 2" xfId="16048" xr:uid="{851FC0C2-C20C-4E0C-B831-25FB4AC554D9}"/>
    <cellStyle name="40% - Accent6 3 2 9" xfId="6929" xr:uid="{0C3F1D03-5041-43E6-9D09-B3BC988F0B12}"/>
    <cellStyle name="40% - Accent6 3 2 9 2" xfId="16877" xr:uid="{81F2D3F9-C6E5-4FAB-A90D-9ECA24E89D01}"/>
    <cellStyle name="40% - Accent6 3 3" xfId="671" xr:uid="{00000000-0005-0000-0000-0000BC000000}"/>
    <cellStyle name="40% - Accent6 3 3 10" xfId="9002" xr:uid="{73DA2BA3-195E-48C9-B542-39FC233AB331}"/>
    <cellStyle name="40% - Accent6 3 3 10 2" xfId="18950" xr:uid="{01C71E55-B5A6-42AA-8C33-4C7D0EED721B}"/>
    <cellStyle name="40% - Accent6 3 3 11" xfId="9831" xr:uid="{2C59C862-3449-45CA-8EB6-C6835D02FDD7}"/>
    <cellStyle name="40% - Accent6 3 3 11 2" xfId="19779" xr:uid="{851D8BE4-400E-4861-86BB-9D15C1214273}"/>
    <cellStyle name="40% - Accent6 3 3 12" xfId="10660" xr:uid="{9506636E-B243-4EF7-B4A4-C0EC949BB0C3}"/>
    <cellStyle name="40% - Accent6 3 3 12 2" xfId="20608" xr:uid="{84548D0C-8C89-4C20-B1EE-2797F4128423}"/>
    <cellStyle name="40% - Accent6 3 3 13" xfId="1541" xr:uid="{75BB5CFB-D2E7-4A5B-AD06-DD6C4B5518C7}"/>
    <cellStyle name="40% - Accent6 3 3 14" xfId="11489" xr:uid="{5E655EF1-3DE2-492B-9B75-5EE525105B96}"/>
    <cellStyle name="40% - Accent6 3 3 2" xfId="2370" xr:uid="{D4FC0FBA-3A4C-4B86-85A9-FDEB658C6EEF}"/>
    <cellStyle name="40% - Accent6 3 3 2 2" xfId="12318" xr:uid="{D8644A5F-42F2-4234-90CB-0DA3066BDCEF}"/>
    <cellStyle name="40% - Accent6 3 3 3" xfId="3199" xr:uid="{2DE86F2F-9F9E-4A55-B81F-2D2AD3ADBA10}"/>
    <cellStyle name="40% - Accent6 3 3 3 2" xfId="13147" xr:uid="{8F98C7DF-ADD0-4228-B7A8-158FB51986F6}"/>
    <cellStyle name="40% - Accent6 3 3 4" xfId="4028" xr:uid="{EA28910D-C5F8-46AE-BF79-1C4DE5224439}"/>
    <cellStyle name="40% - Accent6 3 3 4 2" xfId="13976" xr:uid="{879B6E4B-6662-437B-BB1D-57CA26BF839C}"/>
    <cellStyle name="40% - Accent6 3 3 5" xfId="4857" xr:uid="{B2A606BA-28A2-4B37-B342-AA2A29044105}"/>
    <cellStyle name="40% - Accent6 3 3 5 2" xfId="14805" xr:uid="{2F51E64D-2C18-430D-819B-8E51522B51BD}"/>
    <cellStyle name="40% - Accent6 3 3 6" xfId="5686" xr:uid="{B1CACC43-90D2-45FF-AF27-6BAF1EC98080}"/>
    <cellStyle name="40% - Accent6 3 3 6 2" xfId="15634" xr:uid="{1FE222A3-AD04-4890-B6EC-71E3BB70221F}"/>
    <cellStyle name="40% - Accent6 3 3 7" xfId="6515" xr:uid="{F0664088-6739-4617-BA61-B61AC8A49EEC}"/>
    <cellStyle name="40% - Accent6 3 3 7 2" xfId="16463" xr:uid="{3CA32D4C-6DC1-44D0-B7D6-79EE635AD24D}"/>
    <cellStyle name="40% - Accent6 3 3 8" xfId="7344" xr:uid="{455C6028-4882-40F2-B096-648814F6D799}"/>
    <cellStyle name="40% - Accent6 3 3 8 2" xfId="17292" xr:uid="{C6AD8862-2B77-4F0A-AAA5-A272A1173B8E}"/>
    <cellStyle name="40% - Accent6 3 3 9" xfId="8173" xr:uid="{ACE675B2-5996-4C73-9D4D-6A61A9B361FD}"/>
    <cellStyle name="40% - Accent6 3 3 9 2" xfId="18121" xr:uid="{6C40F16E-E66C-454A-9C6E-1FAB4C9EAC7E}"/>
    <cellStyle name="40% - Accent6 3 4" xfId="1954" xr:uid="{1C9B53E3-BDF3-4593-9097-7A4B5A8F5E7D}"/>
    <cellStyle name="40% - Accent6 3 4 2" xfId="11902" xr:uid="{89349068-528D-4FEF-9817-6CEC3BE0EC49}"/>
    <cellStyle name="40% - Accent6 3 5" xfId="2783" xr:uid="{E38ABE0A-9755-4929-8C58-EB467F65EB4C}"/>
    <cellStyle name="40% - Accent6 3 5 2" xfId="12731" xr:uid="{55E01EF7-9E68-4C74-B925-757C67261E58}"/>
    <cellStyle name="40% - Accent6 3 6" xfId="3612" xr:uid="{AC8CDC6E-7855-429A-9451-C87AE30122DD}"/>
    <cellStyle name="40% - Accent6 3 6 2" xfId="13560" xr:uid="{087249A0-0549-4B38-8A12-05D88FB344BB}"/>
    <cellStyle name="40% - Accent6 3 7" xfId="4441" xr:uid="{F521E245-5D65-4C37-B76D-553E037E2D78}"/>
    <cellStyle name="40% - Accent6 3 7 2" xfId="14389" xr:uid="{207D5E3D-A404-408D-A0BB-AA12D44CD927}"/>
    <cellStyle name="40% - Accent6 3 8" xfId="5270" xr:uid="{8225DE1E-DD65-461D-A01A-8A2137787A4F}"/>
    <cellStyle name="40% - Accent6 3 8 2" xfId="15218" xr:uid="{95097250-0E4A-4299-9F14-3E0F53CFF4DD}"/>
    <cellStyle name="40% - Accent6 3 9" xfId="6099" xr:uid="{B8ACBC10-CCE6-4172-9C87-FB25471368EA}"/>
    <cellStyle name="40% - Accent6 3 9 2" xfId="16047" xr:uid="{B8D33CB3-149A-4F46-8832-AE00221DA7CE}"/>
    <cellStyle name="40% - Accent6 4" xfId="96" xr:uid="{00000000-0005-0000-0000-0000BD000000}"/>
    <cellStyle name="40% - Accent6 4 10" xfId="7759" xr:uid="{C0F792A1-CF28-4E9B-9DCF-19EF0110F071}"/>
    <cellStyle name="40% - Accent6 4 10 2" xfId="17707" xr:uid="{7CA85AE5-DFAD-4A22-BC47-395E842B4F93}"/>
    <cellStyle name="40% - Accent6 4 11" xfId="8588" xr:uid="{C7566A25-189F-428C-9732-F560FF2A1019}"/>
    <cellStyle name="40% - Accent6 4 11 2" xfId="18536" xr:uid="{7703993F-A4DC-417A-882A-93CC9045422F}"/>
    <cellStyle name="40% - Accent6 4 12" xfId="9417" xr:uid="{79EBD1DE-ED05-4755-8893-14D1D0D99B8E}"/>
    <cellStyle name="40% - Accent6 4 12 2" xfId="19365" xr:uid="{DDB90D57-AAC4-46C2-A492-36FEF5C03DFD}"/>
    <cellStyle name="40% - Accent6 4 13" xfId="10246" xr:uid="{B97198B6-5208-408A-A876-5BB7003DB86B}"/>
    <cellStyle name="40% - Accent6 4 13 2" xfId="20194" xr:uid="{2216C155-8142-4D53-9724-2BDC0D4415B3}"/>
    <cellStyle name="40% - Accent6 4 14" xfId="1127" xr:uid="{1A29B155-C4AE-4488-8AC3-247677364771}"/>
    <cellStyle name="40% - Accent6 4 15" xfId="11075" xr:uid="{A1C9525A-1072-4441-BDC2-798DF431D977}"/>
    <cellStyle name="40% - Accent6 4 2" xfId="673" xr:uid="{00000000-0005-0000-0000-0000BE000000}"/>
    <cellStyle name="40% - Accent6 4 2 10" xfId="9004" xr:uid="{B59AEEAF-2778-4F0E-98B8-F29007790FBD}"/>
    <cellStyle name="40% - Accent6 4 2 10 2" xfId="18952" xr:uid="{C45D19AD-3A52-463E-97D5-9361A74143C2}"/>
    <cellStyle name="40% - Accent6 4 2 11" xfId="9833" xr:uid="{23BD8965-AA5D-4379-8292-4AE7E7CAA538}"/>
    <cellStyle name="40% - Accent6 4 2 11 2" xfId="19781" xr:uid="{1B7263BD-D9CD-41D2-AC07-8A6B528435DE}"/>
    <cellStyle name="40% - Accent6 4 2 12" xfId="10662" xr:uid="{7AD58520-D5ED-4362-9C81-BE71C1B30005}"/>
    <cellStyle name="40% - Accent6 4 2 12 2" xfId="20610" xr:uid="{E32B429F-E345-4FF6-8D77-6C0ECD2134C8}"/>
    <cellStyle name="40% - Accent6 4 2 13" xfId="1543" xr:uid="{9948F8E2-1897-4CB1-AAC8-6DC049FA7F67}"/>
    <cellStyle name="40% - Accent6 4 2 14" xfId="11491" xr:uid="{A8ADBF42-FF2B-4BB3-9F1B-E09CAD55B3C6}"/>
    <cellStyle name="40% - Accent6 4 2 2" xfId="2372" xr:uid="{9B3C6632-C3DD-4552-B02C-BB8867BE8762}"/>
    <cellStyle name="40% - Accent6 4 2 2 2" xfId="12320" xr:uid="{F9FCDFF0-4F22-4265-95E3-0A9E4036C714}"/>
    <cellStyle name="40% - Accent6 4 2 3" xfId="3201" xr:uid="{8385A591-BAF8-4EC4-A45B-9E941C44EE25}"/>
    <cellStyle name="40% - Accent6 4 2 3 2" xfId="13149" xr:uid="{3183A6E1-26E4-4028-98CA-D223E7AA7195}"/>
    <cellStyle name="40% - Accent6 4 2 4" xfId="4030" xr:uid="{6A8E698E-EBB4-4AEA-AB11-4009FD2D912E}"/>
    <cellStyle name="40% - Accent6 4 2 4 2" xfId="13978" xr:uid="{33A0E3CD-BEC1-497E-B93C-61D5C37E2FDB}"/>
    <cellStyle name="40% - Accent6 4 2 5" xfId="4859" xr:uid="{C1E812BE-62C3-416B-A093-72FA9F19AC35}"/>
    <cellStyle name="40% - Accent6 4 2 5 2" xfId="14807" xr:uid="{3B05D1E5-78D7-4287-93EC-1F681B9724E6}"/>
    <cellStyle name="40% - Accent6 4 2 6" xfId="5688" xr:uid="{F35AB441-BA4A-4AF9-81A3-91A3800F7674}"/>
    <cellStyle name="40% - Accent6 4 2 6 2" xfId="15636" xr:uid="{3FA5B8D6-DD08-49B7-9280-851A178589C9}"/>
    <cellStyle name="40% - Accent6 4 2 7" xfId="6517" xr:uid="{ACD3748C-D54E-4AB2-8E6E-D2499BD3351A}"/>
    <cellStyle name="40% - Accent6 4 2 7 2" xfId="16465" xr:uid="{D325EC8B-FCB1-42ED-931D-17A663D3AB48}"/>
    <cellStyle name="40% - Accent6 4 2 8" xfId="7346" xr:uid="{7C137899-BD37-4168-A900-7D3FC4D4CD7F}"/>
    <cellStyle name="40% - Accent6 4 2 8 2" xfId="17294" xr:uid="{6BDAF1DB-0DF0-4255-9120-DE5CB758BE99}"/>
    <cellStyle name="40% - Accent6 4 2 9" xfId="8175" xr:uid="{C48D18DC-9CB1-4E5B-87FD-EDA940ED1FBD}"/>
    <cellStyle name="40% - Accent6 4 2 9 2" xfId="18123" xr:uid="{6E71E768-D425-4518-973C-8F20C6121A37}"/>
    <cellStyle name="40% - Accent6 4 3" xfId="1956" xr:uid="{A3519E66-0EC3-43A6-B0D0-8F28ACBDA86D}"/>
    <cellStyle name="40% - Accent6 4 3 2" xfId="11904" xr:uid="{E045628B-4E08-4982-AC44-CA636AC1509C}"/>
    <cellStyle name="40% - Accent6 4 4" xfId="2785" xr:uid="{73E9E4B0-DB72-4060-BBAF-89E18AB52D50}"/>
    <cellStyle name="40% - Accent6 4 4 2" xfId="12733" xr:uid="{AC53732A-47AB-43B2-9A98-25AB9259117F}"/>
    <cellStyle name="40% - Accent6 4 5" xfId="3614" xr:uid="{FEE43FE8-9E73-49CA-B8BE-DB80DADB705F}"/>
    <cellStyle name="40% - Accent6 4 5 2" xfId="13562" xr:uid="{031F067B-FB54-4CCF-9CAF-092A24908B41}"/>
    <cellStyle name="40% - Accent6 4 6" xfId="4443" xr:uid="{6F365C17-5C9B-4869-88D7-E0B4E03FBF69}"/>
    <cellStyle name="40% - Accent6 4 6 2" xfId="14391" xr:uid="{9B5FD7F8-E9B9-4582-BBD3-BE5575918587}"/>
    <cellStyle name="40% - Accent6 4 7" xfId="5272" xr:uid="{980B750E-BAD3-412A-9849-9932D31E30C9}"/>
    <cellStyle name="40% - Accent6 4 7 2" xfId="15220" xr:uid="{CDCC513D-DD93-4D4B-A26E-F536683E1569}"/>
    <cellStyle name="40% - Accent6 4 8" xfId="6101" xr:uid="{D5400F3A-E2F9-4042-9141-E41B119D243B}"/>
    <cellStyle name="40% - Accent6 4 8 2" xfId="16049" xr:uid="{5D8E348B-9A1A-48A0-BF80-1BCF6D73958F}"/>
    <cellStyle name="40% - Accent6 4 9" xfId="6930" xr:uid="{8BB9824D-8CCE-4EA9-8DF4-F9E9DB6BE790}"/>
    <cellStyle name="40% - Accent6 4 9 2" xfId="16878" xr:uid="{39BA3BB3-6F30-41F3-9A40-FD0F669AF229}"/>
    <cellStyle name="40% - Accent6 5" xfId="666" xr:uid="{00000000-0005-0000-0000-0000BF000000}"/>
    <cellStyle name="40% - Accent6 5 10" xfId="8997" xr:uid="{21D1D089-D41A-49E9-8B80-8F8F22F1AA2D}"/>
    <cellStyle name="40% - Accent6 5 10 2" xfId="18945" xr:uid="{9588C947-DE84-4FFE-BF46-357C981770BD}"/>
    <cellStyle name="40% - Accent6 5 11" xfId="9826" xr:uid="{C28A2B8A-9288-4BB5-99DF-153FDADADD45}"/>
    <cellStyle name="40% - Accent6 5 11 2" xfId="19774" xr:uid="{F7EEE89F-4007-433C-A760-6869525E5418}"/>
    <cellStyle name="40% - Accent6 5 12" xfId="10655" xr:uid="{BA3C5278-C3E0-45AF-861F-E8D25262631C}"/>
    <cellStyle name="40% - Accent6 5 12 2" xfId="20603" xr:uid="{C673803E-2371-4408-AF91-F4A986C8158E}"/>
    <cellStyle name="40% - Accent6 5 13" xfId="1536" xr:uid="{4E09900F-C94C-42DD-941E-03C21B90A3D1}"/>
    <cellStyle name="40% - Accent6 5 14" xfId="11484" xr:uid="{A16301CC-87DF-4860-BC09-0197C5BD7D24}"/>
    <cellStyle name="40% - Accent6 5 2" xfId="2365" xr:uid="{08FFA5F2-D47C-4647-B09A-60E987153B39}"/>
    <cellStyle name="40% - Accent6 5 2 2" xfId="12313" xr:uid="{3B31CEEA-132B-4AA3-8C31-F0ED18493D34}"/>
    <cellStyle name="40% - Accent6 5 3" xfId="3194" xr:uid="{EDC687CC-9DF4-492B-8695-E882F80C8564}"/>
    <cellStyle name="40% - Accent6 5 3 2" xfId="13142" xr:uid="{6C1329DD-1BFF-47A4-8C33-0E0AD30ACC1B}"/>
    <cellStyle name="40% - Accent6 5 4" xfId="4023" xr:uid="{2D22A5F1-C047-4D60-959F-216CB6874F1E}"/>
    <cellStyle name="40% - Accent6 5 4 2" xfId="13971" xr:uid="{14A02837-5845-46A8-9A02-BCE19F546DE1}"/>
    <cellStyle name="40% - Accent6 5 5" xfId="4852" xr:uid="{41E8CB45-65E6-475A-A643-2B752BDF493A}"/>
    <cellStyle name="40% - Accent6 5 5 2" xfId="14800" xr:uid="{60B309BB-4B19-40B4-9044-B4418D676EEE}"/>
    <cellStyle name="40% - Accent6 5 6" xfId="5681" xr:uid="{D739FBC7-4EEE-4EB9-876D-EF3943D791AB}"/>
    <cellStyle name="40% - Accent6 5 6 2" xfId="15629" xr:uid="{20419D1D-9012-46E0-AC6A-E659104A4C86}"/>
    <cellStyle name="40% - Accent6 5 7" xfId="6510" xr:uid="{F99D6122-9E86-4D3E-B80E-FCE52CB66E72}"/>
    <cellStyle name="40% - Accent6 5 7 2" xfId="16458" xr:uid="{D80B66D2-74F6-4589-A520-A9C623CD9FE4}"/>
    <cellStyle name="40% - Accent6 5 8" xfId="7339" xr:uid="{E8EBA585-4B31-4E47-95DB-B55FFE662586}"/>
    <cellStyle name="40% - Accent6 5 8 2" xfId="17287" xr:uid="{321E5D9A-1616-46CD-9885-F3B3D55BE447}"/>
    <cellStyle name="40% - Accent6 5 9" xfId="8168" xr:uid="{CDEA34B2-2313-4F0E-9205-0072EF9917D8}"/>
    <cellStyle name="40% - Accent6 5 9 2" xfId="18116" xr:uid="{A29806FE-D0CB-4B8B-A42F-19E3B8CC0ECE}"/>
    <cellStyle name="40% - Accent6 6" xfId="1949" xr:uid="{F574ACCA-A635-48B1-8E4C-FDFF3772ECE4}"/>
    <cellStyle name="40% - Accent6 6 2" xfId="11897" xr:uid="{CC670A25-ED77-4793-8DE6-649D9DC1D525}"/>
    <cellStyle name="40% - Accent6 7" xfId="2778" xr:uid="{D42317AD-7718-4C04-A167-CD1CA9B9B391}"/>
    <cellStyle name="40% - Accent6 7 2" xfId="12726" xr:uid="{55159704-1D4E-4F08-8173-0F59479CFFBA}"/>
    <cellStyle name="40% - Accent6 8" xfId="3607" xr:uid="{0C395966-C15F-4AC2-ADF6-AF0419840CCC}"/>
    <cellStyle name="40% - Accent6 8 2" xfId="13555" xr:uid="{97FF0E22-3B2D-4B23-90A2-69F8F03EEEA7}"/>
    <cellStyle name="40% - Accent6 9" xfId="4436" xr:uid="{C5F6EB81-18C2-4FBD-AC78-D35E189415E0}"/>
    <cellStyle name="40% - Accent6 9 2" xfId="14384" xr:uid="{3D454C1B-E10D-4D46-B67C-F5BD6A75FFBC}"/>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10" xfId="6102" xr:uid="{6CCF512C-DD46-4930-9FB7-CDC421F371A8}"/>
    <cellStyle name="Comma 4 2 2 2 10 2" xfId="16050" xr:uid="{FAAE114C-598B-4636-9F7A-F8278D616F39}"/>
    <cellStyle name="Comma 4 2 2 2 11" xfId="6931" xr:uid="{A8421214-2D8A-4230-B099-27BEE606F659}"/>
    <cellStyle name="Comma 4 2 2 2 11 2" xfId="16879" xr:uid="{32EF4468-BA3F-49F9-9D2B-2F638E13EF68}"/>
    <cellStyle name="Comma 4 2 2 2 12" xfId="7760" xr:uid="{A681D756-353F-4064-9CCF-460C6D847CEA}"/>
    <cellStyle name="Comma 4 2 2 2 12 2" xfId="17708" xr:uid="{2C2032A2-3A9F-4105-BD5E-2B39B2C5FA63}"/>
    <cellStyle name="Comma 4 2 2 2 13" xfId="8589" xr:uid="{935E3642-5E6B-4A07-90E2-DAF45F55CED3}"/>
    <cellStyle name="Comma 4 2 2 2 13 2" xfId="18537" xr:uid="{5B95FC3A-61FD-4D1B-BA12-F1347111024E}"/>
    <cellStyle name="Comma 4 2 2 2 14" xfId="9418" xr:uid="{2EECAFF6-C78F-4062-B4A6-50529B3497C3}"/>
    <cellStyle name="Comma 4 2 2 2 14 2" xfId="19366" xr:uid="{590638B7-B062-40A2-9E76-D7A0A7D32476}"/>
    <cellStyle name="Comma 4 2 2 2 15" xfId="10247" xr:uid="{4151AB21-771A-4B55-A2DE-2A22366D3D3C}"/>
    <cellStyle name="Comma 4 2 2 2 15 2" xfId="20195" xr:uid="{748FF5FE-FF73-475A-8E7D-127C1722C54D}"/>
    <cellStyle name="Comma 4 2 2 2 16" xfId="1128" xr:uid="{39C19505-E604-4462-8FE2-8E5E56C43AE9}"/>
    <cellStyle name="Comma 4 2 2 2 17" xfId="11076" xr:uid="{E0E69006-D7E8-4E3C-82D9-421894A14CE3}"/>
    <cellStyle name="Comma 4 2 2 2 2" xfId="129" xr:uid="{00000000-0005-0000-0000-0000E0000000}"/>
    <cellStyle name="Comma 4 2 2 2 2 10" xfId="6932" xr:uid="{D5EE9F04-62E3-42D2-A277-C6335383510C}"/>
    <cellStyle name="Comma 4 2 2 2 2 10 2" xfId="16880" xr:uid="{0DC27C04-125A-4E6B-9EC4-61158C284FCC}"/>
    <cellStyle name="Comma 4 2 2 2 2 11" xfId="7761" xr:uid="{7E384400-EEAA-40AD-843A-841E85BE9F67}"/>
    <cellStyle name="Comma 4 2 2 2 2 11 2" xfId="17709" xr:uid="{7A53ECF9-D260-4DA2-ABF2-A325543F437A}"/>
    <cellStyle name="Comma 4 2 2 2 2 12" xfId="8590" xr:uid="{5246C0A0-B7D0-428B-A9BC-254186E66DDC}"/>
    <cellStyle name="Comma 4 2 2 2 2 12 2" xfId="18538" xr:uid="{1A9DEBC3-6F1D-4126-B139-6543BD31299E}"/>
    <cellStyle name="Comma 4 2 2 2 2 13" xfId="9419" xr:uid="{09C19B59-8DFF-4292-B0F2-9752D9EA42D2}"/>
    <cellStyle name="Comma 4 2 2 2 2 13 2" xfId="19367" xr:uid="{54ACF9FA-E7C1-44C3-BB86-32CF811EF2BE}"/>
    <cellStyle name="Comma 4 2 2 2 2 14" xfId="10248" xr:uid="{599E0B53-26D6-4352-9D0E-8718B335FCF2}"/>
    <cellStyle name="Comma 4 2 2 2 2 14 2" xfId="20196" xr:uid="{621D92F6-0324-4D9B-98E5-BD7EE9597636}"/>
    <cellStyle name="Comma 4 2 2 2 2 15" xfId="1129" xr:uid="{ACF62F08-C535-4F7B-B497-D9C19D957C07}"/>
    <cellStyle name="Comma 4 2 2 2 2 16" xfId="11077" xr:uid="{CFC79141-FF50-4427-8D29-734A920EB708}"/>
    <cellStyle name="Comma 4 2 2 2 2 2" xfId="130" xr:uid="{00000000-0005-0000-0000-0000E1000000}"/>
    <cellStyle name="Comma 4 2 2 2 2 2 10" xfId="7762" xr:uid="{E4309424-06CF-4508-A6C4-29A2123EBD1A}"/>
    <cellStyle name="Comma 4 2 2 2 2 2 10 2" xfId="17710" xr:uid="{B5EE9D18-8D4C-46D3-8735-6D83DBED5215}"/>
    <cellStyle name="Comma 4 2 2 2 2 2 11" xfId="8591" xr:uid="{5E98BDB9-153F-43F3-8009-94F2BBECF5C4}"/>
    <cellStyle name="Comma 4 2 2 2 2 2 11 2" xfId="18539" xr:uid="{6F2DD3E3-81EC-4A31-AFBE-E30CFA5BB463}"/>
    <cellStyle name="Comma 4 2 2 2 2 2 12" xfId="9420" xr:uid="{EEA3DBD4-8C1C-47CE-9ABD-839E9B3A4CD4}"/>
    <cellStyle name="Comma 4 2 2 2 2 2 12 2" xfId="19368" xr:uid="{EEA57625-D4B9-4E3F-87E8-3FDCAED3C252}"/>
    <cellStyle name="Comma 4 2 2 2 2 2 13" xfId="10249" xr:uid="{9A1F38C4-4F08-4D29-A00F-FA9C1C8E3D30}"/>
    <cellStyle name="Comma 4 2 2 2 2 2 13 2" xfId="20197" xr:uid="{01B5E848-642B-4C68-8984-4CBDD9ED044D}"/>
    <cellStyle name="Comma 4 2 2 2 2 2 14" xfId="1130" xr:uid="{5A58CB44-6A6A-41E4-8EE9-F166FF5C4C26}"/>
    <cellStyle name="Comma 4 2 2 2 2 2 15" xfId="11078" xr:uid="{E8928992-A7FD-471B-A5E6-14C14CA19DDF}"/>
    <cellStyle name="Comma 4 2 2 2 2 2 2" xfId="676" xr:uid="{00000000-0005-0000-0000-0000E2000000}"/>
    <cellStyle name="Comma 4 2 2 2 2 2 2 10" xfId="9007" xr:uid="{2A11FF90-DE1E-4D83-9F2E-0CBB8F18CF05}"/>
    <cellStyle name="Comma 4 2 2 2 2 2 2 10 2" xfId="18955" xr:uid="{98223829-E7CD-4B03-A3F9-84D0EF829A4B}"/>
    <cellStyle name="Comma 4 2 2 2 2 2 2 11" xfId="9836" xr:uid="{5AC1AB6D-4843-44C6-96A3-4D64E7E95B30}"/>
    <cellStyle name="Comma 4 2 2 2 2 2 2 11 2" xfId="19784" xr:uid="{594406FF-DEED-40E3-B662-308EC4D43A85}"/>
    <cellStyle name="Comma 4 2 2 2 2 2 2 12" xfId="10665" xr:uid="{18461DBA-D6DA-4C42-A813-FCD35C6B4A68}"/>
    <cellStyle name="Comma 4 2 2 2 2 2 2 12 2" xfId="20613" xr:uid="{259CC73C-4E4A-4D08-BEA9-4D7584A29CA8}"/>
    <cellStyle name="Comma 4 2 2 2 2 2 2 13" xfId="1546" xr:uid="{C414CA44-C9C2-4CFF-9C5C-39D3BD65A28F}"/>
    <cellStyle name="Comma 4 2 2 2 2 2 2 14" xfId="11494" xr:uid="{18CFBCB8-7745-4E31-9FE8-0CC75676316C}"/>
    <cellStyle name="Comma 4 2 2 2 2 2 2 2" xfId="2375" xr:uid="{9C0CD543-012D-4B98-85B8-CC5744701E94}"/>
    <cellStyle name="Comma 4 2 2 2 2 2 2 2 2" xfId="12323" xr:uid="{291FB52A-8DF8-4CD9-AACB-4A39C5794E1B}"/>
    <cellStyle name="Comma 4 2 2 2 2 2 2 3" xfId="3204" xr:uid="{F833279D-2C83-4F80-8046-EC6EAF59EAB6}"/>
    <cellStyle name="Comma 4 2 2 2 2 2 2 3 2" xfId="13152" xr:uid="{106AD3CF-A658-446F-95AD-B4CAD566F39A}"/>
    <cellStyle name="Comma 4 2 2 2 2 2 2 4" xfId="4033" xr:uid="{78537D86-7789-4592-8D83-936FF2DEDC22}"/>
    <cellStyle name="Comma 4 2 2 2 2 2 2 4 2" xfId="13981" xr:uid="{638C8099-FB6F-4A10-91E8-96C75B4DF5FE}"/>
    <cellStyle name="Comma 4 2 2 2 2 2 2 5" xfId="4862" xr:uid="{BB217922-3C63-48DD-B898-851873628FED}"/>
    <cellStyle name="Comma 4 2 2 2 2 2 2 5 2" xfId="14810" xr:uid="{A8FB24B8-0C75-4FE3-9F15-407C18B726A0}"/>
    <cellStyle name="Comma 4 2 2 2 2 2 2 6" xfId="5691" xr:uid="{00D937F7-586F-4FE1-9171-DC08389D80BF}"/>
    <cellStyle name="Comma 4 2 2 2 2 2 2 6 2" xfId="15639" xr:uid="{E6AEA1AA-2889-48B9-BAB9-EF30D99B54CE}"/>
    <cellStyle name="Comma 4 2 2 2 2 2 2 7" xfId="6520" xr:uid="{F88754B7-0452-4024-9B38-504955470D41}"/>
    <cellStyle name="Comma 4 2 2 2 2 2 2 7 2" xfId="16468" xr:uid="{F670E5F0-A3A7-46CB-9D2C-EF090080C090}"/>
    <cellStyle name="Comma 4 2 2 2 2 2 2 8" xfId="7349" xr:uid="{E91830EA-A3C0-4116-B275-98C6EE8A41A3}"/>
    <cellStyle name="Comma 4 2 2 2 2 2 2 8 2" xfId="17297" xr:uid="{31E87C34-6DEC-4525-9C81-EFFCDD596E48}"/>
    <cellStyle name="Comma 4 2 2 2 2 2 2 9" xfId="8178" xr:uid="{8C0011DC-7890-440E-8A3C-A16051A928E2}"/>
    <cellStyle name="Comma 4 2 2 2 2 2 2 9 2" xfId="18126" xr:uid="{729D6683-89A9-4105-90D8-200AD5606214}"/>
    <cellStyle name="Comma 4 2 2 2 2 2 3" xfId="1959" xr:uid="{6ADF4D9F-F1A8-4F2D-A3F9-F13AFA3B2FA6}"/>
    <cellStyle name="Comma 4 2 2 2 2 2 3 2" xfId="11907" xr:uid="{4DA21DEE-37EC-4643-9ECE-34BAB9B8E68C}"/>
    <cellStyle name="Comma 4 2 2 2 2 2 4" xfId="2788" xr:uid="{4C3C9F2B-FA17-4669-B4BB-3BC29BF1F6FC}"/>
    <cellStyle name="Comma 4 2 2 2 2 2 4 2" xfId="12736" xr:uid="{76A51F47-583E-432E-A9C9-E76269AAC868}"/>
    <cellStyle name="Comma 4 2 2 2 2 2 5" xfId="3617" xr:uid="{5B98D8F5-27EB-4BB7-AF40-B102FC68AAF3}"/>
    <cellStyle name="Comma 4 2 2 2 2 2 5 2" xfId="13565" xr:uid="{FE6CCFC3-F859-4BB5-B90D-09F5CA53713D}"/>
    <cellStyle name="Comma 4 2 2 2 2 2 6" xfId="4446" xr:uid="{0CDF793B-CDF3-406B-90CB-1E50C063FCE0}"/>
    <cellStyle name="Comma 4 2 2 2 2 2 6 2" xfId="14394" xr:uid="{EFCB80BE-0BD5-4E29-94B4-2AFF868CB464}"/>
    <cellStyle name="Comma 4 2 2 2 2 2 7" xfId="5275" xr:uid="{176F40F5-4D99-40D9-9F4D-FB296018207C}"/>
    <cellStyle name="Comma 4 2 2 2 2 2 7 2" xfId="15223" xr:uid="{C079242D-D9F5-4D0C-8B3A-65440E0ADEBE}"/>
    <cellStyle name="Comma 4 2 2 2 2 2 8" xfId="6104" xr:uid="{AB54D16D-A4FF-4321-AC6A-54F131ED510D}"/>
    <cellStyle name="Comma 4 2 2 2 2 2 8 2" xfId="16052" xr:uid="{8A22D7E5-756E-4CF4-878E-F938CD1B4334}"/>
    <cellStyle name="Comma 4 2 2 2 2 2 9" xfId="6933" xr:uid="{00DEAFC2-1BFD-4A01-9E6C-3D1E30AF10E0}"/>
    <cellStyle name="Comma 4 2 2 2 2 2 9 2" xfId="16881" xr:uid="{F0C46E68-D6FB-458A-BADB-1C4E99DCB09D}"/>
    <cellStyle name="Comma 4 2 2 2 2 3" xfId="675" xr:uid="{00000000-0005-0000-0000-0000E3000000}"/>
    <cellStyle name="Comma 4 2 2 2 2 3 10" xfId="9006" xr:uid="{AC9DBACE-6E2E-4286-8845-9796685AD71E}"/>
    <cellStyle name="Comma 4 2 2 2 2 3 10 2" xfId="18954" xr:uid="{2DC60F70-B81F-4672-84A4-0D697EF1F729}"/>
    <cellStyle name="Comma 4 2 2 2 2 3 11" xfId="9835" xr:uid="{AF84EF3D-6666-488F-88B3-38888D66761C}"/>
    <cellStyle name="Comma 4 2 2 2 2 3 11 2" xfId="19783" xr:uid="{5070AA62-4B20-41FF-8993-431195997BBA}"/>
    <cellStyle name="Comma 4 2 2 2 2 3 12" xfId="10664" xr:uid="{DCE93B80-8CBD-4219-A2CA-0E46BBEAC5A9}"/>
    <cellStyle name="Comma 4 2 2 2 2 3 12 2" xfId="20612" xr:uid="{A9526219-9A6C-4498-9F55-5732C3D512E5}"/>
    <cellStyle name="Comma 4 2 2 2 2 3 13" xfId="1545" xr:uid="{98337F7E-81A4-4B05-90C2-8249BFC21CBD}"/>
    <cellStyle name="Comma 4 2 2 2 2 3 14" xfId="11493" xr:uid="{947F9A28-D233-4DBB-A06D-F50B634E4BB9}"/>
    <cellStyle name="Comma 4 2 2 2 2 3 2" xfId="2374" xr:uid="{68AE2617-A7F5-4A8A-88D7-1F445EA2AB99}"/>
    <cellStyle name="Comma 4 2 2 2 2 3 2 2" xfId="12322" xr:uid="{70ECDC8E-250C-4835-81E5-772738911D02}"/>
    <cellStyle name="Comma 4 2 2 2 2 3 3" xfId="3203" xr:uid="{C6FB28E6-8406-479E-B482-D873A0934727}"/>
    <cellStyle name="Comma 4 2 2 2 2 3 3 2" xfId="13151" xr:uid="{47C14901-636C-465F-8167-D290D4F9FFFD}"/>
    <cellStyle name="Comma 4 2 2 2 2 3 4" xfId="4032" xr:uid="{1882B8F4-0190-4B65-B655-2ECD1538EFA5}"/>
    <cellStyle name="Comma 4 2 2 2 2 3 4 2" xfId="13980" xr:uid="{1BFFFE21-737C-4A4E-8D9F-F65B220DB3A9}"/>
    <cellStyle name="Comma 4 2 2 2 2 3 5" xfId="4861" xr:uid="{4D20828D-3F0F-440E-A231-EFE4E30DA66C}"/>
    <cellStyle name="Comma 4 2 2 2 2 3 5 2" xfId="14809" xr:uid="{1943DAF4-F7F1-49F1-A48E-64F15B6698D2}"/>
    <cellStyle name="Comma 4 2 2 2 2 3 6" xfId="5690" xr:uid="{24956821-F4BA-4C4D-BF79-08F6EAEBA849}"/>
    <cellStyle name="Comma 4 2 2 2 2 3 6 2" xfId="15638" xr:uid="{598E8DAA-332A-454A-835F-0FBDD962811F}"/>
    <cellStyle name="Comma 4 2 2 2 2 3 7" xfId="6519" xr:uid="{7DA4C52F-663F-4EC0-83DC-E3B6265AAFF0}"/>
    <cellStyle name="Comma 4 2 2 2 2 3 7 2" xfId="16467" xr:uid="{5E058EB5-5D04-440E-B7F6-4A32CD0F3E5F}"/>
    <cellStyle name="Comma 4 2 2 2 2 3 8" xfId="7348" xr:uid="{F7A262E3-27C6-40AD-AE07-E715248ABD2D}"/>
    <cellStyle name="Comma 4 2 2 2 2 3 8 2" xfId="17296" xr:uid="{FC2FD638-2582-479A-93F7-7E11E868A308}"/>
    <cellStyle name="Comma 4 2 2 2 2 3 9" xfId="8177" xr:uid="{58C82682-C1E8-439E-8408-274EDDCCAC91}"/>
    <cellStyle name="Comma 4 2 2 2 2 3 9 2" xfId="18125" xr:uid="{999B102D-5944-465D-B06F-9192D4EF9421}"/>
    <cellStyle name="Comma 4 2 2 2 2 4" xfId="1958" xr:uid="{AFA62618-F0B3-4491-AF7B-6BC52B999FAE}"/>
    <cellStyle name="Comma 4 2 2 2 2 4 2" xfId="11906" xr:uid="{14093F3C-D5AE-42AF-995C-4C19AA610AF7}"/>
    <cellStyle name="Comma 4 2 2 2 2 5" xfId="2787" xr:uid="{EC176D4B-CF31-4477-907A-093B514CC37D}"/>
    <cellStyle name="Comma 4 2 2 2 2 5 2" xfId="12735" xr:uid="{F40DCDF8-DC8D-42A9-97C4-7BD214097B80}"/>
    <cellStyle name="Comma 4 2 2 2 2 6" xfId="3616" xr:uid="{BADFCE42-D05B-49FC-A9B7-D01849478205}"/>
    <cellStyle name="Comma 4 2 2 2 2 6 2" xfId="13564" xr:uid="{74B60392-38DA-48BF-A771-EF554C5A79A3}"/>
    <cellStyle name="Comma 4 2 2 2 2 7" xfId="4445" xr:uid="{6DD4A7AD-BD07-4F0C-BA0A-B6FCF1EBE852}"/>
    <cellStyle name="Comma 4 2 2 2 2 7 2" xfId="14393" xr:uid="{C730B4A2-44F1-4429-8B8F-0E15EDFBCF29}"/>
    <cellStyle name="Comma 4 2 2 2 2 8" xfId="5274" xr:uid="{B44E752F-F921-4FB5-936C-3ACAC97A2938}"/>
    <cellStyle name="Comma 4 2 2 2 2 8 2" xfId="15222" xr:uid="{E7960895-957C-4A2C-9FF5-1DD756440AC7}"/>
    <cellStyle name="Comma 4 2 2 2 2 9" xfId="6103" xr:uid="{A03AB46B-A482-4FAD-8496-0A62D6F916BF}"/>
    <cellStyle name="Comma 4 2 2 2 2 9 2" xfId="16051" xr:uid="{F858ECBF-D699-4CD1-BF39-6F95AF0B7E10}"/>
    <cellStyle name="Comma 4 2 2 2 3" xfId="131" xr:uid="{00000000-0005-0000-0000-0000E4000000}"/>
    <cellStyle name="Comma 4 2 2 2 3 10" xfId="7763" xr:uid="{B77E298A-837D-4F05-8F22-EB89357573B4}"/>
    <cellStyle name="Comma 4 2 2 2 3 10 2" xfId="17711" xr:uid="{BACACF6B-EAF3-4E00-99DE-06DA04FBFB8F}"/>
    <cellStyle name="Comma 4 2 2 2 3 11" xfId="8592" xr:uid="{D22F7ED7-0CBD-405B-8204-3E38F8A5BD7F}"/>
    <cellStyle name="Comma 4 2 2 2 3 11 2" xfId="18540" xr:uid="{B585D2A0-54A1-4F59-8222-552BB1E67FCA}"/>
    <cellStyle name="Comma 4 2 2 2 3 12" xfId="9421" xr:uid="{F71C3B4D-0FC0-4C03-8F1E-F3A4A743F020}"/>
    <cellStyle name="Comma 4 2 2 2 3 12 2" xfId="19369" xr:uid="{09A2E266-7918-48E2-AC6C-F0F5EC70F98A}"/>
    <cellStyle name="Comma 4 2 2 2 3 13" xfId="10250" xr:uid="{5ED67E76-4476-4E07-AD89-63EDAB609BC3}"/>
    <cellStyle name="Comma 4 2 2 2 3 13 2" xfId="20198" xr:uid="{B5835B24-240B-41BC-AF33-F00905E403CE}"/>
    <cellStyle name="Comma 4 2 2 2 3 14" xfId="1131" xr:uid="{AF946A57-3DCB-4660-9786-1FF76E30736D}"/>
    <cellStyle name="Comma 4 2 2 2 3 15" xfId="11079" xr:uid="{9C8AB78E-3D51-4B36-B09B-67AF6DFB714F}"/>
    <cellStyle name="Comma 4 2 2 2 3 2" xfId="677" xr:uid="{00000000-0005-0000-0000-0000E5000000}"/>
    <cellStyle name="Comma 4 2 2 2 3 2 10" xfId="9008" xr:uid="{ED1E21DF-B5A8-43D1-9BB8-9BE7B7CBA375}"/>
    <cellStyle name="Comma 4 2 2 2 3 2 10 2" xfId="18956" xr:uid="{1B12B287-DC71-4AEF-A11A-E1C9A4C5ED6F}"/>
    <cellStyle name="Comma 4 2 2 2 3 2 11" xfId="9837" xr:uid="{E0DF4353-51F3-480D-9555-972C730F6606}"/>
    <cellStyle name="Comma 4 2 2 2 3 2 11 2" xfId="19785" xr:uid="{38ED8F69-22A2-45B1-AAD1-D0FFCB160AF0}"/>
    <cellStyle name="Comma 4 2 2 2 3 2 12" xfId="10666" xr:uid="{8F5A5A43-3D13-4097-908C-236058BF2057}"/>
    <cellStyle name="Comma 4 2 2 2 3 2 12 2" xfId="20614" xr:uid="{BEE58665-3B07-42A1-930D-11AA30FB55C8}"/>
    <cellStyle name="Comma 4 2 2 2 3 2 13" xfId="1547" xr:uid="{D068E0E1-2693-4546-94AB-2B114F8D5662}"/>
    <cellStyle name="Comma 4 2 2 2 3 2 14" xfId="11495" xr:uid="{C9583EC1-69FD-4002-959D-D239711C7285}"/>
    <cellStyle name="Comma 4 2 2 2 3 2 2" xfId="2376" xr:uid="{19BC02EA-3ED5-4191-9CF8-FAD3B2D60D97}"/>
    <cellStyle name="Comma 4 2 2 2 3 2 2 2" xfId="12324" xr:uid="{8AB516D4-CA59-4201-A01B-32FFC5C3A95F}"/>
    <cellStyle name="Comma 4 2 2 2 3 2 3" xfId="3205" xr:uid="{F873FAC7-2740-4003-9525-7CF2E2497CAE}"/>
    <cellStyle name="Comma 4 2 2 2 3 2 3 2" xfId="13153" xr:uid="{46E54A97-2D4F-488D-B39B-A97E8B3A3BA3}"/>
    <cellStyle name="Comma 4 2 2 2 3 2 4" xfId="4034" xr:uid="{00D84A9B-B8A7-4665-88A9-C1BB38E50E59}"/>
    <cellStyle name="Comma 4 2 2 2 3 2 4 2" xfId="13982" xr:uid="{B3853A8F-89AE-4C42-ACB1-7B92E19CCB98}"/>
    <cellStyle name="Comma 4 2 2 2 3 2 5" xfId="4863" xr:uid="{8A42243F-D5ED-4F6C-8287-4DD93010EE45}"/>
    <cellStyle name="Comma 4 2 2 2 3 2 5 2" xfId="14811" xr:uid="{7CA0A252-EA46-4D7E-BB09-6D654C99CA96}"/>
    <cellStyle name="Comma 4 2 2 2 3 2 6" xfId="5692" xr:uid="{292C5A55-471E-41E2-8050-A8C5108A1009}"/>
    <cellStyle name="Comma 4 2 2 2 3 2 6 2" xfId="15640" xr:uid="{3BA3C1CF-94E3-4C3C-B5AA-261B04922381}"/>
    <cellStyle name="Comma 4 2 2 2 3 2 7" xfId="6521" xr:uid="{2F42E781-A281-4E3F-AA4E-133D0C971135}"/>
    <cellStyle name="Comma 4 2 2 2 3 2 7 2" xfId="16469" xr:uid="{7B9CE61D-C8CC-44B3-A055-B26DB05868E0}"/>
    <cellStyle name="Comma 4 2 2 2 3 2 8" xfId="7350" xr:uid="{E7FFC873-0B8C-49CA-AEC6-0F91AFEF7B71}"/>
    <cellStyle name="Comma 4 2 2 2 3 2 8 2" xfId="17298" xr:uid="{CD427748-6620-488F-89B9-AC0B738915C5}"/>
    <cellStyle name="Comma 4 2 2 2 3 2 9" xfId="8179" xr:uid="{98AD67B2-30CC-49F5-9265-032BC2ABD330}"/>
    <cellStyle name="Comma 4 2 2 2 3 2 9 2" xfId="18127" xr:uid="{784A9139-80A2-4539-A532-D82B3C31B7E9}"/>
    <cellStyle name="Comma 4 2 2 2 3 3" xfId="1960" xr:uid="{D0EFEC7B-36E2-4969-AE52-39993DD2C8A4}"/>
    <cellStyle name="Comma 4 2 2 2 3 3 2" xfId="11908" xr:uid="{7ABF32B4-14A0-474C-85AE-EB60B9F277DA}"/>
    <cellStyle name="Comma 4 2 2 2 3 4" xfId="2789" xr:uid="{09CA8F4E-AF3A-4D5F-9D04-DF43021C3326}"/>
    <cellStyle name="Comma 4 2 2 2 3 4 2" xfId="12737" xr:uid="{FBC33439-A8C5-43B4-AD06-D883CF1E46E3}"/>
    <cellStyle name="Comma 4 2 2 2 3 5" xfId="3618" xr:uid="{1B338070-0C69-4063-BBCB-87B13E81FE13}"/>
    <cellStyle name="Comma 4 2 2 2 3 5 2" xfId="13566" xr:uid="{C95E03B1-19CB-496B-B1E6-0591C20DE7ED}"/>
    <cellStyle name="Comma 4 2 2 2 3 6" xfId="4447" xr:uid="{87026703-5557-498C-ADAE-76EC3870C117}"/>
    <cellStyle name="Comma 4 2 2 2 3 6 2" xfId="14395" xr:uid="{D894C7A1-B9D9-4D42-8A70-3A83593D1FCF}"/>
    <cellStyle name="Comma 4 2 2 2 3 7" xfId="5276" xr:uid="{116C312F-B6D4-47B2-8FEB-F5150978BEEF}"/>
    <cellStyle name="Comma 4 2 2 2 3 7 2" xfId="15224" xr:uid="{E88B13F6-3791-4F8F-8E53-7073E8C281D2}"/>
    <cellStyle name="Comma 4 2 2 2 3 8" xfId="6105" xr:uid="{5396AFEC-678C-4B1C-AD71-C63823FC5439}"/>
    <cellStyle name="Comma 4 2 2 2 3 8 2" xfId="16053" xr:uid="{94541DB4-518B-4B2C-AEAC-5DC3D58C0A0A}"/>
    <cellStyle name="Comma 4 2 2 2 3 9" xfId="6934" xr:uid="{B3A7FCEA-1BF7-41FB-8EEA-D58DC47CB010}"/>
    <cellStyle name="Comma 4 2 2 2 3 9 2" xfId="16882" xr:uid="{3A5E3436-FEA3-4FB3-93A7-D05E0074526D}"/>
    <cellStyle name="Comma 4 2 2 2 4" xfId="674" xr:uid="{00000000-0005-0000-0000-0000E6000000}"/>
    <cellStyle name="Comma 4 2 2 2 4 10" xfId="9005" xr:uid="{65912557-8D95-409A-B050-DB38612D9F8A}"/>
    <cellStyle name="Comma 4 2 2 2 4 10 2" xfId="18953" xr:uid="{9D1162AD-0616-41A7-9CBA-AC4B17F8661D}"/>
    <cellStyle name="Comma 4 2 2 2 4 11" xfId="9834" xr:uid="{0B8686F0-BB5E-4130-9E84-5221A144D778}"/>
    <cellStyle name="Comma 4 2 2 2 4 11 2" xfId="19782" xr:uid="{8959B624-6CF2-4021-887E-54F13A65BF2F}"/>
    <cellStyle name="Comma 4 2 2 2 4 12" xfId="10663" xr:uid="{B7D66927-550B-44DA-BB4F-ECCACEFFF368}"/>
    <cellStyle name="Comma 4 2 2 2 4 12 2" xfId="20611" xr:uid="{6E0E346E-E736-49AE-96A7-9752D6DF46BC}"/>
    <cellStyle name="Comma 4 2 2 2 4 13" xfId="1544" xr:uid="{E7D9F230-799F-44FB-B8C6-2DC758281CF4}"/>
    <cellStyle name="Comma 4 2 2 2 4 14" xfId="11492" xr:uid="{2A92520F-511A-4A74-9CAB-8F3CA05A1847}"/>
    <cellStyle name="Comma 4 2 2 2 4 2" xfId="2373" xr:uid="{55F9BAF4-BE7A-4567-AA0B-1944E687A966}"/>
    <cellStyle name="Comma 4 2 2 2 4 2 2" xfId="12321" xr:uid="{A907154D-1D99-4D03-93B2-2B72A0D524A7}"/>
    <cellStyle name="Comma 4 2 2 2 4 3" xfId="3202" xr:uid="{D6961488-F191-4F74-A68D-5EAB6E8241D1}"/>
    <cellStyle name="Comma 4 2 2 2 4 3 2" xfId="13150" xr:uid="{ED62F9B4-E447-4EE0-A634-B98F0AAF5310}"/>
    <cellStyle name="Comma 4 2 2 2 4 4" xfId="4031" xr:uid="{C80513F8-F935-42C1-983C-D36EA309447E}"/>
    <cellStyle name="Comma 4 2 2 2 4 4 2" xfId="13979" xr:uid="{1DBA1999-BB48-492B-BBE4-BDAE27D9C275}"/>
    <cellStyle name="Comma 4 2 2 2 4 5" xfId="4860" xr:uid="{F0DBF780-C44A-4BDC-8324-5688402EC97D}"/>
    <cellStyle name="Comma 4 2 2 2 4 5 2" xfId="14808" xr:uid="{58257553-1565-41DA-B00A-24E770904D41}"/>
    <cellStyle name="Comma 4 2 2 2 4 6" xfId="5689" xr:uid="{B79D45A1-25F6-4314-8157-55FE38A71318}"/>
    <cellStyle name="Comma 4 2 2 2 4 6 2" xfId="15637" xr:uid="{99E82816-C556-4C1D-BD76-126FE44F7A92}"/>
    <cellStyle name="Comma 4 2 2 2 4 7" xfId="6518" xr:uid="{711E6439-151A-4FB5-A334-CFB848CA20B9}"/>
    <cellStyle name="Comma 4 2 2 2 4 7 2" xfId="16466" xr:uid="{5B1093BB-33C2-4629-84E9-856A4A65ED70}"/>
    <cellStyle name="Comma 4 2 2 2 4 8" xfId="7347" xr:uid="{4A2AFE6E-B0A8-4F10-88E7-E7B0CCC57E21}"/>
    <cellStyle name="Comma 4 2 2 2 4 8 2" xfId="17295" xr:uid="{6759611D-5BC9-4D8B-8774-25DFF65ED473}"/>
    <cellStyle name="Comma 4 2 2 2 4 9" xfId="8176" xr:uid="{78906682-66F4-48C9-A9DD-1D53D461E248}"/>
    <cellStyle name="Comma 4 2 2 2 4 9 2" xfId="18124" xr:uid="{1C2259EF-6FA5-4781-BF18-E4900EE29365}"/>
    <cellStyle name="Comma 4 2 2 2 5" xfId="1957" xr:uid="{015E4FA4-D3DB-4175-B90E-D625E58DE0EE}"/>
    <cellStyle name="Comma 4 2 2 2 5 2" xfId="11905" xr:uid="{B1B1B702-9B57-4707-A087-72B961322791}"/>
    <cellStyle name="Comma 4 2 2 2 6" xfId="2786" xr:uid="{5574FD04-85B9-48BE-8028-6A785FA66709}"/>
    <cellStyle name="Comma 4 2 2 2 6 2" xfId="12734" xr:uid="{DD9A3A3B-8958-40C1-89B3-79A0F115AFB0}"/>
    <cellStyle name="Comma 4 2 2 2 7" xfId="3615" xr:uid="{5A865B7E-A091-44BB-9C99-FDB95D0A515F}"/>
    <cellStyle name="Comma 4 2 2 2 7 2" xfId="13563" xr:uid="{5D3DCF28-B23A-4907-95EA-F39028C43FCA}"/>
    <cellStyle name="Comma 4 2 2 2 8" xfId="4444" xr:uid="{301F285A-9096-4398-922F-2144ADD73D70}"/>
    <cellStyle name="Comma 4 2 2 2 8 2" xfId="14392" xr:uid="{CF0B3036-8035-46BE-B3BB-EF6982BC35AB}"/>
    <cellStyle name="Comma 4 2 2 2 9" xfId="5273" xr:uid="{DFF45435-4022-4EFA-9BF4-EFE210BEF2FF}"/>
    <cellStyle name="Comma 4 2 2 2 9 2" xfId="15221" xr:uid="{29B54E50-0171-4762-9BA9-6272863C04E3}"/>
    <cellStyle name="Comma 4 2 2 3" xfId="132" xr:uid="{00000000-0005-0000-0000-0000E7000000}"/>
    <cellStyle name="Comma 4 2 2 3 10" xfId="6935" xr:uid="{C138F8F9-1B7A-4C64-A99F-590D05CE1BA2}"/>
    <cellStyle name="Comma 4 2 2 3 10 2" xfId="16883" xr:uid="{33CA8CB3-41C3-43DD-A8F0-3D53A30B8D18}"/>
    <cellStyle name="Comma 4 2 2 3 11" xfId="7764" xr:uid="{2001D452-3EB6-471F-9DB6-EE60A1BF3A3F}"/>
    <cellStyle name="Comma 4 2 2 3 11 2" xfId="17712" xr:uid="{6CD298DD-899A-4959-B7A9-5F99FDBBCBDB}"/>
    <cellStyle name="Comma 4 2 2 3 12" xfId="8593" xr:uid="{9DFC6E57-46D5-471E-9A05-03009E5FFC22}"/>
    <cellStyle name="Comma 4 2 2 3 12 2" xfId="18541" xr:uid="{C06CF993-1486-4281-8813-33F69BD56B9D}"/>
    <cellStyle name="Comma 4 2 2 3 13" xfId="9422" xr:uid="{E88FA967-7E89-42FE-A918-DB8AF561DB6A}"/>
    <cellStyle name="Comma 4 2 2 3 13 2" xfId="19370" xr:uid="{19361E69-0215-4852-ABA3-B5140E8270B1}"/>
    <cellStyle name="Comma 4 2 2 3 14" xfId="10251" xr:uid="{5D01A69D-CA39-4049-8591-656A6B5B3E4B}"/>
    <cellStyle name="Comma 4 2 2 3 14 2" xfId="20199" xr:uid="{AF3865EA-AB5C-45A4-8F38-C3A04403463D}"/>
    <cellStyle name="Comma 4 2 2 3 15" xfId="1132" xr:uid="{3138778C-FCFD-4F40-8D1F-1C8172A4D659}"/>
    <cellStyle name="Comma 4 2 2 3 16" xfId="11080" xr:uid="{BF4E5880-DA23-4A87-BAF7-1D29EB093EA5}"/>
    <cellStyle name="Comma 4 2 2 3 2" xfId="133" xr:uid="{00000000-0005-0000-0000-0000E8000000}"/>
    <cellStyle name="Comma 4 2 2 3 2 10" xfId="7765" xr:uid="{B524FE0F-16F4-47A6-9B28-542CB40BE687}"/>
    <cellStyle name="Comma 4 2 2 3 2 10 2" xfId="17713" xr:uid="{0E7EA3DF-535D-49C4-A946-1F952C2C9474}"/>
    <cellStyle name="Comma 4 2 2 3 2 11" xfId="8594" xr:uid="{2F0E62CB-9644-43E6-AD07-F61AD4FBEB29}"/>
    <cellStyle name="Comma 4 2 2 3 2 11 2" xfId="18542" xr:uid="{22F2EA5D-148C-4010-B542-E067A478758C}"/>
    <cellStyle name="Comma 4 2 2 3 2 12" xfId="9423" xr:uid="{04FE8C8F-B1A2-4F41-99DE-DD7F445A3AB1}"/>
    <cellStyle name="Comma 4 2 2 3 2 12 2" xfId="19371" xr:uid="{07B406EC-065F-44F4-A8BF-8815D4E45B58}"/>
    <cellStyle name="Comma 4 2 2 3 2 13" xfId="10252" xr:uid="{C469ADF1-850D-4502-9862-85A9EE562717}"/>
    <cellStyle name="Comma 4 2 2 3 2 13 2" xfId="20200" xr:uid="{542473FC-1B8D-4F92-88DD-0E46E656FE09}"/>
    <cellStyle name="Comma 4 2 2 3 2 14" xfId="1133" xr:uid="{BB05E7B5-4EFF-490C-9C83-B4E7AB086D59}"/>
    <cellStyle name="Comma 4 2 2 3 2 15" xfId="11081" xr:uid="{84ADED58-D3D9-43D5-B52C-FEBAFA439716}"/>
    <cellStyle name="Comma 4 2 2 3 2 2" xfId="679" xr:uid="{00000000-0005-0000-0000-0000E9000000}"/>
    <cellStyle name="Comma 4 2 2 3 2 2 10" xfId="9010" xr:uid="{D2727C6B-0FE6-4905-AD61-EA2DDF26E1DE}"/>
    <cellStyle name="Comma 4 2 2 3 2 2 10 2" xfId="18958" xr:uid="{35D8874D-AC0B-4E40-995D-4B321E905AC8}"/>
    <cellStyle name="Comma 4 2 2 3 2 2 11" xfId="9839" xr:uid="{C6B47BD2-433A-49C6-8784-3D4C54B786F5}"/>
    <cellStyle name="Comma 4 2 2 3 2 2 11 2" xfId="19787" xr:uid="{FB4E2BF2-D7C1-452C-AAEC-CF2F2CBC5DC3}"/>
    <cellStyle name="Comma 4 2 2 3 2 2 12" xfId="10668" xr:uid="{5EB5117F-4D33-40C3-ACFB-E76DFE0BF9D6}"/>
    <cellStyle name="Comma 4 2 2 3 2 2 12 2" xfId="20616" xr:uid="{60E70F56-3ACB-49A2-B328-36B85EE001B8}"/>
    <cellStyle name="Comma 4 2 2 3 2 2 13" xfId="1549" xr:uid="{5B3F2BC6-B1DE-46E0-A1CD-4669E9DB361F}"/>
    <cellStyle name="Comma 4 2 2 3 2 2 14" xfId="11497" xr:uid="{7A460377-F67D-4AEB-B1E2-B1919B24388F}"/>
    <cellStyle name="Comma 4 2 2 3 2 2 2" xfId="2378" xr:uid="{A02C5C13-8F87-4702-B718-B46B3CD44607}"/>
    <cellStyle name="Comma 4 2 2 3 2 2 2 2" xfId="12326" xr:uid="{7D9705BF-27F6-4DCB-AFED-E03728AAC50C}"/>
    <cellStyle name="Comma 4 2 2 3 2 2 3" xfId="3207" xr:uid="{1E049FAB-2676-4614-A9CF-E4833693442F}"/>
    <cellStyle name="Comma 4 2 2 3 2 2 3 2" xfId="13155" xr:uid="{F7BC371A-1EFB-43EE-92A3-088CCC4D9C79}"/>
    <cellStyle name="Comma 4 2 2 3 2 2 4" xfId="4036" xr:uid="{E398FF27-8E1D-42E1-8676-1E7DE6D3B109}"/>
    <cellStyle name="Comma 4 2 2 3 2 2 4 2" xfId="13984" xr:uid="{6C257B4A-C8AC-4F2C-9060-E18A25472F16}"/>
    <cellStyle name="Comma 4 2 2 3 2 2 5" xfId="4865" xr:uid="{C336B079-2C35-4C6C-A571-EB74C737738C}"/>
    <cellStyle name="Comma 4 2 2 3 2 2 5 2" xfId="14813" xr:uid="{A5282F8C-B72A-4770-9DAF-A9B8161A5AA7}"/>
    <cellStyle name="Comma 4 2 2 3 2 2 6" xfId="5694" xr:uid="{8753E21C-3524-4CCC-BB8E-BCFA1C101BF4}"/>
    <cellStyle name="Comma 4 2 2 3 2 2 6 2" xfId="15642" xr:uid="{17380328-1F0A-4189-8E4A-9729CC7FB9D0}"/>
    <cellStyle name="Comma 4 2 2 3 2 2 7" xfId="6523" xr:uid="{B2B3EBF0-1A70-4D3E-AE45-52354E724DB8}"/>
    <cellStyle name="Comma 4 2 2 3 2 2 7 2" xfId="16471" xr:uid="{191A46A3-B571-41FE-A9A4-B5820CA28823}"/>
    <cellStyle name="Comma 4 2 2 3 2 2 8" xfId="7352" xr:uid="{318918A5-49E2-4C6B-B104-5B9ADAF6AD2D}"/>
    <cellStyle name="Comma 4 2 2 3 2 2 8 2" xfId="17300" xr:uid="{3A78A140-8533-4885-A0C3-465EAC3A6933}"/>
    <cellStyle name="Comma 4 2 2 3 2 2 9" xfId="8181" xr:uid="{0411F0AE-519A-4741-B49A-D70532E4D29E}"/>
    <cellStyle name="Comma 4 2 2 3 2 2 9 2" xfId="18129" xr:uid="{7F478F9F-1A6D-4EFF-8AC2-B2C2B89057CE}"/>
    <cellStyle name="Comma 4 2 2 3 2 3" xfId="1962" xr:uid="{A32010C8-0A80-4661-B11C-3C4FCEEEB0D0}"/>
    <cellStyle name="Comma 4 2 2 3 2 3 2" xfId="11910" xr:uid="{7CB14E65-9FD5-4CAE-9729-5EBCB265938A}"/>
    <cellStyle name="Comma 4 2 2 3 2 4" xfId="2791" xr:uid="{0DEAED25-CC11-430D-A2C6-84BC4D516298}"/>
    <cellStyle name="Comma 4 2 2 3 2 4 2" xfId="12739" xr:uid="{1D431389-BB28-48A9-AC4C-0E69F5B5002F}"/>
    <cellStyle name="Comma 4 2 2 3 2 5" xfId="3620" xr:uid="{5E67144F-0799-474B-845E-B87FAFB0278B}"/>
    <cellStyle name="Comma 4 2 2 3 2 5 2" xfId="13568" xr:uid="{5481FA92-85F3-4345-AFE5-03312623C760}"/>
    <cellStyle name="Comma 4 2 2 3 2 6" xfId="4449" xr:uid="{8DA33391-54CD-45E2-B650-BA33BAAA263C}"/>
    <cellStyle name="Comma 4 2 2 3 2 6 2" xfId="14397" xr:uid="{20110D74-D116-40E5-AA40-A084E8278516}"/>
    <cellStyle name="Comma 4 2 2 3 2 7" xfId="5278" xr:uid="{15B2D29E-CE2F-4459-9722-0ACB45742CC6}"/>
    <cellStyle name="Comma 4 2 2 3 2 7 2" xfId="15226" xr:uid="{67526287-A200-4615-8A21-1040F777AFAE}"/>
    <cellStyle name="Comma 4 2 2 3 2 8" xfId="6107" xr:uid="{589F6E22-12C7-48B0-8F5F-C8C96F646633}"/>
    <cellStyle name="Comma 4 2 2 3 2 8 2" xfId="16055" xr:uid="{FC210A1E-D5D5-4224-BFE3-3711959A02B3}"/>
    <cellStyle name="Comma 4 2 2 3 2 9" xfId="6936" xr:uid="{CAE4FF86-F994-4652-B8E6-35C1681E3850}"/>
    <cellStyle name="Comma 4 2 2 3 2 9 2" xfId="16884" xr:uid="{EA85B7E2-0161-4C0B-8092-3DE646D3A3A9}"/>
    <cellStyle name="Comma 4 2 2 3 3" xfId="678" xr:uid="{00000000-0005-0000-0000-0000EA000000}"/>
    <cellStyle name="Comma 4 2 2 3 3 10" xfId="9009" xr:uid="{62030C78-C53E-4ECD-B0D6-33DFDB728D11}"/>
    <cellStyle name="Comma 4 2 2 3 3 10 2" xfId="18957" xr:uid="{635E15FC-9D6E-4E04-8F81-909DE9C66F49}"/>
    <cellStyle name="Comma 4 2 2 3 3 11" xfId="9838" xr:uid="{1BE854DB-315A-4BF1-81E1-07DFD5424F11}"/>
    <cellStyle name="Comma 4 2 2 3 3 11 2" xfId="19786" xr:uid="{BD859C04-EC4A-4C6F-B649-0236C13B0309}"/>
    <cellStyle name="Comma 4 2 2 3 3 12" xfId="10667" xr:uid="{FB366BA6-7E66-4759-A3F9-E8697409B517}"/>
    <cellStyle name="Comma 4 2 2 3 3 12 2" xfId="20615" xr:uid="{04419460-4C63-4338-B664-CA1A8D8BBE55}"/>
    <cellStyle name="Comma 4 2 2 3 3 13" xfId="1548" xr:uid="{C29291C2-10F7-49A8-B4FF-5356B9BA0AF7}"/>
    <cellStyle name="Comma 4 2 2 3 3 14" xfId="11496" xr:uid="{10E974CD-5E09-413E-A072-D74965A6A7C2}"/>
    <cellStyle name="Comma 4 2 2 3 3 2" xfId="2377" xr:uid="{841203B5-A339-4C3B-A0A5-8B4871C6B9F9}"/>
    <cellStyle name="Comma 4 2 2 3 3 2 2" xfId="12325" xr:uid="{24507676-4B26-499E-9878-BD4E8266C9AE}"/>
    <cellStyle name="Comma 4 2 2 3 3 3" xfId="3206" xr:uid="{11246A57-B510-4803-84EC-4C48626FDA1E}"/>
    <cellStyle name="Comma 4 2 2 3 3 3 2" xfId="13154" xr:uid="{A23AC782-B8B2-4029-80F2-68059F43CE1A}"/>
    <cellStyle name="Comma 4 2 2 3 3 4" xfId="4035" xr:uid="{06F215A4-05CE-4620-8D4C-DB5C33794970}"/>
    <cellStyle name="Comma 4 2 2 3 3 4 2" xfId="13983" xr:uid="{822C7B8C-8C81-455C-BB2C-24FA1D109CB0}"/>
    <cellStyle name="Comma 4 2 2 3 3 5" xfId="4864" xr:uid="{68490B79-DA61-4084-AD2F-2A85B6743EB1}"/>
    <cellStyle name="Comma 4 2 2 3 3 5 2" xfId="14812" xr:uid="{79ED231F-7666-4F98-9350-83E7675C5DAE}"/>
    <cellStyle name="Comma 4 2 2 3 3 6" xfId="5693" xr:uid="{ACEB3E57-5EBF-4C77-B786-6EA6631BDF9F}"/>
    <cellStyle name="Comma 4 2 2 3 3 6 2" xfId="15641" xr:uid="{1734A5B3-7FA3-4001-9649-26F98E75972C}"/>
    <cellStyle name="Comma 4 2 2 3 3 7" xfId="6522" xr:uid="{B3026ABF-2687-4C5E-B5C9-DF83CB9D0CE3}"/>
    <cellStyle name="Comma 4 2 2 3 3 7 2" xfId="16470" xr:uid="{4268A99F-E54E-4945-BC9E-73DFE5E07F5D}"/>
    <cellStyle name="Comma 4 2 2 3 3 8" xfId="7351" xr:uid="{A5AF4196-6D63-4FE1-9E6D-5C7A366E68D5}"/>
    <cellStyle name="Comma 4 2 2 3 3 8 2" xfId="17299" xr:uid="{DAE4F86D-6ADE-4F35-A901-95E5104BB276}"/>
    <cellStyle name="Comma 4 2 2 3 3 9" xfId="8180" xr:uid="{12BA99A4-8C36-4D96-A4C9-BDE9F000B3CF}"/>
    <cellStyle name="Comma 4 2 2 3 3 9 2" xfId="18128" xr:uid="{ECF37A63-FFB1-4D38-9DD8-89CAD1471D6B}"/>
    <cellStyle name="Comma 4 2 2 3 4" xfId="1961" xr:uid="{D920C6A3-A5EF-4A5A-9098-0A772AF52E52}"/>
    <cellStyle name="Comma 4 2 2 3 4 2" xfId="11909" xr:uid="{EB4FA5E5-0346-466B-A949-009B39B6866B}"/>
    <cellStyle name="Comma 4 2 2 3 5" xfId="2790" xr:uid="{16FF506C-2720-43EF-9050-4D971E581D3F}"/>
    <cellStyle name="Comma 4 2 2 3 5 2" xfId="12738" xr:uid="{EE864FA7-3E23-4E62-8A94-3AC0CD2C0707}"/>
    <cellStyle name="Comma 4 2 2 3 6" xfId="3619" xr:uid="{D84C14DE-FD0C-4190-9D5F-EA4C7C573DBD}"/>
    <cellStyle name="Comma 4 2 2 3 6 2" xfId="13567" xr:uid="{51972A9B-8391-4A64-B035-3F224E437B40}"/>
    <cellStyle name="Comma 4 2 2 3 7" xfId="4448" xr:uid="{1C15A327-243F-43A1-8CCB-559D32663004}"/>
    <cellStyle name="Comma 4 2 2 3 7 2" xfId="14396" xr:uid="{B54B2E54-B959-42DC-A57C-8DAF5D8BD01C}"/>
    <cellStyle name="Comma 4 2 2 3 8" xfId="5277" xr:uid="{C1BD03C9-1F3A-4E3B-90DA-97D83D799B7F}"/>
    <cellStyle name="Comma 4 2 2 3 8 2" xfId="15225" xr:uid="{9AC5444D-F8FA-4CF6-ACFF-1E3FD3D5C2B7}"/>
    <cellStyle name="Comma 4 2 2 3 9" xfId="6106" xr:uid="{05AA55B5-0025-4892-A57F-62ED1F8EEF80}"/>
    <cellStyle name="Comma 4 2 2 3 9 2" xfId="16054" xr:uid="{C18F44EB-F327-42BE-B45B-4D4737DCD70A}"/>
    <cellStyle name="Comma 4 2 2 4" xfId="134" xr:uid="{00000000-0005-0000-0000-0000EB000000}"/>
    <cellStyle name="Comma 4 2 2 4 10" xfId="7766" xr:uid="{9B6C163A-1D24-4226-A476-C3BBFF7F94BB}"/>
    <cellStyle name="Comma 4 2 2 4 10 2" xfId="17714" xr:uid="{8C548CD7-A366-46C7-BE95-C8C83CB4FDB7}"/>
    <cellStyle name="Comma 4 2 2 4 11" xfId="8595" xr:uid="{0CE5F6DB-2491-448E-8E01-49CFDD3152A3}"/>
    <cellStyle name="Comma 4 2 2 4 11 2" xfId="18543" xr:uid="{46D54727-F74D-4E78-90BE-63F63A08AD28}"/>
    <cellStyle name="Comma 4 2 2 4 12" xfId="9424" xr:uid="{6561E335-9AA1-4ECE-8211-33A848F5A0AB}"/>
    <cellStyle name="Comma 4 2 2 4 12 2" xfId="19372" xr:uid="{70AF0C9A-C919-4FAD-8091-35A73DCAE6CE}"/>
    <cellStyle name="Comma 4 2 2 4 13" xfId="10253" xr:uid="{6FA036C7-A57B-4B6A-B8FA-ACA2146D2638}"/>
    <cellStyle name="Comma 4 2 2 4 13 2" xfId="20201" xr:uid="{CF802C34-6430-4F3C-A22C-45AF95545C06}"/>
    <cellStyle name="Comma 4 2 2 4 14" xfId="1134" xr:uid="{E95AD116-69BB-4C45-AAD3-B8BCB4D0161C}"/>
    <cellStyle name="Comma 4 2 2 4 15" xfId="11082" xr:uid="{D882C377-CDF0-4BC7-B9FC-87EDCEC95164}"/>
    <cellStyle name="Comma 4 2 2 4 2" xfId="680" xr:uid="{00000000-0005-0000-0000-0000EC000000}"/>
    <cellStyle name="Comma 4 2 2 4 2 10" xfId="9011" xr:uid="{A7A5AF0C-1D3C-45D9-B0F9-3378CBF1DE7E}"/>
    <cellStyle name="Comma 4 2 2 4 2 10 2" xfId="18959" xr:uid="{8B3925DE-E56C-4DE4-92A0-71E79A1E4C3A}"/>
    <cellStyle name="Comma 4 2 2 4 2 11" xfId="9840" xr:uid="{D0710ED8-A502-4F97-B08F-25FFC1D6784F}"/>
    <cellStyle name="Comma 4 2 2 4 2 11 2" xfId="19788" xr:uid="{A460F756-640A-4CEA-800F-FB51A510B504}"/>
    <cellStyle name="Comma 4 2 2 4 2 12" xfId="10669" xr:uid="{CD6C3506-8DAA-4932-8B58-B77F88656BD0}"/>
    <cellStyle name="Comma 4 2 2 4 2 12 2" xfId="20617" xr:uid="{129DA9AA-A2DB-4632-8741-24B5CC9BB368}"/>
    <cellStyle name="Comma 4 2 2 4 2 13" xfId="1550" xr:uid="{20EA817C-2FCE-4CA3-985F-711B25CD83EA}"/>
    <cellStyle name="Comma 4 2 2 4 2 14" xfId="11498" xr:uid="{DE24A938-AAF1-4B6C-9069-9681A1E77ED9}"/>
    <cellStyle name="Comma 4 2 2 4 2 2" xfId="2379" xr:uid="{920483E5-FFA1-40D6-85E5-93534B3907E6}"/>
    <cellStyle name="Comma 4 2 2 4 2 2 2" xfId="12327" xr:uid="{4676F1F3-7269-4FC8-92D9-019B809F32C0}"/>
    <cellStyle name="Comma 4 2 2 4 2 3" xfId="3208" xr:uid="{1BE8D35C-A9FB-4B0C-B565-930F52A40309}"/>
    <cellStyle name="Comma 4 2 2 4 2 3 2" xfId="13156" xr:uid="{5BC93717-A322-475E-BF73-09128FAE1774}"/>
    <cellStyle name="Comma 4 2 2 4 2 4" xfId="4037" xr:uid="{8AF37135-20E3-4748-AC82-0876DEFB265A}"/>
    <cellStyle name="Comma 4 2 2 4 2 4 2" xfId="13985" xr:uid="{7E4E7C56-2935-4712-B269-93C30BE7517F}"/>
    <cellStyle name="Comma 4 2 2 4 2 5" xfId="4866" xr:uid="{7540FADD-7084-4AD3-84E0-4ADF443576A4}"/>
    <cellStyle name="Comma 4 2 2 4 2 5 2" xfId="14814" xr:uid="{6116007D-32CF-4FF7-B1D3-11A0AA80A57C}"/>
    <cellStyle name="Comma 4 2 2 4 2 6" xfId="5695" xr:uid="{6961817D-A156-4170-94C9-AB146A8B406E}"/>
    <cellStyle name="Comma 4 2 2 4 2 6 2" xfId="15643" xr:uid="{7F3B7209-8B0A-4D7B-9E93-D4685664A6C0}"/>
    <cellStyle name="Comma 4 2 2 4 2 7" xfId="6524" xr:uid="{B455CC26-D1B9-46E1-BAF3-9B167B0D20E9}"/>
    <cellStyle name="Comma 4 2 2 4 2 7 2" xfId="16472" xr:uid="{BC34AD32-499B-4F39-BD1D-BBBEBF62EB18}"/>
    <cellStyle name="Comma 4 2 2 4 2 8" xfId="7353" xr:uid="{5BDD1682-C950-4FFD-B4DC-42F7490EB66B}"/>
    <cellStyle name="Comma 4 2 2 4 2 8 2" xfId="17301" xr:uid="{A6D0FBC7-2A3B-4A2C-BF88-3CA5F9AE6831}"/>
    <cellStyle name="Comma 4 2 2 4 2 9" xfId="8182" xr:uid="{D2A49AD9-93A7-4BD1-AF49-0CE6974DB4B2}"/>
    <cellStyle name="Comma 4 2 2 4 2 9 2" xfId="18130" xr:uid="{1A42D633-3EB6-4046-B202-33F7278ACA24}"/>
    <cellStyle name="Comma 4 2 2 4 3" xfId="1963" xr:uid="{817E458D-55B6-4551-BBF7-2CB9EBCDF49D}"/>
    <cellStyle name="Comma 4 2 2 4 3 2" xfId="11911" xr:uid="{0820730D-23F5-410A-96AA-FBAED2CB8146}"/>
    <cellStyle name="Comma 4 2 2 4 4" xfId="2792" xr:uid="{E34C4B23-7F9C-4DEA-BA28-8CBEA0711843}"/>
    <cellStyle name="Comma 4 2 2 4 4 2" xfId="12740" xr:uid="{45F161E3-2758-4380-86ED-A6B90538439F}"/>
    <cellStyle name="Comma 4 2 2 4 5" xfId="3621" xr:uid="{1F481354-5C74-4420-8D31-04681739B9BC}"/>
    <cellStyle name="Comma 4 2 2 4 5 2" xfId="13569" xr:uid="{D1C9F743-DE86-4A47-8181-AF6DA4E0C152}"/>
    <cellStyle name="Comma 4 2 2 4 6" xfId="4450" xr:uid="{92353C6F-89D6-40D0-80B6-64B20E5A62A5}"/>
    <cellStyle name="Comma 4 2 2 4 6 2" xfId="14398" xr:uid="{9C09916C-121F-43B0-BF5A-3058A90C36CF}"/>
    <cellStyle name="Comma 4 2 2 4 7" xfId="5279" xr:uid="{D665536B-E015-4CC8-A99B-39491213A148}"/>
    <cellStyle name="Comma 4 2 2 4 7 2" xfId="15227" xr:uid="{6326CF14-9BAC-425D-A5A3-827D4F141B25}"/>
    <cellStyle name="Comma 4 2 2 4 8" xfId="6108" xr:uid="{AA452072-28AA-4B77-B100-32D9F4548F8A}"/>
    <cellStyle name="Comma 4 2 2 4 8 2" xfId="16056" xr:uid="{3E2747CC-6980-422E-8CF2-5156DAA22B01}"/>
    <cellStyle name="Comma 4 2 2 4 9" xfId="6937" xr:uid="{E4B5159B-3586-4BA5-9E7A-2B0C9B690C59}"/>
    <cellStyle name="Comma 4 2 2 4 9 2" xfId="16885" xr:uid="{FB8B5EA1-810A-4437-9ABD-31E33DB44D48}"/>
    <cellStyle name="Comma 4 2 2 5" xfId="135" xr:uid="{00000000-0005-0000-0000-0000ED000000}"/>
    <cellStyle name="Comma 4 2 2 5 10" xfId="7767" xr:uid="{C6CBF016-2B7E-4E98-9FF6-CC475FB204AD}"/>
    <cellStyle name="Comma 4 2 2 5 10 2" xfId="17715" xr:uid="{F40758B6-C519-4CC9-B8F4-8F0394E0861E}"/>
    <cellStyle name="Comma 4 2 2 5 11" xfId="8596" xr:uid="{884B2C21-875D-481A-92A3-26C33DB2BE55}"/>
    <cellStyle name="Comma 4 2 2 5 11 2" xfId="18544" xr:uid="{C154411B-F8DB-4B6B-A12F-02A39FE909C3}"/>
    <cellStyle name="Comma 4 2 2 5 12" xfId="9425" xr:uid="{42556E3F-E487-43B9-9C0B-FDAEB3AF1C75}"/>
    <cellStyle name="Comma 4 2 2 5 12 2" xfId="19373" xr:uid="{2384ED19-8DCC-4A9E-95F0-A0B864AF5CF9}"/>
    <cellStyle name="Comma 4 2 2 5 13" xfId="10254" xr:uid="{2DBEA704-DC9B-442A-87E4-9D24FA0AAAF1}"/>
    <cellStyle name="Comma 4 2 2 5 13 2" xfId="20202" xr:uid="{C5F924B8-C6DB-4C96-A894-7DD366173B8F}"/>
    <cellStyle name="Comma 4 2 2 5 14" xfId="1135" xr:uid="{41BA24BD-571E-40DE-9B86-B8883407C972}"/>
    <cellStyle name="Comma 4 2 2 5 15" xfId="11083" xr:uid="{5989E1A5-36D6-4C15-B6B0-313964AAE2D8}"/>
    <cellStyle name="Comma 4 2 2 5 2" xfId="681" xr:uid="{00000000-0005-0000-0000-0000EE000000}"/>
    <cellStyle name="Comma 4 2 2 5 2 10" xfId="9012" xr:uid="{F6073187-77CD-4DBD-A16B-CB55258E70AD}"/>
    <cellStyle name="Comma 4 2 2 5 2 10 2" xfId="18960" xr:uid="{2053B13E-D9C7-4EEB-BB0B-BFE1C4D3F43A}"/>
    <cellStyle name="Comma 4 2 2 5 2 11" xfId="9841" xr:uid="{18876F86-EFC7-435C-B762-D3E851830E01}"/>
    <cellStyle name="Comma 4 2 2 5 2 11 2" xfId="19789" xr:uid="{EE7C7A67-4A30-4A57-94BE-C81B2B1B2902}"/>
    <cellStyle name="Comma 4 2 2 5 2 12" xfId="10670" xr:uid="{9446836C-8D48-49C8-A776-41683868D02A}"/>
    <cellStyle name="Comma 4 2 2 5 2 12 2" xfId="20618" xr:uid="{F1E766BD-568B-4F36-85CD-81CABAEB099B}"/>
    <cellStyle name="Comma 4 2 2 5 2 13" xfId="1551" xr:uid="{34481C34-4C69-4CBC-A5F7-D9C5DDD18A64}"/>
    <cellStyle name="Comma 4 2 2 5 2 14" xfId="11499" xr:uid="{D7FB0217-6EFB-4E2E-A8D1-75E264127460}"/>
    <cellStyle name="Comma 4 2 2 5 2 2" xfId="2380" xr:uid="{1CC9D9C6-125B-4BE6-8EAB-DDC1B0C7D5CC}"/>
    <cellStyle name="Comma 4 2 2 5 2 2 2" xfId="12328" xr:uid="{3921C6C6-AE06-483D-AF35-51435B606DAB}"/>
    <cellStyle name="Comma 4 2 2 5 2 3" xfId="3209" xr:uid="{D46AF254-9C29-4B90-8C5E-D14F03F4167C}"/>
    <cellStyle name="Comma 4 2 2 5 2 3 2" xfId="13157" xr:uid="{894911A3-FBBA-4B0B-A1AB-B131E46E7957}"/>
    <cellStyle name="Comma 4 2 2 5 2 4" xfId="4038" xr:uid="{604A1927-D050-4731-8F90-EEFF92C55836}"/>
    <cellStyle name="Comma 4 2 2 5 2 4 2" xfId="13986" xr:uid="{E8BFA783-E6D3-4E0C-9FB3-E520D63B96FF}"/>
    <cellStyle name="Comma 4 2 2 5 2 5" xfId="4867" xr:uid="{30C5A127-DCE8-44D5-AE33-3409E1A2D639}"/>
    <cellStyle name="Comma 4 2 2 5 2 5 2" xfId="14815" xr:uid="{991482ED-67A4-4CC2-A007-D2234EFA3504}"/>
    <cellStyle name="Comma 4 2 2 5 2 6" xfId="5696" xr:uid="{6221DDBE-F5D7-46BD-A178-27CC1520875D}"/>
    <cellStyle name="Comma 4 2 2 5 2 6 2" xfId="15644" xr:uid="{76AC49D2-EDCB-439E-8D09-C5276CE6963A}"/>
    <cellStyle name="Comma 4 2 2 5 2 7" xfId="6525" xr:uid="{8653062C-03CF-4F04-9F5A-4DEBDAA86B58}"/>
    <cellStyle name="Comma 4 2 2 5 2 7 2" xfId="16473" xr:uid="{25D2D726-AAF2-41F2-BA98-690E90064BC9}"/>
    <cellStyle name="Comma 4 2 2 5 2 8" xfId="7354" xr:uid="{6D5D034B-EEEE-4002-95F3-12AC2C1C24DC}"/>
    <cellStyle name="Comma 4 2 2 5 2 8 2" xfId="17302" xr:uid="{FDDB0EEF-74D4-466A-91E8-5CE306D165F1}"/>
    <cellStyle name="Comma 4 2 2 5 2 9" xfId="8183" xr:uid="{E9E29BD2-145D-41F1-93D0-171727E9E22A}"/>
    <cellStyle name="Comma 4 2 2 5 2 9 2" xfId="18131" xr:uid="{CF31F1F1-FC35-4D83-ABAE-F3ADBFCC65E4}"/>
    <cellStyle name="Comma 4 2 2 5 3" xfId="1964" xr:uid="{FF13DC39-40CC-49B2-A7A6-0F2C2F59F6EB}"/>
    <cellStyle name="Comma 4 2 2 5 3 2" xfId="11912" xr:uid="{EEBBCAC6-CF9E-47A7-A2FF-5A03B7AAC70B}"/>
    <cellStyle name="Comma 4 2 2 5 4" xfId="2793" xr:uid="{D7E800BC-FED2-4640-9076-F76BE425C1E9}"/>
    <cellStyle name="Comma 4 2 2 5 4 2" xfId="12741" xr:uid="{3A6266CD-6819-4561-AA48-CE7F87F6F0F5}"/>
    <cellStyle name="Comma 4 2 2 5 5" xfId="3622" xr:uid="{FFC04675-BB57-418D-A886-525EDFD236E1}"/>
    <cellStyle name="Comma 4 2 2 5 5 2" xfId="13570" xr:uid="{DE16EF98-629F-48A8-BC0A-D2BEB596F594}"/>
    <cellStyle name="Comma 4 2 2 5 6" xfId="4451" xr:uid="{24E31F2D-9F01-4E7B-B3A7-15E8A2073BDB}"/>
    <cellStyle name="Comma 4 2 2 5 6 2" xfId="14399" xr:uid="{2C9AA4CA-AFD4-4410-86F2-1AE277BE93C3}"/>
    <cellStyle name="Comma 4 2 2 5 7" xfId="5280" xr:uid="{814196B7-372C-458E-82C9-DCDC0D47BDA4}"/>
    <cellStyle name="Comma 4 2 2 5 7 2" xfId="15228" xr:uid="{8BB85075-0746-436F-9A19-8CB16491B1DA}"/>
    <cellStyle name="Comma 4 2 2 5 8" xfId="6109" xr:uid="{1431122D-8F03-47FE-8519-742330380ACA}"/>
    <cellStyle name="Comma 4 2 2 5 8 2" xfId="16057" xr:uid="{D39C618B-7DE3-4294-9BED-9FD499AC933E}"/>
    <cellStyle name="Comma 4 2 2 5 9" xfId="6938" xr:uid="{24396D17-C449-4B8D-B38B-E363E78139C6}"/>
    <cellStyle name="Comma 4 2 2 5 9 2" xfId="16886" xr:uid="{BCCC32B7-6BF2-492B-A8DA-D31224BCC7D5}"/>
    <cellStyle name="Comma 4 2 3" xfId="136" xr:uid="{00000000-0005-0000-0000-0000EF000000}"/>
    <cellStyle name="Comma 4 2 3 10" xfId="6110" xr:uid="{D47D428F-B688-4B97-9ED8-DD39947F1DCA}"/>
    <cellStyle name="Comma 4 2 3 10 2" xfId="16058" xr:uid="{06E8E59E-D206-4ECD-9F4F-3A4529B196C4}"/>
    <cellStyle name="Comma 4 2 3 11" xfId="6939" xr:uid="{A37DB567-9952-480C-B423-D31E74BC59DE}"/>
    <cellStyle name="Comma 4 2 3 11 2" xfId="16887" xr:uid="{17DA0CBA-2DA2-4473-8018-29E4CD483B3E}"/>
    <cellStyle name="Comma 4 2 3 12" xfId="7768" xr:uid="{BC34952E-23B4-4141-82A3-C76685073B52}"/>
    <cellStyle name="Comma 4 2 3 12 2" xfId="17716" xr:uid="{6471BE29-43CC-4B04-B699-6D72A00EB4F7}"/>
    <cellStyle name="Comma 4 2 3 13" xfId="8597" xr:uid="{BFFD0244-D588-47C0-8A39-EB99EF438434}"/>
    <cellStyle name="Comma 4 2 3 13 2" xfId="18545" xr:uid="{EE3BA3C2-378C-4396-96F8-13BD5A04D978}"/>
    <cellStyle name="Comma 4 2 3 14" xfId="9426" xr:uid="{D600AB88-7225-4EB9-A42E-89BCBC94C18F}"/>
    <cellStyle name="Comma 4 2 3 14 2" xfId="19374" xr:uid="{49EDAE8C-BEF3-4526-9815-671AB1675BA9}"/>
    <cellStyle name="Comma 4 2 3 15" xfId="10255" xr:uid="{71352BA4-2EEC-44A7-B1BF-12C754CAB3F0}"/>
    <cellStyle name="Comma 4 2 3 15 2" xfId="20203" xr:uid="{DB55A7FA-19BE-4F68-8023-83B7D1CEE8E9}"/>
    <cellStyle name="Comma 4 2 3 16" xfId="1136" xr:uid="{46AB8D90-7C1A-4466-9721-00AF3D15BC47}"/>
    <cellStyle name="Comma 4 2 3 17" xfId="11084" xr:uid="{104574B7-084A-48EE-AFC8-6EFE4D20BD24}"/>
    <cellStyle name="Comma 4 2 3 2" xfId="137" xr:uid="{00000000-0005-0000-0000-0000F0000000}"/>
    <cellStyle name="Comma 4 2 3 2 10" xfId="6940" xr:uid="{92A271F0-8DAF-4FBC-ABD9-9BB7ED4E869B}"/>
    <cellStyle name="Comma 4 2 3 2 10 2" xfId="16888" xr:uid="{401AED4F-3D5E-4246-B9D2-370144BFC160}"/>
    <cellStyle name="Comma 4 2 3 2 11" xfId="7769" xr:uid="{45528EC8-EA91-4E36-875F-0A17B958A5C3}"/>
    <cellStyle name="Comma 4 2 3 2 11 2" xfId="17717" xr:uid="{34151F8B-E1CC-46E4-84FF-F00DD3A165D4}"/>
    <cellStyle name="Comma 4 2 3 2 12" xfId="8598" xr:uid="{82B7E9BA-D89E-47EB-8192-88E25E7D9527}"/>
    <cellStyle name="Comma 4 2 3 2 12 2" xfId="18546" xr:uid="{DC6BECEC-F5A9-4AE6-A5DD-CB61B2D7AD1C}"/>
    <cellStyle name="Comma 4 2 3 2 13" xfId="9427" xr:uid="{5D41BCF9-527E-4BA3-911F-374EF11BA472}"/>
    <cellStyle name="Comma 4 2 3 2 13 2" xfId="19375" xr:uid="{87E51A44-CFF2-4679-AC9F-01309A3EFFB3}"/>
    <cellStyle name="Comma 4 2 3 2 14" xfId="10256" xr:uid="{B9941832-DBEF-4BE9-8A65-E608B052506B}"/>
    <cellStyle name="Comma 4 2 3 2 14 2" xfId="20204" xr:uid="{CEA5A0BA-F4CB-4A44-B82E-8F4EC88D6FF9}"/>
    <cellStyle name="Comma 4 2 3 2 15" xfId="1137" xr:uid="{BBF7782D-08C2-4783-A01E-D708D98F3DD1}"/>
    <cellStyle name="Comma 4 2 3 2 16" xfId="11085" xr:uid="{094C1814-8036-4B5D-8059-4416CBBA4F11}"/>
    <cellStyle name="Comma 4 2 3 2 2" xfId="138" xr:uid="{00000000-0005-0000-0000-0000F1000000}"/>
    <cellStyle name="Comma 4 2 3 2 2 10" xfId="7770" xr:uid="{0AC2B0CC-7058-459D-B8F1-114998AE581B}"/>
    <cellStyle name="Comma 4 2 3 2 2 10 2" xfId="17718" xr:uid="{919416A3-722E-4590-B540-FD4B8BD7EF8B}"/>
    <cellStyle name="Comma 4 2 3 2 2 11" xfId="8599" xr:uid="{DE6AD642-78B2-411C-A109-8DACDB802D6D}"/>
    <cellStyle name="Comma 4 2 3 2 2 11 2" xfId="18547" xr:uid="{DFC77D0C-99CC-473D-9D44-3E4BFBE3B21E}"/>
    <cellStyle name="Comma 4 2 3 2 2 12" xfId="9428" xr:uid="{69DF77B7-D187-41E7-9435-C809610DDA90}"/>
    <cellStyle name="Comma 4 2 3 2 2 12 2" xfId="19376" xr:uid="{1CB3162A-D17E-45B6-9D71-4A540812E608}"/>
    <cellStyle name="Comma 4 2 3 2 2 13" xfId="10257" xr:uid="{3D4D5D29-1AC7-406E-83BF-B995CE4754B9}"/>
    <cellStyle name="Comma 4 2 3 2 2 13 2" xfId="20205" xr:uid="{3916DD34-01FA-4A2A-AA12-FC52DA0C27D0}"/>
    <cellStyle name="Comma 4 2 3 2 2 14" xfId="1138" xr:uid="{627E9316-469C-4106-AD3D-27A9B1C6240F}"/>
    <cellStyle name="Comma 4 2 3 2 2 15" xfId="11086" xr:uid="{9BE5DDA5-FB58-4BC1-BB8C-8BEA8868B698}"/>
    <cellStyle name="Comma 4 2 3 2 2 2" xfId="684" xr:uid="{00000000-0005-0000-0000-0000F2000000}"/>
    <cellStyle name="Comma 4 2 3 2 2 2 10" xfId="9015" xr:uid="{7AC883EC-CB1F-48B9-841C-D5706061A654}"/>
    <cellStyle name="Comma 4 2 3 2 2 2 10 2" xfId="18963" xr:uid="{1B7E3D8D-2789-4671-A115-12BEF61D0B49}"/>
    <cellStyle name="Comma 4 2 3 2 2 2 11" xfId="9844" xr:uid="{7D7765C8-E0B9-4431-87C2-5A1B70B5B246}"/>
    <cellStyle name="Comma 4 2 3 2 2 2 11 2" xfId="19792" xr:uid="{9A94519A-C76B-470A-BED0-7265DCCA31CA}"/>
    <cellStyle name="Comma 4 2 3 2 2 2 12" xfId="10673" xr:uid="{A8739FAE-A56D-4CBA-B4EB-D5F8AE43C00B}"/>
    <cellStyle name="Comma 4 2 3 2 2 2 12 2" xfId="20621" xr:uid="{15F04F3C-05A1-4084-A333-38A018AF176B}"/>
    <cellStyle name="Comma 4 2 3 2 2 2 13" xfId="1554" xr:uid="{820BB2EA-D578-4B64-AF00-1D8D6D57B471}"/>
    <cellStyle name="Comma 4 2 3 2 2 2 14" xfId="11502" xr:uid="{4CF6E0F5-30FC-4DD0-BDC2-80E5E934EA55}"/>
    <cellStyle name="Comma 4 2 3 2 2 2 2" xfId="2383" xr:uid="{E1AB61D3-E84B-44EC-B239-3D408554FCE9}"/>
    <cellStyle name="Comma 4 2 3 2 2 2 2 2" xfId="12331" xr:uid="{907A7366-CC4F-483D-9CBE-A2A8B081F84E}"/>
    <cellStyle name="Comma 4 2 3 2 2 2 3" xfId="3212" xr:uid="{0F740767-D94F-4216-BE27-364FD9F435A6}"/>
    <cellStyle name="Comma 4 2 3 2 2 2 3 2" xfId="13160" xr:uid="{3096A8B3-36D4-4230-82E6-9FB041AA5BDF}"/>
    <cellStyle name="Comma 4 2 3 2 2 2 4" xfId="4041" xr:uid="{401017AE-425E-4DA9-A177-8CDDE34CC132}"/>
    <cellStyle name="Comma 4 2 3 2 2 2 4 2" xfId="13989" xr:uid="{CA58F4B5-C6D6-432F-A1D5-8F39C4D42002}"/>
    <cellStyle name="Comma 4 2 3 2 2 2 5" xfId="4870" xr:uid="{D1CA8B9C-A597-4F13-BFC6-02DE3CDF6006}"/>
    <cellStyle name="Comma 4 2 3 2 2 2 5 2" xfId="14818" xr:uid="{014F6863-22CC-435B-8F83-51D9ABA2349D}"/>
    <cellStyle name="Comma 4 2 3 2 2 2 6" xfId="5699" xr:uid="{16B7B7BA-C245-481C-9357-383A7DE870D0}"/>
    <cellStyle name="Comma 4 2 3 2 2 2 6 2" xfId="15647" xr:uid="{D192961D-4A93-49FD-9BF1-DA77DE822873}"/>
    <cellStyle name="Comma 4 2 3 2 2 2 7" xfId="6528" xr:uid="{718E60E4-BFF3-4923-921E-4AF50EDB5B7F}"/>
    <cellStyle name="Comma 4 2 3 2 2 2 7 2" xfId="16476" xr:uid="{9C83D988-349C-469E-92F2-BD6779BCA54B}"/>
    <cellStyle name="Comma 4 2 3 2 2 2 8" xfId="7357" xr:uid="{4B2FACAD-39DE-4EF5-B148-99869CB9A07D}"/>
    <cellStyle name="Comma 4 2 3 2 2 2 8 2" xfId="17305" xr:uid="{B537119B-3994-41D6-B2FB-E3CC4BD98AE6}"/>
    <cellStyle name="Comma 4 2 3 2 2 2 9" xfId="8186" xr:uid="{F9BD6E95-BE24-422E-AA9A-A2E30989C060}"/>
    <cellStyle name="Comma 4 2 3 2 2 2 9 2" xfId="18134" xr:uid="{55A9DEA7-C572-41C6-B4F3-9554B3173A06}"/>
    <cellStyle name="Comma 4 2 3 2 2 3" xfId="1967" xr:uid="{C3D665CF-5E75-440F-B35D-3A673DD55C05}"/>
    <cellStyle name="Comma 4 2 3 2 2 3 2" xfId="11915" xr:uid="{3F9B6228-93DA-45B8-8C95-360D2BB71790}"/>
    <cellStyle name="Comma 4 2 3 2 2 4" xfId="2796" xr:uid="{61C01F59-27B4-456B-B0DD-4D636C71CB82}"/>
    <cellStyle name="Comma 4 2 3 2 2 4 2" xfId="12744" xr:uid="{D6C01261-C5CB-426D-A521-D25FF854ED67}"/>
    <cellStyle name="Comma 4 2 3 2 2 5" xfId="3625" xr:uid="{8D522BBD-E300-4DE4-9D77-A334861A5AFC}"/>
    <cellStyle name="Comma 4 2 3 2 2 5 2" xfId="13573" xr:uid="{522B3897-EBFB-495C-BF7F-85CDDBD9C664}"/>
    <cellStyle name="Comma 4 2 3 2 2 6" xfId="4454" xr:uid="{5F20E5D6-3EB2-4397-BA02-059D61E6E1D0}"/>
    <cellStyle name="Comma 4 2 3 2 2 6 2" xfId="14402" xr:uid="{9DC56F9C-F3A9-429A-87A9-5E8E1E748325}"/>
    <cellStyle name="Comma 4 2 3 2 2 7" xfId="5283" xr:uid="{C29739EF-9000-47B4-BAC6-A1E2035F955B}"/>
    <cellStyle name="Comma 4 2 3 2 2 7 2" xfId="15231" xr:uid="{4F6531F1-ADDE-4DDF-8966-516846A1034F}"/>
    <cellStyle name="Comma 4 2 3 2 2 8" xfId="6112" xr:uid="{BC8C66FB-D2F9-4B4A-8716-3C7889833132}"/>
    <cellStyle name="Comma 4 2 3 2 2 8 2" xfId="16060" xr:uid="{FB318CB6-AB6E-403E-A25D-49AA44A13EC4}"/>
    <cellStyle name="Comma 4 2 3 2 2 9" xfId="6941" xr:uid="{097B9D3F-138D-4D61-9701-A203C64043C7}"/>
    <cellStyle name="Comma 4 2 3 2 2 9 2" xfId="16889" xr:uid="{E9D514D3-BC03-484B-A2B2-49B350D23DB6}"/>
    <cellStyle name="Comma 4 2 3 2 3" xfId="683" xr:uid="{00000000-0005-0000-0000-0000F3000000}"/>
    <cellStyle name="Comma 4 2 3 2 3 10" xfId="9014" xr:uid="{DE3E68A9-445D-474D-BA90-20FF767A3349}"/>
    <cellStyle name="Comma 4 2 3 2 3 10 2" xfId="18962" xr:uid="{C2944425-86E9-4E10-A937-833F5C2D9361}"/>
    <cellStyle name="Comma 4 2 3 2 3 11" xfId="9843" xr:uid="{F44C427F-A931-48BD-AE38-A141D72BAD05}"/>
    <cellStyle name="Comma 4 2 3 2 3 11 2" xfId="19791" xr:uid="{9E77F96F-694E-4ECE-ADF2-145252981165}"/>
    <cellStyle name="Comma 4 2 3 2 3 12" xfId="10672" xr:uid="{D409AC7B-FA81-4249-B017-7E6452024217}"/>
    <cellStyle name="Comma 4 2 3 2 3 12 2" xfId="20620" xr:uid="{E80303E4-A657-4B33-9587-16BD53397E43}"/>
    <cellStyle name="Comma 4 2 3 2 3 13" xfId="1553" xr:uid="{B07ADA0F-EB9E-48C5-9FB6-416338D6D496}"/>
    <cellStyle name="Comma 4 2 3 2 3 14" xfId="11501" xr:uid="{FC0BB180-0E53-455E-8B1A-367E7798A02B}"/>
    <cellStyle name="Comma 4 2 3 2 3 2" xfId="2382" xr:uid="{3245F7FE-7EB0-4719-B09E-E6068F8D91B6}"/>
    <cellStyle name="Comma 4 2 3 2 3 2 2" xfId="12330" xr:uid="{014CDFC0-2155-40EF-A732-A4AA76E1FC3B}"/>
    <cellStyle name="Comma 4 2 3 2 3 3" xfId="3211" xr:uid="{019DAA9C-91EE-43FF-8926-5938BACC9657}"/>
    <cellStyle name="Comma 4 2 3 2 3 3 2" xfId="13159" xr:uid="{9527E0FD-DB83-4FB9-B7CA-6DEC68198AE0}"/>
    <cellStyle name="Comma 4 2 3 2 3 4" xfId="4040" xr:uid="{7788A150-E637-40E3-9E51-04D91980AE6C}"/>
    <cellStyle name="Comma 4 2 3 2 3 4 2" xfId="13988" xr:uid="{034565C7-40B9-43EE-83C0-FF5E67519328}"/>
    <cellStyle name="Comma 4 2 3 2 3 5" xfId="4869" xr:uid="{6F4BFFB7-23DC-4570-860F-2ABEB6E90417}"/>
    <cellStyle name="Comma 4 2 3 2 3 5 2" xfId="14817" xr:uid="{F2625DE3-A48B-4A72-89CD-CF08ECFCC907}"/>
    <cellStyle name="Comma 4 2 3 2 3 6" xfId="5698" xr:uid="{0458800B-557E-45E3-9408-E086CC12E923}"/>
    <cellStyle name="Comma 4 2 3 2 3 6 2" xfId="15646" xr:uid="{B5F02664-2E60-4CC4-B16D-47DCAE57D3CB}"/>
    <cellStyle name="Comma 4 2 3 2 3 7" xfId="6527" xr:uid="{551EEC32-BA67-48D6-BEDB-666F6CA3DF3F}"/>
    <cellStyle name="Comma 4 2 3 2 3 7 2" xfId="16475" xr:uid="{72761CBF-DA56-4C19-992A-1592F8CDAAF9}"/>
    <cellStyle name="Comma 4 2 3 2 3 8" xfId="7356" xr:uid="{3BED46E0-7E13-4FB2-B5E6-018E630CB968}"/>
    <cellStyle name="Comma 4 2 3 2 3 8 2" xfId="17304" xr:uid="{FC8AB749-C03E-43AA-B4DC-67C66AF6D4CB}"/>
    <cellStyle name="Comma 4 2 3 2 3 9" xfId="8185" xr:uid="{4A76272B-61C0-4C8E-8E49-5817DF5A6CFD}"/>
    <cellStyle name="Comma 4 2 3 2 3 9 2" xfId="18133" xr:uid="{206874EB-0C5B-4098-B079-2E7A5D12051D}"/>
    <cellStyle name="Comma 4 2 3 2 4" xfId="1966" xr:uid="{DAB452B1-29F7-4F69-91E1-CBCD9016E49F}"/>
    <cellStyle name="Comma 4 2 3 2 4 2" xfId="11914" xr:uid="{5942CBCB-AB1A-4394-9F7C-CB2F54EEBBCB}"/>
    <cellStyle name="Comma 4 2 3 2 5" xfId="2795" xr:uid="{102B1483-C936-43CD-9148-D220CAFA4133}"/>
    <cellStyle name="Comma 4 2 3 2 5 2" xfId="12743" xr:uid="{6D7F4A2C-9023-4030-8B37-87A5818E1008}"/>
    <cellStyle name="Comma 4 2 3 2 6" xfId="3624" xr:uid="{18DB03AB-109F-4CD0-AEA7-D6699767280D}"/>
    <cellStyle name="Comma 4 2 3 2 6 2" xfId="13572" xr:uid="{EED664FA-1AC5-4643-B0BB-4C519F4CCCD2}"/>
    <cellStyle name="Comma 4 2 3 2 7" xfId="4453" xr:uid="{B376FAD3-8F01-412D-B468-13EF520E6719}"/>
    <cellStyle name="Comma 4 2 3 2 7 2" xfId="14401" xr:uid="{0AC0BC8A-F94F-4B96-9F53-528E23658C46}"/>
    <cellStyle name="Comma 4 2 3 2 8" xfId="5282" xr:uid="{2E104F42-2D6A-4F53-8A98-2CFA564DA2A3}"/>
    <cellStyle name="Comma 4 2 3 2 8 2" xfId="15230" xr:uid="{E5FC186F-D5F3-4815-8E44-F9F7EE41E81D}"/>
    <cellStyle name="Comma 4 2 3 2 9" xfId="6111" xr:uid="{8D405C32-4ECF-46CA-90EE-02CF8123566C}"/>
    <cellStyle name="Comma 4 2 3 2 9 2" xfId="16059" xr:uid="{D9170C94-3EE6-4DA0-837B-0A8C1D78F97E}"/>
    <cellStyle name="Comma 4 2 3 3" xfId="139" xr:uid="{00000000-0005-0000-0000-0000F4000000}"/>
    <cellStyle name="Comma 4 2 3 3 10" xfId="7771" xr:uid="{1A6486B9-394F-4835-9CB6-A43206A790FC}"/>
    <cellStyle name="Comma 4 2 3 3 10 2" xfId="17719" xr:uid="{2EB117EB-0784-43B1-BDD2-141CA8A88BA6}"/>
    <cellStyle name="Comma 4 2 3 3 11" xfId="8600" xr:uid="{1D799D3A-C4B1-4ECB-BC91-7FF14599F836}"/>
    <cellStyle name="Comma 4 2 3 3 11 2" xfId="18548" xr:uid="{AC7210B9-8246-41D0-8CF4-EBA3144AB744}"/>
    <cellStyle name="Comma 4 2 3 3 12" xfId="9429" xr:uid="{85A018D2-D066-467B-82F6-0B9CA5E95A99}"/>
    <cellStyle name="Comma 4 2 3 3 12 2" xfId="19377" xr:uid="{D54F7E2B-8D18-42F3-AF50-1B84A0342768}"/>
    <cellStyle name="Comma 4 2 3 3 13" xfId="10258" xr:uid="{6D1F8846-3D84-4D8A-9507-73F8E257A5B8}"/>
    <cellStyle name="Comma 4 2 3 3 13 2" xfId="20206" xr:uid="{B1E5B03B-509F-423E-A00C-1C689DC7F2CE}"/>
    <cellStyle name="Comma 4 2 3 3 14" xfId="1139" xr:uid="{D95D0ABD-024C-42FB-BECB-42D50C55675E}"/>
    <cellStyle name="Comma 4 2 3 3 15" xfId="11087" xr:uid="{5C1F3D5A-2094-4120-9117-A7C857431C00}"/>
    <cellStyle name="Comma 4 2 3 3 2" xfId="685" xr:uid="{00000000-0005-0000-0000-0000F5000000}"/>
    <cellStyle name="Comma 4 2 3 3 2 10" xfId="9016" xr:uid="{34EB0519-3E8F-4AEE-BF06-D0F6F3793B12}"/>
    <cellStyle name="Comma 4 2 3 3 2 10 2" xfId="18964" xr:uid="{3A81B50E-8225-4518-BB60-BF72B79BDC95}"/>
    <cellStyle name="Comma 4 2 3 3 2 11" xfId="9845" xr:uid="{15BF4897-B8CB-4958-B676-1ABD6AAD741E}"/>
    <cellStyle name="Comma 4 2 3 3 2 11 2" xfId="19793" xr:uid="{07405814-63C1-4CF3-94B4-082A8BC05DA7}"/>
    <cellStyle name="Comma 4 2 3 3 2 12" xfId="10674" xr:uid="{DF22D4AE-AC9C-498E-82F8-6E1D85FF9F9B}"/>
    <cellStyle name="Comma 4 2 3 3 2 12 2" xfId="20622" xr:uid="{4D832D79-923B-483F-8570-752A99156AFF}"/>
    <cellStyle name="Comma 4 2 3 3 2 13" xfId="1555" xr:uid="{8FF591F8-C3D1-4C4D-977B-A60E6D1BE54F}"/>
    <cellStyle name="Comma 4 2 3 3 2 14" xfId="11503" xr:uid="{4CA336E3-8FCD-4EE9-922A-4C052C10D4B9}"/>
    <cellStyle name="Comma 4 2 3 3 2 2" xfId="2384" xr:uid="{B553AB25-88D4-4AE4-980A-880711FEFC0C}"/>
    <cellStyle name="Comma 4 2 3 3 2 2 2" xfId="12332" xr:uid="{F00B6255-CD69-407B-BC70-ABE1E8109AA5}"/>
    <cellStyle name="Comma 4 2 3 3 2 3" xfId="3213" xr:uid="{131810CB-CBCE-4AAB-A45E-C4F8C51F7595}"/>
    <cellStyle name="Comma 4 2 3 3 2 3 2" xfId="13161" xr:uid="{C011D67A-DF46-4DF2-AF6A-30E63E82B5F8}"/>
    <cellStyle name="Comma 4 2 3 3 2 4" xfId="4042" xr:uid="{39DA140D-0013-41A7-BFBD-C20E2E4B33A3}"/>
    <cellStyle name="Comma 4 2 3 3 2 4 2" xfId="13990" xr:uid="{A90B7BE4-AA59-4A0B-BD82-501982C71D7D}"/>
    <cellStyle name="Comma 4 2 3 3 2 5" xfId="4871" xr:uid="{3A26FF1B-E50D-44C2-9362-470CDBB30180}"/>
    <cellStyle name="Comma 4 2 3 3 2 5 2" xfId="14819" xr:uid="{DD8A746B-463F-4E8A-8E90-663082B71E99}"/>
    <cellStyle name="Comma 4 2 3 3 2 6" xfId="5700" xr:uid="{780D4D90-ACE7-4E0D-996C-70F3E2298B73}"/>
    <cellStyle name="Comma 4 2 3 3 2 6 2" xfId="15648" xr:uid="{3BC2CD65-2C54-4BDF-982B-0D279A9A0A7F}"/>
    <cellStyle name="Comma 4 2 3 3 2 7" xfId="6529" xr:uid="{A0CC3717-C313-4F02-8863-5A63DDE25AA3}"/>
    <cellStyle name="Comma 4 2 3 3 2 7 2" xfId="16477" xr:uid="{1A86AED8-04F6-4F84-A73B-8378AEF5181D}"/>
    <cellStyle name="Comma 4 2 3 3 2 8" xfId="7358" xr:uid="{6CD0E3F9-9F5D-46BE-A6EE-39FC33ADC7E3}"/>
    <cellStyle name="Comma 4 2 3 3 2 8 2" xfId="17306" xr:uid="{89C4DD2C-B72F-45EB-A39D-BA71DC8DF1EF}"/>
    <cellStyle name="Comma 4 2 3 3 2 9" xfId="8187" xr:uid="{5A2C530E-0955-4271-9A5C-EA69E49B6BA0}"/>
    <cellStyle name="Comma 4 2 3 3 2 9 2" xfId="18135" xr:uid="{CD95AABD-AC49-4B16-B072-BB6F31E97F46}"/>
    <cellStyle name="Comma 4 2 3 3 3" xfId="1968" xr:uid="{B689E0E4-DCD9-4E62-B719-26D01D9094D4}"/>
    <cellStyle name="Comma 4 2 3 3 3 2" xfId="11916" xr:uid="{CFC0E155-2593-4394-9364-45658242BDBF}"/>
    <cellStyle name="Comma 4 2 3 3 4" xfId="2797" xr:uid="{808AF79A-A571-40B8-8C1B-BA6D6EAB03A9}"/>
    <cellStyle name="Comma 4 2 3 3 4 2" xfId="12745" xr:uid="{A3454C10-CC84-4D3A-B6FB-758D429243E6}"/>
    <cellStyle name="Comma 4 2 3 3 5" xfId="3626" xr:uid="{A01CE0BD-9C5F-4AC0-A159-ED0ECEEEA084}"/>
    <cellStyle name="Comma 4 2 3 3 5 2" xfId="13574" xr:uid="{11516573-DADE-420C-A23E-06F3CBE8F5E9}"/>
    <cellStyle name="Comma 4 2 3 3 6" xfId="4455" xr:uid="{BB041599-64F7-492B-A46A-8D6D1093DBBA}"/>
    <cellStyle name="Comma 4 2 3 3 6 2" xfId="14403" xr:uid="{42138E60-EB21-468E-A646-8123A2693B10}"/>
    <cellStyle name="Comma 4 2 3 3 7" xfId="5284" xr:uid="{ECF9BED1-7051-4B4B-8AA7-4512E065507A}"/>
    <cellStyle name="Comma 4 2 3 3 7 2" xfId="15232" xr:uid="{AF3638E9-3937-43AE-9719-F55D3F1A0751}"/>
    <cellStyle name="Comma 4 2 3 3 8" xfId="6113" xr:uid="{DEE9DAC2-92F9-4FC6-B73C-E40A22C8B67A}"/>
    <cellStyle name="Comma 4 2 3 3 8 2" xfId="16061" xr:uid="{31A39381-F96D-4895-B1BC-D3394A43233A}"/>
    <cellStyle name="Comma 4 2 3 3 9" xfId="6942" xr:uid="{F9A80462-74D1-4D61-938D-7F55EBFEE98B}"/>
    <cellStyle name="Comma 4 2 3 3 9 2" xfId="16890" xr:uid="{0BBBC054-68F2-4435-838F-F2CA9F7BE7FE}"/>
    <cellStyle name="Comma 4 2 3 4" xfId="682" xr:uid="{00000000-0005-0000-0000-0000F6000000}"/>
    <cellStyle name="Comma 4 2 3 4 10" xfId="9013" xr:uid="{53CEBCE3-F848-490D-8C62-9CAC86CA6B98}"/>
    <cellStyle name="Comma 4 2 3 4 10 2" xfId="18961" xr:uid="{56C23784-D90E-460F-B067-78371EA77989}"/>
    <cellStyle name="Comma 4 2 3 4 11" xfId="9842" xr:uid="{A13D02F3-BD33-4D19-B593-25D1CF99C887}"/>
    <cellStyle name="Comma 4 2 3 4 11 2" xfId="19790" xr:uid="{91F7B1AC-922C-4A03-BEA5-F738C264D61B}"/>
    <cellStyle name="Comma 4 2 3 4 12" xfId="10671" xr:uid="{40DB2059-946C-4EDC-85EC-5A25EA5B6CA9}"/>
    <cellStyle name="Comma 4 2 3 4 12 2" xfId="20619" xr:uid="{9F5A76D1-77E9-4E77-9962-DF582D67BF33}"/>
    <cellStyle name="Comma 4 2 3 4 13" xfId="1552" xr:uid="{69753B0C-8205-4D0E-8B35-2791B14CA4BC}"/>
    <cellStyle name="Comma 4 2 3 4 14" xfId="11500" xr:uid="{1AEE90B7-58C1-4944-B76B-4F0D900AD689}"/>
    <cellStyle name="Comma 4 2 3 4 2" xfId="2381" xr:uid="{491267E9-6246-46BA-9E8A-ED6408E19EA2}"/>
    <cellStyle name="Comma 4 2 3 4 2 2" xfId="12329" xr:uid="{9230F9B8-FE4D-4951-B21E-915481B06BE2}"/>
    <cellStyle name="Comma 4 2 3 4 3" xfId="3210" xr:uid="{975D62DB-5050-40B0-B9D0-1302BBABF193}"/>
    <cellStyle name="Comma 4 2 3 4 3 2" xfId="13158" xr:uid="{7FE4997C-C33A-469C-8DD9-B52CE2CC52BA}"/>
    <cellStyle name="Comma 4 2 3 4 4" xfId="4039" xr:uid="{D84721F1-FAAB-43DD-AE44-B3DBB0377192}"/>
    <cellStyle name="Comma 4 2 3 4 4 2" xfId="13987" xr:uid="{7ABBAEA5-C483-4D29-AE03-D5E5DFBA1C87}"/>
    <cellStyle name="Comma 4 2 3 4 5" xfId="4868" xr:uid="{A4ADB09F-BBC2-474A-9246-5FCEDB2F11F7}"/>
    <cellStyle name="Comma 4 2 3 4 5 2" xfId="14816" xr:uid="{00B6A789-09BB-4115-89F1-CF3F134CE0E7}"/>
    <cellStyle name="Comma 4 2 3 4 6" xfId="5697" xr:uid="{A017F274-1050-4B6B-94B3-7CDBB8EC58E6}"/>
    <cellStyle name="Comma 4 2 3 4 6 2" xfId="15645" xr:uid="{6B616CC6-F062-4F78-9F4D-C3BC3FA16C02}"/>
    <cellStyle name="Comma 4 2 3 4 7" xfId="6526" xr:uid="{4225815C-4616-470A-B0A8-F5453B462545}"/>
    <cellStyle name="Comma 4 2 3 4 7 2" xfId="16474" xr:uid="{7F955E25-6A6E-460F-9B64-52FF3DA7398C}"/>
    <cellStyle name="Comma 4 2 3 4 8" xfId="7355" xr:uid="{62E2C9AD-028C-4E2C-8E89-C77D842722B4}"/>
    <cellStyle name="Comma 4 2 3 4 8 2" xfId="17303" xr:uid="{D99452C6-39D7-4B71-B3B1-F8534477633A}"/>
    <cellStyle name="Comma 4 2 3 4 9" xfId="8184" xr:uid="{F39E945F-CBB2-4479-9CC8-E66BB2FBC40B}"/>
    <cellStyle name="Comma 4 2 3 4 9 2" xfId="18132" xr:uid="{6221FBB3-4527-4AE1-B139-3C955D8C8226}"/>
    <cellStyle name="Comma 4 2 3 5" xfId="1965" xr:uid="{21C0612E-A02D-4112-9F36-F146FED835FA}"/>
    <cellStyle name="Comma 4 2 3 5 2" xfId="11913" xr:uid="{63C573BF-6A6B-43E1-8A07-39F9A03A4F12}"/>
    <cellStyle name="Comma 4 2 3 6" xfId="2794" xr:uid="{EBACF792-93FF-4592-8940-EED4421491E7}"/>
    <cellStyle name="Comma 4 2 3 6 2" xfId="12742" xr:uid="{E17C5E5B-7658-4A21-A1B2-7129F51D4B91}"/>
    <cellStyle name="Comma 4 2 3 7" xfId="3623" xr:uid="{E6FDE107-5AF3-4968-BC41-8F5DF258F6EE}"/>
    <cellStyle name="Comma 4 2 3 7 2" xfId="13571" xr:uid="{D39767F5-FADD-46E8-901E-3100F0F5C1F0}"/>
    <cellStyle name="Comma 4 2 3 8" xfId="4452" xr:uid="{FF40520C-8DAB-47DA-BCF6-86AFF3ACE956}"/>
    <cellStyle name="Comma 4 2 3 8 2" xfId="14400" xr:uid="{95042B31-1492-4A5C-9EEE-6C8BB56E66E0}"/>
    <cellStyle name="Comma 4 2 3 9" xfId="5281" xr:uid="{4B51F3E1-3C0F-4343-AE1B-F858294426E8}"/>
    <cellStyle name="Comma 4 2 3 9 2" xfId="15229" xr:uid="{5B9B1BD0-D77F-4C42-9340-924E423F466A}"/>
    <cellStyle name="Comma 4 2 4" xfId="140" xr:uid="{00000000-0005-0000-0000-0000F7000000}"/>
    <cellStyle name="Comma 4 2 4 10" xfId="6943" xr:uid="{5ED507A3-0AB4-4C3C-9B17-86846736BC02}"/>
    <cellStyle name="Comma 4 2 4 10 2" xfId="16891" xr:uid="{C6AD6BE6-E24F-43E2-A48F-D35D20DD098C}"/>
    <cellStyle name="Comma 4 2 4 11" xfId="7772" xr:uid="{E7DAED29-7D03-4575-BA96-112BA426DC75}"/>
    <cellStyle name="Comma 4 2 4 11 2" xfId="17720" xr:uid="{F208EF4C-A2C6-4A17-B8D2-9B34579E76E6}"/>
    <cellStyle name="Comma 4 2 4 12" xfId="8601" xr:uid="{1B0E25FC-C3AC-468A-8BDB-F4863FE5C346}"/>
    <cellStyle name="Comma 4 2 4 12 2" xfId="18549" xr:uid="{19055D99-99AB-4A32-84B8-EA2A877E9814}"/>
    <cellStyle name="Comma 4 2 4 13" xfId="9430" xr:uid="{DABB6EE8-3B2A-4517-8422-445FE1F962CB}"/>
    <cellStyle name="Comma 4 2 4 13 2" xfId="19378" xr:uid="{CBBDEE0B-1673-4323-B408-FC79F1A961A3}"/>
    <cellStyle name="Comma 4 2 4 14" xfId="10259" xr:uid="{2A0048DD-47B9-4E69-B314-49F3FF4676DB}"/>
    <cellStyle name="Comma 4 2 4 14 2" xfId="20207" xr:uid="{9679FE77-CD12-4472-9E88-244B1F60758B}"/>
    <cellStyle name="Comma 4 2 4 15" xfId="1140" xr:uid="{FCBBABB6-76D8-4D76-BB6D-42EC56AD9395}"/>
    <cellStyle name="Comma 4 2 4 16" xfId="11088" xr:uid="{42CF4D81-8789-4647-B05C-44B522AD6B87}"/>
    <cellStyle name="Comma 4 2 4 2" xfId="141" xr:uid="{00000000-0005-0000-0000-0000F8000000}"/>
    <cellStyle name="Comma 4 2 4 2 10" xfId="7773" xr:uid="{7BD91C9B-FCAF-48FE-9D0E-E4A07958BE8A}"/>
    <cellStyle name="Comma 4 2 4 2 10 2" xfId="17721" xr:uid="{B6DD4C18-F51F-4650-A46F-80641C61DDCB}"/>
    <cellStyle name="Comma 4 2 4 2 11" xfId="8602" xr:uid="{B298C957-0BEB-43D7-9531-537B04C3C3D7}"/>
    <cellStyle name="Comma 4 2 4 2 11 2" xfId="18550" xr:uid="{A1E940DA-FF0C-4CC7-9CA1-46448CADD11B}"/>
    <cellStyle name="Comma 4 2 4 2 12" xfId="9431" xr:uid="{E2FC83E2-4AEE-4E83-8A13-547ACBC290B5}"/>
    <cellStyle name="Comma 4 2 4 2 12 2" xfId="19379" xr:uid="{B5809105-0E26-4C16-9ED3-57A6286B8E9C}"/>
    <cellStyle name="Comma 4 2 4 2 13" xfId="10260" xr:uid="{D6D178A5-519D-43BD-B6CC-98BF6DD0FF04}"/>
    <cellStyle name="Comma 4 2 4 2 13 2" xfId="20208" xr:uid="{06026386-265D-44C9-8763-7AAC8D46BA9B}"/>
    <cellStyle name="Comma 4 2 4 2 14" xfId="1141" xr:uid="{AE512777-34A1-41BF-97F6-1142530CF58B}"/>
    <cellStyle name="Comma 4 2 4 2 15" xfId="11089" xr:uid="{DE00AD3D-8EAD-49B0-8F0D-9C75435E6AAA}"/>
    <cellStyle name="Comma 4 2 4 2 2" xfId="687" xr:uid="{00000000-0005-0000-0000-0000F9000000}"/>
    <cellStyle name="Comma 4 2 4 2 2 10" xfId="9018" xr:uid="{56385FB0-C3D9-4B9B-85F6-A27EEFCE9583}"/>
    <cellStyle name="Comma 4 2 4 2 2 10 2" xfId="18966" xr:uid="{98FA0F0B-A5E0-4A19-AEA2-2F84F764B6B5}"/>
    <cellStyle name="Comma 4 2 4 2 2 11" xfId="9847" xr:uid="{B5716E2A-2410-432B-B60F-1A01F0361053}"/>
    <cellStyle name="Comma 4 2 4 2 2 11 2" xfId="19795" xr:uid="{E1AA88DA-8E95-4706-AB9D-419AA38DE5CE}"/>
    <cellStyle name="Comma 4 2 4 2 2 12" xfId="10676" xr:uid="{0076B7C7-9ACA-4477-B05F-173B93F10454}"/>
    <cellStyle name="Comma 4 2 4 2 2 12 2" xfId="20624" xr:uid="{FB6D9310-508E-4D4B-B723-31BFDE164091}"/>
    <cellStyle name="Comma 4 2 4 2 2 13" xfId="1557" xr:uid="{0C3CF1DD-C591-47D6-B468-819C7B1351A0}"/>
    <cellStyle name="Comma 4 2 4 2 2 14" xfId="11505" xr:uid="{51F92D6C-540C-450C-977E-E643F68FDF89}"/>
    <cellStyle name="Comma 4 2 4 2 2 2" xfId="2386" xr:uid="{651680BB-DF97-44CC-907A-C7584081ADC9}"/>
    <cellStyle name="Comma 4 2 4 2 2 2 2" xfId="12334" xr:uid="{1C98D995-B646-48C2-BD41-9289F149F820}"/>
    <cellStyle name="Comma 4 2 4 2 2 3" xfId="3215" xr:uid="{F80DCAC1-CC59-4866-9D61-27AC8314BDF1}"/>
    <cellStyle name="Comma 4 2 4 2 2 3 2" xfId="13163" xr:uid="{12459F58-5750-47E6-8B16-D01A69CD0818}"/>
    <cellStyle name="Comma 4 2 4 2 2 4" xfId="4044" xr:uid="{14A2F620-A450-46D3-9140-D6E5D58E4BF5}"/>
    <cellStyle name="Comma 4 2 4 2 2 4 2" xfId="13992" xr:uid="{0281373D-A2A5-48F3-9D43-537A31142344}"/>
    <cellStyle name="Comma 4 2 4 2 2 5" xfId="4873" xr:uid="{D9CC5B05-CB43-475F-BC03-752773BF697B}"/>
    <cellStyle name="Comma 4 2 4 2 2 5 2" xfId="14821" xr:uid="{E459D549-1126-4FE3-99B2-E6EB50FF2690}"/>
    <cellStyle name="Comma 4 2 4 2 2 6" xfId="5702" xr:uid="{3E9E8E28-EEB5-4185-A08F-5639EF2559B3}"/>
    <cellStyle name="Comma 4 2 4 2 2 6 2" xfId="15650" xr:uid="{D791B6E4-E3AC-48FB-8F67-7AD143EAC8F0}"/>
    <cellStyle name="Comma 4 2 4 2 2 7" xfId="6531" xr:uid="{1C195DE9-D4D0-4513-8D9F-84E8AD6BA44D}"/>
    <cellStyle name="Comma 4 2 4 2 2 7 2" xfId="16479" xr:uid="{A183C8D6-FDF3-4FFD-951D-83AE8EBF875C}"/>
    <cellStyle name="Comma 4 2 4 2 2 8" xfId="7360" xr:uid="{EC0D821E-5022-49BA-BC56-1B424D933845}"/>
    <cellStyle name="Comma 4 2 4 2 2 8 2" xfId="17308" xr:uid="{FB156610-8C99-4110-AC45-08D98B5406AD}"/>
    <cellStyle name="Comma 4 2 4 2 2 9" xfId="8189" xr:uid="{92F286D2-FEC6-4773-BDB3-C0186AE5B236}"/>
    <cellStyle name="Comma 4 2 4 2 2 9 2" xfId="18137" xr:uid="{1D343029-DD11-4DF1-97F7-260B059FC198}"/>
    <cellStyle name="Comma 4 2 4 2 3" xfId="1970" xr:uid="{1FCF0CF6-5D10-4A4E-A033-3A47A906FE34}"/>
    <cellStyle name="Comma 4 2 4 2 3 2" xfId="11918" xr:uid="{608FD1DE-8E8F-41CA-8E55-93A9D61AA7D4}"/>
    <cellStyle name="Comma 4 2 4 2 4" xfId="2799" xr:uid="{F1AF6AA4-324B-4719-9F23-9FD77A1107D4}"/>
    <cellStyle name="Comma 4 2 4 2 4 2" xfId="12747" xr:uid="{2004DA46-CE23-4AE5-AFFC-E97FDF0291F7}"/>
    <cellStyle name="Comma 4 2 4 2 5" xfId="3628" xr:uid="{DA494E30-7DC7-4916-A368-A1BBDC3F1D70}"/>
    <cellStyle name="Comma 4 2 4 2 5 2" xfId="13576" xr:uid="{575647FF-5834-4D11-8941-4729560F510C}"/>
    <cellStyle name="Comma 4 2 4 2 6" xfId="4457" xr:uid="{479D0EA2-0E47-4188-A556-6E9C0399F70E}"/>
    <cellStyle name="Comma 4 2 4 2 6 2" xfId="14405" xr:uid="{EF16B704-F804-47E3-A777-E942AD59392A}"/>
    <cellStyle name="Comma 4 2 4 2 7" xfId="5286" xr:uid="{5B1C2CFD-49A0-4316-825F-5AEFE1774E90}"/>
    <cellStyle name="Comma 4 2 4 2 7 2" xfId="15234" xr:uid="{484404A0-AFB7-4429-82FF-6CAB7B1C0796}"/>
    <cellStyle name="Comma 4 2 4 2 8" xfId="6115" xr:uid="{CF95C81F-FDE1-4CB6-B93C-27692BFD5ADE}"/>
    <cellStyle name="Comma 4 2 4 2 8 2" xfId="16063" xr:uid="{FCB2423E-0907-43D7-9A6F-6628F5894E27}"/>
    <cellStyle name="Comma 4 2 4 2 9" xfId="6944" xr:uid="{64BD2AB8-B38A-4F74-9F44-2804B0265411}"/>
    <cellStyle name="Comma 4 2 4 2 9 2" xfId="16892" xr:uid="{BC4C4295-62B5-4A02-BDD1-4E42A079D8DD}"/>
    <cellStyle name="Comma 4 2 4 3" xfId="686" xr:uid="{00000000-0005-0000-0000-0000FA000000}"/>
    <cellStyle name="Comma 4 2 4 3 10" xfId="9017" xr:uid="{DEB26598-7A61-4F43-B1CD-008AA755EF1D}"/>
    <cellStyle name="Comma 4 2 4 3 10 2" xfId="18965" xr:uid="{1A238776-A91C-485E-836A-338F19367312}"/>
    <cellStyle name="Comma 4 2 4 3 11" xfId="9846" xr:uid="{074C6DB3-820E-4C0A-957D-E9FFB19DFBD6}"/>
    <cellStyle name="Comma 4 2 4 3 11 2" xfId="19794" xr:uid="{C402236C-6C07-4152-AD44-49328001A351}"/>
    <cellStyle name="Comma 4 2 4 3 12" xfId="10675" xr:uid="{A649F758-7621-4D01-948D-684777BE0821}"/>
    <cellStyle name="Comma 4 2 4 3 12 2" xfId="20623" xr:uid="{0D1CC329-A4DA-4E05-A794-4EC0F9893523}"/>
    <cellStyle name="Comma 4 2 4 3 13" xfId="1556" xr:uid="{843571C7-B187-4AD1-BB3D-CB4C07BBC567}"/>
    <cellStyle name="Comma 4 2 4 3 14" xfId="11504" xr:uid="{6488B9CF-E324-47E9-AC85-1D982A876BF7}"/>
    <cellStyle name="Comma 4 2 4 3 2" xfId="2385" xr:uid="{6A926693-DBB7-4413-B969-F888A739450B}"/>
    <cellStyle name="Comma 4 2 4 3 2 2" xfId="12333" xr:uid="{E0BF7C76-2D5C-4C33-AA7A-59A72DB74AB1}"/>
    <cellStyle name="Comma 4 2 4 3 3" xfId="3214" xr:uid="{45E0C523-E3A9-4E33-9ADC-F50332C684E0}"/>
    <cellStyle name="Comma 4 2 4 3 3 2" xfId="13162" xr:uid="{5A56B910-6A94-42EA-A844-D1AD1CB4C2AF}"/>
    <cellStyle name="Comma 4 2 4 3 4" xfId="4043" xr:uid="{77E55CCB-A5DD-4C40-A798-B307DF4D0343}"/>
    <cellStyle name="Comma 4 2 4 3 4 2" xfId="13991" xr:uid="{ABA98106-24A7-43CE-8C60-745A5EC35D27}"/>
    <cellStyle name="Comma 4 2 4 3 5" xfId="4872" xr:uid="{6F24FDAD-E992-4B1C-A8E0-EB5C4F98F4FA}"/>
    <cellStyle name="Comma 4 2 4 3 5 2" xfId="14820" xr:uid="{4893E461-917B-46E2-BBF0-38E8800A426E}"/>
    <cellStyle name="Comma 4 2 4 3 6" xfId="5701" xr:uid="{A08931D7-FFF9-4F4B-822F-DC034C293455}"/>
    <cellStyle name="Comma 4 2 4 3 6 2" xfId="15649" xr:uid="{6F865106-D76C-496B-8461-717C69A2FB15}"/>
    <cellStyle name="Comma 4 2 4 3 7" xfId="6530" xr:uid="{8C6415AF-3F18-4506-A399-8F378E1CAD12}"/>
    <cellStyle name="Comma 4 2 4 3 7 2" xfId="16478" xr:uid="{A508180F-8DE8-4F3C-A6A9-DBD82E48DB1E}"/>
    <cellStyle name="Comma 4 2 4 3 8" xfId="7359" xr:uid="{3FD21716-E778-4EA4-A053-A7D7839F688A}"/>
    <cellStyle name="Comma 4 2 4 3 8 2" xfId="17307" xr:uid="{B10A6A13-0C8E-43A5-87C8-7ACF11329424}"/>
    <cellStyle name="Comma 4 2 4 3 9" xfId="8188" xr:uid="{E74C4FD1-AEEE-4824-8D85-78FACE2211F4}"/>
    <cellStyle name="Comma 4 2 4 3 9 2" xfId="18136" xr:uid="{F06D8989-2378-41D9-A768-3DADC06D2DD2}"/>
    <cellStyle name="Comma 4 2 4 4" xfId="1969" xr:uid="{F07733AF-7BD2-455D-930E-E53A68EB2ED1}"/>
    <cellStyle name="Comma 4 2 4 4 2" xfId="11917" xr:uid="{952DDA7C-4A63-4D53-8B5A-CE86B988B7BD}"/>
    <cellStyle name="Comma 4 2 4 5" xfId="2798" xr:uid="{F84757E8-49CB-479A-8FB1-2991049DA3CB}"/>
    <cellStyle name="Comma 4 2 4 5 2" xfId="12746" xr:uid="{188E1A69-67C0-4C1C-9EE5-DB51F47A57D2}"/>
    <cellStyle name="Comma 4 2 4 6" xfId="3627" xr:uid="{E88ACE95-8A85-4F96-B650-5ABF6D6E2BB8}"/>
    <cellStyle name="Comma 4 2 4 6 2" xfId="13575" xr:uid="{13D55EED-846A-44A9-824B-5284E2653D04}"/>
    <cellStyle name="Comma 4 2 4 7" xfId="4456" xr:uid="{C173C542-D20F-481A-8242-1AA620ADC66C}"/>
    <cellStyle name="Comma 4 2 4 7 2" xfId="14404" xr:uid="{C4A1A5FE-BFA3-4277-BF5A-A7C8ACE234DC}"/>
    <cellStyle name="Comma 4 2 4 8" xfId="5285" xr:uid="{E58B5C67-7E1C-4B96-9789-C525D8C6CF28}"/>
    <cellStyle name="Comma 4 2 4 8 2" xfId="15233" xr:uid="{741E7922-6F02-4C88-9017-34AB2D1E16E5}"/>
    <cellStyle name="Comma 4 2 4 9" xfId="6114" xr:uid="{7C4BE02D-21F9-4FDB-B2D8-E482E2FF37F9}"/>
    <cellStyle name="Comma 4 2 4 9 2" xfId="16062" xr:uid="{B6A2B7B3-333B-44D3-A579-5F25498DCC1F}"/>
    <cellStyle name="Comma 4 2 5" xfId="142" xr:uid="{00000000-0005-0000-0000-0000FB000000}"/>
    <cellStyle name="Comma 4 2 5 10" xfId="7774" xr:uid="{0304CB03-D7F5-4BD8-9C2B-165992A3034A}"/>
    <cellStyle name="Comma 4 2 5 10 2" xfId="17722" xr:uid="{A3BBE067-4A6A-4CBC-B457-B3911237532F}"/>
    <cellStyle name="Comma 4 2 5 11" xfId="8603" xr:uid="{62F5FA15-31AB-45FC-A7F9-EFC27C21A8CA}"/>
    <cellStyle name="Comma 4 2 5 11 2" xfId="18551" xr:uid="{3B95478C-E39D-4228-A293-F66E4E97E538}"/>
    <cellStyle name="Comma 4 2 5 12" xfId="9432" xr:uid="{FC9FFF6A-A4CB-420E-9C95-51B0C8FA7417}"/>
    <cellStyle name="Comma 4 2 5 12 2" xfId="19380" xr:uid="{6AC24164-2BE1-4322-AE02-B413703CDDBD}"/>
    <cellStyle name="Comma 4 2 5 13" xfId="10261" xr:uid="{E4F9CFE2-B2CD-414F-93D5-3058A408356F}"/>
    <cellStyle name="Comma 4 2 5 13 2" xfId="20209" xr:uid="{490CAF17-BBF6-499B-BF54-20553B12651F}"/>
    <cellStyle name="Comma 4 2 5 14" xfId="1142" xr:uid="{970C6D49-A3D0-4BD2-BC01-A26C844F7F39}"/>
    <cellStyle name="Comma 4 2 5 15" xfId="11090" xr:uid="{2260DDD5-3F6B-4D1D-AE3D-0C5E0263D785}"/>
    <cellStyle name="Comma 4 2 5 2" xfId="688" xr:uid="{00000000-0005-0000-0000-0000FC000000}"/>
    <cellStyle name="Comma 4 2 5 2 10" xfId="9019" xr:uid="{9F7C1D16-2137-4D5A-922E-2575FCB53697}"/>
    <cellStyle name="Comma 4 2 5 2 10 2" xfId="18967" xr:uid="{91D37C2F-4789-4F14-AB87-D34824943F4D}"/>
    <cellStyle name="Comma 4 2 5 2 11" xfId="9848" xr:uid="{14D837C7-A757-4686-B2D9-0A4940BD82B5}"/>
    <cellStyle name="Comma 4 2 5 2 11 2" xfId="19796" xr:uid="{D1AD731E-4DCD-4DBD-A3CE-DA1F05490E43}"/>
    <cellStyle name="Comma 4 2 5 2 12" xfId="10677" xr:uid="{C026F70B-2F4A-41EE-A1A0-9116F86D5C00}"/>
    <cellStyle name="Comma 4 2 5 2 12 2" xfId="20625" xr:uid="{E5655F93-75B5-44D6-B021-A971E9F4E507}"/>
    <cellStyle name="Comma 4 2 5 2 13" xfId="1558" xr:uid="{0B49D36E-C497-40EF-8CED-6D9802E2BC84}"/>
    <cellStyle name="Comma 4 2 5 2 14" xfId="11506" xr:uid="{9E744AAE-A66E-454E-91DE-8791E0DE2983}"/>
    <cellStyle name="Comma 4 2 5 2 2" xfId="2387" xr:uid="{B184C1D3-1780-4DF2-9E2A-C99D25F68419}"/>
    <cellStyle name="Comma 4 2 5 2 2 2" xfId="12335" xr:uid="{99BA4AD6-A833-4300-84FF-5BC95DEA2734}"/>
    <cellStyle name="Comma 4 2 5 2 3" xfId="3216" xr:uid="{E463C5E7-C765-4F17-9629-4E9254746F4D}"/>
    <cellStyle name="Comma 4 2 5 2 3 2" xfId="13164" xr:uid="{7909B954-E25E-4CAB-B67B-E9ABE987F233}"/>
    <cellStyle name="Comma 4 2 5 2 4" xfId="4045" xr:uid="{26E33D66-5961-4245-9DA0-532DDB03D9AB}"/>
    <cellStyle name="Comma 4 2 5 2 4 2" xfId="13993" xr:uid="{29B80B69-8AFA-4E3C-9251-43A7803F591B}"/>
    <cellStyle name="Comma 4 2 5 2 5" xfId="4874" xr:uid="{5C434B5C-D453-4E68-BAF5-E27ED69F8F2D}"/>
    <cellStyle name="Comma 4 2 5 2 5 2" xfId="14822" xr:uid="{0BFB930E-3D86-481C-8ADB-2D3F0F38B74F}"/>
    <cellStyle name="Comma 4 2 5 2 6" xfId="5703" xr:uid="{B5925C72-DDF8-4D64-ACBE-C4B75059654C}"/>
    <cellStyle name="Comma 4 2 5 2 6 2" xfId="15651" xr:uid="{823E00D6-6771-4D4F-BF8E-261AA2C64439}"/>
    <cellStyle name="Comma 4 2 5 2 7" xfId="6532" xr:uid="{F6640117-54B1-489D-9FD2-0976E020A211}"/>
    <cellStyle name="Comma 4 2 5 2 7 2" xfId="16480" xr:uid="{9D38CA4D-7671-45E3-AE0D-9A06E17CD1D7}"/>
    <cellStyle name="Comma 4 2 5 2 8" xfId="7361" xr:uid="{0BDE5EF5-2757-47EC-BB57-982D8CBB884B}"/>
    <cellStyle name="Comma 4 2 5 2 8 2" xfId="17309" xr:uid="{38BFF173-9C3B-464A-98B0-DFF00EE44ECD}"/>
    <cellStyle name="Comma 4 2 5 2 9" xfId="8190" xr:uid="{64B02333-395D-4032-86F9-68EEE95729AF}"/>
    <cellStyle name="Comma 4 2 5 2 9 2" xfId="18138" xr:uid="{A2C2AB84-E29F-4BDE-B8D9-A282C18C6F0C}"/>
    <cellStyle name="Comma 4 2 5 3" xfId="1971" xr:uid="{C5273CE6-5CDC-4D54-BA88-64715718DDBC}"/>
    <cellStyle name="Comma 4 2 5 3 2" xfId="11919" xr:uid="{BA2383E0-5FE7-41F6-AD92-74BE19F7AE72}"/>
    <cellStyle name="Comma 4 2 5 4" xfId="2800" xr:uid="{87971135-3CA4-4E64-AFE9-67B0D824F655}"/>
    <cellStyle name="Comma 4 2 5 4 2" xfId="12748" xr:uid="{7B37BE33-E08A-4DBA-9926-059F8F48D700}"/>
    <cellStyle name="Comma 4 2 5 5" xfId="3629" xr:uid="{B021496D-599C-45B5-B481-DD1E0E82F0B0}"/>
    <cellStyle name="Comma 4 2 5 5 2" xfId="13577" xr:uid="{0DC329FA-C9D8-4CA0-BBE2-0BD96083763F}"/>
    <cellStyle name="Comma 4 2 5 6" xfId="4458" xr:uid="{B7667736-5462-4B20-A3B3-0AC6C44416DF}"/>
    <cellStyle name="Comma 4 2 5 6 2" xfId="14406" xr:uid="{B0830ACC-A0E3-4FF7-8EE4-E3D128A8AC63}"/>
    <cellStyle name="Comma 4 2 5 7" xfId="5287" xr:uid="{8EEEF187-7831-4639-9DF7-DF74E3DFE00B}"/>
    <cellStyle name="Comma 4 2 5 7 2" xfId="15235" xr:uid="{AD3AE00A-A69F-4D74-8124-155984E30AF9}"/>
    <cellStyle name="Comma 4 2 5 8" xfId="6116" xr:uid="{48A56816-A1E9-4278-965F-2BE03536C9CC}"/>
    <cellStyle name="Comma 4 2 5 8 2" xfId="16064" xr:uid="{E7AB17DF-07E7-4C6F-A1E3-2C2E5A5BD1CB}"/>
    <cellStyle name="Comma 4 2 5 9" xfId="6945" xr:uid="{FA479647-10A3-406D-A01B-FA1C6915A663}"/>
    <cellStyle name="Comma 4 2 5 9 2" xfId="16893" xr:uid="{E7EFF0AF-5F2A-4B58-84C6-965D26B3B876}"/>
    <cellStyle name="Comma 4 2 6" xfId="143" xr:uid="{00000000-0005-0000-0000-0000FD000000}"/>
    <cellStyle name="Comma 4 2 6 10" xfId="7775" xr:uid="{F53A14A1-290B-4497-A009-5131251A6BA3}"/>
    <cellStyle name="Comma 4 2 6 10 2" xfId="17723" xr:uid="{CFEBC5CE-B58C-4180-AE34-83741951EBBD}"/>
    <cellStyle name="Comma 4 2 6 11" xfId="8604" xr:uid="{2A90A003-1AB9-4089-A066-A0F079E00C7F}"/>
    <cellStyle name="Comma 4 2 6 11 2" xfId="18552" xr:uid="{C41B253A-B326-4114-994E-A013A668FD0D}"/>
    <cellStyle name="Comma 4 2 6 12" xfId="9433" xr:uid="{E31616FF-72E8-414A-A91D-9D5539732D3E}"/>
    <cellStyle name="Comma 4 2 6 12 2" xfId="19381" xr:uid="{020F1DF5-50E1-4066-A3F4-6ECD7104B4D0}"/>
    <cellStyle name="Comma 4 2 6 13" xfId="10262" xr:uid="{1652351B-B603-483C-B909-DACC476E90BD}"/>
    <cellStyle name="Comma 4 2 6 13 2" xfId="20210" xr:uid="{1B070558-E157-4B95-A935-7B3B81DE8A22}"/>
    <cellStyle name="Comma 4 2 6 14" xfId="1143" xr:uid="{844DB776-4959-4A2A-974A-9A4D8893D007}"/>
    <cellStyle name="Comma 4 2 6 15" xfId="11091" xr:uid="{B8DFD468-52BF-48A0-8D1E-8EE2573FD6EB}"/>
    <cellStyle name="Comma 4 2 6 2" xfId="689" xr:uid="{00000000-0005-0000-0000-0000FE000000}"/>
    <cellStyle name="Comma 4 2 6 2 10" xfId="9020" xr:uid="{42456856-F44F-4964-9883-9887F3624F53}"/>
    <cellStyle name="Comma 4 2 6 2 10 2" xfId="18968" xr:uid="{D49EABBE-9C5A-4DD5-8E1E-26FA4E879223}"/>
    <cellStyle name="Comma 4 2 6 2 11" xfId="9849" xr:uid="{B605DA1D-B422-4680-A1DE-183ABB49DEBD}"/>
    <cellStyle name="Comma 4 2 6 2 11 2" xfId="19797" xr:uid="{1FECAF4E-F8C8-4BD2-A14E-6493AF356F9B}"/>
    <cellStyle name="Comma 4 2 6 2 12" xfId="10678" xr:uid="{24FA8B2F-D6E9-4061-83BB-9816BBA02454}"/>
    <cellStyle name="Comma 4 2 6 2 12 2" xfId="20626" xr:uid="{F65F6FE0-1775-4AF7-90C7-985F3708C5BD}"/>
    <cellStyle name="Comma 4 2 6 2 13" xfId="1559" xr:uid="{4FD23945-2073-4725-BDDF-9ABB87105AEC}"/>
    <cellStyle name="Comma 4 2 6 2 14" xfId="11507" xr:uid="{D6EC34CA-D7B2-4ED4-BBD5-ED6C56D88DD0}"/>
    <cellStyle name="Comma 4 2 6 2 2" xfId="2388" xr:uid="{AE3A36DF-3119-41D7-8303-F0002E77BEF7}"/>
    <cellStyle name="Comma 4 2 6 2 2 2" xfId="12336" xr:uid="{A8D015E3-D05B-4533-B918-FFF30D1D7649}"/>
    <cellStyle name="Comma 4 2 6 2 3" xfId="3217" xr:uid="{4D6473AF-115D-4EE0-8711-871E986E40E6}"/>
    <cellStyle name="Comma 4 2 6 2 3 2" xfId="13165" xr:uid="{0D06265B-3D15-41DC-8CC6-F4A3CE72881A}"/>
    <cellStyle name="Comma 4 2 6 2 4" xfId="4046" xr:uid="{1FDBA278-30D5-41B2-85B6-5EAB28AEF6C7}"/>
    <cellStyle name="Comma 4 2 6 2 4 2" xfId="13994" xr:uid="{E870F4B7-C79B-41DF-9163-1DBFD4D2EDEA}"/>
    <cellStyle name="Comma 4 2 6 2 5" xfId="4875" xr:uid="{EE071B11-B355-4DDD-B013-3970BE5F7832}"/>
    <cellStyle name="Comma 4 2 6 2 5 2" xfId="14823" xr:uid="{2EF914E3-9AB8-4C6A-81FA-DC6D091AE27C}"/>
    <cellStyle name="Comma 4 2 6 2 6" xfId="5704" xr:uid="{603E378B-FA26-41AA-A325-90247FB095D1}"/>
    <cellStyle name="Comma 4 2 6 2 6 2" xfId="15652" xr:uid="{8DF86124-8BA9-45C8-9F77-A12D4A3E10E3}"/>
    <cellStyle name="Comma 4 2 6 2 7" xfId="6533" xr:uid="{B5760BB5-3FE1-4EF7-BAFF-EE74B5918F98}"/>
    <cellStyle name="Comma 4 2 6 2 7 2" xfId="16481" xr:uid="{E42F7D78-3029-43F7-8355-CCE472E67D93}"/>
    <cellStyle name="Comma 4 2 6 2 8" xfId="7362" xr:uid="{3D840124-D766-46A7-874A-EF5101B47FB5}"/>
    <cellStyle name="Comma 4 2 6 2 8 2" xfId="17310" xr:uid="{CA8836BB-2342-4834-8811-11F54ECFED01}"/>
    <cellStyle name="Comma 4 2 6 2 9" xfId="8191" xr:uid="{8717BBE8-6DFA-4E56-904D-948BBC5346C9}"/>
    <cellStyle name="Comma 4 2 6 2 9 2" xfId="18139" xr:uid="{FD84F353-7582-43DC-BEEB-A75457557B12}"/>
    <cellStyle name="Comma 4 2 6 3" xfId="1972" xr:uid="{3981A08E-B61C-4203-8392-DA5738CC7011}"/>
    <cellStyle name="Comma 4 2 6 3 2" xfId="11920" xr:uid="{C85D94E9-A4E0-469B-B27E-502F07A1E638}"/>
    <cellStyle name="Comma 4 2 6 4" xfId="2801" xr:uid="{A52E3585-A1CD-469B-9898-A21B6AF52F4D}"/>
    <cellStyle name="Comma 4 2 6 4 2" xfId="12749" xr:uid="{E24FB890-B699-44A8-B5C5-E079183ED69D}"/>
    <cellStyle name="Comma 4 2 6 5" xfId="3630" xr:uid="{181681A2-F094-4BA9-AC05-E5276A254215}"/>
    <cellStyle name="Comma 4 2 6 5 2" xfId="13578" xr:uid="{381B6413-C8AB-49D6-8FF3-1A63BB48DFD1}"/>
    <cellStyle name="Comma 4 2 6 6" xfId="4459" xr:uid="{DBE41AAA-BDAD-4E1C-BD2D-86A33FE088F5}"/>
    <cellStyle name="Comma 4 2 6 6 2" xfId="14407" xr:uid="{C449DF09-F6F4-4210-88BB-58B23098D6F1}"/>
    <cellStyle name="Comma 4 2 6 7" xfId="5288" xr:uid="{8EBA2C06-6C8A-4267-A667-92C8408B9AE5}"/>
    <cellStyle name="Comma 4 2 6 7 2" xfId="15236" xr:uid="{5A448558-4319-40AE-82B2-FF882D1630AE}"/>
    <cellStyle name="Comma 4 2 6 8" xfId="6117" xr:uid="{F46CD261-662F-43CD-AE6B-E75C6BBE8F3B}"/>
    <cellStyle name="Comma 4 2 6 8 2" xfId="16065" xr:uid="{804E8A16-AE0F-4730-ABD4-5B92D67D7D20}"/>
    <cellStyle name="Comma 4 2 6 9" xfId="6946" xr:uid="{59793302-015C-4B4F-8FC9-CC7B99A89615}"/>
    <cellStyle name="Comma 4 2 6 9 2" xfId="16894" xr:uid="{D66F1D14-D3FE-44EC-80A2-941CAC1F3694}"/>
    <cellStyle name="Comma 4 3" xfId="144" xr:uid="{00000000-0005-0000-0000-0000FF000000}"/>
    <cellStyle name="Comma 4 3 2" xfId="145" xr:uid="{00000000-0005-0000-0000-000000010000}"/>
    <cellStyle name="Comma 4 3 2 10" xfId="6118" xr:uid="{1759AA88-EDAB-465E-AFED-2C38E07447DF}"/>
    <cellStyle name="Comma 4 3 2 10 2" xfId="16066" xr:uid="{152A5D1A-0C81-4591-95DA-EEFA0F1F9BB2}"/>
    <cellStyle name="Comma 4 3 2 11" xfId="6947" xr:uid="{F877D4ED-2723-4035-B87C-B9DB0C497AED}"/>
    <cellStyle name="Comma 4 3 2 11 2" xfId="16895" xr:uid="{27768005-0D60-44E1-A5BB-0ACB163E3885}"/>
    <cellStyle name="Comma 4 3 2 12" xfId="7776" xr:uid="{80BE5537-C1CC-4CD9-9103-67476C8D6CD8}"/>
    <cellStyle name="Comma 4 3 2 12 2" xfId="17724" xr:uid="{CFF61BED-4845-417F-AEF8-600C43B65B0A}"/>
    <cellStyle name="Comma 4 3 2 13" xfId="8605" xr:uid="{D42D6261-B424-48C1-BE70-47EB701575AA}"/>
    <cellStyle name="Comma 4 3 2 13 2" xfId="18553" xr:uid="{C32F2B8F-DB8E-4F76-99F2-5676DB87DA0D}"/>
    <cellStyle name="Comma 4 3 2 14" xfId="9434" xr:uid="{9D21CAA9-8406-4D1B-A9EE-85EFBA049406}"/>
    <cellStyle name="Comma 4 3 2 14 2" xfId="19382" xr:uid="{3541C070-1312-4F05-827C-375738691E11}"/>
    <cellStyle name="Comma 4 3 2 15" xfId="10263" xr:uid="{514E9F1B-878F-4A5B-AE13-69C77BC519DD}"/>
    <cellStyle name="Comma 4 3 2 15 2" xfId="20211" xr:uid="{4F41B780-BD69-49B1-BC34-3FD022936A89}"/>
    <cellStyle name="Comma 4 3 2 16" xfId="1144" xr:uid="{34B4FC02-C5C4-4423-9160-8FCCF70BF6A8}"/>
    <cellStyle name="Comma 4 3 2 17" xfId="11092" xr:uid="{39047D94-A837-4021-9744-BBDEB4A4D39F}"/>
    <cellStyle name="Comma 4 3 2 2" xfId="146" xr:uid="{00000000-0005-0000-0000-000001010000}"/>
    <cellStyle name="Comma 4 3 2 2 10" xfId="6948" xr:uid="{B5EA8C04-16B1-48C1-B409-77B716E59AFD}"/>
    <cellStyle name="Comma 4 3 2 2 10 2" xfId="16896" xr:uid="{8B369F93-9523-439B-9584-F513E29F61AA}"/>
    <cellStyle name="Comma 4 3 2 2 11" xfId="7777" xr:uid="{73A69A84-1712-4A41-A587-E28CCDA9280F}"/>
    <cellStyle name="Comma 4 3 2 2 11 2" xfId="17725" xr:uid="{A10B1D85-A95A-4E68-B4AD-BED1E9D7D997}"/>
    <cellStyle name="Comma 4 3 2 2 12" xfId="8606" xr:uid="{A5E05AE8-7C10-4D59-8603-9EE0B557793D}"/>
    <cellStyle name="Comma 4 3 2 2 12 2" xfId="18554" xr:uid="{EF7A8A80-DE1A-4B14-9392-F4A7FA6CA61C}"/>
    <cellStyle name="Comma 4 3 2 2 13" xfId="9435" xr:uid="{69202472-7D36-4B72-8DE5-69515B4DB8A5}"/>
    <cellStyle name="Comma 4 3 2 2 13 2" xfId="19383" xr:uid="{BB75D018-C8CB-4F58-A0CE-A79CBB84122C}"/>
    <cellStyle name="Comma 4 3 2 2 14" xfId="10264" xr:uid="{E71C8AA7-75A8-40AB-9305-4001F728925B}"/>
    <cellStyle name="Comma 4 3 2 2 14 2" xfId="20212" xr:uid="{32571830-DE53-48C8-9AF7-4EB1EA0A53F4}"/>
    <cellStyle name="Comma 4 3 2 2 15" xfId="1145" xr:uid="{F1DA8F3D-3D42-413C-87C3-48A258356C56}"/>
    <cellStyle name="Comma 4 3 2 2 16" xfId="11093" xr:uid="{14F018F2-05F6-445D-A6CD-29172B359EB7}"/>
    <cellStyle name="Comma 4 3 2 2 2" xfId="147" xr:uid="{00000000-0005-0000-0000-000002010000}"/>
    <cellStyle name="Comma 4 3 2 2 2 10" xfId="7778" xr:uid="{4998372B-8A9B-445E-8731-41299382391D}"/>
    <cellStyle name="Comma 4 3 2 2 2 10 2" xfId="17726" xr:uid="{4678D10A-F82A-4529-A5E6-93593465F948}"/>
    <cellStyle name="Comma 4 3 2 2 2 11" xfId="8607" xr:uid="{91F1ABA1-173B-44D6-9D3D-3A1ABCC8E109}"/>
    <cellStyle name="Comma 4 3 2 2 2 11 2" xfId="18555" xr:uid="{D4B874C3-9620-4795-BF98-0FFD333590A1}"/>
    <cellStyle name="Comma 4 3 2 2 2 12" xfId="9436" xr:uid="{5EFBEB05-086C-4DC0-B04B-C7031BA10A89}"/>
    <cellStyle name="Comma 4 3 2 2 2 12 2" xfId="19384" xr:uid="{999EA271-5CB1-49D9-896B-FCB6595C7FFF}"/>
    <cellStyle name="Comma 4 3 2 2 2 13" xfId="10265" xr:uid="{EB433204-F60D-42EF-B337-359988716E66}"/>
    <cellStyle name="Comma 4 3 2 2 2 13 2" xfId="20213" xr:uid="{51152DFE-CF66-4F0B-B88F-B7A7A2ED387E}"/>
    <cellStyle name="Comma 4 3 2 2 2 14" xfId="1146" xr:uid="{A7502F4B-3304-45FB-A28B-61E1FD2D1DF3}"/>
    <cellStyle name="Comma 4 3 2 2 2 15" xfId="11094" xr:uid="{BB032391-249E-4AFE-8221-8F8C0A5416C6}"/>
    <cellStyle name="Comma 4 3 2 2 2 2" xfId="692" xr:uid="{00000000-0005-0000-0000-000003010000}"/>
    <cellStyle name="Comma 4 3 2 2 2 2 10" xfId="9023" xr:uid="{A714CCE9-4F0D-49E7-9E77-49A6EF784613}"/>
    <cellStyle name="Comma 4 3 2 2 2 2 10 2" xfId="18971" xr:uid="{54BC3E40-66E1-482C-B9EA-5E9B099EAA49}"/>
    <cellStyle name="Comma 4 3 2 2 2 2 11" xfId="9852" xr:uid="{4C4797CA-C3F1-47E9-B094-DB18F9AD54BD}"/>
    <cellStyle name="Comma 4 3 2 2 2 2 11 2" xfId="19800" xr:uid="{C9857BF1-F3ED-43BD-80A5-E9CBC415954E}"/>
    <cellStyle name="Comma 4 3 2 2 2 2 12" xfId="10681" xr:uid="{11B82F92-D0AF-403B-957F-7E42FC3276D6}"/>
    <cellStyle name="Comma 4 3 2 2 2 2 12 2" xfId="20629" xr:uid="{7F20D724-E1F6-4156-ADB8-1DC6284BAC45}"/>
    <cellStyle name="Comma 4 3 2 2 2 2 13" xfId="1562" xr:uid="{AE931E72-FBC5-4E94-A2F0-00F37FD2052E}"/>
    <cellStyle name="Comma 4 3 2 2 2 2 14" xfId="11510" xr:uid="{59F33548-71CC-4249-B24F-A54ADF0C5767}"/>
    <cellStyle name="Comma 4 3 2 2 2 2 2" xfId="2391" xr:uid="{F531475A-8BE0-482A-9B1B-1939B3DC2A5A}"/>
    <cellStyle name="Comma 4 3 2 2 2 2 2 2" xfId="12339" xr:uid="{928CC1A3-17AE-4569-8F39-E0501CE9E0DA}"/>
    <cellStyle name="Comma 4 3 2 2 2 2 3" xfId="3220" xr:uid="{5A6B7166-DD95-4D18-BFB2-46F478FF15BD}"/>
    <cellStyle name="Comma 4 3 2 2 2 2 3 2" xfId="13168" xr:uid="{87E127FE-A8CD-4495-8F8F-77F6DBE3557A}"/>
    <cellStyle name="Comma 4 3 2 2 2 2 4" xfId="4049" xr:uid="{32ACEA02-9FF1-4ECE-B6B8-2E6B1FE352C2}"/>
    <cellStyle name="Comma 4 3 2 2 2 2 4 2" xfId="13997" xr:uid="{C4A73315-A197-4DBD-80CE-A3632386DAB8}"/>
    <cellStyle name="Comma 4 3 2 2 2 2 5" xfId="4878" xr:uid="{84574658-1844-40EA-9D08-64B3E3866CBE}"/>
    <cellStyle name="Comma 4 3 2 2 2 2 5 2" xfId="14826" xr:uid="{A4541BAF-4413-41F3-8CE9-04A64E80446C}"/>
    <cellStyle name="Comma 4 3 2 2 2 2 6" xfId="5707" xr:uid="{E9C120B6-F82F-4B81-92CD-D6492FEDC16B}"/>
    <cellStyle name="Comma 4 3 2 2 2 2 6 2" xfId="15655" xr:uid="{01451C18-338C-4B46-A5BC-822DF68574AB}"/>
    <cellStyle name="Comma 4 3 2 2 2 2 7" xfId="6536" xr:uid="{526FF80F-FFA1-4660-BB86-4972A126CF1C}"/>
    <cellStyle name="Comma 4 3 2 2 2 2 7 2" xfId="16484" xr:uid="{16831822-BB20-4D73-B5FC-C9D47A129456}"/>
    <cellStyle name="Comma 4 3 2 2 2 2 8" xfId="7365" xr:uid="{B5133EAD-3CCC-40A9-992A-21D196461CC5}"/>
    <cellStyle name="Comma 4 3 2 2 2 2 8 2" xfId="17313" xr:uid="{EA30FE73-9126-4D71-BE13-6E149977750D}"/>
    <cellStyle name="Comma 4 3 2 2 2 2 9" xfId="8194" xr:uid="{0955A685-1212-4387-97A0-AD7E41F9444E}"/>
    <cellStyle name="Comma 4 3 2 2 2 2 9 2" xfId="18142" xr:uid="{6AB6D157-5001-4673-B2A9-C0FD530FC427}"/>
    <cellStyle name="Comma 4 3 2 2 2 3" xfId="1975" xr:uid="{E00A44D0-29CC-4DB8-96B0-36CBB97149F4}"/>
    <cellStyle name="Comma 4 3 2 2 2 3 2" xfId="11923" xr:uid="{FBCBCDCB-BECD-4F92-9903-31EAF32E3803}"/>
    <cellStyle name="Comma 4 3 2 2 2 4" xfId="2804" xr:uid="{F5FB5117-5AC7-412F-8419-BD1BDC9DA2AF}"/>
    <cellStyle name="Comma 4 3 2 2 2 4 2" xfId="12752" xr:uid="{13D03BF4-D174-4159-AAE5-ADEFEFA0B591}"/>
    <cellStyle name="Comma 4 3 2 2 2 5" xfId="3633" xr:uid="{705DE082-36CE-4CF5-919B-55710203206E}"/>
    <cellStyle name="Comma 4 3 2 2 2 5 2" xfId="13581" xr:uid="{9620F0A1-E919-456F-9D4D-CC4A5D366D28}"/>
    <cellStyle name="Comma 4 3 2 2 2 6" xfId="4462" xr:uid="{BD0B0201-047C-45F3-889D-0432E3F2EEC7}"/>
    <cellStyle name="Comma 4 3 2 2 2 6 2" xfId="14410" xr:uid="{557EBE3C-91DC-4935-A68F-F476EBDE226E}"/>
    <cellStyle name="Comma 4 3 2 2 2 7" xfId="5291" xr:uid="{2D9FBF9F-D869-4977-B9C1-0D108F02CE44}"/>
    <cellStyle name="Comma 4 3 2 2 2 7 2" xfId="15239" xr:uid="{6F84B9CF-1403-4D62-84A8-19E2A679EB88}"/>
    <cellStyle name="Comma 4 3 2 2 2 8" xfId="6120" xr:uid="{E96C1B3F-1A18-46CC-8544-8ACE370103B6}"/>
    <cellStyle name="Comma 4 3 2 2 2 8 2" xfId="16068" xr:uid="{2915B70D-5E43-442C-B06A-A9F3B7F37CF8}"/>
    <cellStyle name="Comma 4 3 2 2 2 9" xfId="6949" xr:uid="{00D3DC8B-6E81-4666-BF1B-2138DEF9318A}"/>
    <cellStyle name="Comma 4 3 2 2 2 9 2" xfId="16897" xr:uid="{63172737-8DA0-4656-A861-62E50495FBDD}"/>
    <cellStyle name="Comma 4 3 2 2 3" xfId="691" xr:uid="{00000000-0005-0000-0000-000004010000}"/>
    <cellStyle name="Comma 4 3 2 2 3 10" xfId="9022" xr:uid="{E3F10B8F-8F49-4D5D-A4AB-C66A8E7EBD76}"/>
    <cellStyle name="Comma 4 3 2 2 3 10 2" xfId="18970" xr:uid="{1B25E294-CDD7-4E1B-9F27-27AF839D67F9}"/>
    <cellStyle name="Comma 4 3 2 2 3 11" xfId="9851" xr:uid="{F27FE495-E85A-4ABF-81CF-A5839CF145E1}"/>
    <cellStyle name="Comma 4 3 2 2 3 11 2" xfId="19799" xr:uid="{1423E1FE-F13A-4BD7-8BB5-15CF9EB85367}"/>
    <cellStyle name="Comma 4 3 2 2 3 12" xfId="10680" xr:uid="{6C617372-C658-430D-95E6-368C02EC11D7}"/>
    <cellStyle name="Comma 4 3 2 2 3 12 2" xfId="20628" xr:uid="{EBB22B7D-8B54-4785-99F6-DB2D8B9039AE}"/>
    <cellStyle name="Comma 4 3 2 2 3 13" xfId="1561" xr:uid="{ACD0176D-DB3D-4EFA-B168-1DE7C891C9FC}"/>
    <cellStyle name="Comma 4 3 2 2 3 14" xfId="11509" xr:uid="{369BC7AB-17AA-4310-92BD-6D286A1C9529}"/>
    <cellStyle name="Comma 4 3 2 2 3 2" xfId="2390" xr:uid="{A0DFAF3D-6396-4B91-ABDC-E636A6927FE8}"/>
    <cellStyle name="Comma 4 3 2 2 3 2 2" xfId="12338" xr:uid="{59D37AA9-249F-45C6-B93A-BF40FAFDB655}"/>
    <cellStyle name="Comma 4 3 2 2 3 3" xfId="3219" xr:uid="{42E10833-8B8A-42B6-9554-8078B629B113}"/>
    <cellStyle name="Comma 4 3 2 2 3 3 2" xfId="13167" xr:uid="{D3556C67-B841-43E7-92AD-6E5C39CF984E}"/>
    <cellStyle name="Comma 4 3 2 2 3 4" xfId="4048" xr:uid="{AE38B847-2B8D-4F3E-9933-FABB2B966A01}"/>
    <cellStyle name="Comma 4 3 2 2 3 4 2" xfId="13996" xr:uid="{17A4A78B-9712-477C-BF54-3C6A228250B7}"/>
    <cellStyle name="Comma 4 3 2 2 3 5" xfId="4877" xr:uid="{A286D90E-7085-469E-AAD8-6A4F3F267252}"/>
    <cellStyle name="Comma 4 3 2 2 3 5 2" xfId="14825" xr:uid="{7A540103-A65D-4BEB-834F-7DDACF00EC68}"/>
    <cellStyle name="Comma 4 3 2 2 3 6" xfId="5706" xr:uid="{9E0DEE0F-9F33-40C5-AEA7-D7AEB7B6171B}"/>
    <cellStyle name="Comma 4 3 2 2 3 6 2" xfId="15654" xr:uid="{08A74BE6-6E21-4EB2-A31B-7A0C28A43EB3}"/>
    <cellStyle name="Comma 4 3 2 2 3 7" xfId="6535" xr:uid="{1D46D924-EA3F-4908-8FA8-DCA64609829A}"/>
    <cellStyle name="Comma 4 3 2 2 3 7 2" xfId="16483" xr:uid="{D1762209-A253-4231-8512-B1217628BCB7}"/>
    <cellStyle name="Comma 4 3 2 2 3 8" xfId="7364" xr:uid="{46846FD2-67D1-424D-BEB8-1D1C2C31AC58}"/>
    <cellStyle name="Comma 4 3 2 2 3 8 2" xfId="17312" xr:uid="{B7BF3074-85C5-4524-A264-A105EEA0884C}"/>
    <cellStyle name="Comma 4 3 2 2 3 9" xfId="8193" xr:uid="{D537AA70-50EB-43CE-B397-E3A776CC5BD7}"/>
    <cellStyle name="Comma 4 3 2 2 3 9 2" xfId="18141" xr:uid="{B1EF0EEC-442C-48DB-B1A6-30F25022C6D7}"/>
    <cellStyle name="Comma 4 3 2 2 4" xfId="1974" xr:uid="{6519E04E-AC6A-4E26-9735-76F89369080F}"/>
    <cellStyle name="Comma 4 3 2 2 4 2" xfId="11922" xr:uid="{963BE325-9900-4557-A725-17837A94520E}"/>
    <cellStyle name="Comma 4 3 2 2 5" xfId="2803" xr:uid="{60CA1B38-8566-4267-BCC4-261EA3783CA1}"/>
    <cellStyle name="Comma 4 3 2 2 5 2" xfId="12751" xr:uid="{E583299C-56B5-435F-B858-670C37454436}"/>
    <cellStyle name="Comma 4 3 2 2 6" xfId="3632" xr:uid="{BF830AB8-C25C-4F05-AD96-27A8A445CAA8}"/>
    <cellStyle name="Comma 4 3 2 2 6 2" xfId="13580" xr:uid="{83E976A7-5B99-4274-B0E7-9E129984210B}"/>
    <cellStyle name="Comma 4 3 2 2 7" xfId="4461" xr:uid="{C0E386F6-D033-4202-8CBA-3C70382B9E04}"/>
    <cellStyle name="Comma 4 3 2 2 7 2" xfId="14409" xr:uid="{79E94167-C994-4656-BC41-107339E2221D}"/>
    <cellStyle name="Comma 4 3 2 2 8" xfId="5290" xr:uid="{2FA65DAD-F395-4156-B653-BA45BB706191}"/>
    <cellStyle name="Comma 4 3 2 2 8 2" xfId="15238" xr:uid="{40FF45E1-5325-49AA-9556-3BA702E6081D}"/>
    <cellStyle name="Comma 4 3 2 2 9" xfId="6119" xr:uid="{AD86363E-3DF7-4FEB-A084-12FE208CC57B}"/>
    <cellStyle name="Comma 4 3 2 2 9 2" xfId="16067" xr:uid="{F61A253D-A64A-460B-B62E-B2B527DE6571}"/>
    <cellStyle name="Comma 4 3 2 3" xfId="148" xr:uid="{00000000-0005-0000-0000-000005010000}"/>
    <cellStyle name="Comma 4 3 2 3 10" xfId="7779" xr:uid="{ABCC895D-7C16-4706-B8E0-8350401DAB27}"/>
    <cellStyle name="Comma 4 3 2 3 10 2" xfId="17727" xr:uid="{D10BE42D-F78E-45D0-A5B0-099D3D2329F2}"/>
    <cellStyle name="Comma 4 3 2 3 11" xfId="8608" xr:uid="{E2AC3BF3-9E87-4E16-AB84-EBDDC04CC8BD}"/>
    <cellStyle name="Comma 4 3 2 3 11 2" xfId="18556" xr:uid="{BF563FB6-5B57-4B48-9BB5-53BB66F8C54D}"/>
    <cellStyle name="Comma 4 3 2 3 12" xfId="9437" xr:uid="{06095032-0950-4CE4-BD19-437A8B17BD1B}"/>
    <cellStyle name="Comma 4 3 2 3 12 2" xfId="19385" xr:uid="{23660329-9CA9-4256-B4C4-3DAF59A064D2}"/>
    <cellStyle name="Comma 4 3 2 3 13" xfId="10266" xr:uid="{D69E5CA8-0803-4582-B494-82398020C1EA}"/>
    <cellStyle name="Comma 4 3 2 3 13 2" xfId="20214" xr:uid="{D86DEF50-CFD9-41BC-865D-95F82A40F1D9}"/>
    <cellStyle name="Comma 4 3 2 3 14" xfId="1147" xr:uid="{5A281117-FBAE-4F45-8967-448577FFC124}"/>
    <cellStyle name="Comma 4 3 2 3 15" xfId="11095" xr:uid="{7C82E7F8-B65E-48C5-A816-349CC3E5E779}"/>
    <cellStyle name="Comma 4 3 2 3 2" xfId="693" xr:uid="{00000000-0005-0000-0000-000006010000}"/>
    <cellStyle name="Comma 4 3 2 3 2 10" xfId="9024" xr:uid="{67D02552-23C5-446F-ADEB-46EC6DB711D3}"/>
    <cellStyle name="Comma 4 3 2 3 2 10 2" xfId="18972" xr:uid="{1A48BEE1-8A59-4B21-B226-D9A2159C6097}"/>
    <cellStyle name="Comma 4 3 2 3 2 11" xfId="9853" xr:uid="{383555B4-9324-406C-86AC-7EBDC51AD4EF}"/>
    <cellStyle name="Comma 4 3 2 3 2 11 2" xfId="19801" xr:uid="{9AD70A09-28D4-43A7-99AD-12277DBE16F1}"/>
    <cellStyle name="Comma 4 3 2 3 2 12" xfId="10682" xr:uid="{44A71206-2979-4E5D-8CC5-CDC974A49FA2}"/>
    <cellStyle name="Comma 4 3 2 3 2 12 2" xfId="20630" xr:uid="{4513B8E1-D443-43C1-AED8-E1987BA7910C}"/>
    <cellStyle name="Comma 4 3 2 3 2 13" xfId="1563" xr:uid="{40A1B717-5CB1-4E74-B7A7-A9275BF18755}"/>
    <cellStyle name="Comma 4 3 2 3 2 14" xfId="11511" xr:uid="{A701E15F-9B63-46C3-BE4F-AEC3CF43D87D}"/>
    <cellStyle name="Comma 4 3 2 3 2 2" xfId="2392" xr:uid="{F9C3F4CA-7EAF-4BB8-BB11-C3069235F1AB}"/>
    <cellStyle name="Comma 4 3 2 3 2 2 2" xfId="12340" xr:uid="{8E85DAFF-848C-4827-88E6-599A929CA93B}"/>
    <cellStyle name="Comma 4 3 2 3 2 3" xfId="3221" xr:uid="{01C6F7AE-09A2-41B2-BD97-CEBB4A533937}"/>
    <cellStyle name="Comma 4 3 2 3 2 3 2" xfId="13169" xr:uid="{23956143-09D9-4637-AD50-A290294DAC0A}"/>
    <cellStyle name="Comma 4 3 2 3 2 4" xfId="4050" xr:uid="{278E599E-B1BD-4C13-BB66-7F4C3C4506C6}"/>
    <cellStyle name="Comma 4 3 2 3 2 4 2" xfId="13998" xr:uid="{DE824AD6-9ACB-4E4D-93A1-5998F33FCC7A}"/>
    <cellStyle name="Comma 4 3 2 3 2 5" xfId="4879" xr:uid="{766EACDA-6A99-4C1F-8EF0-F526B0C47C55}"/>
    <cellStyle name="Comma 4 3 2 3 2 5 2" xfId="14827" xr:uid="{55BE7ADB-E680-47C5-A068-970B3A94A391}"/>
    <cellStyle name="Comma 4 3 2 3 2 6" xfId="5708" xr:uid="{BFA268F9-7BAE-4E9E-A96D-BBDB7154D2FB}"/>
    <cellStyle name="Comma 4 3 2 3 2 6 2" xfId="15656" xr:uid="{09E945F2-AFA7-4AA6-93A8-2C7E84B8AE90}"/>
    <cellStyle name="Comma 4 3 2 3 2 7" xfId="6537" xr:uid="{62B04534-0FB6-4B1F-A592-C14BAB04E72F}"/>
    <cellStyle name="Comma 4 3 2 3 2 7 2" xfId="16485" xr:uid="{9EE17B0A-EF8D-4BBB-9D2F-3C5F52234CCA}"/>
    <cellStyle name="Comma 4 3 2 3 2 8" xfId="7366" xr:uid="{57E01101-D58E-4C09-A56D-96CE1F4AB059}"/>
    <cellStyle name="Comma 4 3 2 3 2 8 2" xfId="17314" xr:uid="{04BAFAC2-E5F1-4DAC-A748-4EF8D39147DF}"/>
    <cellStyle name="Comma 4 3 2 3 2 9" xfId="8195" xr:uid="{A4784F18-8A0D-4C87-A1F4-5D2933B1F8AF}"/>
    <cellStyle name="Comma 4 3 2 3 2 9 2" xfId="18143" xr:uid="{E05F5F00-9740-4A7F-8F82-DD4ADA205DE4}"/>
    <cellStyle name="Comma 4 3 2 3 3" xfId="1976" xr:uid="{3EBC7B53-789C-4EA5-916F-D53D8E6F33A7}"/>
    <cellStyle name="Comma 4 3 2 3 3 2" xfId="11924" xr:uid="{216F07C1-F4C5-46F7-AEAF-F039DB9167D7}"/>
    <cellStyle name="Comma 4 3 2 3 4" xfId="2805" xr:uid="{551F501F-D540-411B-90D1-F5E551938D3D}"/>
    <cellStyle name="Comma 4 3 2 3 4 2" xfId="12753" xr:uid="{91636E7C-EEC4-4201-8D05-EFBB9E3691A8}"/>
    <cellStyle name="Comma 4 3 2 3 5" xfId="3634" xr:uid="{06D12537-9EDE-4D41-B051-A89FB3FEDCD6}"/>
    <cellStyle name="Comma 4 3 2 3 5 2" xfId="13582" xr:uid="{A8CC08C8-4B47-4F16-9A3B-B0FB125F3A2A}"/>
    <cellStyle name="Comma 4 3 2 3 6" xfId="4463" xr:uid="{28F42C47-C87B-4E54-B26A-CB847F38FE78}"/>
    <cellStyle name="Comma 4 3 2 3 6 2" xfId="14411" xr:uid="{BCF55646-0D37-4BC1-BAEA-EF0BA0E637DF}"/>
    <cellStyle name="Comma 4 3 2 3 7" xfId="5292" xr:uid="{29659DE9-E347-485C-8CAD-F8EE48E118EF}"/>
    <cellStyle name="Comma 4 3 2 3 7 2" xfId="15240" xr:uid="{9517A93E-E245-4776-BB85-D3B32CCD3AE4}"/>
    <cellStyle name="Comma 4 3 2 3 8" xfId="6121" xr:uid="{7A8AB2EF-D2BB-4BF0-A3D2-54C4B8A60336}"/>
    <cellStyle name="Comma 4 3 2 3 8 2" xfId="16069" xr:uid="{BA86EEFA-95E3-4AC8-B7E7-32A51A511B25}"/>
    <cellStyle name="Comma 4 3 2 3 9" xfId="6950" xr:uid="{4C7F1A4B-6262-4647-AE33-4B07C1740E6D}"/>
    <cellStyle name="Comma 4 3 2 3 9 2" xfId="16898" xr:uid="{CA3A5119-D93D-4DFA-83B2-44A67E92CE6D}"/>
    <cellStyle name="Comma 4 3 2 4" xfId="690" xr:uid="{00000000-0005-0000-0000-000007010000}"/>
    <cellStyle name="Comma 4 3 2 4 10" xfId="9021" xr:uid="{C6472FA2-7778-46B9-A6B4-AFE858DC411E}"/>
    <cellStyle name="Comma 4 3 2 4 10 2" xfId="18969" xr:uid="{4C172569-8BAC-4E67-8E37-09F35B2F3168}"/>
    <cellStyle name="Comma 4 3 2 4 11" xfId="9850" xr:uid="{37FE0956-6BF1-41F7-A01C-7F01992F6044}"/>
    <cellStyle name="Comma 4 3 2 4 11 2" xfId="19798" xr:uid="{F62190EC-1F49-4CDA-828A-9FA6C20A5926}"/>
    <cellStyle name="Comma 4 3 2 4 12" xfId="10679" xr:uid="{2604DC28-5AB5-4073-A852-6957CC22FCF3}"/>
    <cellStyle name="Comma 4 3 2 4 12 2" xfId="20627" xr:uid="{65FD6475-1EBE-48E4-B93F-C7C8F7437C1D}"/>
    <cellStyle name="Comma 4 3 2 4 13" xfId="1560" xr:uid="{15D1386E-E687-460F-8BA2-BBFE9870DCCA}"/>
    <cellStyle name="Comma 4 3 2 4 14" xfId="11508" xr:uid="{420DFE70-DEC9-4AE6-986C-14170055D2F8}"/>
    <cellStyle name="Comma 4 3 2 4 2" xfId="2389" xr:uid="{A27B9FFB-1539-47CF-AC1E-4FDBB259CC25}"/>
    <cellStyle name="Comma 4 3 2 4 2 2" xfId="12337" xr:uid="{E84E3331-34F9-442E-9626-76888B900947}"/>
    <cellStyle name="Comma 4 3 2 4 3" xfId="3218" xr:uid="{A2826FE9-90B1-4A40-96D2-78D568E2EA99}"/>
    <cellStyle name="Comma 4 3 2 4 3 2" xfId="13166" xr:uid="{9DE14EE8-9244-498F-A06A-DC00F5C2C725}"/>
    <cellStyle name="Comma 4 3 2 4 4" xfId="4047" xr:uid="{6A34B14B-0072-4B83-ACF9-B52C7586CBF2}"/>
    <cellStyle name="Comma 4 3 2 4 4 2" xfId="13995" xr:uid="{2FA6E800-609B-4C83-A784-D22BD706AFAC}"/>
    <cellStyle name="Comma 4 3 2 4 5" xfId="4876" xr:uid="{51461D2C-46B7-468F-9E8A-3415E2091B5E}"/>
    <cellStyle name="Comma 4 3 2 4 5 2" xfId="14824" xr:uid="{863E5CC7-847D-4D21-97B4-8AE02C0EF6E1}"/>
    <cellStyle name="Comma 4 3 2 4 6" xfId="5705" xr:uid="{62ECEFB9-B655-4317-959E-90B4329235D0}"/>
    <cellStyle name="Comma 4 3 2 4 6 2" xfId="15653" xr:uid="{1A1C6D2A-48C1-4916-9161-8B40E246E353}"/>
    <cellStyle name="Comma 4 3 2 4 7" xfId="6534" xr:uid="{BC811BDB-44EF-4142-8EC0-1C9F0FA7C6A7}"/>
    <cellStyle name="Comma 4 3 2 4 7 2" xfId="16482" xr:uid="{6044508F-CAD3-4FE8-96EB-4EE35F51E1CC}"/>
    <cellStyle name="Comma 4 3 2 4 8" xfId="7363" xr:uid="{4FF55DB2-D422-446E-9D8E-959D2CA7B6A4}"/>
    <cellStyle name="Comma 4 3 2 4 8 2" xfId="17311" xr:uid="{9534BC89-1F32-4BFF-8A41-7161636331C6}"/>
    <cellStyle name="Comma 4 3 2 4 9" xfId="8192" xr:uid="{430DD709-2460-42F5-ABF2-D08B010E68D3}"/>
    <cellStyle name="Comma 4 3 2 4 9 2" xfId="18140" xr:uid="{8BB9B25F-9B04-4502-B36A-26BE09D02A07}"/>
    <cellStyle name="Comma 4 3 2 5" xfId="1973" xr:uid="{9E2E4B99-9EC1-464B-9D00-958B3FD37ABF}"/>
    <cellStyle name="Comma 4 3 2 5 2" xfId="11921" xr:uid="{7BD24005-EE0D-4C8D-8B90-0ACF3FF64BE4}"/>
    <cellStyle name="Comma 4 3 2 6" xfId="2802" xr:uid="{58E3DB06-0F46-4C4D-BC7C-E61482A36F4E}"/>
    <cellStyle name="Comma 4 3 2 6 2" xfId="12750" xr:uid="{8C491B30-AB4F-4739-BDA0-487849266B16}"/>
    <cellStyle name="Comma 4 3 2 7" xfId="3631" xr:uid="{0CC56441-A002-468A-955A-05FCC69D77D3}"/>
    <cellStyle name="Comma 4 3 2 7 2" xfId="13579" xr:uid="{05E85B79-EFC8-472C-84CD-737BC61C0184}"/>
    <cellStyle name="Comma 4 3 2 8" xfId="4460" xr:uid="{9EEFFCDB-3376-44F3-91A2-332CF68E6B6F}"/>
    <cellStyle name="Comma 4 3 2 8 2" xfId="14408" xr:uid="{1063DD59-1894-476B-A92F-8F736A5CB489}"/>
    <cellStyle name="Comma 4 3 2 9" xfId="5289" xr:uid="{01DE043B-1A77-48BC-A7D9-DA504478C06E}"/>
    <cellStyle name="Comma 4 3 2 9 2" xfId="15237" xr:uid="{5CFF4101-2FA6-4A32-93C4-E069C8E195D6}"/>
    <cellStyle name="Comma 4 3 3" xfId="149" xr:uid="{00000000-0005-0000-0000-000008010000}"/>
    <cellStyle name="Comma 4 3 3 10" xfId="6951" xr:uid="{69293815-458A-4EDA-80BB-48D0D58677FF}"/>
    <cellStyle name="Comma 4 3 3 10 2" xfId="16899" xr:uid="{6DAB3F2B-6D29-4F71-8DB5-CCC98A44EF75}"/>
    <cellStyle name="Comma 4 3 3 11" xfId="7780" xr:uid="{E8D5712F-A9EA-4643-9178-FFB6AE82BD7B}"/>
    <cellStyle name="Comma 4 3 3 11 2" xfId="17728" xr:uid="{BD0A82C0-BFE5-4FF8-9049-161A3C74141E}"/>
    <cellStyle name="Comma 4 3 3 12" xfId="8609" xr:uid="{E961C6E9-D26A-4BED-BA5B-FE67BAC306A5}"/>
    <cellStyle name="Comma 4 3 3 12 2" xfId="18557" xr:uid="{F45C6E5C-5644-499F-9603-8BE744297392}"/>
    <cellStyle name="Comma 4 3 3 13" xfId="9438" xr:uid="{FB2EA740-0AF3-4D7F-8FE4-6D190F7AF2EB}"/>
    <cellStyle name="Comma 4 3 3 13 2" xfId="19386" xr:uid="{5502C65E-822D-483E-AADD-B547F3E3DF30}"/>
    <cellStyle name="Comma 4 3 3 14" xfId="10267" xr:uid="{ED303589-F166-4344-A032-67D1AFAAAF9A}"/>
    <cellStyle name="Comma 4 3 3 14 2" xfId="20215" xr:uid="{D0D5C3DC-1993-4ACD-ADDC-B70284201BC9}"/>
    <cellStyle name="Comma 4 3 3 15" xfId="1148" xr:uid="{DED36D4A-B432-42CF-9B70-C51380D21AAF}"/>
    <cellStyle name="Comma 4 3 3 16" xfId="11096" xr:uid="{CE872571-4DEF-46AB-B3F2-F9E3508CAFAD}"/>
    <cellStyle name="Comma 4 3 3 2" xfId="150" xr:uid="{00000000-0005-0000-0000-000009010000}"/>
    <cellStyle name="Comma 4 3 3 2 10" xfId="7781" xr:uid="{976012BC-ABDE-4E39-848F-876BCB51E2FF}"/>
    <cellStyle name="Comma 4 3 3 2 10 2" xfId="17729" xr:uid="{D21E2358-7D8A-4A70-8267-ABF237073967}"/>
    <cellStyle name="Comma 4 3 3 2 11" xfId="8610" xr:uid="{71F9D264-2E7B-47E9-AE4B-F3CA2BE1234B}"/>
    <cellStyle name="Comma 4 3 3 2 11 2" xfId="18558" xr:uid="{9F68601B-F8A8-464E-B6AD-B191CA3BFD7C}"/>
    <cellStyle name="Comma 4 3 3 2 12" xfId="9439" xr:uid="{6CE102F2-76B3-4ADE-8145-15FC5A372FEF}"/>
    <cellStyle name="Comma 4 3 3 2 12 2" xfId="19387" xr:uid="{E5635060-CC33-4B75-A662-61D308F01191}"/>
    <cellStyle name="Comma 4 3 3 2 13" xfId="10268" xr:uid="{434C38C7-589E-4A67-8689-4A0DF740E581}"/>
    <cellStyle name="Comma 4 3 3 2 13 2" xfId="20216" xr:uid="{B7CC4256-DD4E-4BAE-9B7F-B4EE3DD0ADAC}"/>
    <cellStyle name="Comma 4 3 3 2 14" xfId="1149" xr:uid="{EA026DFC-EEB9-4E25-94AE-FD66C5758EA2}"/>
    <cellStyle name="Comma 4 3 3 2 15" xfId="11097" xr:uid="{CD00977A-F85D-41A0-B992-B01BC902AE65}"/>
    <cellStyle name="Comma 4 3 3 2 2" xfId="695" xr:uid="{00000000-0005-0000-0000-00000A010000}"/>
    <cellStyle name="Comma 4 3 3 2 2 10" xfId="9026" xr:uid="{B0557C8B-53FC-440B-89CC-3984CC55EFB8}"/>
    <cellStyle name="Comma 4 3 3 2 2 10 2" xfId="18974" xr:uid="{E7DFF460-697A-4951-A7BA-805CD35402CA}"/>
    <cellStyle name="Comma 4 3 3 2 2 11" xfId="9855" xr:uid="{812B81B2-9491-45BE-8032-2502A074A84B}"/>
    <cellStyle name="Comma 4 3 3 2 2 11 2" xfId="19803" xr:uid="{5F30B033-4375-4761-B4A6-D3F0B5A3E9E9}"/>
    <cellStyle name="Comma 4 3 3 2 2 12" xfId="10684" xr:uid="{25131C93-8D36-4FD3-8CFF-9007C2A2C2FF}"/>
    <cellStyle name="Comma 4 3 3 2 2 12 2" xfId="20632" xr:uid="{9E1DEBE0-9A11-47C3-B8CF-DDE58F6F6C75}"/>
    <cellStyle name="Comma 4 3 3 2 2 13" xfId="1565" xr:uid="{FDC8EF93-416F-412A-A497-6F7910C234AA}"/>
    <cellStyle name="Comma 4 3 3 2 2 14" xfId="11513" xr:uid="{2A96BDB2-5F88-4F2A-B7C9-B89CDE91CAD2}"/>
    <cellStyle name="Comma 4 3 3 2 2 2" xfId="2394" xr:uid="{777B617A-2197-4F17-849E-127422B06F73}"/>
    <cellStyle name="Comma 4 3 3 2 2 2 2" xfId="12342" xr:uid="{F07694A3-8FFB-4B70-81E3-E8B0B971F428}"/>
    <cellStyle name="Comma 4 3 3 2 2 3" xfId="3223" xr:uid="{A933B2C9-33D6-4AC0-88DF-A5F861FBCA5C}"/>
    <cellStyle name="Comma 4 3 3 2 2 3 2" xfId="13171" xr:uid="{416057F4-1EDA-4070-8117-823077BD46FB}"/>
    <cellStyle name="Comma 4 3 3 2 2 4" xfId="4052" xr:uid="{3E55B644-4262-4CF3-BDDD-D8F7BD60AB15}"/>
    <cellStyle name="Comma 4 3 3 2 2 4 2" xfId="14000" xr:uid="{7CECB445-46E7-49CA-911A-4D3690D78259}"/>
    <cellStyle name="Comma 4 3 3 2 2 5" xfId="4881" xr:uid="{D798A0D4-4ECC-42E3-A67F-5AB892D2E21F}"/>
    <cellStyle name="Comma 4 3 3 2 2 5 2" xfId="14829" xr:uid="{9E0B1A88-53E5-4349-BE2A-012FDCD52DA9}"/>
    <cellStyle name="Comma 4 3 3 2 2 6" xfId="5710" xr:uid="{C1EA7C7C-BF35-42B5-98F5-DAE721780F1B}"/>
    <cellStyle name="Comma 4 3 3 2 2 6 2" xfId="15658" xr:uid="{8EF59968-F670-4536-827A-6591E88BE400}"/>
    <cellStyle name="Comma 4 3 3 2 2 7" xfId="6539" xr:uid="{B2BE87B0-A699-404D-BEFE-141DE5701D2F}"/>
    <cellStyle name="Comma 4 3 3 2 2 7 2" xfId="16487" xr:uid="{DA8A924C-9C7B-4856-80F6-89B2CE45C479}"/>
    <cellStyle name="Comma 4 3 3 2 2 8" xfId="7368" xr:uid="{59723908-E1F8-4844-8552-B8EEB69FDC6C}"/>
    <cellStyle name="Comma 4 3 3 2 2 8 2" xfId="17316" xr:uid="{4760579D-0354-4E00-ABDF-BADBCD96B783}"/>
    <cellStyle name="Comma 4 3 3 2 2 9" xfId="8197" xr:uid="{26781A30-5623-441C-AB3F-9C7AA8B00890}"/>
    <cellStyle name="Comma 4 3 3 2 2 9 2" xfId="18145" xr:uid="{3B28132F-F224-4A19-B625-DD2B6E758E3D}"/>
    <cellStyle name="Comma 4 3 3 2 3" xfId="1978" xr:uid="{E5D69980-3249-4385-B582-71703B228FFB}"/>
    <cellStyle name="Comma 4 3 3 2 3 2" xfId="11926" xr:uid="{DA3ACB62-17FC-48C3-AB71-CFF34C9B3BF0}"/>
    <cellStyle name="Comma 4 3 3 2 4" xfId="2807" xr:uid="{5F03A90E-D443-43C5-BEAE-CE15B2F5E19A}"/>
    <cellStyle name="Comma 4 3 3 2 4 2" xfId="12755" xr:uid="{BE7082BB-3A98-486E-88CA-6BE8C138A646}"/>
    <cellStyle name="Comma 4 3 3 2 5" xfId="3636" xr:uid="{CB94819B-04B1-43B4-BA9F-78C97C2BEB29}"/>
    <cellStyle name="Comma 4 3 3 2 5 2" xfId="13584" xr:uid="{69420ECD-BF79-42C8-82BF-A5F0C57CEDB1}"/>
    <cellStyle name="Comma 4 3 3 2 6" xfId="4465" xr:uid="{B97D63EC-B404-4087-9D70-EABAEE385708}"/>
    <cellStyle name="Comma 4 3 3 2 6 2" xfId="14413" xr:uid="{10C9D0DC-33F4-49B1-819E-9E48763AB612}"/>
    <cellStyle name="Comma 4 3 3 2 7" xfId="5294" xr:uid="{12965BF3-4C7A-4A9F-A615-F2A7D6F694A9}"/>
    <cellStyle name="Comma 4 3 3 2 7 2" xfId="15242" xr:uid="{648FA511-DE4A-43FA-B8ED-2DD7D7F84F13}"/>
    <cellStyle name="Comma 4 3 3 2 8" xfId="6123" xr:uid="{53B0CACF-4264-4FF4-A731-08E50A3799B7}"/>
    <cellStyle name="Comma 4 3 3 2 8 2" xfId="16071" xr:uid="{949B9C55-82C2-42B5-987A-917820B18457}"/>
    <cellStyle name="Comma 4 3 3 2 9" xfId="6952" xr:uid="{0F792CB7-2C2F-43D6-A9DA-9DBAF806B1E1}"/>
    <cellStyle name="Comma 4 3 3 2 9 2" xfId="16900" xr:uid="{BC97186C-18D5-409C-8536-39163E82B4CC}"/>
    <cellStyle name="Comma 4 3 3 3" xfId="694" xr:uid="{00000000-0005-0000-0000-00000B010000}"/>
    <cellStyle name="Comma 4 3 3 3 10" xfId="9025" xr:uid="{23E70B68-B77D-442A-B78C-BD8225C7F855}"/>
    <cellStyle name="Comma 4 3 3 3 10 2" xfId="18973" xr:uid="{FEE1D3B5-988C-41A3-9125-0F50C831255A}"/>
    <cellStyle name="Comma 4 3 3 3 11" xfId="9854" xr:uid="{884E6023-276F-42C2-86AE-AAC993AA4CFC}"/>
    <cellStyle name="Comma 4 3 3 3 11 2" xfId="19802" xr:uid="{389D74E1-D06E-4084-B579-648A2E2F54A5}"/>
    <cellStyle name="Comma 4 3 3 3 12" xfId="10683" xr:uid="{15055008-6022-4652-8A94-3CADFDA6586F}"/>
    <cellStyle name="Comma 4 3 3 3 12 2" xfId="20631" xr:uid="{6989A728-DAD3-44A9-8C78-5074F9ECFD18}"/>
    <cellStyle name="Comma 4 3 3 3 13" xfId="1564" xr:uid="{1AE7E69C-EBE3-4E6E-91BD-E9B1F4190AD0}"/>
    <cellStyle name="Comma 4 3 3 3 14" xfId="11512" xr:uid="{92475689-B3D3-44FE-B236-08A6B1A0FF0D}"/>
    <cellStyle name="Comma 4 3 3 3 2" xfId="2393" xr:uid="{780E0888-2F9E-47D0-B364-CD743599EEE2}"/>
    <cellStyle name="Comma 4 3 3 3 2 2" xfId="12341" xr:uid="{DFFEE69A-848D-40E3-9809-BD55FC359B96}"/>
    <cellStyle name="Comma 4 3 3 3 3" xfId="3222" xr:uid="{A38B7EA8-B2D2-4B6C-B02F-ACC49BC4E432}"/>
    <cellStyle name="Comma 4 3 3 3 3 2" xfId="13170" xr:uid="{87C46E05-39D7-4CD7-A9BA-477096539C03}"/>
    <cellStyle name="Comma 4 3 3 3 4" xfId="4051" xr:uid="{4793110A-07FA-4664-BAFB-2A66F2411256}"/>
    <cellStyle name="Comma 4 3 3 3 4 2" xfId="13999" xr:uid="{8ED61B96-FBF8-4975-9929-8D2B333F7236}"/>
    <cellStyle name="Comma 4 3 3 3 5" xfId="4880" xr:uid="{1BF0DC6D-635E-450F-A263-07B910AA5195}"/>
    <cellStyle name="Comma 4 3 3 3 5 2" xfId="14828" xr:uid="{13BA60D6-A531-4D5C-AA71-59FE7633A5E2}"/>
    <cellStyle name="Comma 4 3 3 3 6" xfId="5709" xr:uid="{60304B99-C734-4168-8AB9-027904F9D959}"/>
    <cellStyle name="Comma 4 3 3 3 6 2" xfId="15657" xr:uid="{9963FEF7-A7AF-4E61-AA6D-B16AAA540D8A}"/>
    <cellStyle name="Comma 4 3 3 3 7" xfId="6538" xr:uid="{C9541807-464A-4150-8186-D6964CB60625}"/>
    <cellStyle name="Comma 4 3 3 3 7 2" xfId="16486" xr:uid="{ACD49BE1-3A29-4580-BBEE-3B45096D50BE}"/>
    <cellStyle name="Comma 4 3 3 3 8" xfId="7367" xr:uid="{6FD54ACB-1FF7-48EB-9979-CD6A95CB0C6B}"/>
    <cellStyle name="Comma 4 3 3 3 8 2" xfId="17315" xr:uid="{06991A97-80F8-4BD5-89BC-69E1DDC608B0}"/>
    <cellStyle name="Comma 4 3 3 3 9" xfId="8196" xr:uid="{E69607BA-9796-4BFE-A795-33F5EA2C5BC9}"/>
    <cellStyle name="Comma 4 3 3 3 9 2" xfId="18144" xr:uid="{9D1A0D9D-087C-4788-B745-E43F1A5718AB}"/>
    <cellStyle name="Comma 4 3 3 4" xfId="1977" xr:uid="{70A92932-ED4F-4691-AC5F-8AB6E004F2F2}"/>
    <cellStyle name="Comma 4 3 3 4 2" xfId="11925" xr:uid="{C2950C38-6CD0-49C9-A319-6219D7BCC10C}"/>
    <cellStyle name="Comma 4 3 3 5" xfId="2806" xr:uid="{C5A9C2D8-37DA-4DF4-897B-21BAC7BE7209}"/>
    <cellStyle name="Comma 4 3 3 5 2" xfId="12754" xr:uid="{DF4E2AD5-1DCA-4435-ADB0-53D095155106}"/>
    <cellStyle name="Comma 4 3 3 6" xfId="3635" xr:uid="{55554BEA-0686-47DE-A61B-8D3D668E78EF}"/>
    <cellStyle name="Comma 4 3 3 6 2" xfId="13583" xr:uid="{597A32ED-F1A0-4B4D-A4E3-41C7505F6996}"/>
    <cellStyle name="Comma 4 3 3 7" xfId="4464" xr:uid="{F9291700-0F54-4D75-9F18-A8DD55D616D1}"/>
    <cellStyle name="Comma 4 3 3 7 2" xfId="14412" xr:uid="{BE687A8B-2982-4F47-B3FD-0D7F8AC2DC3C}"/>
    <cellStyle name="Comma 4 3 3 8" xfId="5293" xr:uid="{99994FE7-73C2-41A3-AEF9-6EBDF9634DF0}"/>
    <cellStyle name="Comma 4 3 3 8 2" xfId="15241" xr:uid="{2003EFD0-1E39-4E37-8E11-F886F4544A0E}"/>
    <cellStyle name="Comma 4 3 3 9" xfId="6122" xr:uid="{A2220956-B5A7-4E95-9A6B-68E2A2381284}"/>
    <cellStyle name="Comma 4 3 3 9 2" xfId="16070" xr:uid="{229FAD8D-C4EF-4029-B451-3573CFA8EF2A}"/>
    <cellStyle name="Comma 4 3 4" xfId="151" xr:uid="{00000000-0005-0000-0000-00000C010000}"/>
    <cellStyle name="Comma 4 3 4 10" xfId="7782" xr:uid="{27BB8C53-F16D-4F1F-B1F2-ED5F6BD9022B}"/>
    <cellStyle name="Comma 4 3 4 10 2" xfId="17730" xr:uid="{1F905384-EACB-4F3B-B743-999014CDB3A2}"/>
    <cellStyle name="Comma 4 3 4 11" xfId="8611" xr:uid="{23F90171-86F8-4567-B680-D26EF6A04FB2}"/>
    <cellStyle name="Comma 4 3 4 11 2" xfId="18559" xr:uid="{9658E940-440D-4FB2-8F9D-64821EC85475}"/>
    <cellStyle name="Comma 4 3 4 12" xfId="9440" xr:uid="{56F34934-9DCC-4754-8CCF-251D8BDDE63E}"/>
    <cellStyle name="Comma 4 3 4 12 2" xfId="19388" xr:uid="{167658ED-349D-45B1-9ED0-DAE9B0C5EEDA}"/>
    <cellStyle name="Comma 4 3 4 13" xfId="10269" xr:uid="{0222847B-1372-44A1-B582-41CE115D22B5}"/>
    <cellStyle name="Comma 4 3 4 13 2" xfId="20217" xr:uid="{E624CB44-7F23-419E-9757-0B905897D940}"/>
    <cellStyle name="Comma 4 3 4 14" xfId="1150" xr:uid="{E576456F-691B-46CA-988A-DA944DE6C551}"/>
    <cellStyle name="Comma 4 3 4 15" xfId="11098" xr:uid="{36E332A8-C9D9-44D8-A33D-3F21BF005E5D}"/>
    <cellStyle name="Comma 4 3 4 2" xfId="696" xr:uid="{00000000-0005-0000-0000-00000D010000}"/>
    <cellStyle name="Comma 4 3 4 2 10" xfId="9027" xr:uid="{F6858631-4C86-4302-9CC2-862851808598}"/>
    <cellStyle name="Comma 4 3 4 2 10 2" xfId="18975" xr:uid="{28D70085-221F-4CC8-98C9-681592A2B3BB}"/>
    <cellStyle name="Comma 4 3 4 2 11" xfId="9856" xr:uid="{C303E208-9275-455E-B4FD-088E75F0BEE2}"/>
    <cellStyle name="Comma 4 3 4 2 11 2" xfId="19804" xr:uid="{0E192E02-23F7-4EE0-A215-89B410A3E06F}"/>
    <cellStyle name="Comma 4 3 4 2 12" xfId="10685" xr:uid="{7C4FCDB8-E874-4105-A15C-3D1FA19B4E39}"/>
    <cellStyle name="Comma 4 3 4 2 12 2" xfId="20633" xr:uid="{A25A3B07-9FE3-4EF4-BB40-1E68B4108888}"/>
    <cellStyle name="Comma 4 3 4 2 13" xfId="1566" xr:uid="{94B3102F-F548-43AF-BFBB-976E4D04F73C}"/>
    <cellStyle name="Comma 4 3 4 2 14" xfId="11514" xr:uid="{64E9CCE6-C836-4CFA-8104-455877302B2F}"/>
    <cellStyle name="Comma 4 3 4 2 2" xfId="2395" xr:uid="{CD13ADDE-F8AF-4ED0-868E-91505BA1721A}"/>
    <cellStyle name="Comma 4 3 4 2 2 2" xfId="12343" xr:uid="{9B7E9C9F-DE58-4827-8EEF-67B52A5DD0FB}"/>
    <cellStyle name="Comma 4 3 4 2 3" xfId="3224" xr:uid="{ECBB65E2-A88A-499D-9C37-B8BC2E3DE3D5}"/>
    <cellStyle name="Comma 4 3 4 2 3 2" xfId="13172" xr:uid="{56257B97-1C74-4597-ACD8-AE57C57A65E0}"/>
    <cellStyle name="Comma 4 3 4 2 4" xfId="4053" xr:uid="{93EB9F58-E43D-424F-96C4-470CA0802C93}"/>
    <cellStyle name="Comma 4 3 4 2 4 2" xfId="14001" xr:uid="{FA57EEFA-8B36-41B2-84EA-EBB4DF2D820E}"/>
    <cellStyle name="Comma 4 3 4 2 5" xfId="4882" xr:uid="{BA3A80C1-6FB8-4348-8A77-1DBA6F91CCC0}"/>
    <cellStyle name="Comma 4 3 4 2 5 2" xfId="14830" xr:uid="{B63A8E8A-717C-480C-95C5-628218A237B1}"/>
    <cellStyle name="Comma 4 3 4 2 6" xfId="5711" xr:uid="{CC4C0446-706B-47A0-BD29-F749BC9432A1}"/>
    <cellStyle name="Comma 4 3 4 2 6 2" xfId="15659" xr:uid="{60E52C3B-C725-498F-855F-4A4ECFC4437C}"/>
    <cellStyle name="Comma 4 3 4 2 7" xfId="6540" xr:uid="{44148B74-E070-426C-A151-532BB4644534}"/>
    <cellStyle name="Comma 4 3 4 2 7 2" xfId="16488" xr:uid="{06D6154C-10CB-44B8-B615-A8F2C16783CD}"/>
    <cellStyle name="Comma 4 3 4 2 8" xfId="7369" xr:uid="{E3EEFB72-C40B-44C2-B8F9-E598BD45BA68}"/>
    <cellStyle name="Comma 4 3 4 2 8 2" xfId="17317" xr:uid="{CAADEC64-849C-4A3E-9152-5BA2896D94A1}"/>
    <cellStyle name="Comma 4 3 4 2 9" xfId="8198" xr:uid="{A34AD88E-70C7-4121-BEF6-3766F702C79A}"/>
    <cellStyle name="Comma 4 3 4 2 9 2" xfId="18146" xr:uid="{90B613FE-979D-4A05-AB23-859D0734E9DA}"/>
    <cellStyle name="Comma 4 3 4 3" xfId="1979" xr:uid="{464E88EC-D2DB-48CF-B295-A1A7422F7B91}"/>
    <cellStyle name="Comma 4 3 4 3 2" xfId="11927" xr:uid="{E461E92D-1ED3-4C1E-BD37-E90D36C931CB}"/>
    <cellStyle name="Comma 4 3 4 4" xfId="2808" xr:uid="{98FAE181-9049-4A6E-A8AB-C4A5DABE5514}"/>
    <cellStyle name="Comma 4 3 4 4 2" xfId="12756" xr:uid="{E8E3D7FA-5233-4142-B9A4-3E550348F84B}"/>
    <cellStyle name="Comma 4 3 4 5" xfId="3637" xr:uid="{1BED68AB-9F6B-427F-A350-7BC2B56CBC4D}"/>
    <cellStyle name="Comma 4 3 4 5 2" xfId="13585" xr:uid="{485AD4BE-8151-40F9-98A3-B85C5A7724F0}"/>
    <cellStyle name="Comma 4 3 4 6" xfId="4466" xr:uid="{DE966360-74D5-4B95-8445-810AF99E4C64}"/>
    <cellStyle name="Comma 4 3 4 6 2" xfId="14414" xr:uid="{3705D7AA-9D2D-4D3F-A768-5C21BC18FEED}"/>
    <cellStyle name="Comma 4 3 4 7" xfId="5295" xr:uid="{BF7907DF-1BFC-466D-B119-F3668ACB12DA}"/>
    <cellStyle name="Comma 4 3 4 7 2" xfId="15243" xr:uid="{2CB39E37-95E6-4A20-8976-7E8B86E5F5D7}"/>
    <cellStyle name="Comma 4 3 4 8" xfId="6124" xr:uid="{ED57BFEA-5FB9-4D24-B77A-C3DB587B8A08}"/>
    <cellStyle name="Comma 4 3 4 8 2" xfId="16072" xr:uid="{7D430E83-D651-4FE7-81B3-FF86C8BE3EC9}"/>
    <cellStyle name="Comma 4 3 4 9" xfId="6953" xr:uid="{7C0A7BD5-4494-4831-A66D-6CE57A1784D2}"/>
    <cellStyle name="Comma 4 3 4 9 2" xfId="16901" xr:uid="{CD4B3029-C123-4586-9706-A73A0F2F89B8}"/>
    <cellStyle name="Comma 4 3 5" xfId="152" xr:uid="{00000000-0005-0000-0000-00000E010000}"/>
    <cellStyle name="Comma 4 3 5 10" xfId="7783" xr:uid="{429372F8-89B8-4E48-8512-0D1FDA45643C}"/>
    <cellStyle name="Comma 4 3 5 10 2" xfId="17731" xr:uid="{1D391560-9EBE-4A5F-9247-363291B70386}"/>
    <cellStyle name="Comma 4 3 5 11" xfId="8612" xr:uid="{4C12E977-7F88-413D-B0E0-205321D668CE}"/>
    <cellStyle name="Comma 4 3 5 11 2" xfId="18560" xr:uid="{18BA527A-EE4E-479E-A4AE-69C856912213}"/>
    <cellStyle name="Comma 4 3 5 12" xfId="9441" xr:uid="{8519BFD1-3383-4F8C-8A0E-719944C9B875}"/>
    <cellStyle name="Comma 4 3 5 12 2" xfId="19389" xr:uid="{FB05DE2B-DBA7-4EA0-BEF0-23FAB79F2B5E}"/>
    <cellStyle name="Comma 4 3 5 13" xfId="10270" xr:uid="{4AF2E855-1546-42C3-AF75-66B9769DEB3F}"/>
    <cellStyle name="Comma 4 3 5 13 2" xfId="20218" xr:uid="{60C879E3-4D7E-43E0-A2D0-573CB7F33CEE}"/>
    <cellStyle name="Comma 4 3 5 14" xfId="1151" xr:uid="{8B969A28-C1AE-428C-8872-1A8E393F31B4}"/>
    <cellStyle name="Comma 4 3 5 15" xfId="11099" xr:uid="{1D8A6D21-64B1-4C12-8F19-227A36296FE9}"/>
    <cellStyle name="Comma 4 3 5 2" xfId="697" xr:uid="{00000000-0005-0000-0000-00000F010000}"/>
    <cellStyle name="Comma 4 3 5 2 10" xfId="9028" xr:uid="{CDAB4898-102F-4856-8ECD-4A52F38B1B31}"/>
    <cellStyle name="Comma 4 3 5 2 10 2" xfId="18976" xr:uid="{47FB3067-6DFD-461E-8C46-0C54CADE3E40}"/>
    <cellStyle name="Comma 4 3 5 2 11" xfId="9857" xr:uid="{2E27BB80-4EF8-48A0-B0A9-4AA600475B14}"/>
    <cellStyle name="Comma 4 3 5 2 11 2" xfId="19805" xr:uid="{A706115B-1F27-4854-8428-642CA0479946}"/>
    <cellStyle name="Comma 4 3 5 2 12" xfId="10686" xr:uid="{EB04D1B8-9B42-41B9-9C95-DC594D52D86F}"/>
    <cellStyle name="Comma 4 3 5 2 12 2" xfId="20634" xr:uid="{4C10F1BB-B3DE-4E86-9703-855E5EFBA459}"/>
    <cellStyle name="Comma 4 3 5 2 13" xfId="1567" xr:uid="{09ED175E-1226-4057-BEEB-B03AEE6B92BA}"/>
    <cellStyle name="Comma 4 3 5 2 14" xfId="11515" xr:uid="{6BB56ABA-BDD8-4496-9768-E0E2FBC244AF}"/>
    <cellStyle name="Comma 4 3 5 2 2" xfId="2396" xr:uid="{11B33BEB-02F8-4A6F-A27C-17D92B86E9FF}"/>
    <cellStyle name="Comma 4 3 5 2 2 2" xfId="12344" xr:uid="{956D2BA8-95E4-442B-80F1-AD9CADDD1227}"/>
    <cellStyle name="Comma 4 3 5 2 3" xfId="3225" xr:uid="{1DD4768C-AAC2-4ECA-90EE-F068176F7317}"/>
    <cellStyle name="Comma 4 3 5 2 3 2" xfId="13173" xr:uid="{841ABD20-9A03-43CA-AB3A-D5B111023BB7}"/>
    <cellStyle name="Comma 4 3 5 2 4" xfId="4054" xr:uid="{D911C247-12BD-49A6-AD31-0D5C783D3B01}"/>
    <cellStyle name="Comma 4 3 5 2 4 2" xfId="14002" xr:uid="{FC03400D-F263-41B8-B3E0-75F6D952D8F7}"/>
    <cellStyle name="Comma 4 3 5 2 5" xfId="4883" xr:uid="{62F65D8E-9254-4794-91AB-6A95ABD3510A}"/>
    <cellStyle name="Comma 4 3 5 2 5 2" xfId="14831" xr:uid="{530947D9-A7B5-45D7-8FD4-BCEDF6A3DF19}"/>
    <cellStyle name="Comma 4 3 5 2 6" xfId="5712" xr:uid="{F1AE9977-CA19-4AFD-A9BD-94DC38DEFE07}"/>
    <cellStyle name="Comma 4 3 5 2 6 2" xfId="15660" xr:uid="{1EC617F1-D680-4237-A7B5-C669DB013627}"/>
    <cellStyle name="Comma 4 3 5 2 7" xfId="6541" xr:uid="{1C1914AB-3C01-4021-B657-627EE0E81B58}"/>
    <cellStyle name="Comma 4 3 5 2 7 2" xfId="16489" xr:uid="{BD401163-2E5F-4D3D-9139-BD1616306E69}"/>
    <cellStyle name="Comma 4 3 5 2 8" xfId="7370" xr:uid="{446B278E-F8D3-40CB-A45D-F4B1AA081080}"/>
    <cellStyle name="Comma 4 3 5 2 8 2" xfId="17318" xr:uid="{3510A6FA-51A7-4713-9FDF-B2DF14E342DA}"/>
    <cellStyle name="Comma 4 3 5 2 9" xfId="8199" xr:uid="{A5DC99B8-3AA0-4713-915D-74C9EED06874}"/>
    <cellStyle name="Comma 4 3 5 2 9 2" xfId="18147" xr:uid="{7B2906BB-EF7D-499E-AB4A-E2F74B504D44}"/>
    <cellStyle name="Comma 4 3 5 3" xfId="1980" xr:uid="{11CD8AC1-5546-486A-BB1D-8EAD60513B78}"/>
    <cellStyle name="Comma 4 3 5 3 2" xfId="11928" xr:uid="{6F3396BC-FFED-4EE5-A2E6-10D0E8C4E714}"/>
    <cellStyle name="Comma 4 3 5 4" xfId="2809" xr:uid="{6116E469-9506-4ADF-89C8-039B2CA8AF17}"/>
    <cellStyle name="Comma 4 3 5 4 2" xfId="12757" xr:uid="{258A0F32-BE77-469E-A164-A6497D6DD897}"/>
    <cellStyle name="Comma 4 3 5 5" xfId="3638" xr:uid="{77A87EBB-1122-4F8C-BE44-39B781878AC0}"/>
    <cellStyle name="Comma 4 3 5 5 2" xfId="13586" xr:uid="{F282F2F6-FE39-47E0-A388-27BDCBF5EFC9}"/>
    <cellStyle name="Comma 4 3 5 6" xfId="4467" xr:uid="{0DBF7AD3-D5D3-41BC-AA73-692F8023F05B}"/>
    <cellStyle name="Comma 4 3 5 6 2" xfId="14415" xr:uid="{DB758515-783C-40AF-929D-13920A3C0EF6}"/>
    <cellStyle name="Comma 4 3 5 7" xfId="5296" xr:uid="{AB2CC6E2-4685-445E-849E-B7D4535841E9}"/>
    <cellStyle name="Comma 4 3 5 7 2" xfId="15244" xr:uid="{51230E7A-B4A1-4658-B0AF-61DED737FB64}"/>
    <cellStyle name="Comma 4 3 5 8" xfId="6125" xr:uid="{7F6B9BD5-0CEE-457A-BAE0-31A627BF574C}"/>
    <cellStyle name="Comma 4 3 5 8 2" xfId="16073" xr:uid="{ADE9BB26-F32B-4973-B2B2-E1E22C809144}"/>
    <cellStyle name="Comma 4 3 5 9" xfId="6954" xr:uid="{1B2A83F2-ED4B-4FD4-AC3D-3D20ACCF8A5D}"/>
    <cellStyle name="Comma 4 3 5 9 2" xfId="16902" xr:uid="{D8F1A375-100F-4C0F-AA15-9416BCF2CC76}"/>
    <cellStyle name="Comma 4 4" xfId="153" xr:uid="{00000000-0005-0000-0000-000010010000}"/>
    <cellStyle name="Comma 4 4 10" xfId="6126" xr:uid="{5BC8432A-DF56-4DFD-BC8E-1BA621B499B9}"/>
    <cellStyle name="Comma 4 4 10 2" xfId="16074" xr:uid="{2439BEFE-A112-4726-868F-0E3ADF64D257}"/>
    <cellStyle name="Comma 4 4 11" xfId="6955" xr:uid="{FAF36C72-0727-4BC1-9D18-8E3E056CC72C}"/>
    <cellStyle name="Comma 4 4 11 2" xfId="16903" xr:uid="{D0C58519-CDBD-45AA-AC00-22C83A7E45FE}"/>
    <cellStyle name="Comma 4 4 12" xfId="7784" xr:uid="{19737846-EC93-4E41-B21C-7635C430810F}"/>
    <cellStyle name="Comma 4 4 12 2" xfId="17732" xr:uid="{9CCE0CC5-3921-4D78-BE75-47AC0E2A8B8C}"/>
    <cellStyle name="Comma 4 4 13" xfId="8613" xr:uid="{514E67EE-4C50-4FA7-87E6-8F4BDFD04C2B}"/>
    <cellStyle name="Comma 4 4 13 2" xfId="18561" xr:uid="{A7A4F815-871A-40C8-85D1-C92381BFCA70}"/>
    <cellStyle name="Comma 4 4 14" xfId="9442" xr:uid="{00F27E87-0435-4C4B-A67E-C1DD67080C3A}"/>
    <cellStyle name="Comma 4 4 14 2" xfId="19390" xr:uid="{5F8BC839-37A7-4867-80C8-F035852241B5}"/>
    <cellStyle name="Comma 4 4 15" xfId="10271" xr:uid="{E36820CF-2D18-47CD-88FE-33165EA54CB4}"/>
    <cellStyle name="Comma 4 4 15 2" xfId="20219" xr:uid="{1822D0B2-EDC6-4B39-A287-8C4287C3F081}"/>
    <cellStyle name="Comma 4 4 16" xfId="1152" xr:uid="{261A1B58-BD80-4EA5-88D0-4A464FA380A0}"/>
    <cellStyle name="Comma 4 4 17" xfId="11100" xr:uid="{C8575176-6CC0-4628-99D7-064CB81C26A0}"/>
    <cellStyle name="Comma 4 4 2" xfId="154" xr:uid="{00000000-0005-0000-0000-000011010000}"/>
    <cellStyle name="Comma 4 4 2 10" xfId="6956" xr:uid="{3884CECB-02A1-4482-9ABB-0BB490DF77AF}"/>
    <cellStyle name="Comma 4 4 2 10 2" xfId="16904" xr:uid="{AD09F603-B02A-448D-ACA5-A20DE02E55A1}"/>
    <cellStyle name="Comma 4 4 2 11" xfId="7785" xr:uid="{8FF3E5CA-4398-46B8-9BCE-ED48D8BD83C9}"/>
    <cellStyle name="Comma 4 4 2 11 2" xfId="17733" xr:uid="{569B8D38-5A9E-4897-AECA-B6B23B9C1161}"/>
    <cellStyle name="Comma 4 4 2 12" xfId="8614" xr:uid="{76349478-156D-4FF3-8F3A-3E88AA5D0020}"/>
    <cellStyle name="Comma 4 4 2 12 2" xfId="18562" xr:uid="{5FE5FAFF-C4AB-43A8-99C7-EEA587ACA87D}"/>
    <cellStyle name="Comma 4 4 2 13" xfId="9443" xr:uid="{FC90356F-A662-486A-ADEA-05284A7A00B9}"/>
    <cellStyle name="Comma 4 4 2 13 2" xfId="19391" xr:uid="{1B4B0B11-E8DB-4156-A601-78A989538583}"/>
    <cellStyle name="Comma 4 4 2 14" xfId="10272" xr:uid="{0628BF39-E88B-4EBD-92A6-8A100DB03C5C}"/>
    <cellStyle name="Comma 4 4 2 14 2" xfId="20220" xr:uid="{22649191-06F1-475C-B018-1E3015CFABEF}"/>
    <cellStyle name="Comma 4 4 2 15" xfId="1153" xr:uid="{AC9F664D-D71A-42CE-BF1D-43A93555C338}"/>
    <cellStyle name="Comma 4 4 2 16" xfId="11101" xr:uid="{26C01F5C-5831-4449-8D80-C7D6037605E6}"/>
    <cellStyle name="Comma 4 4 2 2" xfId="155" xr:uid="{00000000-0005-0000-0000-000012010000}"/>
    <cellStyle name="Comma 4 4 2 2 10" xfId="7786" xr:uid="{A38B989A-CBEC-4B75-9D6B-43C6FA71E15A}"/>
    <cellStyle name="Comma 4 4 2 2 10 2" xfId="17734" xr:uid="{216D3064-24CF-4DD1-AC4A-023C62F7680A}"/>
    <cellStyle name="Comma 4 4 2 2 11" xfId="8615" xr:uid="{F1C068CE-AC45-4A70-AAC9-C0B038D2D40E}"/>
    <cellStyle name="Comma 4 4 2 2 11 2" xfId="18563" xr:uid="{13794576-499A-4D01-A067-6D62F924A78F}"/>
    <cellStyle name="Comma 4 4 2 2 12" xfId="9444" xr:uid="{8915C97C-771D-4353-B4F2-470F57C6DB7E}"/>
    <cellStyle name="Comma 4 4 2 2 12 2" xfId="19392" xr:uid="{4FB0A2D8-D8BE-42EC-8B67-3672DD6B74F8}"/>
    <cellStyle name="Comma 4 4 2 2 13" xfId="10273" xr:uid="{A04202DE-C585-41ED-A60A-A26D1A2F96C2}"/>
    <cellStyle name="Comma 4 4 2 2 13 2" xfId="20221" xr:uid="{6FD1C269-EFEC-4D63-940C-B6AF6058B950}"/>
    <cellStyle name="Comma 4 4 2 2 14" xfId="1154" xr:uid="{FD218283-42EA-4BE2-ABA4-6E40911C73EB}"/>
    <cellStyle name="Comma 4 4 2 2 15" xfId="11102" xr:uid="{A162BEEA-FB0D-456C-A07F-05D3EF800A4F}"/>
    <cellStyle name="Comma 4 4 2 2 2" xfId="700" xr:uid="{00000000-0005-0000-0000-000013010000}"/>
    <cellStyle name="Comma 4 4 2 2 2 10" xfId="9031" xr:uid="{60162AE3-F1EE-49E9-950B-43680EEF76D8}"/>
    <cellStyle name="Comma 4 4 2 2 2 10 2" xfId="18979" xr:uid="{0C0C63F1-DE1E-4D1D-9EE5-197B227E3C5B}"/>
    <cellStyle name="Comma 4 4 2 2 2 11" xfId="9860" xr:uid="{622FDF56-8B9D-41BA-A171-2DA479C9C8A1}"/>
    <cellStyle name="Comma 4 4 2 2 2 11 2" xfId="19808" xr:uid="{0AB17F22-27FD-4C1A-BF22-72A701A3708A}"/>
    <cellStyle name="Comma 4 4 2 2 2 12" xfId="10689" xr:uid="{1EE24DB9-37CB-4514-B026-90EFBF166257}"/>
    <cellStyle name="Comma 4 4 2 2 2 12 2" xfId="20637" xr:uid="{467D2AEA-0EFB-4D64-B36A-45E02D722782}"/>
    <cellStyle name="Comma 4 4 2 2 2 13" xfId="1570" xr:uid="{31C5C448-49BC-4972-A4DB-2D7282DAF8DC}"/>
    <cellStyle name="Comma 4 4 2 2 2 14" xfId="11518" xr:uid="{969A815D-80D5-4267-AE5D-602C974F547C}"/>
    <cellStyle name="Comma 4 4 2 2 2 2" xfId="2399" xr:uid="{B33D9F39-EC69-4214-92FE-853F32B90831}"/>
    <cellStyle name="Comma 4 4 2 2 2 2 2" xfId="12347" xr:uid="{49DD83ED-B267-4CBC-9CAC-0DA999B513B5}"/>
    <cellStyle name="Comma 4 4 2 2 2 3" xfId="3228" xr:uid="{64CFA5F3-6E14-424B-A529-60921F6F5965}"/>
    <cellStyle name="Comma 4 4 2 2 2 3 2" xfId="13176" xr:uid="{7F019B70-0E3D-4A19-BD72-E7ABF7F8FB83}"/>
    <cellStyle name="Comma 4 4 2 2 2 4" xfId="4057" xr:uid="{9A6FFD76-A626-4710-82E5-07FD3502B6C1}"/>
    <cellStyle name="Comma 4 4 2 2 2 4 2" xfId="14005" xr:uid="{A29980A5-F180-42E9-8C30-D5A169000B1A}"/>
    <cellStyle name="Comma 4 4 2 2 2 5" xfId="4886" xr:uid="{413B8288-DB30-4154-8CA0-071333D8B67F}"/>
    <cellStyle name="Comma 4 4 2 2 2 5 2" xfId="14834" xr:uid="{DE28E27F-19A7-42DD-B039-4DA6DB6A74DC}"/>
    <cellStyle name="Comma 4 4 2 2 2 6" xfId="5715" xr:uid="{9BD258A2-6052-47BD-8555-019833040920}"/>
    <cellStyle name="Comma 4 4 2 2 2 6 2" xfId="15663" xr:uid="{3A7BCDD0-2283-4C7C-A663-D5E134AAFB1D}"/>
    <cellStyle name="Comma 4 4 2 2 2 7" xfId="6544" xr:uid="{0D0F383C-1241-43AD-B1B7-7221C2583768}"/>
    <cellStyle name="Comma 4 4 2 2 2 7 2" xfId="16492" xr:uid="{A778065F-6C82-4DF5-85B0-5CBDD107D9A9}"/>
    <cellStyle name="Comma 4 4 2 2 2 8" xfId="7373" xr:uid="{307A5DF6-B0FF-45E9-A09A-A8B8F720505F}"/>
    <cellStyle name="Comma 4 4 2 2 2 8 2" xfId="17321" xr:uid="{109C8E5D-E968-4011-B3E8-FE67C260A3C5}"/>
    <cellStyle name="Comma 4 4 2 2 2 9" xfId="8202" xr:uid="{AE20B1D6-2BAA-45C3-ABAB-B9BCE23F0E06}"/>
    <cellStyle name="Comma 4 4 2 2 2 9 2" xfId="18150" xr:uid="{1FC2B557-91A9-434C-8320-7AD8187C9695}"/>
    <cellStyle name="Comma 4 4 2 2 3" xfId="1983" xr:uid="{71F84C35-4470-4FA6-92EA-0498DF02EED6}"/>
    <cellStyle name="Comma 4 4 2 2 3 2" xfId="11931" xr:uid="{06A697DE-E4B9-4BFD-9E19-209C4D280A0D}"/>
    <cellStyle name="Comma 4 4 2 2 4" xfId="2812" xr:uid="{C0CE585F-CF1E-496A-8EEA-B4979E25EB49}"/>
    <cellStyle name="Comma 4 4 2 2 4 2" xfId="12760" xr:uid="{4DA6CF9B-92AE-4A28-AA8A-083A26B83D13}"/>
    <cellStyle name="Comma 4 4 2 2 5" xfId="3641" xr:uid="{48A194C7-0C18-4A2C-9C6C-F0E0404F5EB0}"/>
    <cellStyle name="Comma 4 4 2 2 5 2" xfId="13589" xr:uid="{2E172D7C-C7A9-4226-911A-27B638AC5322}"/>
    <cellStyle name="Comma 4 4 2 2 6" xfId="4470" xr:uid="{116FC828-CBAF-45CB-80C3-34AAB74336B1}"/>
    <cellStyle name="Comma 4 4 2 2 6 2" xfId="14418" xr:uid="{4FE64F08-AFA8-461F-B826-ECE198DF50B0}"/>
    <cellStyle name="Comma 4 4 2 2 7" xfId="5299" xr:uid="{FCE2F55E-0389-4177-A3F7-82C2C26DE326}"/>
    <cellStyle name="Comma 4 4 2 2 7 2" xfId="15247" xr:uid="{F13E5D5C-9AE7-4AB7-9A02-91EA5B496DF3}"/>
    <cellStyle name="Comma 4 4 2 2 8" xfId="6128" xr:uid="{2E9B3B50-5352-4C80-9576-3DC1BFBE7679}"/>
    <cellStyle name="Comma 4 4 2 2 8 2" xfId="16076" xr:uid="{F965E62A-C6A5-4903-A5A5-5EAC7C3E74D7}"/>
    <cellStyle name="Comma 4 4 2 2 9" xfId="6957" xr:uid="{1B737222-2BA7-4881-9B81-5523D8024C2B}"/>
    <cellStyle name="Comma 4 4 2 2 9 2" xfId="16905" xr:uid="{52F37342-9D0C-487D-A2C6-A4DC4631ED3B}"/>
    <cellStyle name="Comma 4 4 2 3" xfId="699" xr:uid="{00000000-0005-0000-0000-000014010000}"/>
    <cellStyle name="Comma 4 4 2 3 10" xfId="9030" xr:uid="{51C6C553-051B-4598-A978-C9FC9A4EB333}"/>
    <cellStyle name="Comma 4 4 2 3 10 2" xfId="18978" xr:uid="{4772C71C-5BD1-4F2E-B50C-A51837459ED0}"/>
    <cellStyle name="Comma 4 4 2 3 11" xfId="9859" xr:uid="{F5AB9904-3F9F-4481-AB9A-31516C2E83C4}"/>
    <cellStyle name="Comma 4 4 2 3 11 2" xfId="19807" xr:uid="{B120CEE9-43E4-45A1-A54D-D56D806C88CD}"/>
    <cellStyle name="Comma 4 4 2 3 12" xfId="10688" xr:uid="{D2344412-8972-444F-9114-51DCBE3B7A24}"/>
    <cellStyle name="Comma 4 4 2 3 12 2" xfId="20636" xr:uid="{B824AB4C-3698-444A-9202-478649F4CD2A}"/>
    <cellStyle name="Comma 4 4 2 3 13" xfId="1569" xr:uid="{FB9B06C0-1D49-4922-A374-33F386B25F95}"/>
    <cellStyle name="Comma 4 4 2 3 14" xfId="11517" xr:uid="{E6AEBDDB-3E07-4933-BCEF-A09098461CB5}"/>
    <cellStyle name="Comma 4 4 2 3 2" xfId="2398" xr:uid="{AFDEF4F4-5E30-478B-AFD5-7965C5E776E6}"/>
    <cellStyle name="Comma 4 4 2 3 2 2" xfId="12346" xr:uid="{3E85B971-3378-44B5-ACE6-40AD8E226CCC}"/>
    <cellStyle name="Comma 4 4 2 3 3" xfId="3227" xr:uid="{B883D350-BEDB-4F8E-AAC3-AD54BA350F4D}"/>
    <cellStyle name="Comma 4 4 2 3 3 2" xfId="13175" xr:uid="{2312311F-5A2B-445B-88B6-C9B43A31B7C0}"/>
    <cellStyle name="Comma 4 4 2 3 4" xfId="4056" xr:uid="{037B5103-7EE3-4A4C-B22B-854E43DC9851}"/>
    <cellStyle name="Comma 4 4 2 3 4 2" xfId="14004" xr:uid="{7B99631D-9228-4945-AF05-6DA805D105CF}"/>
    <cellStyle name="Comma 4 4 2 3 5" xfId="4885" xr:uid="{18D08AF3-03DF-4C8E-9AF1-DAA65642898A}"/>
    <cellStyle name="Comma 4 4 2 3 5 2" xfId="14833" xr:uid="{734E9F1A-98EA-4326-951B-8ED808849A27}"/>
    <cellStyle name="Comma 4 4 2 3 6" xfId="5714" xr:uid="{E1742504-98B3-45D0-9B95-2F3B18F07067}"/>
    <cellStyle name="Comma 4 4 2 3 6 2" xfId="15662" xr:uid="{79EAA701-B8E7-42CD-A4BE-A960A6A155C1}"/>
    <cellStyle name="Comma 4 4 2 3 7" xfId="6543" xr:uid="{17B200BA-9AF9-4AD5-8218-D616531005E0}"/>
    <cellStyle name="Comma 4 4 2 3 7 2" xfId="16491" xr:uid="{EED232CE-DDF0-49CC-9F4D-E8365EFF229F}"/>
    <cellStyle name="Comma 4 4 2 3 8" xfId="7372" xr:uid="{E3371F43-91DE-477A-A910-8379991A367A}"/>
    <cellStyle name="Comma 4 4 2 3 8 2" xfId="17320" xr:uid="{66D02C64-CB69-4934-AB69-E251F588E32E}"/>
    <cellStyle name="Comma 4 4 2 3 9" xfId="8201" xr:uid="{F7A2F4F4-D32B-49F5-9BA1-F4AC47A0A44D}"/>
    <cellStyle name="Comma 4 4 2 3 9 2" xfId="18149" xr:uid="{92E92C36-30DD-42E2-B654-00B61606029D}"/>
    <cellStyle name="Comma 4 4 2 4" xfId="1982" xr:uid="{D6EE5EC6-B9FA-421B-96EA-5517E4DFFC54}"/>
    <cellStyle name="Comma 4 4 2 4 2" xfId="11930" xr:uid="{403947AB-C724-4FC8-A8D7-C19260EC0014}"/>
    <cellStyle name="Comma 4 4 2 5" xfId="2811" xr:uid="{B92A5DDC-87AE-499B-B29B-CC813BE9BF60}"/>
    <cellStyle name="Comma 4 4 2 5 2" xfId="12759" xr:uid="{74088A75-EA2F-4E74-9C42-1602BD9AE647}"/>
    <cellStyle name="Comma 4 4 2 6" xfId="3640" xr:uid="{26EF5B6A-D43E-4748-8AEA-353F01DBBDAB}"/>
    <cellStyle name="Comma 4 4 2 6 2" xfId="13588" xr:uid="{BC139D65-1D3F-4C03-A527-67F2C3F15E63}"/>
    <cellStyle name="Comma 4 4 2 7" xfId="4469" xr:uid="{093222D1-0C4E-46BE-8372-C46466D2F0D9}"/>
    <cellStyle name="Comma 4 4 2 7 2" xfId="14417" xr:uid="{2A4BB765-A82C-4AD6-BAC5-5AC82C0B90F3}"/>
    <cellStyle name="Comma 4 4 2 8" xfId="5298" xr:uid="{2CAF6EA6-372F-4661-BCF4-A8EF377A374B}"/>
    <cellStyle name="Comma 4 4 2 8 2" xfId="15246" xr:uid="{EC94C163-52BA-4B64-9EE2-12912C735B2E}"/>
    <cellStyle name="Comma 4 4 2 9" xfId="6127" xr:uid="{C5646716-3415-4042-BB38-C1EAAE5F3B47}"/>
    <cellStyle name="Comma 4 4 2 9 2" xfId="16075" xr:uid="{DE36B3AA-EA49-457E-B45C-25D86077EC8B}"/>
    <cellStyle name="Comma 4 4 3" xfId="156" xr:uid="{00000000-0005-0000-0000-000015010000}"/>
    <cellStyle name="Comma 4 4 3 10" xfId="7787" xr:uid="{B1AF5E61-5B93-4A3B-AAEA-DA78732DDCCE}"/>
    <cellStyle name="Comma 4 4 3 10 2" xfId="17735" xr:uid="{3109EE99-1C5C-483C-8B7C-325CCBEBBC74}"/>
    <cellStyle name="Comma 4 4 3 11" xfId="8616" xr:uid="{A2088956-E4E3-4F2A-9996-C500525AF538}"/>
    <cellStyle name="Comma 4 4 3 11 2" xfId="18564" xr:uid="{D89A0E46-1267-424D-AE37-5B18DA9AC442}"/>
    <cellStyle name="Comma 4 4 3 12" xfId="9445" xr:uid="{CED28358-8429-46FC-93A6-D5AECBD0BB52}"/>
    <cellStyle name="Comma 4 4 3 12 2" xfId="19393" xr:uid="{264ABF30-6423-4B9F-98BC-6A6735CAF37C}"/>
    <cellStyle name="Comma 4 4 3 13" xfId="10274" xr:uid="{B01DFCC1-0C2E-4EB9-B36C-49808C825632}"/>
    <cellStyle name="Comma 4 4 3 13 2" xfId="20222" xr:uid="{B021D0DD-57B5-4FA4-8BF0-24016A87D411}"/>
    <cellStyle name="Comma 4 4 3 14" xfId="1155" xr:uid="{292EE879-9910-4A06-8F40-A52DF2A9AD7D}"/>
    <cellStyle name="Comma 4 4 3 15" xfId="11103" xr:uid="{369FC2B5-B36A-4905-A2C0-A3506E1CAFF8}"/>
    <cellStyle name="Comma 4 4 3 2" xfId="701" xr:uid="{00000000-0005-0000-0000-000016010000}"/>
    <cellStyle name="Comma 4 4 3 2 10" xfId="9032" xr:uid="{DC3F472F-8606-4B44-9276-84A07669E663}"/>
    <cellStyle name="Comma 4 4 3 2 10 2" xfId="18980" xr:uid="{D1BB15FF-846E-4145-B72D-66F1188AE316}"/>
    <cellStyle name="Comma 4 4 3 2 11" xfId="9861" xr:uid="{9B2C200B-FDD1-4AD1-ABFC-33B80831BDBC}"/>
    <cellStyle name="Comma 4 4 3 2 11 2" xfId="19809" xr:uid="{DBACD570-6E78-4146-AA38-BA7E4CC41645}"/>
    <cellStyle name="Comma 4 4 3 2 12" xfId="10690" xr:uid="{B2C72A7B-B0D6-4AC0-BB1A-D4178717EEC9}"/>
    <cellStyle name="Comma 4 4 3 2 12 2" xfId="20638" xr:uid="{CF823B6A-2A62-40B0-B3AA-BE0A2CA58C63}"/>
    <cellStyle name="Comma 4 4 3 2 13" xfId="1571" xr:uid="{B76CC00F-968A-43DB-893B-B127CC1EE2E5}"/>
    <cellStyle name="Comma 4 4 3 2 14" xfId="11519" xr:uid="{97A77D84-D4DC-4229-82AA-229F2D8E9CFD}"/>
    <cellStyle name="Comma 4 4 3 2 2" xfId="2400" xr:uid="{0212A22C-BFFD-42DA-AFD5-E6606217D250}"/>
    <cellStyle name="Comma 4 4 3 2 2 2" xfId="12348" xr:uid="{A1AE2CDF-C40A-4B78-894E-CFE0113D7535}"/>
    <cellStyle name="Comma 4 4 3 2 3" xfId="3229" xr:uid="{DCB161CA-DDF5-411E-966A-0A491505D5CB}"/>
    <cellStyle name="Comma 4 4 3 2 3 2" xfId="13177" xr:uid="{75412BBF-3A83-48C2-928B-4B98B8DEE044}"/>
    <cellStyle name="Comma 4 4 3 2 4" xfId="4058" xr:uid="{4C20FDDE-CC91-46DE-A489-239DC064FD90}"/>
    <cellStyle name="Comma 4 4 3 2 4 2" xfId="14006" xr:uid="{7AA9C990-DAD5-4289-BCA2-C88BFCDFF5EB}"/>
    <cellStyle name="Comma 4 4 3 2 5" xfId="4887" xr:uid="{2A85CFD4-CBD1-481D-B3C6-E64E3B942A51}"/>
    <cellStyle name="Comma 4 4 3 2 5 2" xfId="14835" xr:uid="{136A7ADD-FA12-4661-B619-BC056849DC1E}"/>
    <cellStyle name="Comma 4 4 3 2 6" xfId="5716" xr:uid="{68F55759-148E-4540-8AEA-5D66B793C048}"/>
    <cellStyle name="Comma 4 4 3 2 6 2" xfId="15664" xr:uid="{12387DEF-4EED-478A-A83E-CF4968D85CEC}"/>
    <cellStyle name="Comma 4 4 3 2 7" xfId="6545" xr:uid="{C8680B04-F7D6-47A4-AD56-9BEF8B640939}"/>
    <cellStyle name="Comma 4 4 3 2 7 2" xfId="16493" xr:uid="{31917620-6B54-41BA-B404-BDBF37E97673}"/>
    <cellStyle name="Comma 4 4 3 2 8" xfId="7374" xr:uid="{2F93CCA0-0D82-4BBC-9823-22E17B28D729}"/>
    <cellStyle name="Comma 4 4 3 2 8 2" xfId="17322" xr:uid="{1655FE1F-CA96-4A04-A010-AE2734968289}"/>
    <cellStyle name="Comma 4 4 3 2 9" xfId="8203" xr:uid="{E9D55C74-8C0C-413C-B966-A9C814322EB9}"/>
    <cellStyle name="Comma 4 4 3 2 9 2" xfId="18151" xr:uid="{4E14CDE4-8B7C-4A33-968B-BD00288196F3}"/>
    <cellStyle name="Comma 4 4 3 3" xfId="1984" xr:uid="{6051A92E-49ED-48C0-ADBE-C7BD8BFB4F9A}"/>
    <cellStyle name="Comma 4 4 3 3 2" xfId="11932" xr:uid="{5AA663B4-04AE-47A7-8CDE-A9F7519F0DC0}"/>
    <cellStyle name="Comma 4 4 3 4" xfId="2813" xr:uid="{C7490480-3FF5-44A1-87EE-2CE7BEBFFB78}"/>
    <cellStyle name="Comma 4 4 3 4 2" xfId="12761" xr:uid="{14B57DBA-57AD-40F9-8573-2396446B001D}"/>
    <cellStyle name="Comma 4 4 3 5" xfId="3642" xr:uid="{F0831636-28A9-4C03-ABB4-FC5F2EE68E05}"/>
    <cellStyle name="Comma 4 4 3 5 2" xfId="13590" xr:uid="{BCEC4151-AC10-47B9-9BFA-02E4BB09DF37}"/>
    <cellStyle name="Comma 4 4 3 6" xfId="4471" xr:uid="{FE52C962-5F5A-420F-8009-D42ADCB0E5D5}"/>
    <cellStyle name="Comma 4 4 3 6 2" xfId="14419" xr:uid="{781A91B2-A9F7-4020-91FD-414CF9145AA0}"/>
    <cellStyle name="Comma 4 4 3 7" xfId="5300" xr:uid="{45AED8F1-70B8-4F44-B692-05E27D65D82E}"/>
    <cellStyle name="Comma 4 4 3 7 2" xfId="15248" xr:uid="{EDBE41F6-AB18-47EC-87D7-2728C362A6F3}"/>
    <cellStyle name="Comma 4 4 3 8" xfId="6129" xr:uid="{777CED0B-94F9-4994-BB1C-1836DFC1BA93}"/>
    <cellStyle name="Comma 4 4 3 8 2" xfId="16077" xr:uid="{83DBFAA3-8198-46B3-8A16-30BDCBEE4E25}"/>
    <cellStyle name="Comma 4 4 3 9" xfId="6958" xr:uid="{9C6296DD-B148-415D-8E22-8D5CD7EA0790}"/>
    <cellStyle name="Comma 4 4 3 9 2" xfId="16906" xr:uid="{0F9737F0-F081-4E73-9E88-EA835CFF22B0}"/>
    <cellStyle name="Comma 4 4 4" xfId="698" xr:uid="{00000000-0005-0000-0000-000017010000}"/>
    <cellStyle name="Comma 4 4 4 10" xfId="9029" xr:uid="{CE664C7E-F88A-4E88-BAE6-2E431BBCCCB2}"/>
    <cellStyle name="Comma 4 4 4 10 2" xfId="18977" xr:uid="{4C6263A1-F300-4EB0-9D9F-51B971B455B0}"/>
    <cellStyle name="Comma 4 4 4 11" xfId="9858" xr:uid="{025772D0-2A55-427D-80C0-D75FB721D860}"/>
    <cellStyle name="Comma 4 4 4 11 2" xfId="19806" xr:uid="{4614F962-992E-4A72-B4C9-717F85DF54A3}"/>
    <cellStyle name="Comma 4 4 4 12" xfId="10687" xr:uid="{9BAC7ACF-CBFE-4832-A1BE-603F68064B52}"/>
    <cellStyle name="Comma 4 4 4 12 2" xfId="20635" xr:uid="{9B1E3069-CA2B-4E32-AD48-E528C2AAD729}"/>
    <cellStyle name="Comma 4 4 4 13" xfId="1568" xr:uid="{CA71A181-F55C-4016-B840-CF023DAEE4D1}"/>
    <cellStyle name="Comma 4 4 4 14" xfId="11516" xr:uid="{DF97B9BC-A937-4D07-B24E-A6FE55AC119E}"/>
    <cellStyle name="Comma 4 4 4 2" xfId="2397" xr:uid="{3B1D9D6C-87F9-4E0B-B1FA-0FE4BCB6A240}"/>
    <cellStyle name="Comma 4 4 4 2 2" xfId="12345" xr:uid="{93AFDAC9-174F-46A7-AFB4-CE6ADC898C26}"/>
    <cellStyle name="Comma 4 4 4 3" xfId="3226" xr:uid="{C8C8EBE8-D3D3-4ECE-9F64-C9AA651EB395}"/>
    <cellStyle name="Comma 4 4 4 3 2" xfId="13174" xr:uid="{E2299411-4603-42B9-9C54-DE1266764BAD}"/>
    <cellStyle name="Comma 4 4 4 4" xfId="4055" xr:uid="{EA4D10DA-D564-4221-8C6E-EC22A1AFE9C9}"/>
    <cellStyle name="Comma 4 4 4 4 2" xfId="14003" xr:uid="{64354629-0058-4F07-BB83-364C29DC8B1D}"/>
    <cellStyle name="Comma 4 4 4 5" xfId="4884" xr:uid="{E2322C6A-328C-4C61-A6F9-3A1C8D7B753E}"/>
    <cellStyle name="Comma 4 4 4 5 2" xfId="14832" xr:uid="{3256C57E-8751-4C2C-A7E9-316BD217351B}"/>
    <cellStyle name="Comma 4 4 4 6" xfId="5713" xr:uid="{E5FE1C73-4602-464E-AC14-AF9E1036BE57}"/>
    <cellStyle name="Comma 4 4 4 6 2" xfId="15661" xr:uid="{4F36D948-8576-455A-B00A-1827E592A72E}"/>
    <cellStyle name="Comma 4 4 4 7" xfId="6542" xr:uid="{9999EF2A-49EF-4B3A-8A35-E5EE3334690F}"/>
    <cellStyle name="Comma 4 4 4 7 2" xfId="16490" xr:uid="{BBD9B5AC-3518-44CD-9B75-7BBDF329D2A9}"/>
    <cellStyle name="Comma 4 4 4 8" xfId="7371" xr:uid="{BC774B35-4983-4367-A937-60724D71C24E}"/>
    <cellStyle name="Comma 4 4 4 8 2" xfId="17319" xr:uid="{55CB8EC8-DA23-47BA-A756-FFE04B57A2F0}"/>
    <cellStyle name="Comma 4 4 4 9" xfId="8200" xr:uid="{D87CC343-CBC1-4B2F-85B1-9D8F42D6E9A4}"/>
    <cellStyle name="Comma 4 4 4 9 2" xfId="18148" xr:uid="{5CF95A0F-79F2-40D3-BD57-391ED3F32905}"/>
    <cellStyle name="Comma 4 4 5" xfId="1981" xr:uid="{AB4E69DC-FB0D-4896-916F-CB7840C03D91}"/>
    <cellStyle name="Comma 4 4 5 2" xfId="11929" xr:uid="{11DDBA4D-3DB4-44F0-8432-4731CE0DEC54}"/>
    <cellStyle name="Comma 4 4 6" xfId="2810" xr:uid="{F9B051EF-7D5C-4E74-892B-3255A1D3ED7B}"/>
    <cellStyle name="Comma 4 4 6 2" xfId="12758" xr:uid="{CBD8F79A-8DBD-4F69-A6DD-A38D51F21AC2}"/>
    <cellStyle name="Comma 4 4 7" xfId="3639" xr:uid="{418481D0-4902-40B8-9786-344BB6CD050E}"/>
    <cellStyle name="Comma 4 4 7 2" xfId="13587" xr:uid="{4080D99A-3497-4929-96AE-FD9E55512C60}"/>
    <cellStyle name="Comma 4 4 8" xfId="4468" xr:uid="{7C0DEEA0-41DE-44EE-843A-3FED51F4B7AC}"/>
    <cellStyle name="Comma 4 4 8 2" xfId="14416" xr:uid="{0B358DD7-E04C-45DD-9B4B-11A67CCF9E1E}"/>
    <cellStyle name="Comma 4 4 9" xfId="5297" xr:uid="{84C9EC3A-891F-41C8-A747-799E64C53BA1}"/>
    <cellStyle name="Comma 4 4 9 2" xfId="15245" xr:uid="{92F55B1E-8906-4DBA-9C13-0A378E78196C}"/>
    <cellStyle name="Comma 4 5" xfId="157" xr:uid="{00000000-0005-0000-0000-000018010000}"/>
    <cellStyle name="Comma 4 5 10" xfId="6959" xr:uid="{167964ED-0837-47CE-9340-F0E435ADAF10}"/>
    <cellStyle name="Comma 4 5 10 2" xfId="16907" xr:uid="{57422703-1774-448F-8C38-33CDA3395C88}"/>
    <cellStyle name="Comma 4 5 11" xfId="7788" xr:uid="{3B3A89BE-7962-4AE5-B2E1-53E0B3C585E8}"/>
    <cellStyle name="Comma 4 5 11 2" xfId="17736" xr:uid="{D9422106-1D22-454C-9F88-88417F7973BB}"/>
    <cellStyle name="Comma 4 5 12" xfId="8617" xr:uid="{BFFC74BF-0389-48C9-AB55-DA5C44126333}"/>
    <cellStyle name="Comma 4 5 12 2" xfId="18565" xr:uid="{DC6290B6-DDA2-489E-954F-03783760FB6A}"/>
    <cellStyle name="Comma 4 5 13" xfId="9446" xr:uid="{78E243A5-D67C-48E1-8CA8-319C164767C8}"/>
    <cellStyle name="Comma 4 5 13 2" xfId="19394" xr:uid="{391D1EB6-EB61-4EED-933D-430B81B236EC}"/>
    <cellStyle name="Comma 4 5 14" xfId="10275" xr:uid="{A2FF5578-0E32-4B52-B295-614FAA53C020}"/>
    <cellStyle name="Comma 4 5 14 2" xfId="20223" xr:uid="{4C498CF0-1E7C-4F83-9429-4811E97197BF}"/>
    <cellStyle name="Comma 4 5 15" xfId="1156" xr:uid="{42349064-BB2E-4402-9FC1-8ADB12154EA1}"/>
    <cellStyle name="Comma 4 5 16" xfId="11104" xr:uid="{A9C8E647-83F3-46FF-9E43-B718C272125F}"/>
    <cellStyle name="Comma 4 5 2" xfId="158" xr:uid="{00000000-0005-0000-0000-000019010000}"/>
    <cellStyle name="Comma 4 5 2 10" xfId="7789" xr:uid="{43C57A08-C61B-4E39-893D-5F2D56390AEF}"/>
    <cellStyle name="Comma 4 5 2 10 2" xfId="17737" xr:uid="{7E3C8575-DF3D-4428-BC0E-91A02C3D557B}"/>
    <cellStyle name="Comma 4 5 2 11" xfId="8618" xr:uid="{4EF97209-0BCE-4F49-92BA-9B67870E9DF2}"/>
    <cellStyle name="Comma 4 5 2 11 2" xfId="18566" xr:uid="{C0F89745-EE80-47AE-ADB3-06E1DAEB6810}"/>
    <cellStyle name="Comma 4 5 2 12" xfId="9447" xr:uid="{71B397FF-E2F0-485D-A9A1-7AA660F6E434}"/>
    <cellStyle name="Comma 4 5 2 12 2" xfId="19395" xr:uid="{E82C4A92-0E55-446C-8372-E2881A4D4E2D}"/>
    <cellStyle name="Comma 4 5 2 13" xfId="10276" xr:uid="{D33EB078-DDCA-4056-8CE3-9B2FBA93B57A}"/>
    <cellStyle name="Comma 4 5 2 13 2" xfId="20224" xr:uid="{C43BD5AC-52AE-400A-BF65-A9AB5894F882}"/>
    <cellStyle name="Comma 4 5 2 14" xfId="1157" xr:uid="{24133254-6336-4D93-B423-9AB47C517F9C}"/>
    <cellStyle name="Comma 4 5 2 15" xfId="11105" xr:uid="{68113933-C956-4708-8A7F-E686474E2B62}"/>
    <cellStyle name="Comma 4 5 2 2" xfId="703" xr:uid="{00000000-0005-0000-0000-00001A010000}"/>
    <cellStyle name="Comma 4 5 2 2 10" xfId="9034" xr:uid="{C4CDB750-8E76-4142-B68B-0393E299A902}"/>
    <cellStyle name="Comma 4 5 2 2 10 2" xfId="18982" xr:uid="{BB56A887-7CAF-46B5-AB0E-254A80E44F7C}"/>
    <cellStyle name="Comma 4 5 2 2 11" xfId="9863" xr:uid="{B478D443-E4DD-4172-9BD5-A7528B210310}"/>
    <cellStyle name="Comma 4 5 2 2 11 2" xfId="19811" xr:uid="{D834E06F-ED50-4B41-BB6C-2F8B6DCB96A4}"/>
    <cellStyle name="Comma 4 5 2 2 12" xfId="10692" xr:uid="{95DA6477-33E9-44BF-963F-7B4E5DDD31C5}"/>
    <cellStyle name="Comma 4 5 2 2 12 2" xfId="20640" xr:uid="{F145CFEC-9F05-4BC7-8565-094DF2435B14}"/>
    <cellStyle name="Comma 4 5 2 2 13" xfId="1573" xr:uid="{1E1A901D-B146-4AB7-9FF4-3B49FE64EC42}"/>
    <cellStyle name="Comma 4 5 2 2 14" xfId="11521" xr:uid="{E9A9CF89-2F92-45C9-A359-0A7EE45B7CD1}"/>
    <cellStyle name="Comma 4 5 2 2 2" xfId="2402" xr:uid="{5D9A5D6D-7DF8-4165-B3B8-90464B0CE2A3}"/>
    <cellStyle name="Comma 4 5 2 2 2 2" xfId="12350" xr:uid="{88679654-1AA1-4225-8648-2CDA478DD84F}"/>
    <cellStyle name="Comma 4 5 2 2 3" xfId="3231" xr:uid="{69692DA0-D1AD-40A4-A712-1D7FFFF9DA43}"/>
    <cellStyle name="Comma 4 5 2 2 3 2" xfId="13179" xr:uid="{1F9A9F44-A2D1-44C0-BD72-FD593137CC0B}"/>
    <cellStyle name="Comma 4 5 2 2 4" xfId="4060" xr:uid="{2F763615-7B5C-492D-9A0B-1A737EF40509}"/>
    <cellStyle name="Comma 4 5 2 2 4 2" xfId="14008" xr:uid="{0765F793-1681-40A9-8DD9-1D2403906154}"/>
    <cellStyle name="Comma 4 5 2 2 5" xfId="4889" xr:uid="{78913E46-2ED6-4F35-B9ED-74B085D621FD}"/>
    <cellStyle name="Comma 4 5 2 2 5 2" xfId="14837" xr:uid="{47D40B7C-D2F1-4C12-AD94-AA1FC81B69E2}"/>
    <cellStyle name="Comma 4 5 2 2 6" xfId="5718" xr:uid="{7018D685-DD40-400C-8C38-C51698A8DE55}"/>
    <cellStyle name="Comma 4 5 2 2 6 2" xfId="15666" xr:uid="{B49CA7A3-871A-49CB-93DE-FF3127102BB3}"/>
    <cellStyle name="Comma 4 5 2 2 7" xfId="6547" xr:uid="{2C450DAE-3933-4846-8CAB-0AF182CAD590}"/>
    <cellStyle name="Comma 4 5 2 2 7 2" xfId="16495" xr:uid="{065AA50A-7EE6-47DD-9D76-F289C79320B9}"/>
    <cellStyle name="Comma 4 5 2 2 8" xfId="7376" xr:uid="{63121CE2-3B47-4A5C-9D0D-20A6EB847788}"/>
    <cellStyle name="Comma 4 5 2 2 8 2" xfId="17324" xr:uid="{A0CEA912-3365-4BBB-989C-7537118C951A}"/>
    <cellStyle name="Comma 4 5 2 2 9" xfId="8205" xr:uid="{944E7196-D802-4C2A-AC22-0B129FF9761B}"/>
    <cellStyle name="Comma 4 5 2 2 9 2" xfId="18153" xr:uid="{6E8B12D7-3606-41E9-961A-F7BDBC8F7A31}"/>
    <cellStyle name="Comma 4 5 2 3" xfId="1986" xr:uid="{3BD200B4-B948-4863-B148-495A0A5C2261}"/>
    <cellStyle name="Comma 4 5 2 3 2" xfId="11934" xr:uid="{CE8383C3-1AD6-465F-9310-1720792E18D0}"/>
    <cellStyle name="Comma 4 5 2 4" xfId="2815" xr:uid="{90DF1B46-F7FF-4C48-8526-8D77A25A45AA}"/>
    <cellStyle name="Comma 4 5 2 4 2" xfId="12763" xr:uid="{5BAB936D-3E1C-48F2-8B2A-06467B8C7D40}"/>
    <cellStyle name="Comma 4 5 2 5" xfId="3644" xr:uid="{EF10ACD6-EAEA-4F15-A1EF-BF546D75A848}"/>
    <cellStyle name="Comma 4 5 2 5 2" xfId="13592" xr:uid="{578F235B-70B9-4626-9CED-B3E5DEEB0891}"/>
    <cellStyle name="Comma 4 5 2 6" xfId="4473" xr:uid="{7A12EFA9-A4C1-4462-BFEA-6A0D0E5FFED3}"/>
    <cellStyle name="Comma 4 5 2 6 2" xfId="14421" xr:uid="{F5C5FE84-0477-4C25-8B3E-62F006145EF1}"/>
    <cellStyle name="Comma 4 5 2 7" xfId="5302" xr:uid="{15E86327-E296-4CB4-8AB8-F1855D80C5E4}"/>
    <cellStyle name="Comma 4 5 2 7 2" xfId="15250" xr:uid="{DCF89F27-0DA1-4577-862A-03EA39FEEF2B}"/>
    <cellStyle name="Comma 4 5 2 8" xfId="6131" xr:uid="{EF21FCD9-3321-498B-9F81-4B817BBA4630}"/>
    <cellStyle name="Comma 4 5 2 8 2" xfId="16079" xr:uid="{E39B2B14-AA8E-4223-8E55-B357636BA584}"/>
    <cellStyle name="Comma 4 5 2 9" xfId="6960" xr:uid="{6B2A60BF-4408-48CC-B93C-7ED555C7AF1A}"/>
    <cellStyle name="Comma 4 5 2 9 2" xfId="16908" xr:uid="{81C84376-9645-4317-BE9E-C85ED358DF03}"/>
    <cellStyle name="Comma 4 5 3" xfId="702" xr:uid="{00000000-0005-0000-0000-00001B010000}"/>
    <cellStyle name="Comma 4 5 3 10" xfId="9033" xr:uid="{DFBD89D1-AC65-4CBF-8CA3-0E38C90A72AE}"/>
    <cellStyle name="Comma 4 5 3 10 2" xfId="18981" xr:uid="{5494E76B-6C17-4836-ACCF-9B4C2ED3D405}"/>
    <cellStyle name="Comma 4 5 3 11" xfId="9862" xr:uid="{CBA3285C-D0DA-4D3B-8FEB-11812BF4E03C}"/>
    <cellStyle name="Comma 4 5 3 11 2" xfId="19810" xr:uid="{B62F51C1-15EE-4DEE-A15F-A1218254BC9D}"/>
    <cellStyle name="Comma 4 5 3 12" xfId="10691" xr:uid="{E8D27236-6C0A-4EAD-86D8-A70FCA398A40}"/>
    <cellStyle name="Comma 4 5 3 12 2" xfId="20639" xr:uid="{CAC4B897-4AD1-47A2-B4C3-09FBEEAAEDD0}"/>
    <cellStyle name="Comma 4 5 3 13" xfId="1572" xr:uid="{449632B3-BBF5-415E-B792-B8C2A99307D4}"/>
    <cellStyle name="Comma 4 5 3 14" xfId="11520" xr:uid="{BCAF9A64-14CC-429A-B645-D2183BF91159}"/>
    <cellStyle name="Comma 4 5 3 2" xfId="2401" xr:uid="{47D5F280-9287-4562-91D9-0F8C2125AFF2}"/>
    <cellStyle name="Comma 4 5 3 2 2" xfId="12349" xr:uid="{1162B97F-2C3E-44EE-B4DC-98A3FBA1E53B}"/>
    <cellStyle name="Comma 4 5 3 3" xfId="3230" xr:uid="{36D0C877-4FF4-4F72-8C39-814F98CFAF94}"/>
    <cellStyle name="Comma 4 5 3 3 2" xfId="13178" xr:uid="{164BA9E1-7585-466B-9184-AB88B288FDF3}"/>
    <cellStyle name="Comma 4 5 3 4" xfId="4059" xr:uid="{AE6AD158-BCE5-4096-BB30-C4FE304925D7}"/>
    <cellStyle name="Comma 4 5 3 4 2" xfId="14007" xr:uid="{4953875A-9CE9-4D0B-A427-3BCDA1992012}"/>
    <cellStyle name="Comma 4 5 3 5" xfId="4888" xr:uid="{FF8AC390-32AF-4EA6-9643-2AD0C1D284EC}"/>
    <cellStyle name="Comma 4 5 3 5 2" xfId="14836" xr:uid="{3D4F533E-81E3-4DE0-B1A5-476615F705DC}"/>
    <cellStyle name="Comma 4 5 3 6" xfId="5717" xr:uid="{A0D003FE-48C1-4BC9-9F18-5573C1E3CD53}"/>
    <cellStyle name="Comma 4 5 3 6 2" xfId="15665" xr:uid="{5F7BB0B6-03CD-468B-BC5B-620396F3C346}"/>
    <cellStyle name="Comma 4 5 3 7" xfId="6546" xr:uid="{0EA25B2C-D7ED-41A8-A5BD-D0E54D318608}"/>
    <cellStyle name="Comma 4 5 3 7 2" xfId="16494" xr:uid="{87418A9D-F092-4F23-8004-95F4612B4CC8}"/>
    <cellStyle name="Comma 4 5 3 8" xfId="7375" xr:uid="{4FC3ABA9-7360-4FA1-9ADE-360051EF6697}"/>
    <cellStyle name="Comma 4 5 3 8 2" xfId="17323" xr:uid="{05114563-CBF7-4A5E-B86C-A3394E9627A1}"/>
    <cellStyle name="Comma 4 5 3 9" xfId="8204" xr:uid="{EF32B290-6E99-4F68-92C9-A20439A4D91A}"/>
    <cellStyle name="Comma 4 5 3 9 2" xfId="18152" xr:uid="{08B670E6-888F-438B-8722-AD08039CD9AF}"/>
    <cellStyle name="Comma 4 5 4" xfId="1985" xr:uid="{63A8D36E-B302-415C-9EF5-8F4746F86322}"/>
    <cellStyle name="Comma 4 5 4 2" xfId="11933" xr:uid="{7FC16A63-169C-474D-8750-9000C356F451}"/>
    <cellStyle name="Comma 4 5 5" xfId="2814" xr:uid="{7787E13E-D629-4FCB-9E0E-0E764103D076}"/>
    <cellStyle name="Comma 4 5 5 2" xfId="12762" xr:uid="{1B7D2691-ED3A-4896-980F-0DB19BE27429}"/>
    <cellStyle name="Comma 4 5 6" xfId="3643" xr:uid="{DDBF4583-3042-4B4A-809D-AA8F476CDF92}"/>
    <cellStyle name="Comma 4 5 6 2" xfId="13591" xr:uid="{E4F8087E-9978-4889-ABED-CE49BF6CA534}"/>
    <cellStyle name="Comma 4 5 7" xfId="4472" xr:uid="{70D9F93F-CCF7-43AE-AA66-FA0E7BF3FA67}"/>
    <cellStyle name="Comma 4 5 7 2" xfId="14420" xr:uid="{6E4C7F42-172C-4CF8-B1DD-ED80FB925DFE}"/>
    <cellStyle name="Comma 4 5 8" xfId="5301" xr:uid="{D8ACFD0A-AC89-4163-89FF-D462C411D078}"/>
    <cellStyle name="Comma 4 5 8 2" xfId="15249" xr:uid="{1D5F2AAF-97D0-4C5F-876A-474A040FF057}"/>
    <cellStyle name="Comma 4 5 9" xfId="6130" xr:uid="{3E9BEF84-1A01-414D-87A4-AB24CE3385E4}"/>
    <cellStyle name="Comma 4 5 9 2" xfId="16078" xr:uid="{24FC581B-DC71-40D5-AEA6-2EDDE9A78B38}"/>
    <cellStyle name="Comma 4 6" xfId="159" xr:uid="{00000000-0005-0000-0000-00001C010000}"/>
    <cellStyle name="Comma 4 6 10" xfId="7790" xr:uid="{D7E5BD9B-D0E8-4B55-9A2F-C61CDBE5800B}"/>
    <cellStyle name="Comma 4 6 10 2" xfId="17738" xr:uid="{4568D078-CB53-4422-AAE2-FBB3E360CD96}"/>
    <cellStyle name="Comma 4 6 11" xfId="8619" xr:uid="{A68F3FE2-1A96-41DE-B375-CF7255DFAEC0}"/>
    <cellStyle name="Comma 4 6 11 2" xfId="18567" xr:uid="{B65832C0-A374-46DA-8FCE-A6BA48EFFDDA}"/>
    <cellStyle name="Comma 4 6 12" xfId="9448" xr:uid="{70580DB3-6C7B-4AEB-8929-EDD02D17498E}"/>
    <cellStyle name="Comma 4 6 12 2" xfId="19396" xr:uid="{C14E9FAF-19C5-4156-95C5-B9486189ED49}"/>
    <cellStyle name="Comma 4 6 13" xfId="10277" xr:uid="{FD0A852D-8380-4012-8315-9FA4396003E0}"/>
    <cellStyle name="Comma 4 6 13 2" xfId="20225" xr:uid="{CB78016D-7359-43FD-8D87-93658EFD108A}"/>
    <cellStyle name="Comma 4 6 14" xfId="1158" xr:uid="{442A5E43-00C7-4ADB-9B35-1DD02DC5744F}"/>
    <cellStyle name="Comma 4 6 15" xfId="11106" xr:uid="{EF4B8AFE-8829-41DA-AB56-DF7111DC6A82}"/>
    <cellStyle name="Comma 4 6 2" xfId="704" xr:uid="{00000000-0005-0000-0000-00001D010000}"/>
    <cellStyle name="Comma 4 6 2 10" xfId="9035" xr:uid="{380FC9B8-AC7C-43E6-8379-D308A857F9B8}"/>
    <cellStyle name="Comma 4 6 2 10 2" xfId="18983" xr:uid="{8162DF5D-D812-4298-86B4-1A5907BD49DD}"/>
    <cellStyle name="Comma 4 6 2 11" xfId="9864" xr:uid="{DDC891C3-847F-4DDA-B886-7FDCC20F238F}"/>
    <cellStyle name="Comma 4 6 2 11 2" xfId="19812" xr:uid="{99B39536-65EA-4C39-9EFE-0E54CA132B24}"/>
    <cellStyle name="Comma 4 6 2 12" xfId="10693" xr:uid="{68622AFC-602F-4377-902A-4AC0CBC8CA3A}"/>
    <cellStyle name="Comma 4 6 2 12 2" xfId="20641" xr:uid="{26976504-EC59-4DF5-9D90-D7BBCF24B68A}"/>
    <cellStyle name="Comma 4 6 2 13" xfId="1574" xr:uid="{FDF82382-1D5A-4001-86E4-53097084A5C6}"/>
    <cellStyle name="Comma 4 6 2 14" xfId="11522" xr:uid="{57E39E2E-BDE0-4AF5-9D30-6C6E4F238E2B}"/>
    <cellStyle name="Comma 4 6 2 2" xfId="2403" xr:uid="{441CAB4C-AACA-4DEE-B4C6-4C1D426F83AB}"/>
    <cellStyle name="Comma 4 6 2 2 2" xfId="12351" xr:uid="{8E9F82CE-0E8E-4E91-BA83-7D1E837C4DCA}"/>
    <cellStyle name="Comma 4 6 2 3" xfId="3232" xr:uid="{B2905518-FC24-4648-BC44-38E148D11236}"/>
    <cellStyle name="Comma 4 6 2 3 2" xfId="13180" xr:uid="{4ECEBA71-14FD-4803-A901-DEB77D3F2C7B}"/>
    <cellStyle name="Comma 4 6 2 4" xfId="4061" xr:uid="{A7BBA80C-E5C3-4BA0-98B7-115F1A610FE7}"/>
    <cellStyle name="Comma 4 6 2 4 2" xfId="14009" xr:uid="{A7A3985F-83AA-4363-8E7F-C90FDFB8B357}"/>
    <cellStyle name="Comma 4 6 2 5" xfId="4890" xr:uid="{81B7BC14-494F-43FA-85CB-2F939E7310A7}"/>
    <cellStyle name="Comma 4 6 2 5 2" xfId="14838" xr:uid="{DD472D38-BDB8-48C7-967B-87382BB1FAEE}"/>
    <cellStyle name="Comma 4 6 2 6" xfId="5719" xr:uid="{629F8E3C-3666-4B90-8444-80A8850708A9}"/>
    <cellStyle name="Comma 4 6 2 6 2" xfId="15667" xr:uid="{5AC57919-0119-41F4-A70E-7F5D7C732498}"/>
    <cellStyle name="Comma 4 6 2 7" xfId="6548" xr:uid="{D71E15FC-21A5-4A9B-9B3C-FFFCD6690D5C}"/>
    <cellStyle name="Comma 4 6 2 7 2" xfId="16496" xr:uid="{3D2A8A8B-B354-49F0-AC24-AC2CFD247251}"/>
    <cellStyle name="Comma 4 6 2 8" xfId="7377" xr:uid="{1B00E6A4-E8E4-46F0-B881-D75E1ADF906F}"/>
    <cellStyle name="Comma 4 6 2 8 2" xfId="17325" xr:uid="{CBDF550E-7FC7-4C68-B889-8EE00EE131AE}"/>
    <cellStyle name="Comma 4 6 2 9" xfId="8206" xr:uid="{78E368AF-6BE5-4886-A68B-799AA834BB7C}"/>
    <cellStyle name="Comma 4 6 2 9 2" xfId="18154" xr:uid="{86DAD1F7-3BBB-4F3D-A749-71140DCF49B0}"/>
    <cellStyle name="Comma 4 6 3" xfId="1987" xr:uid="{A3FA9804-BCD9-4D64-90C7-AD8141A99913}"/>
    <cellStyle name="Comma 4 6 3 2" xfId="11935" xr:uid="{7CB78BF9-E741-4057-BF68-FB3AB6A15F7C}"/>
    <cellStyle name="Comma 4 6 4" xfId="2816" xr:uid="{6C01DBD4-1A93-4CA0-996A-21F99F124E86}"/>
    <cellStyle name="Comma 4 6 4 2" xfId="12764" xr:uid="{FB3F68F5-FA8B-4570-8131-DAE11B594F8B}"/>
    <cellStyle name="Comma 4 6 5" xfId="3645" xr:uid="{251C0D50-9146-480E-87D2-2E263389DFAF}"/>
    <cellStyle name="Comma 4 6 5 2" xfId="13593" xr:uid="{D928B1AC-3CB8-488A-8FED-273884D9961C}"/>
    <cellStyle name="Comma 4 6 6" xfId="4474" xr:uid="{37E29BB8-EE1E-438B-A5F1-9C60ADAE334F}"/>
    <cellStyle name="Comma 4 6 6 2" xfId="14422" xr:uid="{52824121-B2FE-4B4B-9D4F-78E3BFC3909F}"/>
    <cellStyle name="Comma 4 6 7" xfId="5303" xr:uid="{B4D7708C-9671-4F57-ACB9-5CEFC63C6EF2}"/>
    <cellStyle name="Comma 4 6 7 2" xfId="15251" xr:uid="{A736B068-F98B-4569-B8D6-B515CC925134}"/>
    <cellStyle name="Comma 4 6 8" xfId="6132" xr:uid="{8842F112-971E-4BFB-8CBE-A270E56CF981}"/>
    <cellStyle name="Comma 4 6 8 2" xfId="16080" xr:uid="{1EFB4A5A-0C98-4382-A8AD-D9F91FAA6E57}"/>
    <cellStyle name="Comma 4 6 9" xfId="6961" xr:uid="{E1449139-A0A7-416A-A55B-EA847610B804}"/>
    <cellStyle name="Comma 4 6 9 2" xfId="16909" xr:uid="{6648F156-CE36-4AC8-BA63-FEB2BEE87269}"/>
    <cellStyle name="Comma 4 7" xfId="160" xr:uid="{00000000-0005-0000-0000-00001E010000}"/>
    <cellStyle name="Comma 4 7 10" xfId="7791" xr:uid="{E0F1DF2D-D554-4FDB-99AB-B939D0F6F1EA}"/>
    <cellStyle name="Comma 4 7 10 2" xfId="17739" xr:uid="{B2EC3220-F277-4110-AFF4-19957B29FDAF}"/>
    <cellStyle name="Comma 4 7 11" xfId="8620" xr:uid="{B49264B3-CAF0-4936-A169-7EC43EB4DB38}"/>
    <cellStyle name="Comma 4 7 11 2" xfId="18568" xr:uid="{82DC03D2-417C-4254-BB86-98FBE1382F7D}"/>
    <cellStyle name="Comma 4 7 12" xfId="9449" xr:uid="{46D58BF1-D5FD-4179-881C-1F82F13BB1BE}"/>
    <cellStyle name="Comma 4 7 12 2" xfId="19397" xr:uid="{9D2A121D-F91C-4661-A1C5-6401AF7215C3}"/>
    <cellStyle name="Comma 4 7 13" xfId="10278" xr:uid="{6CCF0220-1FFA-4187-A06C-74D033C4F93F}"/>
    <cellStyle name="Comma 4 7 13 2" xfId="20226" xr:uid="{A8877524-CDE1-41A5-AB1B-2422BAF04599}"/>
    <cellStyle name="Comma 4 7 14" xfId="1159" xr:uid="{9CC0802F-E349-4C5F-801D-C42672E13A15}"/>
    <cellStyle name="Comma 4 7 15" xfId="11107" xr:uid="{7A787586-46B7-4E02-ACD3-10058FD865DC}"/>
    <cellStyle name="Comma 4 7 2" xfId="705" xr:uid="{00000000-0005-0000-0000-00001F010000}"/>
    <cellStyle name="Comma 4 7 2 10" xfId="9036" xr:uid="{7291A538-0CB2-403F-9B1B-11404A1D1839}"/>
    <cellStyle name="Comma 4 7 2 10 2" xfId="18984" xr:uid="{EA522D9D-1005-488F-BF06-467ECD47F995}"/>
    <cellStyle name="Comma 4 7 2 11" xfId="9865" xr:uid="{85F1B7E0-FA80-40D1-9677-0ED43ABA1F5D}"/>
    <cellStyle name="Comma 4 7 2 11 2" xfId="19813" xr:uid="{871DD447-125C-4286-A392-CE918E318F45}"/>
    <cellStyle name="Comma 4 7 2 12" xfId="10694" xr:uid="{2F97C09B-EF83-4A07-BA88-9C82B6F12346}"/>
    <cellStyle name="Comma 4 7 2 12 2" xfId="20642" xr:uid="{D74DF1B4-0199-4F00-B978-526E6EE29A64}"/>
    <cellStyle name="Comma 4 7 2 13" xfId="1575" xr:uid="{50B40571-CD4F-43C1-89AC-BAA2E5E754F4}"/>
    <cellStyle name="Comma 4 7 2 14" xfId="11523" xr:uid="{AC97705E-7578-434E-9852-D56ECDC20E33}"/>
    <cellStyle name="Comma 4 7 2 2" xfId="2404" xr:uid="{7E5E3AF6-93A8-440B-A8EA-FC67B7A3781A}"/>
    <cellStyle name="Comma 4 7 2 2 2" xfId="12352" xr:uid="{89AFF523-5BF7-4B5E-A2F7-0F8B746B9463}"/>
    <cellStyle name="Comma 4 7 2 3" xfId="3233" xr:uid="{94243CD9-A548-464C-8408-064D3FA6C2BE}"/>
    <cellStyle name="Comma 4 7 2 3 2" xfId="13181" xr:uid="{3F25F28C-4CE2-4E12-9E22-18D25F445E6D}"/>
    <cellStyle name="Comma 4 7 2 4" xfId="4062" xr:uid="{EF55BAEB-4D5D-48D1-8F7D-7715804C9A4C}"/>
    <cellStyle name="Comma 4 7 2 4 2" xfId="14010" xr:uid="{E8758CEB-15B1-48F2-939F-8547BCCC519B}"/>
    <cellStyle name="Comma 4 7 2 5" xfId="4891" xr:uid="{A41A520C-D9E3-4FBD-A3E2-66DA258A0193}"/>
    <cellStyle name="Comma 4 7 2 5 2" xfId="14839" xr:uid="{9A188DE1-742A-47A2-8683-DF7C7137AE95}"/>
    <cellStyle name="Comma 4 7 2 6" xfId="5720" xr:uid="{99769167-5D11-4474-9899-B3F12415B5C9}"/>
    <cellStyle name="Comma 4 7 2 6 2" xfId="15668" xr:uid="{09453255-951C-431D-85E1-E6BCF4B706B8}"/>
    <cellStyle name="Comma 4 7 2 7" xfId="6549" xr:uid="{A5418A83-EC9E-414C-B8BE-493103CEBFB5}"/>
    <cellStyle name="Comma 4 7 2 7 2" xfId="16497" xr:uid="{BCDE0719-130A-478F-9EB9-C45FFCF68774}"/>
    <cellStyle name="Comma 4 7 2 8" xfId="7378" xr:uid="{91937CC5-A0F4-4299-9B7B-D932D6046788}"/>
    <cellStyle name="Comma 4 7 2 8 2" xfId="17326" xr:uid="{28A34316-A455-4F27-B989-66E36BE6A090}"/>
    <cellStyle name="Comma 4 7 2 9" xfId="8207" xr:uid="{5EE8B5DF-A303-4747-B0D2-66F372394059}"/>
    <cellStyle name="Comma 4 7 2 9 2" xfId="18155" xr:uid="{4EAA0522-E719-4BAA-A93A-4C61D33945F0}"/>
    <cellStyle name="Comma 4 7 3" xfId="1988" xr:uid="{CF4A4753-E1B8-47BE-8119-D7A6CE9359B6}"/>
    <cellStyle name="Comma 4 7 3 2" xfId="11936" xr:uid="{4FB8ABC9-EB49-4C32-97CE-21A1945A8F3F}"/>
    <cellStyle name="Comma 4 7 4" xfId="2817" xr:uid="{7BC23665-36E6-4217-8075-8871D8614C1F}"/>
    <cellStyle name="Comma 4 7 4 2" xfId="12765" xr:uid="{26AC87A9-4CF3-4001-96BA-DC1833E0037B}"/>
    <cellStyle name="Comma 4 7 5" xfId="3646" xr:uid="{8FB219FA-1312-4F35-B158-3817E6D720AC}"/>
    <cellStyle name="Comma 4 7 5 2" xfId="13594" xr:uid="{C9BAD29A-C953-46AF-A3A0-1D7018DAFAE5}"/>
    <cellStyle name="Comma 4 7 6" xfId="4475" xr:uid="{04355925-C78C-41A5-8A5B-50C212629FBA}"/>
    <cellStyle name="Comma 4 7 6 2" xfId="14423" xr:uid="{49403850-081E-4DC0-9352-4616ADCA0DFA}"/>
    <cellStyle name="Comma 4 7 7" xfId="5304" xr:uid="{73B590E0-8F95-4DA9-B492-03FBB1B6BF4E}"/>
    <cellStyle name="Comma 4 7 7 2" xfId="15252" xr:uid="{9FD80936-9314-4F4A-AF39-D8553F6995EE}"/>
    <cellStyle name="Comma 4 7 8" xfId="6133" xr:uid="{5FCC8CB2-3103-490F-BE0C-706C5F1145F6}"/>
    <cellStyle name="Comma 4 7 8 2" xfId="16081" xr:uid="{0FCFCAA0-8A61-4119-B799-DDEB92214C2E}"/>
    <cellStyle name="Comma 4 7 9" xfId="6962" xr:uid="{C8F558FC-8485-44F7-A627-EAC47B7A52BC}"/>
    <cellStyle name="Comma 4 7 9 2" xfId="16910" xr:uid="{D9E75EE7-4149-4319-AE5B-8AC32F54DB7E}"/>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10" xfId="8907" xr:uid="{7FE20ADD-A06D-4E0F-9771-5B901B9FA44A}"/>
    <cellStyle name="Comma 7 10 2" xfId="18855" xr:uid="{564B78B4-96CC-4877-BBE8-7BCD5A8A9B43}"/>
    <cellStyle name="Comma 7 11" xfId="9736" xr:uid="{6E7FAF04-C60A-444F-9CE3-3F89306646E2}"/>
    <cellStyle name="Comma 7 11 2" xfId="19684" xr:uid="{E7524199-FC0F-4910-8C6F-7107E22B072F}"/>
    <cellStyle name="Comma 7 12" xfId="10565" xr:uid="{E78D0254-CF7C-4D26-BA99-FBDAEA8D6D5A}"/>
    <cellStyle name="Comma 7 12 2" xfId="20513" xr:uid="{0E28FDCE-E77C-4BC6-9262-266D75B21907}"/>
    <cellStyle name="Comma 7 13" xfId="1446" xr:uid="{D4C943DB-082D-4150-9352-78E3B6F33FBC}"/>
    <cellStyle name="Comma 7 14" xfId="11394" xr:uid="{249CF293-16C3-4C38-9BE7-B5D6E07EA647}"/>
    <cellStyle name="Comma 7 2" xfId="2275" xr:uid="{1D265614-83E6-4CEF-BC73-02AE8AABBBD1}"/>
    <cellStyle name="Comma 7 2 2" xfId="12223" xr:uid="{A22AA076-BB0D-4499-A7F9-799B9789ADF7}"/>
    <cellStyle name="Comma 7 3" xfId="3104" xr:uid="{C8E4F222-F6D4-435B-A10B-34708B1F6AB9}"/>
    <cellStyle name="Comma 7 3 2" xfId="13052" xr:uid="{B6EEA948-B1C8-4420-9442-A08B278AECD9}"/>
    <cellStyle name="Comma 7 4" xfId="3933" xr:uid="{55EF7A3D-27C7-4858-A2F6-179FB6CA4FD3}"/>
    <cellStyle name="Comma 7 4 2" xfId="13881" xr:uid="{F8EC065F-2BBD-4E15-9E32-CDA7A15642FE}"/>
    <cellStyle name="Comma 7 5" xfId="4762" xr:uid="{3B8D1A2B-126F-4F9C-88A9-6DE92BDF3BD2}"/>
    <cellStyle name="Comma 7 5 2" xfId="14710" xr:uid="{6C1478E3-8631-4870-B291-68874C5D92E2}"/>
    <cellStyle name="Comma 7 6" xfId="5591" xr:uid="{C6AABD1A-4B94-4652-87E7-271F25DAEA52}"/>
    <cellStyle name="Comma 7 6 2" xfId="15539" xr:uid="{5C24E0AC-5361-4EC4-9B2A-F9AE6B7350D2}"/>
    <cellStyle name="Comma 7 7" xfId="6420" xr:uid="{F0281151-63FA-4673-8CC9-956FEA558F7B}"/>
    <cellStyle name="Comma 7 7 2" xfId="16368" xr:uid="{72924C1E-D12C-4C0F-BB8F-7882F9B80944}"/>
    <cellStyle name="Comma 7 8" xfId="7249" xr:uid="{38A3BF4B-550A-4CB7-B9B8-8E3A1A169F24}"/>
    <cellStyle name="Comma 7 8 2" xfId="17197" xr:uid="{3F64C564-5C80-420E-82C0-8B237E468080}"/>
    <cellStyle name="Comma 7 9" xfId="8078" xr:uid="{C067140B-9BD9-4EC9-8CE1-EDD1C79FB04A}"/>
    <cellStyle name="Comma 7 9 2" xfId="18026" xr:uid="{D17734CF-C7F5-4028-8FDA-C65248EDB497}"/>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10" xfId="6134" xr:uid="{2CA84539-9DFB-4665-8F7F-DA3C77D9D89E}"/>
    <cellStyle name="Currency 3 2 2 10 2" xfId="16082" xr:uid="{BAAC16C6-CFA7-4C2D-B888-5222233A698A}"/>
    <cellStyle name="Currency 3 2 2 11" xfId="6963" xr:uid="{4FFE5A1C-E5FA-4721-9095-720F989F3318}"/>
    <cellStyle name="Currency 3 2 2 11 2" xfId="16911" xr:uid="{E890F8ED-CB06-44C7-8C2D-F05EE64AC009}"/>
    <cellStyle name="Currency 3 2 2 12" xfId="7792" xr:uid="{372AC428-536B-4C56-B873-05CCEA679B3E}"/>
    <cellStyle name="Currency 3 2 2 12 2" xfId="17740" xr:uid="{F276199B-95E1-4F83-A3ED-1188A392F2E7}"/>
    <cellStyle name="Currency 3 2 2 13" xfId="8621" xr:uid="{30AF87AB-8F91-4169-80D8-E4E3301121A2}"/>
    <cellStyle name="Currency 3 2 2 13 2" xfId="18569" xr:uid="{6B031266-C661-4EA2-850D-0909FD32D91C}"/>
    <cellStyle name="Currency 3 2 2 14" xfId="9450" xr:uid="{00B5BA00-0ADA-4D26-A5B6-47F838B89086}"/>
    <cellStyle name="Currency 3 2 2 14 2" xfId="19398" xr:uid="{46C2C101-B013-4089-B2AE-E4D9B895DDB9}"/>
    <cellStyle name="Currency 3 2 2 15" xfId="10279" xr:uid="{D370CA6A-2E0E-4ED6-9D20-201781B72711}"/>
    <cellStyle name="Currency 3 2 2 15 2" xfId="20227" xr:uid="{9EBD0A25-89DB-45EA-8114-43655E4F2BCA}"/>
    <cellStyle name="Currency 3 2 2 16" xfId="1160" xr:uid="{2C201D67-D3C9-414F-BE04-03A71DE11227}"/>
    <cellStyle name="Currency 3 2 2 17" xfId="11108" xr:uid="{79CFB374-6380-4D85-A896-F93F953E341B}"/>
    <cellStyle name="Currency 3 2 2 2" xfId="180" xr:uid="{00000000-0005-0000-0000-00003D010000}"/>
    <cellStyle name="Currency 3 2 2 2 10" xfId="6964" xr:uid="{3710F6CF-AD7A-410A-A52D-C444287A3672}"/>
    <cellStyle name="Currency 3 2 2 2 10 2" xfId="16912" xr:uid="{3B0D97F6-9F2D-439A-A957-44FF6C06063C}"/>
    <cellStyle name="Currency 3 2 2 2 11" xfId="7793" xr:uid="{BF0AC3A2-435C-4931-A77D-EE553E2FC00A}"/>
    <cellStyle name="Currency 3 2 2 2 11 2" xfId="17741" xr:uid="{147FB72C-65D1-4D0F-A721-AD8E6CD6B12A}"/>
    <cellStyle name="Currency 3 2 2 2 12" xfId="8622" xr:uid="{3A011EBD-672B-4C65-9071-0475BAEF22E7}"/>
    <cellStyle name="Currency 3 2 2 2 12 2" xfId="18570" xr:uid="{FED3FEA0-8B58-43B7-A557-1A64920E1F40}"/>
    <cellStyle name="Currency 3 2 2 2 13" xfId="9451" xr:uid="{1C870023-46A9-45D5-A9B9-D630F068F5F2}"/>
    <cellStyle name="Currency 3 2 2 2 13 2" xfId="19399" xr:uid="{4EEE48EC-0190-4F74-B844-EE4710F4ABB9}"/>
    <cellStyle name="Currency 3 2 2 2 14" xfId="10280" xr:uid="{2AC31564-CEA8-40E6-AB00-16CD51AE8CFE}"/>
    <cellStyle name="Currency 3 2 2 2 14 2" xfId="20228" xr:uid="{680DD1D3-78C3-4BFB-AB4B-70AA242EF941}"/>
    <cellStyle name="Currency 3 2 2 2 15" xfId="1161" xr:uid="{87F5AAF5-62E1-41C3-8B77-2DD26C6D5012}"/>
    <cellStyle name="Currency 3 2 2 2 16" xfId="11109" xr:uid="{272C35B9-C0A5-472C-9C15-3E1E922FEAE2}"/>
    <cellStyle name="Currency 3 2 2 2 2" xfId="181" xr:uid="{00000000-0005-0000-0000-00003E010000}"/>
    <cellStyle name="Currency 3 2 2 2 2 10" xfId="7794" xr:uid="{EA5C9D9E-8CB9-40E3-93A5-7DCB2ED83659}"/>
    <cellStyle name="Currency 3 2 2 2 2 10 2" xfId="17742" xr:uid="{DEE88826-01C4-4C48-AFBF-56843A2021BE}"/>
    <cellStyle name="Currency 3 2 2 2 2 11" xfId="8623" xr:uid="{F7EB6998-F7EC-4090-BDC1-494083793E1A}"/>
    <cellStyle name="Currency 3 2 2 2 2 11 2" xfId="18571" xr:uid="{A1F88FDD-D55B-41D5-8015-D0A47D881FDA}"/>
    <cellStyle name="Currency 3 2 2 2 2 12" xfId="9452" xr:uid="{FE769555-3E45-4CFF-8A77-5AE476D26B18}"/>
    <cellStyle name="Currency 3 2 2 2 2 12 2" xfId="19400" xr:uid="{F1C7A3B6-04C8-4861-A77D-4B73A2D32C3D}"/>
    <cellStyle name="Currency 3 2 2 2 2 13" xfId="10281" xr:uid="{698FE235-0B1D-41D9-BF77-FFDFD06ABC9F}"/>
    <cellStyle name="Currency 3 2 2 2 2 13 2" xfId="20229" xr:uid="{10A38724-7674-46FD-87FE-41D69A61297E}"/>
    <cellStyle name="Currency 3 2 2 2 2 14" xfId="1162" xr:uid="{2D4F23FC-6BAB-425B-B753-0604CF8FE63C}"/>
    <cellStyle name="Currency 3 2 2 2 2 15" xfId="11110" xr:uid="{5A3E7659-119F-43B0-A51D-AA2A33C7861D}"/>
    <cellStyle name="Currency 3 2 2 2 2 2" xfId="717" xr:uid="{00000000-0005-0000-0000-00003F010000}"/>
    <cellStyle name="Currency 3 2 2 2 2 2 10" xfId="9039" xr:uid="{EE4BEA22-6D2C-44AF-A2F0-28B60C1E8748}"/>
    <cellStyle name="Currency 3 2 2 2 2 2 10 2" xfId="18987" xr:uid="{B188A22C-7854-4B76-9E02-CD1700E1846F}"/>
    <cellStyle name="Currency 3 2 2 2 2 2 11" xfId="9868" xr:uid="{5E02E2B6-4E4C-49E0-A376-1E6FD0F38DA4}"/>
    <cellStyle name="Currency 3 2 2 2 2 2 11 2" xfId="19816" xr:uid="{C66DEBF2-2851-4256-83D5-889E01E1AAFC}"/>
    <cellStyle name="Currency 3 2 2 2 2 2 12" xfId="10697" xr:uid="{694BA15A-1843-4BD4-BABA-6CB2EB7B2AF5}"/>
    <cellStyle name="Currency 3 2 2 2 2 2 12 2" xfId="20645" xr:uid="{F18BD9F6-3F40-4FEB-96E3-7DFDA8BD0577}"/>
    <cellStyle name="Currency 3 2 2 2 2 2 13" xfId="1578" xr:uid="{E123875D-97DF-4EED-96B3-E7ABDAF8B5AF}"/>
    <cellStyle name="Currency 3 2 2 2 2 2 14" xfId="11526" xr:uid="{6BAC72DA-18F2-4A63-9CCD-604D406C9DC4}"/>
    <cellStyle name="Currency 3 2 2 2 2 2 2" xfId="2407" xr:uid="{776D8A0E-B56E-4B6B-8932-F114788E732E}"/>
    <cellStyle name="Currency 3 2 2 2 2 2 2 2" xfId="12355" xr:uid="{BCDA5C3C-CB35-4972-AD65-C95A821899EC}"/>
    <cellStyle name="Currency 3 2 2 2 2 2 3" xfId="3236" xr:uid="{C462CFE3-6DA0-4A6D-9E58-06EECE168900}"/>
    <cellStyle name="Currency 3 2 2 2 2 2 3 2" xfId="13184" xr:uid="{F90AD932-CB7F-404C-A4A2-0A61ACAB15C1}"/>
    <cellStyle name="Currency 3 2 2 2 2 2 4" xfId="4065" xr:uid="{591C9D02-5575-4E91-B11F-58F492844E20}"/>
    <cellStyle name="Currency 3 2 2 2 2 2 4 2" xfId="14013" xr:uid="{9E57CE0A-38F2-4477-82E3-D56B917B05E2}"/>
    <cellStyle name="Currency 3 2 2 2 2 2 5" xfId="4894" xr:uid="{8A3100E9-E8CB-48C9-ACF9-FA316F564E8F}"/>
    <cellStyle name="Currency 3 2 2 2 2 2 5 2" xfId="14842" xr:uid="{0B22DE25-8E8C-4A5B-9C2E-1AFAA30272FA}"/>
    <cellStyle name="Currency 3 2 2 2 2 2 6" xfId="5723" xr:uid="{995373D2-0A12-4148-B4C3-F7C8B53CA24E}"/>
    <cellStyle name="Currency 3 2 2 2 2 2 6 2" xfId="15671" xr:uid="{DAA7261C-DB2B-43C7-A5A2-3193C3CD1819}"/>
    <cellStyle name="Currency 3 2 2 2 2 2 7" xfId="6552" xr:uid="{D6F3D94D-475C-4B88-B86E-C9424B0E9DD1}"/>
    <cellStyle name="Currency 3 2 2 2 2 2 7 2" xfId="16500" xr:uid="{136B11CC-477F-46BD-B317-2A21EDA72B02}"/>
    <cellStyle name="Currency 3 2 2 2 2 2 8" xfId="7381" xr:uid="{DAB1BEE1-93E0-4782-9BDA-AAD0FB99105A}"/>
    <cellStyle name="Currency 3 2 2 2 2 2 8 2" xfId="17329" xr:uid="{B701E30E-6B8C-485B-AB63-078E4C3D1FCE}"/>
    <cellStyle name="Currency 3 2 2 2 2 2 9" xfId="8210" xr:uid="{D0184F4F-F396-4C5B-BD3B-3D2BA31E961B}"/>
    <cellStyle name="Currency 3 2 2 2 2 2 9 2" xfId="18158" xr:uid="{66B233AF-0E0A-4C94-94BD-17D372BEEB0E}"/>
    <cellStyle name="Currency 3 2 2 2 2 3" xfId="1991" xr:uid="{E84B9313-0BA9-473C-BCFE-89E9FA4006D8}"/>
    <cellStyle name="Currency 3 2 2 2 2 3 2" xfId="11939" xr:uid="{B8D888E9-9F53-49AB-93BF-D738E6718977}"/>
    <cellStyle name="Currency 3 2 2 2 2 4" xfId="2820" xr:uid="{57DB0F41-BCE9-49D8-A770-120B4F03DE84}"/>
    <cellStyle name="Currency 3 2 2 2 2 4 2" xfId="12768" xr:uid="{9CCF8813-3DE3-4CFF-BB82-23ED542ADBD8}"/>
    <cellStyle name="Currency 3 2 2 2 2 5" xfId="3649" xr:uid="{8F30D38B-8F89-4E48-9573-CD66F77F8505}"/>
    <cellStyle name="Currency 3 2 2 2 2 5 2" xfId="13597" xr:uid="{04FB4488-4EAD-4F0B-8DE0-F470A63BCB4B}"/>
    <cellStyle name="Currency 3 2 2 2 2 6" xfId="4478" xr:uid="{FB1D5CC5-DD88-4ABA-81C0-0670E80139C2}"/>
    <cellStyle name="Currency 3 2 2 2 2 6 2" xfId="14426" xr:uid="{512E505B-471A-4601-9A3A-DF77BAE5A415}"/>
    <cellStyle name="Currency 3 2 2 2 2 7" xfId="5307" xr:uid="{7747D8B1-4EDB-4142-9EEE-EFE1B5B8D946}"/>
    <cellStyle name="Currency 3 2 2 2 2 7 2" xfId="15255" xr:uid="{230C346D-9380-4636-BC5A-A159BC52265A}"/>
    <cellStyle name="Currency 3 2 2 2 2 8" xfId="6136" xr:uid="{879466A9-C4E4-4D66-819C-F6621F0F8C70}"/>
    <cellStyle name="Currency 3 2 2 2 2 8 2" xfId="16084" xr:uid="{09C81577-7437-486D-A4C4-5A39B1E3E23E}"/>
    <cellStyle name="Currency 3 2 2 2 2 9" xfId="6965" xr:uid="{B02C2D0A-98C7-49C6-9B12-F4E1AC370CAB}"/>
    <cellStyle name="Currency 3 2 2 2 2 9 2" xfId="16913" xr:uid="{FC54CE57-1963-4E75-A212-F11753EF2ACF}"/>
    <cellStyle name="Currency 3 2 2 2 3" xfId="716" xr:uid="{00000000-0005-0000-0000-000040010000}"/>
    <cellStyle name="Currency 3 2 2 2 3 10" xfId="9038" xr:uid="{9807036A-8895-4E44-885D-D486EF0B0724}"/>
    <cellStyle name="Currency 3 2 2 2 3 10 2" xfId="18986" xr:uid="{34E573A5-FF77-4300-9E3A-26AF64BFE551}"/>
    <cellStyle name="Currency 3 2 2 2 3 11" xfId="9867" xr:uid="{44EBC38A-56A3-425E-A30C-0428D80A73F7}"/>
    <cellStyle name="Currency 3 2 2 2 3 11 2" xfId="19815" xr:uid="{A4385AE3-A62F-4641-8F55-315B3520B3C0}"/>
    <cellStyle name="Currency 3 2 2 2 3 12" xfId="10696" xr:uid="{5731DA15-56F8-42C1-879C-6B0A6C75F2F7}"/>
    <cellStyle name="Currency 3 2 2 2 3 12 2" xfId="20644" xr:uid="{FF065E44-27B1-441E-A62C-C9275B64E8A4}"/>
    <cellStyle name="Currency 3 2 2 2 3 13" xfId="1577" xr:uid="{9B74281B-884D-432D-BA6B-9A8E52E8AAA4}"/>
    <cellStyle name="Currency 3 2 2 2 3 14" xfId="11525" xr:uid="{8D68958C-184B-488D-B1F9-FB6B01F6B3B7}"/>
    <cellStyle name="Currency 3 2 2 2 3 2" xfId="2406" xr:uid="{92A69195-7CC6-47FA-943D-2B902F4DC52E}"/>
    <cellStyle name="Currency 3 2 2 2 3 2 2" xfId="12354" xr:uid="{A79A69A8-D025-42E4-8C49-6158D83D234B}"/>
    <cellStyle name="Currency 3 2 2 2 3 3" xfId="3235" xr:uid="{578D5832-7591-4F56-BC83-82CE8B608341}"/>
    <cellStyle name="Currency 3 2 2 2 3 3 2" xfId="13183" xr:uid="{00C35710-608E-4578-8317-CB62B1CEE3FC}"/>
    <cellStyle name="Currency 3 2 2 2 3 4" xfId="4064" xr:uid="{29CDC0F8-60B6-4560-8695-D859DCCC5ED6}"/>
    <cellStyle name="Currency 3 2 2 2 3 4 2" xfId="14012" xr:uid="{73533950-2AE5-49B4-B832-935644211126}"/>
    <cellStyle name="Currency 3 2 2 2 3 5" xfId="4893" xr:uid="{1E07E0B6-6AAE-450C-9F35-E4104F6D3D37}"/>
    <cellStyle name="Currency 3 2 2 2 3 5 2" xfId="14841" xr:uid="{4D57E150-FD1C-455C-91AD-39A738EB961C}"/>
    <cellStyle name="Currency 3 2 2 2 3 6" xfId="5722" xr:uid="{7D3DB90C-27BE-406D-9A04-D884B6B3480A}"/>
    <cellStyle name="Currency 3 2 2 2 3 6 2" xfId="15670" xr:uid="{430F52FC-A334-49E2-9AA6-2ED439204DB7}"/>
    <cellStyle name="Currency 3 2 2 2 3 7" xfId="6551" xr:uid="{F239B088-FF0C-4B9D-889C-4D8DC1C56A55}"/>
    <cellStyle name="Currency 3 2 2 2 3 7 2" xfId="16499" xr:uid="{3D5B98A8-3F0D-4A35-9452-BC833E386C43}"/>
    <cellStyle name="Currency 3 2 2 2 3 8" xfId="7380" xr:uid="{60F9CB11-4BD9-4ED3-8ECD-01B5B7BD1B3A}"/>
    <cellStyle name="Currency 3 2 2 2 3 8 2" xfId="17328" xr:uid="{F483E38D-5DFB-4AE0-89A1-F57C6BAEDF4B}"/>
    <cellStyle name="Currency 3 2 2 2 3 9" xfId="8209" xr:uid="{044ECED0-D5BF-4529-B5BA-1BFD5D28F1C5}"/>
    <cellStyle name="Currency 3 2 2 2 3 9 2" xfId="18157" xr:uid="{50ABFC42-00E2-4258-8EAF-4A9ACAD0D9E7}"/>
    <cellStyle name="Currency 3 2 2 2 4" xfId="1990" xr:uid="{6CD00F18-4D9E-418D-A42C-655152B33D91}"/>
    <cellStyle name="Currency 3 2 2 2 4 2" xfId="11938" xr:uid="{79564C2C-4E6E-441E-8DAD-A3F12768DE82}"/>
    <cellStyle name="Currency 3 2 2 2 5" xfId="2819" xr:uid="{E9D4BBD7-84A0-4036-B6B3-72BE8E37260D}"/>
    <cellStyle name="Currency 3 2 2 2 5 2" xfId="12767" xr:uid="{F1921B9C-EA83-41EA-B0C2-38178C14A15D}"/>
    <cellStyle name="Currency 3 2 2 2 6" xfId="3648" xr:uid="{E4CFBB9D-F089-46E3-90F5-17A0844F75FF}"/>
    <cellStyle name="Currency 3 2 2 2 6 2" xfId="13596" xr:uid="{9702C700-42FE-491F-B103-914D8FDB7A2F}"/>
    <cellStyle name="Currency 3 2 2 2 7" xfId="4477" xr:uid="{ECBECAE8-C593-48EC-80D2-16E58448A015}"/>
    <cellStyle name="Currency 3 2 2 2 7 2" xfId="14425" xr:uid="{34EA9138-D8E0-4ECF-B850-D4D344B5CAF2}"/>
    <cellStyle name="Currency 3 2 2 2 8" xfId="5306" xr:uid="{AA593BC2-BC3D-400A-BC9F-056EF0275417}"/>
    <cellStyle name="Currency 3 2 2 2 8 2" xfId="15254" xr:uid="{C0D13AF7-01A2-4D24-A610-5B83824BEEA2}"/>
    <cellStyle name="Currency 3 2 2 2 9" xfId="6135" xr:uid="{B03485E7-5D2E-4548-8B6D-1F219C8642C4}"/>
    <cellStyle name="Currency 3 2 2 2 9 2" xfId="16083" xr:uid="{8FE4BC81-50A6-4D29-B4A6-5561A71E65C2}"/>
    <cellStyle name="Currency 3 2 2 3" xfId="182" xr:uid="{00000000-0005-0000-0000-000041010000}"/>
    <cellStyle name="Currency 3 2 2 3 10" xfId="7795" xr:uid="{F64872CF-E843-4D3B-9347-AB1135C11F7E}"/>
    <cellStyle name="Currency 3 2 2 3 10 2" xfId="17743" xr:uid="{E904F1FF-D71C-49E1-B203-EE8B34AD43A2}"/>
    <cellStyle name="Currency 3 2 2 3 11" xfId="8624" xr:uid="{10638209-35B0-4BAB-9D91-D972F96319C7}"/>
    <cellStyle name="Currency 3 2 2 3 11 2" xfId="18572" xr:uid="{830AD321-A685-43D9-B26E-1BCE78E2806D}"/>
    <cellStyle name="Currency 3 2 2 3 12" xfId="9453" xr:uid="{5B730842-B156-486A-BEE0-7C1CB893DFF8}"/>
    <cellStyle name="Currency 3 2 2 3 12 2" xfId="19401" xr:uid="{EFD300D7-3204-49F2-AE08-6FDA8BBB4BF3}"/>
    <cellStyle name="Currency 3 2 2 3 13" xfId="10282" xr:uid="{BC3CB977-D0DD-44FF-96AF-86FAECFA8BFF}"/>
    <cellStyle name="Currency 3 2 2 3 13 2" xfId="20230" xr:uid="{AD1C8599-0382-4F52-A20A-5FD81C05C102}"/>
    <cellStyle name="Currency 3 2 2 3 14" xfId="1163" xr:uid="{E1CEC295-F266-427D-BD0E-F2095009F269}"/>
    <cellStyle name="Currency 3 2 2 3 15" xfId="11111" xr:uid="{4273B2EC-F0D4-4152-9077-C46BEC20AE3E}"/>
    <cellStyle name="Currency 3 2 2 3 2" xfId="718" xr:uid="{00000000-0005-0000-0000-000042010000}"/>
    <cellStyle name="Currency 3 2 2 3 2 10" xfId="9040" xr:uid="{71FC8D03-5F11-4E4D-AE99-F8F49AE3684C}"/>
    <cellStyle name="Currency 3 2 2 3 2 10 2" xfId="18988" xr:uid="{04D40C7C-5253-489E-BD5E-7CFDDAA23E73}"/>
    <cellStyle name="Currency 3 2 2 3 2 11" xfId="9869" xr:uid="{045BB2D0-3857-4762-B3A7-43100A2AF0CE}"/>
    <cellStyle name="Currency 3 2 2 3 2 11 2" xfId="19817" xr:uid="{4288302B-6F5E-42A3-8B22-F0D17EACACA8}"/>
    <cellStyle name="Currency 3 2 2 3 2 12" xfId="10698" xr:uid="{8B8338CA-6833-42FC-BE83-D04826659B54}"/>
    <cellStyle name="Currency 3 2 2 3 2 12 2" xfId="20646" xr:uid="{7AFC8207-6698-4983-92A5-81FBD1554FDD}"/>
    <cellStyle name="Currency 3 2 2 3 2 13" xfId="1579" xr:uid="{C633D3F7-14DB-4A5C-8A0E-44ED262D12D3}"/>
    <cellStyle name="Currency 3 2 2 3 2 14" xfId="11527" xr:uid="{32B646C5-C05C-44FE-A846-293EF0CD36BB}"/>
    <cellStyle name="Currency 3 2 2 3 2 2" xfId="2408" xr:uid="{8A876FF1-2C18-4865-8202-049214D59D2B}"/>
    <cellStyle name="Currency 3 2 2 3 2 2 2" xfId="12356" xr:uid="{6028315A-A50D-42C1-BBFB-F451A60082F0}"/>
    <cellStyle name="Currency 3 2 2 3 2 3" xfId="3237" xr:uid="{C514A56B-C2D8-4F42-A9D7-047E9961FC61}"/>
    <cellStyle name="Currency 3 2 2 3 2 3 2" xfId="13185" xr:uid="{05BDC64F-76C4-4820-84FA-8338F7FBDBFD}"/>
    <cellStyle name="Currency 3 2 2 3 2 4" xfId="4066" xr:uid="{B28AE1CE-76ED-4C0C-AEE9-C638D4DE69B4}"/>
    <cellStyle name="Currency 3 2 2 3 2 4 2" xfId="14014" xr:uid="{14B6FFF3-B2E3-49F1-9B85-35AD8C9BA91C}"/>
    <cellStyle name="Currency 3 2 2 3 2 5" xfId="4895" xr:uid="{222D2874-C229-435F-B701-EACBE9BA678C}"/>
    <cellStyle name="Currency 3 2 2 3 2 5 2" xfId="14843" xr:uid="{553EBF0C-E08C-408D-A275-EC45DA4F0EA4}"/>
    <cellStyle name="Currency 3 2 2 3 2 6" xfId="5724" xr:uid="{B371D391-31AD-4BC5-9B20-C7D92CF5858C}"/>
    <cellStyle name="Currency 3 2 2 3 2 6 2" xfId="15672" xr:uid="{A49D0DFC-B50E-43AA-A5CC-572733580106}"/>
    <cellStyle name="Currency 3 2 2 3 2 7" xfId="6553" xr:uid="{A605C174-4712-4595-9EC4-79C1DD652B04}"/>
    <cellStyle name="Currency 3 2 2 3 2 7 2" xfId="16501" xr:uid="{7EA3E94F-0510-4DE9-8473-B42D82E69AAF}"/>
    <cellStyle name="Currency 3 2 2 3 2 8" xfId="7382" xr:uid="{F073986C-2793-4CEF-91C0-A08BDA1D69D7}"/>
    <cellStyle name="Currency 3 2 2 3 2 8 2" xfId="17330" xr:uid="{9E0C991C-5491-4046-A1A5-14B6CC3EBABD}"/>
    <cellStyle name="Currency 3 2 2 3 2 9" xfId="8211" xr:uid="{AB2E52C5-EB4F-423E-9CF4-CECF36BE57BC}"/>
    <cellStyle name="Currency 3 2 2 3 2 9 2" xfId="18159" xr:uid="{A8280219-F905-46DF-A866-A1B70DD0D697}"/>
    <cellStyle name="Currency 3 2 2 3 3" xfId="1992" xr:uid="{6EEEAE99-02B4-4438-BB08-72E46559EDE3}"/>
    <cellStyle name="Currency 3 2 2 3 3 2" xfId="11940" xr:uid="{47AA393B-6E76-48FB-8D03-3CC199053D81}"/>
    <cellStyle name="Currency 3 2 2 3 4" xfId="2821" xr:uid="{A84DE816-0D02-4BFF-BB3D-55C6320DD2B8}"/>
    <cellStyle name="Currency 3 2 2 3 4 2" xfId="12769" xr:uid="{6350A5E9-DE93-4B65-831B-ECA0419FE361}"/>
    <cellStyle name="Currency 3 2 2 3 5" xfId="3650" xr:uid="{47A62321-3CA8-4DD0-A8BB-8B3769495A79}"/>
    <cellStyle name="Currency 3 2 2 3 5 2" xfId="13598" xr:uid="{32DC4F82-3333-4C7A-98A6-8172F5F506D2}"/>
    <cellStyle name="Currency 3 2 2 3 6" xfId="4479" xr:uid="{C7EC30E3-9341-4DD6-9C77-ED8FDEB889F0}"/>
    <cellStyle name="Currency 3 2 2 3 6 2" xfId="14427" xr:uid="{ED2C21AA-8AEC-442A-A8AF-666949CC8DD2}"/>
    <cellStyle name="Currency 3 2 2 3 7" xfId="5308" xr:uid="{9B2A48FD-14BC-4FDE-AD8E-51E44DAB2BDA}"/>
    <cellStyle name="Currency 3 2 2 3 7 2" xfId="15256" xr:uid="{743F1475-DE78-447B-BE45-DFD34F0586BE}"/>
    <cellStyle name="Currency 3 2 2 3 8" xfId="6137" xr:uid="{CE09B225-30BF-4E55-B7BD-AC9282F9A962}"/>
    <cellStyle name="Currency 3 2 2 3 8 2" xfId="16085" xr:uid="{A73673F2-80A7-4706-A99E-BF701B0C3CF8}"/>
    <cellStyle name="Currency 3 2 2 3 9" xfId="6966" xr:uid="{0DAC615B-29F9-43D1-9DF5-E0C77AE40302}"/>
    <cellStyle name="Currency 3 2 2 3 9 2" xfId="16914" xr:uid="{0924ECC7-3BB4-49A3-B73B-487AF29F5FC5}"/>
    <cellStyle name="Currency 3 2 2 4" xfId="715" xr:uid="{00000000-0005-0000-0000-000043010000}"/>
    <cellStyle name="Currency 3 2 2 4 10" xfId="9037" xr:uid="{B21DB8D5-D525-40C5-A59D-B6A736F72FD9}"/>
    <cellStyle name="Currency 3 2 2 4 10 2" xfId="18985" xr:uid="{D2F7B227-ACD0-44B3-BB22-C134527223A7}"/>
    <cellStyle name="Currency 3 2 2 4 11" xfId="9866" xr:uid="{DBB3B1CB-825B-482A-99AE-7F5842B44C20}"/>
    <cellStyle name="Currency 3 2 2 4 11 2" xfId="19814" xr:uid="{C1507465-873D-4631-AE89-34DAAEA2F5D0}"/>
    <cellStyle name="Currency 3 2 2 4 12" xfId="10695" xr:uid="{74B11C6E-C79E-4C50-8129-BEB2BB937E71}"/>
    <cellStyle name="Currency 3 2 2 4 12 2" xfId="20643" xr:uid="{176D166B-D9F4-4FE7-B4AD-EE5C2E57F909}"/>
    <cellStyle name="Currency 3 2 2 4 13" xfId="1576" xr:uid="{AB615873-EBB6-40AA-BFF5-118F6697E805}"/>
    <cellStyle name="Currency 3 2 2 4 14" xfId="11524" xr:uid="{BF896F68-E8D6-446A-A2DF-0DB368400B9C}"/>
    <cellStyle name="Currency 3 2 2 4 2" xfId="2405" xr:uid="{DCA16A17-10FB-4A27-BF58-89E64DFBE4A4}"/>
    <cellStyle name="Currency 3 2 2 4 2 2" xfId="12353" xr:uid="{505B7F30-6CC1-4315-BF5D-F6F423277B03}"/>
    <cellStyle name="Currency 3 2 2 4 3" xfId="3234" xr:uid="{0459BD30-49CA-48A7-BE58-E810B1CB60C0}"/>
    <cellStyle name="Currency 3 2 2 4 3 2" xfId="13182" xr:uid="{CE213FB2-F1C7-45E4-B1CB-C35C0FA10F03}"/>
    <cellStyle name="Currency 3 2 2 4 4" xfId="4063" xr:uid="{05D7F4CA-84FC-4AFD-9806-335A00458953}"/>
    <cellStyle name="Currency 3 2 2 4 4 2" xfId="14011" xr:uid="{E284947D-F3C4-4EAB-8B16-3EBBD0A780D7}"/>
    <cellStyle name="Currency 3 2 2 4 5" xfId="4892" xr:uid="{FBA8E5DF-C1E7-4C89-8569-CD3B5FBB0775}"/>
    <cellStyle name="Currency 3 2 2 4 5 2" xfId="14840" xr:uid="{3BC95B8B-2315-4EB3-A887-8C5380168011}"/>
    <cellStyle name="Currency 3 2 2 4 6" xfId="5721" xr:uid="{A4EA21DC-9A74-4584-B4F3-A00E64E7BCC8}"/>
    <cellStyle name="Currency 3 2 2 4 6 2" xfId="15669" xr:uid="{0CF09B3F-8ABA-4F7C-9451-1FFCD5863C7C}"/>
    <cellStyle name="Currency 3 2 2 4 7" xfId="6550" xr:uid="{4B112A51-6EAF-4DDF-A897-F43D726BAC8C}"/>
    <cellStyle name="Currency 3 2 2 4 7 2" xfId="16498" xr:uid="{4AC2855C-1E2C-4BDF-8E27-451A27B26DC7}"/>
    <cellStyle name="Currency 3 2 2 4 8" xfId="7379" xr:uid="{9307EF83-DCF2-4A5F-A852-52446525D1A8}"/>
    <cellStyle name="Currency 3 2 2 4 8 2" xfId="17327" xr:uid="{854302DF-E84B-45AD-B2AD-B26DC79792EA}"/>
    <cellStyle name="Currency 3 2 2 4 9" xfId="8208" xr:uid="{13E31327-6D5C-458C-AA93-C3349D0F47B0}"/>
    <cellStyle name="Currency 3 2 2 4 9 2" xfId="18156" xr:uid="{F7AFDC71-1240-4CF9-A10E-DC2DC9F0F492}"/>
    <cellStyle name="Currency 3 2 2 5" xfId="1989" xr:uid="{7FEAB6F8-DBC5-43D4-B0E1-79E44E9D8E60}"/>
    <cellStyle name="Currency 3 2 2 5 2" xfId="11937" xr:uid="{BBA65213-D161-4D29-A4DD-1962C1C9D93C}"/>
    <cellStyle name="Currency 3 2 2 6" xfId="2818" xr:uid="{3898EBDE-51EC-4152-A099-5C5997458D39}"/>
    <cellStyle name="Currency 3 2 2 6 2" xfId="12766" xr:uid="{375DE2A0-96EF-4775-B69B-B3B9C9EC6F36}"/>
    <cellStyle name="Currency 3 2 2 7" xfId="3647" xr:uid="{A3F6FB96-E7AC-4FF5-9856-9A2C617A0FD7}"/>
    <cellStyle name="Currency 3 2 2 7 2" xfId="13595" xr:uid="{5125687D-49FD-426F-A24E-621937156AD6}"/>
    <cellStyle name="Currency 3 2 2 8" xfId="4476" xr:uid="{BFAFCEDD-756B-4F61-B34F-65E2F4160028}"/>
    <cellStyle name="Currency 3 2 2 8 2" xfId="14424" xr:uid="{F30D4C87-F0F5-4CA8-9471-0AF0AE4E39C2}"/>
    <cellStyle name="Currency 3 2 2 9" xfId="5305" xr:uid="{3C0A8000-D691-4B72-BEB8-AA729460E6F8}"/>
    <cellStyle name="Currency 3 2 2 9 2" xfId="15253" xr:uid="{50CE4C8A-8984-4A6B-8936-C939AD3113B4}"/>
    <cellStyle name="Currency 3 2 3" xfId="183" xr:uid="{00000000-0005-0000-0000-000044010000}"/>
    <cellStyle name="Currency 3 2 3 10" xfId="6967" xr:uid="{84D76852-6956-4EFE-A626-9844C0092689}"/>
    <cellStyle name="Currency 3 2 3 10 2" xfId="16915" xr:uid="{4014DA0C-E1C2-4081-9F07-B93C1C804EF4}"/>
    <cellStyle name="Currency 3 2 3 11" xfId="7796" xr:uid="{97AC42E4-24DB-46AC-A81B-B5A070B22432}"/>
    <cellStyle name="Currency 3 2 3 11 2" xfId="17744" xr:uid="{FE27D170-1D85-4591-99CE-613C356F9EE2}"/>
    <cellStyle name="Currency 3 2 3 12" xfId="8625" xr:uid="{B0747A96-92D6-427B-8EBB-6C4113BFBAA1}"/>
    <cellStyle name="Currency 3 2 3 12 2" xfId="18573" xr:uid="{7B156F21-C4F2-467C-90A3-F9D5FC8C2B70}"/>
    <cellStyle name="Currency 3 2 3 13" xfId="9454" xr:uid="{75130CE9-CFFD-44FB-80A0-EEC926370E13}"/>
    <cellStyle name="Currency 3 2 3 13 2" xfId="19402" xr:uid="{2B26ACA7-B801-46B1-99ED-2F77538DA65F}"/>
    <cellStyle name="Currency 3 2 3 14" xfId="10283" xr:uid="{7B35549D-6261-478C-9D3A-AA0ECA774B44}"/>
    <cellStyle name="Currency 3 2 3 14 2" xfId="20231" xr:uid="{006A72FF-E4B0-4E25-9285-EF52F5B93B50}"/>
    <cellStyle name="Currency 3 2 3 15" xfId="1164" xr:uid="{A61CBBB0-E255-471F-9D13-1697F8C614B1}"/>
    <cellStyle name="Currency 3 2 3 16" xfId="11112" xr:uid="{CA4D6DB2-DC43-4EA0-B394-839EF5FC1308}"/>
    <cellStyle name="Currency 3 2 3 2" xfId="184" xr:uid="{00000000-0005-0000-0000-000045010000}"/>
    <cellStyle name="Currency 3 2 3 2 10" xfId="7797" xr:uid="{0E126C3B-DA58-4D3D-BB48-B101F970C130}"/>
    <cellStyle name="Currency 3 2 3 2 10 2" xfId="17745" xr:uid="{5183C34A-32CB-4215-BDDC-FFB0DE5BCAD6}"/>
    <cellStyle name="Currency 3 2 3 2 11" xfId="8626" xr:uid="{3F9BCC2F-387F-421F-AA33-AAD44D31EEC7}"/>
    <cellStyle name="Currency 3 2 3 2 11 2" xfId="18574" xr:uid="{6ED0DFC6-45EB-4A59-9D3A-33EAABB389B2}"/>
    <cellStyle name="Currency 3 2 3 2 12" xfId="9455" xr:uid="{058BA7C3-69B6-4228-A2AC-B35AA9F5636E}"/>
    <cellStyle name="Currency 3 2 3 2 12 2" xfId="19403" xr:uid="{05DFEE6E-E618-4946-ABED-64C3A64DBACF}"/>
    <cellStyle name="Currency 3 2 3 2 13" xfId="10284" xr:uid="{EE53C08D-5AA5-436C-BE80-6DAAC59EF9BD}"/>
    <cellStyle name="Currency 3 2 3 2 13 2" xfId="20232" xr:uid="{5D2C0AB4-B3D7-496C-8AF4-4E5E8BD6FC25}"/>
    <cellStyle name="Currency 3 2 3 2 14" xfId="1165" xr:uid="{296775F1-309F-42E9-B0AB-94DF84896D52}"/>
    <cellStyle name="Currency 3 2 3 2 15" xfId="11113" xr:uid="{FA6ED323-6227-4A62-B61D-736ABA7B6A0A}"/>
    <cellStyle name="Currency 3 2 3 2 2" xfId="720" xr:uid="{00000000-0005-0000-0000-000046010000}"/>
    <cellStyle name="Currency 3 2 3 2 2 10" xfId="9042" xr:uid="{C94F5268-4BDE-4BF4-BBF9-46A9F500D0C4}"/>
    <cellStyle name="Currency 3 2 3 2 2 10 2" xfId="18990" xr:uid="{BFA6DF52-0170-4081-861D-848D636BBBDB}"/>
    <cellStyle name="Currency 3 2 3 2 2 11" xfId="9871" xr:uid="{34253F9D-D0DC-47CF-89EE-E89EF52D4C91}"/>
    <cellStyle name="Currency 3 2 3 2 2 11 2" xfId="19819" xr:uid="{3EDE8372-F68D-4FEC-8CBD-2405FC3DE5AD}"/>
    <cellStyle name="Currency 3 2 3 2 2 12" xfId="10700" xr:uid="{C4865897-F7F4-4363-8856-B70A22F5A285}"/>
    <cellStyle name="Currency 3 2 3 2 2 12 2" xfId="20648" xr:uid="{A73EF0A4-942D-47D6-AEC4-1839A705B2E0}"/>
    <cellStyle name="Currency 3 2 3 2 2 13" xfId="1581" xr:uid="{C5B5CFE5-69CF-4BB1-A9C2-5DC8E07DB809}"/>
    <cellStyle name="Currency 3 2 3 2 2 14" xfId="11529" xr:uid="{8E5D07F6-FC5D-4AC3-BCAF-3754E172ED22}"/>
    <cellStyle name="Currency 3 2 3 2 2 2" xfId="2410" xr:uid="{2EFBFB92-9335-41D9-8E2D-518A9C7F85E9}"/>
    <cellStyle name="Currency 3 2 3 2 2 2 2" xfId="12358" xr:uid="{D524514E-A5BE-442D-A524-6B4244F915B1}"/>
    <cellStyle name="Currency 3 2 3 2 2 3" xfId="3239" xr:uid="{6808C2ED-9873-4215-A650-9AA414F15B35}"/>
    <cellStyle name="Currency 3 2 3 2 2 3 2" xfId="13187" xr:uid="{4F5EBDF7-3B44-4852-B11A-21178ED0D995}"/>
    <cellStyle name="Currency 3 2 3 2 2 4" xfId="4068" xr:uid="{C4A1042C-BE93-4725-AAD8-F07C34C17AD5}"/>
    <cellStyle name="Currency 3 2 3 2 2 4 2" xfId="14016" xr:uid="{7147D7F2-8551-4AB3-9B74-2CEB0FB8187D}"/>
    <cellStyle name="Currency 3 2 3 2 2 5" xfId="4897" xr:uid="{7DA09271-6A9E-42A6-8CBF-6E46538D747F}"/>
    <cellStyle name="Currency 3 2 3 2 2 5 2" xfId="14845" xr:uid="{AB517F78-DE67-48A8-A042-24453DCEC187}"/>
    <cellStyle name="Currency 3 2 3 2 2 6" xfId="5726" xr:uid="{A3E9343D-9984-47A4-8387-B22A9D79E1C4}"/>
    <cellStyle name="Currency 3 2 3 2 2 6 2" xfId="15674" xr:uid="{ECB76F66-CCB6-4D7F-87DF-81A2CF46E7C2}"/>
    <cellStyle name="Currency 3 2 3 2 2 7" xfId="6555" xr:uid="{C5C93ABA-401D-4365-B0C1-25F37BC6080D}"/>
    <cellStyle name="Currency 3 2 3 2 2 7 2" xfId="16503" xr:uid="{9C8081CA-C60C-43DC-A0A9-E2FF35EE6755}"/>
    <cellStyle name="Currency 3 2 3 2 2 8" xfId="7384" xr:uid="{E688B089-18C5-49D7-85AB-5D94A8B6BF75}"/>
    <cellStyle name="Currency 3 2 3 2 2 8 2" xfId="17332" xr:uid="{38C0BEEA-527B-49C2-A5AA-437D32B2CBA7}"/>
    <cellStyle name="Currency 3 2 3 2 2 9" xfId="8213" xr:uid="{1D2FBDE7-67C4-4A5B-AF5F-2AFA580D4924}"/>
    <cellStyle name="Currency 3 2 3 2 2 9 2" xfId="18161" xr:uid="{6C4DE40D-2ABB-488D-8859-79A1AD901FC9}"/>
    <cellStyle name="Currency 3 2 3 2 3" xfId="1994" xr:uid="{2A82CE04-EE00-498D-89A3-E6F4E8EF5A89}"/>
    <cellStyle name="Currency 3 2 3 2 3 2" xfId="11942" xr:uid="{244BF46D-7E59-4E84-92F0-4E80CF8EBE2F}"/>
    <cellStyle name="Currency 3 2 3 2 4" xfId="2823" xr:uid="{641CAA4A-42EC-4571-A6B7-7AF4D72D7EE3}"/>
    <cellStyle name="Currency 3 2 3 2 4 2" xfId="12771" xr:uid="{E6BCFB20-4003-44B3-A3EB-6A67BFE43E15}"/>
    <cellStyle name="Currency 3 2 3 2 5" xfId="3652" xr:uid="{DA88FFFC-DA66-41F8-93C7-7B69DB00D5D3}"/>
    <cellStyle name="Currency 3 2 3 2 5 2" xfId="13600" xr:uid="{A83856EC-7B92-429A-BD44-8366095BF32A}"/>
    <cellStyle name="Currency 3 2 3 2 6" xfId="4481" xr:uid="{7EC945D2-16F0-4BE4-83D8-21657D133B90}"/>
    <cellStyle name="Currency 3 2 3 2 6 2" xfId="14429" xr:uid="{08768FFB-AADB-4C18-944C-C06CC6B0232A}"/>
    <cellStyle name="Currency 3 2 3 2 7" xfId="5310" xr:uid="{E55BB75C-22CC-4766-89DA-CE5831546DCA}"/>
    <cellStyle name="Currency 3 2 3 2 7 2" xfId="15258" xr:uid="{7F80E3DB-8B2D-4021-A39B-C1DF6671D03E}"/>
    <cellStyle name="Currency 3 2 3 2 8" xfId="6139" xr:uid="{BA5CE116-1E22-4ED6-ADE4-D6750733F236}"/>
    <cellStyle name="Currency 3 2 3 2 8 2" xfId="16087" xr:uid="{B314BE7B-7447-4158-807E-C3410761DE7E}"/>
    <cellStyle name="Currency 3 2 3 2 9" xfId="6968" xr:uid="{226981BB-9A1E-49CE-9A1E-91FDCA7433AD}"/>
    <cellStyle name="Currency 3 2 3 2 9 2" xfId="16916" xr:uid="{F8FF8A0E-A579-4CC6-8BC9-A09621D09C8D}"/>
    <cellStyle name="Currency 3 2 3 3" xfId="719" xr:uid="{00000000-0005-0000-0000-000047010000}"/>
    <cellStyle name="Currency 3 2 3 3 10" xfId="9041" xr:uid="{D6D96447-361F-4333-9E26-8031EE815D1A}"/>
    <cellStyle name="Currency 3 2 3 3 10 2" xfId="18989" xr:uid="{C3D633CE-CEE9-4CFB-A8F1-C6C5AB24E0BA}"/>
    <cellStyle name="Currency 3 2 3 3 11" xfId="9870" xr:uid="{1A32AA8C-85DE-4EFB-BCF8-326F9198B590}"/>
    <cellStyle name="Currency 3 2 3 3 11 2" xfId="19818" xr:uid="{BAB08614-36C6-434F-A261-B084FF5E0E33}"/>
    <cellStyle name="Currency 3 2 3 3 12" xfId="10699" xr:uid="{CDE31F7A-1412-4188-BCCD-1412B9DAD334}"/>
    <cellStyle name="Currency 3 2 3 3 12 2" xfId="20647" xr:uid="{3B05724D-36BB-42F3-997A-269961603D8D}"/>
    <cellStyle name="Currency 3 2 3 3 13" xfId="1580" xr:uid="{4587DE4B-510C-4A33-90E2-87C8AEFF822F}"/>
    <cellStyle name="Currency 3 2 3 3 14" xfId="11528" xr:uid="{E1AF13D7-D493-477C-8D55-7A0E4C1E5F1C}"/>
    <cellStyle name="Currency 3 2 3 3 2" xfId="2409" xr:uid="{FAA033C5-06F2-4C28-8374-0C0DB02D2E06}"/>
    <cellStyle name="Currency 3 2 3 3 2 2" xfId="12357" xr:uid="{190901EA-6683-4A45-BA99-BA2036449A92}"/>
    <cellStyle name="Currency 3 2 3 3 3" xfId="3238" xr:uid="{C62D9D7D-B66A-497F-BC87-1B1A66DD85C8}"/>
    <cellStyle name="Currency 3 2 3 3 3 2" xfId="13186" xr:uid="{CDC3C6B1-4C31-444B-B0BD-CCF5F2CFF482}"/>
    <cellStyle name="Currency 3 2 3 3 4" xfId="4067" xr:uid="{5A3F3F0D-E146-48F1-88B6-041BA3EF804C}"/>
    <cellStyle name="Currency 3 2 3 3 4 2" xfId="14015" xr:uid="{FAD5B882-5A6E-4A46-8BE0-4007D5EB7CC4}"/>
    <cellStyle name="Currency 3 2 3 3 5" xfId="4896" xr:uid="{8CF7053A-F979-4C70-897F-660E26D24AF4}"/>
    <cellStyle name="Currency 3 2 3 3 5 2" xfId="14844" xr:uid="{77B1EA12-B87B-4A9B-B5F4-7415558E506B}"/>
    <cellStyle name="Currency 3 2 3 3 6" xfId="5725" xr:uid="{1F2152C1-ACD9-4664-BC42-E451FD7CFA73}"/>
    <cellStyle name="Currency 3 2 3 3 6 2" xfId="15673" xr:uid="{669E3E17-4A4A-4B04-BDF0-B8E4FACA24EA}"/>
    <cellStyle name="Currency 3 2 3 3 7" xfId="6554" xr:uid="{286505BD-A1E9-4EC0-8B0E-07638762988E}"/>
    <cellStyle name="Currency 3 2 3 3 7 2" xfId="16502" xr:uid="{C5F185EA-17B9-4D12-A115-A8CB7055ABB4}"/>
    <cellStyle name="Currency 3 2 3 3 8" xfId="7383" xr:uid="{1D6EF883-028F-464E-A4D9-D98744E3CFDB}"/>
    <cellStyle name="Currency 3 2 3 3 8 2" xfId="17331" xr:uid="{AAF31023-089F-4847-BF40-768F62A4470D}"/>
    <cellStyle name="Currency 3 2 3 3 9" xfId="8212" xr:uid="{647635A7-31C2-4490-9D2F-C3DF60EDFAC4}"/>
    <cellStyle name="Currency 3 2 3 3 9 2" xfId="18160" xr:uid="{043518C9-B584-439E-AF7B-5AA3FDB701EF}"/>
    <cellStyle name="Currency 3 2 3 4" xfId="1993" xr:uid="{E55775CF-7D40-40F8-B68B-DE123FFEAD11}"/>
    <cellStyle name="Currency 3 2 3 4 2" xfId="11941" xr:uid="{5A299613-60AB-40B8-BFFC-9FF28471B0A0}"/>
    <cellStyle name="Currency 3 2 3 5" xfId="2822" xr:uid="{FF028068-0C50-4745-8765-D845EC291385}"/>
    <cellStyle name="Currency 3 2 3 5 2" xfId="12770" xr:uid="{B86D4CA8-DAE1-4C56-A0F2-B54D96401EF3}"/>
    <cellStyle name="Currency 3 2 3 6" xfId="3651" xr:uid="{60529D95-C955-44AF-949E-7B70B07F3423}"/>
    <cellStyle name="Currency 3 2 3 6 2" xfId="13599" xr:uid="{10960CEC-DF97-48BA-8EA5-D841348FCE55}"/>
    <cellStyle name="Currency 3 2 3 7" xfId="4480" xr:uid="{54C6F9A5-0243-4AA6-84EA-C4B95EAEC08F}"/>
    <cellStyle name="Currency 3 2 3 7 2" xfId="14428" xr:uid="{9E0EA62F-DC7F-4FCE-AC0F-C4D386BA50BD}"/>
    <cellStyle name="Currency 3 2 3 8" xfId="5309" xr:uid="{0B16719E-33B8-41CB-A0F9-D8DF0C3AEC49}"/>
    <cellStyle name="Currency 3 2 3 8 2" xfId="15257" xr:uid="{6CC187E7-B20D-4FF9-8360-D29F08637E4C}"/>
    <cellStyle name="Currency 3 2 3 9" xfId="6138" xr:uid="{5E57C568-7144-4C02-95DA-D17F272374F4}"/>
    <cellStyle name="Currency 3 2 3 9 2" xfId="16086" xr:uid="{F336DFC9-AEED-40A2-8ACA-AB0427289D21}"/>
    <cellStyle name="Currency 3 2 4" xfId="185" xr:uid="{00000000-0005-0000-0000-000048010000}"/>
    <cellStyle name="Currency 3 2 4 10" xfId="7798" xr:uid="{C640A8C4-00E9-4092-B80C-C90C8FD57E4C}"/>
    <cellStyle name="Currency 3 2 4 10 2" xfId="17746" xr:uid="{C45452BB-1760-45EB-BE98-5C8D13C4817F}"/>
    <cellStyle name="Currency 3 2 4 11" xfId="8627" xr:uid="{23977300-1F05-4172-9FE2-A8D95EE10F18}"/>
    <cellStyle name="Currency 3 2 4 11 2" xfId="18575" xr:uid="{F4488731-6F05-4910-813D-4C1C4A65FD35}"/>
    <cellStyle name="Currency 3 2 4 12" xfId="9456" xr:uid="{A274CF19-6EA8-4EE8-8281-0F593F09B22A}"/>
    <cellStyle name="Currency 3 2 4 12 2" xfId="19404" xr:uid="{088B6666-9ED4-4FBF-84B2-D9D58D81A0E8}"/>
    <cellStyle name="Currency 3 2 4 13" xfId="10285" xr:uid="{62C34938-3B15-40A5-8BEE-4422CC22530B}"/>
    <cellStyle name="Currency 3 2 4 13 2" xfId="20233" xr:uid="{D5F62392-3378-491D-B420-91F3A11BDD34}"/>
    <cellStyle name="Currency 3 2 4 14" xfId="1166" xr:uid="{5231AF4F-4BD4-4C2D-BC2D-7C93AB463EAC}"/>
    <cellStyle name="Currency 3 2 4 15" xfId="11114" xr:uid="{E6394E47-3929-496F-8439-A8D8734AFB0D}"/>
    <cellStyle name="Currency 3 2 4 2" xfId="721" xr:uid="{00000000-0005-0000-0000-000049010000}"/>
    <cellStyle name="Currency 3 2 4 2 10" xfId="9043" xr:uid="{8EDECFC2-4B98-4BC8-9730-7DB05A81017B}"/>
    <cellStyle name="Currency 3 2 4 2 10 2" xfId="18991" xr:uid="{BAB5734B-00D9-457F-8F0E-816A841B1E06}"/>
    <cellStyle name="Currency 3 2 4 2 11" xfId="9872" xr:uid="{0585D208-52E2-499C-A731-96F2B3868618}"/>
    <cellStyle name="Currency 3 2 4 2 11 2" xfId="19820" xr:uid="{D7986B27-1E4F-4F11-A472-B1DC0686235C}"/>
    <cellStyle name="Currency 3 2 4 2 12" xfId="10701" xr:uid="{1E95B5BF-1D13-4314-9422-0FA3874E45CB}"/>
    <cellStyle name="Currency 3 2 4 2 12 2" xfId="20649" xr:uid="{53549A6C-7964-4B45-89E3-421966FB3E4A}"/>
    <cellStyle name="Currency 3 2 4 2 13" xfId="1582" xr:uid="{FD629EF0-3CCC-42DB-B879-D9F1328E28A4}"/>
    <cellStyle name="Currency 3 2 4 2 14" xfId="11530" xr:uid="{F84EF31E-2086-4260-8C7D-46AD83C66FEF}"/>
    <cellStyle name="Currency 3 2 4 2 2" xfId="2411" xr:uid="{2C4F319E-1019-45D1-8DB0-5F2C3C1CD128}"/>
    <cellStyle name="Currency 3 2 4 2 2 2" xfId="12359" xr:uid="{4110714D-30BB-4335-AA52-BC092AAA889F}"/>
    <cellStyle name="Currency 3 2 4 2 3" xfId="3240" xr:uid="{108199E3-1CEB-40BE-828B-4A3620043877}"/>
    <cellStyle name="Currency 3 2 4 2 3 2" xfId="13188" xr:uid="{7109B140-E8EE-45A6-918E-8952DA4AE33C}"/>
    <cellStyle name="Currency 3 2 4 2 4" xfId="4069" xr:uid="{42DE75B7-F532-4F5A-818F-DC36A82D5C4C}"/>
    <cellStyle name="Currency 3 2 4 2 4 2" xfId="14017" xr:uid="{C5A04376-FD0E-4DD1-905F-0F558213D2DC}"/>
    <cellStyle name="Currency 3 2 4 2 5" xfId="4898" xr:uid="{A19816C5-A5CF-4BED-83AC-CF95F37CCBFF}"/>
    <cellStyle name="Currency 3 2 4 2 5 2" xfId="14846" xr:uid="{F690FC66-E94F-4603-9A39-8262C9C36AFA}"/>
    <cellStyle name="Currency 3 2 4 2 6" xfId="5727" xr:uid="{48A7D164-A292-4037-8BF0-C19390E965DB}"/>
    <cellStyle name="Currency 3 2 4 2 6 2" xfId="15675" xr:uid="{CE2D714D-A2E5-4544-BF5C-D951A7EDFCAC}"/>
    <cellStyle name="Currency 3 2 4 2 7" xfId="6556" xr:uid="{54FDC194-B86F-489A-B73E-1697748BC666}"/>
    <cellStyle name="Currency 3 2 4 2 7 2" xfId="16504" xr:uid="{E7C51E26-D186-41F7-A37F-1246ADDF7CB0}"/>
    <cellStyle name="Currency 3 2 4 2 8" xfId="7385" xr:uid="{B8454ADD-C2E6-45C4-996E-79FF192D103F}"/>
    <cellStyle name="Currency 3 2 4 2 8 2" xfId="17333" xr:uid="{B19935E6-8B85-423B-9C84-8E2E9D520BEA}"/>
    <cellStyle name="Currency 3 2 4 2 9" xfId="8214" xr:uid="{9197155B-55C4-4413-86D2-51302F08C32E}"/>
    <cellStyle name="Currency 3 2 4 2 9 2" xfId="18162" xr:uid="{2121E93C-09B9-4FDA-AE05-9D24B1BD8F5D}"/>
    <cellStyle name="Currency 3 2 4 3" xfId="1995" xr:uid="{693444B4-0641-4E38-9372-8BD6264CA508}"/>
    <cellStyle name="Currency 3 2 4 3 2" xfId="11943" xr:uid="{667C3879-6F98-4D03-83F2-BF6AE24B6DC3}"/>
    <cellStyle name="Currency 3 2 4 4" xfId="2824" xr:uid="{588F70C5-F7BF-41BA-868C-3EBFA040CD7D}"/>
    <cellStyle name="Currency 3 2 4 4 2" xfId="12772" xr:uid="{77CB62BF-E1E9-45A6-A67C-EFF0FC6DC797}"/>
    <cellStyle name="Currency 3 2 4 5" xfId="3653" xr:uid="{F0DF85EA-E46C-4C4E-86BC-1438E7871967}"/>
    <cellStyle name="Currency 3 2 4 5 2" xfId="13601" xr:uid="{3458F488-6F88-4F96-BA0C-EE3F0EA26003}"/>
    <cellStyle name="Currency 3 2 4 6" xfId="4482" xr:uid="{396A645F-B097-400D-A8EE-E6D70C38E3D5}"/>
    <cellStyle name="Currency 3 2 4 6 2" xfId="14430" xr:uid="{FBC7D301-7210-4865-997F-6A1E4F38E0A1}"/>
    <cellStyle name="Currency 3 2 4 7" xfId="5311" xr:uid="{572E379A-14E5-42B4-AD43-D2A3E2C94674}"/>
    <cellStyle name="Currency 3 2 4 7 2" xfId="15259" xr:uid="{C8F3D22F-8D11-40B5-9D64-C4CCB9F0C59D}"/>
    <cellStyle name="Currency 3 2 4 8" xfId="6140" xr:uid="{4BFBF447-ACA9-4DBE-B278-A1C8FB286D14}"/>
    <cellStyle name="Currency 3 2 4 8 2" xfId="16088" xr:uid="{3099D7AA-1CC0-4C68-A8FE-B7C9AA71513D}"/>
    <cellStyle name="Currency 3 2 4 9" xfId="6969" xr:uid="{4124B2FB-8FA4-4BAE-802C-7D954F3E2F0B}"/>
    <cellStyle name="Currency 3 2 4 9 2" xfId="16917" xr:uid="{6D116856-0217-40BA-86A8-EB929AE8C829}"/>
    <cellStyle name="Currency 3 2 5" xfId="186" xr:uid="{00000000-0005-0000-0000-00004A010000}"/>
    <cellStyle name="Currency 3 2 5 10" xfId="7799" xr:uid="{C1DAAF4F-7C6B-4F0D-B86C-1C30485FD901}"/>
    <cellStyle name="Currency 3 2 5 10 2" xfId="17747" xr:uid="{2ADA018E-78AA-4723-90AB-AFD298D38F4D}"/>
    <cellStyle name="Currency 3 2 5 11" xfId="8628" xr:uid="{7CE92D68-06A4-4BF0-A92B-997742814DFD}"/>
    <cellStyle name="Currency 3 2 5 11 2" xfId="18576" xr:uid="{18381DEE-8AA5-451C-9705-93E0452BB78C}"/>
    <cellStyle name="Currency 3 2 5 12" xfId="9457" xr:uid="{12D82D30-B661-4BE4-AD56-6CB1CF1917FF}"/>
    <cellStyle name="Currency 3 2 5 12 2" xfId="19405" xr:uid="{84C2ACCF-C8C8-4BB6-AE13-49AF77AFFFA6}"/>
    <cellStyle name="Currency 3 2 5 13" xfId="10286" xr:uid="{0EA63A76-472A-472B-87E7-FFB5CD689A2A}"/>
    <cellStyle name="Currency 3 2 5 13 2" xfId="20234" xr:uid="{CCE76C07-EC81-4CCC-9532-220000B21FD0}"/>
    <cellStyle name="Currency 3 2 5 14" xfId="1167" xr:uid="{549A3F90-3960-4369-BDD1-D0C01D5DCA2A}"/>
    <cellStyle name="Currency 3 2 5 15" xfId="11115" xr:uid="{01CA08C5-533D-42B0-B845-8D5DE0D5885D}"/>
    <cellStyle name="Currency 3 2 5 2" xfId="722" xr:uid="{00000000-0005-0000-0000-00004B010000}"/>
    <cellStyle name="Currency 3 2 5 2 10" xfId="9044" xr:uid="{4317FD92-A9FD-4766-ACD7-0DBD83CA9C7E}"/>
    <cellStyle name="Currency 3 2 5 2 10 2" xfId="18992" xr:uid="{8F321C70-E000-4EC6-A29F-A46ECCA8631C}"/>
    <cellStyle name="Currency 3 2 5 2 11" xfId="9873" xr:uid="{419DF0D0-8819-4294-B2CF-CC6F4E555DB1}"/>
    <cellStyle name="Currency 3 2 5 2 11 2" xfId="19821" xr:uid="{18FC69BC-8FED-4148-A440-6E29529B23FC}"/>
    <cellStyle name="Currency 3 2 5 2 12" xfId="10702" xr:uid="{C25FCFBD-4482-4DD9-8B6F-FFE6356F50A4}"/>
    <cellStyle name="Currency 3 2 5 2 12 2" xfId="20650" xr:uid="{2ABDF2E1-3783-44E9-A157-AB6F67092E2B}"/>
    <cellStyle name="Currency 3 2 5 2 13" xfId="1583" xr:uid="{8D812061-907F-476D-BFC4-1C13621FFB6C}"/>
    <cellStyle name="Currency 3 2 5 2 14" xfId="11531" xr:uid="{C477101A-5C89-4C32-AE69-E29D4719331A}"/>
    <cellStyle name="Currency 3 2 5 2 2" xfId="2412" xr:uid="{21352DE3-9185-4A54-996A-0955939E2C21}"/>
    <cellStyle name="Currency 3 2 5 2 2 2" xfId="12360" xr:uid="{4CC99D84-9303-4279-8502-EE9D24E69A4F}"/>
    <cellStyle name="Currency 3 2 5 2 3" xfId="3241" xr:uid="{54600648-D49E-4DB5-9675-622A208C7DE7}"/>
    <cellStyle name="Currency 3 2 5 2 3 2" xfId="13189" xr:uid="{635F14B1-590B-468E-94AE-FE7C12B98661}"/>
    <cellStyle name="Currency 3 2 5 2 4" xfId="4070" xr:uid="{D1662AE1-83CD-4597-917B-6EA3E447550F}"/>
    <cellStyle name="Currency 3 2 5 2 4 2" xfId="14018" xr:uid="{6A07B29E-2618-4CA7-883F-F01F3B704856}"/>
    <cellStyle name="Currency 3 2 5 2 5" xfId="4899" xr:uid="{389FE931-9C36-4AF2-A402-3E8C7F66336C}"/>
    <cellStyle name="Currency 3 2 5 2 5 2" xfId="14847" xr:uid="{9C0EC0AE-F370-4681-90F2-69DD126013C2}"/>
    <cellStyle name="Currency 3 2 5 2 6" xfId="5728" xr:uid="{875FA86E-C318-4B3D-8C61-2A52AF887E77}"/>
    <cellStyle name="Currency 3 2 5 2 6 2" xfId="15676" xr:uid="{B19093D0-37D4-4547-9709-3C7032722E24}"/>
    <cellStyle name="Currency 3 2 5 2 7" xfId="6557" xr:uid="{F43E90A9-07A9-4D1F-95BE-7E6A5F52A032}"/>
    <cellStyle name="Currency 3 2 5 2 7 2" xfId="16505" xr:uid="{35E8F1A1-3A26-44E2-80F0-998150423CDB}"/>
    <cellStyle name="Currency 3 2 5 2 8" xfId="7386" xr:uid="{DFAB2FA0-BE5D-4989-B9CA-84C2FBD1C6DF}"/>
    <cellStyle name="Currency 3 2 5 2 8 2" xfId="17334" xr:uid="{EB0008D6-9600-4EE8-8B1E-1217E1181F4F}"/>
    <cellStyle name="Currency 3 2 5 2 9" xfId="8215" xr:uid="{F2C4CDFD-84C9-4749-806E-48EC465F4A0D}"/>
    <cellStyle name="Currency 3 2 5 2 9 2" xfId="18163" xr:uid="{AF9BD380-22BF-4157-B197-67CC1B2929DC}"/>
    <cellStyle name="Currency 3 2 5 3" xfId="1996" xr:uid="{4896BDED-EB74-41E8-8EC1-295F20BADF52}"/>
    <cellStyle name="Currency 3 2 5 3 2" xfId="11944" xr:uid="{0E32EDCF-C75A-4C20-8AD1-F5F3F9E4443C}"/>
    <cellStyle name="Currency 3 2 5 4" xfId="2825" xr:uid="{7D1BC9AF-A6F5-4D79-AE64-372F3CD7EECD}"/>
    <cellStyle name="Currency 3 2 5 4 2" xfId="12773" xr:uid="{48765725-F7FC-447E-AB1F-769426C91B79}"/>
    <cellStyle name="Currency 3 2 5 5" xfId="3654" xr:uid="{CB342877-FFD6-4216-A6B3-66ABC12E36FA}"/>
    <cellStyle name="Currency 3 2 5 5 2" xfId="13602" xr:uid="{AD0577FE-62C8-47E4-8660-1C42DF32BBED}"/>
    <cellStyle name="Currency 3 2 5 6" xfId="4483" xr:uid="{D6D250E3-58EF-4A7A-AA94-96D6F498E039}"/>
    <cellStyle name="Currency 3 2 5 6 2" xfId="14431" xr:uid="{03517E29-3928-4D9D-A7C5-FE8EDCF0E119}"/>
    <cellStyle name="Currency 3 2 5 7" xfId="5312" xr:uid="{FBFB9D8B-69EC-4800-92F6-88CC158DBCA8}"/>
    <cellStyle name="Currency 3 2 5 7 2" xfId="15260" xr:uid="{BAF95CF7-3A93-4611-B825-ECE7C5C700B5}"/>
    <cellStyle name="Currency 3 2 5 8" xfId="6141" xr:uid="{854DC87D-AB0F-451D-88F3-292B5596E2CD}"/>
    <cellStyle name="Currency 3 2 5 8 2" xfId="16089" xr:uid="{B34C6942-C39C-4D6B-A90C-A0CCFED9BA08}"/>
    <cellStyle name="Currency 3 2 5 9" xfId="6970" xr:uid="{F77D898F-2CE7-4589-A543-8A52BE6ED260}"/>
    <cellStyle name="Currency 3 2 5 9 2" xfId="16918" xr:uid="{6593C1E8-C597-4775-A301-4C613789EFBB}"/>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10" xfId="6142" xr:uid="{F2A84683-DFB4-4ECE-AE6F-4FF5F4375CA5}"/>
    <cellStyle name="Currency 5 2 2 2 10 2" xfId="16090" xr:uid="{EBA9A61E-A1B1-4903-9E77-66AE78E62BCB}"/>
    <cellStyle name="Currency 5 2 2 2 11" xfId="6971" xr:uid="{49B5B07B-EE19-4F56-8CB8-FD3B0E71C025}"/>
    <cellStyle name="Currency 5 2 2 2 11 2" xfId="16919" xr:uid="{B3FD46A0-EFC9-4B22-AC30-8CA8886B2FDD}"/>
    <cellStyle name="Currency 5 2 2 2 12" xfId="7800" xr:uid="{31C4BE53-A789-4E41-AEC5-677CE6D599C5}"/>
    <cellStyle name="Currency 5 2 2 2 12 2" xfId="17748" xr:uid="{0BFF9624-9F27-419F-8D52-36BA043DD5FE}"/>
    <cellStyle name="Currency 5 2 2 2 13" xfId="8629" xr:uid="{30FEC078-66FD-4CD8-B127-58BF97F9C77B}"/>
    <cellStyle name="Currency 5 2 2 2 13 2" xfId="18577" xr:uid="{80E1C232-5ED5-4293-8DD0-2A6096A84A76}"/>
    <cellStyle name="Currency 5 2 2 2 14" xfId="9458" xr:uid="{CBD9F628-3D5D-436F-83EC-2FE278793139}"/>
    <cellStyle name="Currency 5 2 2 2 14 2" xfId="19406" xr:uid="{0F54705C-4382-4273-A2A9-6BBFCC622C57}"/>
    <cellStyle name="Currency 5 2 2 2 15" xfId="10287" xr:uid="{46E76D11-1869-4143-B7FD-22BFF035487A}"/>
    <cellStyle name="Currency 5 2 2 2 15 2" xfId="20235" xr:uid="{7B84831B-BD45-45C9-9C37-6D3D7E6BAA61}"/>
    <cellStyle name="Currency 5 2 2 2 16" xfId="1168" xr:uid="{820DDF25-7F0E-4436-A57D-ED124E0B285D}"/>
    <cellStyle name="Currency 5 2 2 2 17" xfId="11116" xr:uid="{99F1C76A-DB12-4E56-9D11-67FCCF7230FD}"/>
    <cellStyle name="Currency 5 2 2 2 2" xfId="198" xr:uid="{00000000-0005-0000-0000-00005C010000}"/>
    <cellStyle name="Currency 5 2 2 2 2 10" xfId="6972" xr:uid="{1CCE73D3-3BBE-4781-B927-D16F5DECDEB9}"/>
    <cellStyle name="Currency 5 2 2 2 2 10 2" xfId="16920" xr:uid="{BD6A9F6C-F4A2-4FDB-8151-A0597BCD282D}"/>
    <cellStyle name="Currency 5 2 2 2 2 11" xfId="7801" xr:uid="{0BCE472E-8261-49E5-B420-9D0203B5EAF7}"/>
    <cellStyle name="Currency 5 2 2 2 2 11 2" xfId="17749" xr:uid="{D5A4D85C-D8E5-4C9C-A0A5-C21718A0C022}"/>
    <cellStyle name="Currency 5 2 2 2 2 12" xfId="8630" xr:uid="{CAEF34B0-D45A-4801-AF56-A08AB3828005}"/>
    <cellStyle name="Currency 5 2 2 2 2 12 2" xfId="18578" xr:uid="{B89A0510-2A3F-4B15-813F-4DB989775E8D}"/>
    <cellStyle name="Currency 5 2 2 2 2 13" xfId="9459" xr:uid="{02003718-65DE-4786-A9FB-E37D6F69AC62}"/>
    <cellStyle name="Currency 5 2 2 2 2 13 2" xfId="19407" xr:uid="{4AB7A80A-6E63-4F17-9AA7-228C65D400D4}"/>
    <cellStyle name="Currency 5 2 2 2 2 14" xfId="10288" xr:uid="{E93F2B11-1290-45B5-92B3-3A133D952090}"/>
    <cellStyle name="Currency 5 2 2 2 2 14 2" xfId="20236" xr:uid="{877DF42A-F281-41FF-9E7D-C0BDEF1A4BCF}"/>
    <cellStyle name="Currency 5 2 2 2 2 15" xfId="1169" xr:uid="{20A61CBE-047A-417D-8ABA-7A6BABF03DBE}"/>
    <cellStyle name="Currency 5 2 2 2 2 16" xfId="11117" xr:uid="{0D017BAB-70C1-417F-803B-6AFD5EF8B751}"/>
    <cellStyle name="Currency 5 2 2 2 2 2" xfId="199" xr:uid="{00000000-0005-0000-0000-00005D010000}"/>
    <cellStyle name="Currency 5 2 2 2 2 2 10" xfId="7802" xr:uid="{CF6AE3C5-1C46-4E55-B3B9-19FB5DEBEBE1}"/>
    <cellStyle name="Currency 5 2 2 2 2 2 10 2" xfId="17750" xr:uid="{FACCAD44-A8AD-4EC7-93C5-7AE2887C15E8}"/>
    <cellStyle name="Currency 5 2 2 2 2 2 11" xfId="8631" xr:uid="{CDFA4905-D365-4D3B-8F41-4074517E05A6}"/>
    <cellStyle name="Currency 5 2 2 2 2 2 11 2" xfId="18579" xr:uid="{A704778C-6C6A-4655-8F74-EE94348478C7}"/>
    <cellStyle name="Currency 5 2 2 2 2 2 12" xfId="9460" xr:uid="{422D6907-5331-4CA1-967B-9E214EEA3B40}"/>
    <cellStyle name="Currency 5 2 2 2 2 2 12 2" xfId="19408" xr:uid="{8C854805-57E7-419F-8D27-95557CD7ABC5}"/>
    <cellStyle name="Currency 5 2 2 2 2 2 13" xfId="10289" xr:uid="{51D0FE44-AC0B-4E90-9210-CC505491F864}"/>
    <cellStyle name="Currency 5 2 2 2 2 2 13 2" xfId="20237" xr:uid="{2D02A789-21B3-4261-97C9-D9CC47961D62}"/>
    <cellStyle name="Currency 5 2 2 2 2 2 14" xfId="1170" xr:uid="{8433B963-E24A-4BC6-9C9A-9E2EECBB9900}"/>
    <cellStyle name="Currency 5 2 2 2 2 2 15" xfId="11118" xr:uid="{43377126-F156-4369-99F6-16708502FE87}"/>
    <cellStyle name="Currency 5 2 2 2 2 2 2" xfId="732" xr:uid="{00000000-0005-0000-0000-00005E010000}"/>
    <cellStyle name="Currency 5 2 2 2 2 2 2 10" xfId="9047" xr:uid="{2F204D35-BF97-4F8A-93CD-0A26A67850A1}"/>
    <cellStyle name="Currency 5 2 2 2 2 2 2 10 2" xfId="18995" xr:uid="{284E6644-4B5C-47E7-80AB-803741359BDB}"/>
    <cellStyle name="Currency 5 2 2 2 2 2 2 11" xfId="9876" xr:uid="{97558250-492C-48BE-A801-6383E10B0965}"/>
    <cellStyle name="Currency 5 2 2 2 2 2 2 11 2" xfId="19824" xr:uid="{D0289C76-86F9-4FE9-A68A-F81F9B7871BC}"/>
    <cellStyle name="Currency 5 2 2 2 2 2 2 12" xfId="10705" xr:uid="{260B454D-D263-48E8-A2F6-63C3194BB10A}"/>
    <cellStyle name="Currency 5 2 2 2 2 2 2 12 2" xfId="20653" xr:uid="{1EDB0920-F1A5-4B99-AA21-47003D993612}"/>
    <cellStyle name="Currency 5 2 2 2 2 2 2 13" xfId="1586" xr:uid="{369A404F-DEA7-4714-9DB1-AD6707292A07}"/>
    <cellStyle name="Currency 5 2 2 2 2 2 2 14" xfId="11534" xr:uid="{039762B3-EB4A-4A3B-A260-40714FCE5EA5}"/>
    <cellStyle name="Currency 5 2 2 2 2 2 2 2" xfId="2415" xr:uid="{1BFC9B44-80D0-445F-8D0E-9016B613D1CF}"/>
    <cellStyle name="Currency 5 2 2 2 2 2 2 2 2" xfId="12363" xr:uid="{F4AFF53E-57B0-400C-AE88-0761A3ECB097}"/>
    <cellStyle name="Currency 5 2 2 2 2 2 2 3" xfId="3244" xr:uid="{264A1A8F-D9D8-4A64-BE63-619037FABA1F}"/>
    <cellStyle name="Currency 5 2 2 2 2 2 2 3 2" xfId="13192" xr:uid="{0803E507-6820-4998-A06B-B0B9F1FD3AA6}"/>
    <cellStyle name="Currency 5 2 2 2 2 2 2 4" xfId="4073" xr:uid="{F71CF870-5D12-4290-B86E-257C38445FC1}"/>
    <cellStyle name="Currency 5 2 2 2 2 2 2 4 2" xfId="14021" xr:uid="{7743A956-70EB-4BF0-B264-43B2BECC4835}"/>
    <cellStyle name="Currency 5 2 2 2 2 2 2 5" xfId="4902" xr:uid="{E386C1EC-C567-4CFF-AC79-B399BE894400}"/>
    <cellStyle name="Currency 5 2 2 2 2 2 2 5 2" xfId="14850" xr:uid="{9FDE68F5-10EC-485F-82EA-BDB2E8768B40}"/>
    <cellStyle name="Currency 5 2 2 2 2 2 2 6" xfId="5731" xr:uid="{166A66B2-3DB8-402D-BCAE-B5AC80C6F333}"/>
    <cellStyle name="Currency 5 2 2 2 2 2 2 6 2" xfId="15679" xr:uid="{D927F4E9-460E-4359-80CE-95C0154C3D11}"/>
    <cellStyle name="Currency 5 2 2 2 2 2 2 7" xfId="6560" xr:uid="{DDCAAA30-7519-487A-A3B2-889FE6629038}"/>
    <cellStyle name="Currency 5 2 2 2 2 2 2 7 2" xfId="16508" xr:uid="{825F06D1-227F-444B-B562-82184B864BC4}"/>
    <cellStyle name="Currency 5 2 2 2 2 2 2 8" xfId="7389" xr:uid="{CF540643-894F-4DBE-86CF-6EFB731628A4}"/>
    <cellStyle name="Currency 5 2 2 2 2 2 2 8 2" xfId="17337" xr:uid="{11D816DB-EAF7-4426-8D15-7245FFF43E6E}"/>
    <cellStyle name="Currency 5 2 2 2 2 2 2 9" xfId="8218" xr:uid="{49D1C2CB-5AB0-48C5-96CE-A580FB7B4580}"/>
    <cellStyle name="Currency 5 2 2 2 2 2 2 9 2" xfId="18166" xr:uid="{EEE9CB51-9C11-49E7-887B-B4F2E14DD6D4}"/>
    <cellStyle name="Currency 5 2 2 2 2 2 3" xfId="1999" xr:uid="{6528516C-9F0C-4FBC-8906-EAE10E82C471}"/>
    <cellStyle name="Currency 5 2 2 2 2 2 3 2" xfId="11947" xr:uid="{BE3683B8-92C3-4191-8166-835C6766C9A4}"/>
    <cellStyle name="Currency 5 2 2 2 2 2 4" xfId="2828" xr:uid="{B73EF868-2596-46C3-9EA3-61BAC144E53B}"/>
    <cellStyle name="Currency 5 2 2 2 2 2 4 2" xfId="12776" xr:uid="{9868E09C-FC71-44EE-8E30-31701D6286F3}"/>
    <cellStyle name="Currency 5 2 2 2 2 2 5" xfId="3657" xr:uid="{B39CA0E4-E18C-44C0-AE8E-DE69627FECF2}"/>
    <cellStyle name="Currency 5 2 2 2 2 2 5 2" xfId="13605" xr:uid="{FA543B41-6261-4175-AB88-1784978A3FA4}"/>
    <cellStyle name="Currency 5 2 2 2 2 2 6" xfId="4486" xr:uid="{A72129E8-92EF-48A3-87E0-B04BCE7BDCCC}"/>
    <cellStyle name="Currency 5 2 2 2 2 2 6 2" xfId="14434" xr:uid="{F3F55647-3DD2-4A96-981C-27BD98A1F73E}"/>
    <cellStyle name="Currency 5 2 2 2 2 2 7" xfId="5315" xr:uid="{1C8D5AD9-B8D7-451A-8783-E88FE965A141}"/>
    <cellStyle name="Currency 5 2 2 2 2 2 7 2" xfId="15263" xr:uid="{49F4F0C8-3DE0-4689-86BB-BE299AB2621E}"/>
    <cellStyle name="Currency 5 2 2 2 2 2 8" xfId="6144" xr:uid="{AD3E613B-12C6-4F33-8D8B-ACF5636835CB}"/>
    <cellStyle name="Currency 5 2 2 2 2 2 8 2" xfId="16092" xr:uid="{9E20E18D-26FC-447C-89CB-E8013059A0E8}"/>
    <cellStyle name="Currency 5 2 2 2 2 2 9" xfId="6973" xr:uid="{77583A9A-30BB-4893-B021-9837BB360981}"/>
    <cellStyle name="Currency 5 2 2 2 2 2 9 2" xfId="16921" xr:uid="{8B6897E6-E447-4E4B-B652-89E46D634970}"/>
    <cellStyle name="Currency 5 2 2 2 2 3" xfId="731" xr:uid="{00000000-0005-0000-0000-00005F010000}"/>
    <cellStyle name="Currency 5 2 2 2 2 3 10" xfId="9046" xr:uid="{1ABCBA45-45AD-4A68-877A-A123A9C2C9BC}"/>
    <cellStyle name="Currency 5 2 2 2 2 3 10 2" xfId="18994" xr:uid="{AC427CE9-DB71-45F6-9F2B-E9EC9478C30A}"/>
    <cellStyle name="Currency 5 2 2 2 2 3 11" xfId="9875" xr:uid="{5B1105F9-7074-42A3-9164-396013166C40}"/>
    <cellStyle name="Currency 5 2 2 2 2 3 11 2" xfId="19823" xr:uid="{6E14DD85-57DF-47B0-82CF-73D45F0E10E8}"/>
    <cellStyle name="Currency 5 2 2 2 2 3 12" xfId="10704" xr:uid="{D528988D-350E-4411-AE8B-7B77291AA33A}"/>
    <cellStyle name="Currency 5 2 2 2 2 3 12 2" xfId="20652" xr:uid="{C9C85A5A-FF4D-4AE2-87A4-FE29CD065F54}"/>
    <cellStyle name="Currency 5 2 2 2 2 3 13" xfId="1585" xr:uid="{F14B46E0-89C4-4C21-9ADF-1964EA12C443}"/>
    <cellStyle name="Currency 5 2 2 2 2 3 14" xfId="11533" xr:uid="{A8B513C6-11DE-4D48-948B-0747E53D68D4}"/>
    <cellStyle name="Currency 5 2 2 2 2 3 2" xfId="2414" xr:uid="{C45B833D-7CB2-466E-8432-B968C4AC9338}"/>
    <cellStyle name="Currency 5 2 2 2 2 3 2 2" xfId="12362" xr:uid="{90EE4542-F7EA-46CF-8DB3-EFB5B2EA2BED}"/>
    <cellStyle name="Currency 5 2 2 2 2 3 3" xfId="3243" xr:uid="{F0A54A3A-AEB7-4FE2-A670-6A518F7C7162}"/>
    <cellStyle name="Currency 5 2 2 2 2 3 3 2" xfId="13191" xr:uid="{EA10E67F-B100-4E33-9567-AF40D376C652}"/>
    <cellStyle name="Currency 5 2 2 2 2 3 4" xfId="4072" xr:uid="{74E77D71-78D6-4723-9510-F6DA69518085}"/>
    <cellStyle name="Currency 5 2 2 2 2 3 4 2" xfId="14020" xr:uid="{96437078-169A-427D-AC87-BD5EF86487E1}"/>
    <cellStyle name="Currency 5 2 2 2 2 3 5" xfId="4901" xr:uid="{EA9745A3-17B2-415D-8539-D62B543539E7}"/>
    <cellStyle name="Currency 5 2 2 2 2 3 5 2" xfId="14849" xr:uid="{E14F36BC-05E0-46B4-B067-237D429B24FD}"/>
    <cellStyle name="Currency 5 2 2 2 2 3 6" xfId="5730" xr:uid="{B8C45565-1D46-4956-9993-FC78CED95586}"/>
    <cellStyle name="Currency 5 2 2 2 2 3 6 2" xfId="15678" xr:uid="{B8FA47A3-1CEA-476C-82F9-53248364DBE2}"/>
    <cellStyle name="Currency 5 2 2 2 2 3 7" xfId="6559" xr:uid="{2DBBD7AD-9963-4C0A-8F6A-6E95F4F0F3BD}"/>
    <cellStyle name="Currency 5 2 2 2 2 3 7 2" xfId="16507" xr:uid="{391882E3-3E98-4A6D-BE3B-FE19375CD45C}"/>
    <cellStyle name="Currency 5 2 2 2 2 3 8" xfId="7388" xr:uid="{0F10E308-D157-4293-ADB0-E82EB34093C8}"/>
    <cellStyle name="Currency 5 2 2 2 2 3 8 2" xfId="17336" xr:uid="{6353D62B-7782-4433-B353-4012F650569F}"/>
    <cellStyle name="Currency 5 2 2 2 2 3 9" xfId="8217" xr:uid="{6F29F550-21CE-40FB-9AA9-33212A7A0D6C}"/>
    <cellStyle name="Currency 5 2 2 2 2 3 9 2" xfId="18165" xr:uid="{8C2A68E9-CB90-4233-8788-8E7790E44CEB}"/>
    <cellStyle name="Currency 5 2 2 2 2 4" xfId="1998" xr:uid="{45D2D9CD-DF3D-41B4-B4E2-C03F0A65B4F1}"/>
    <cellStyle name="Currency 5 2 2 2 2 4 2" xfId="11946" xr:uid="{2B5C9B37-E52E-4A61-8CC2-0152EC9F1AB5}"/>
    <cellStyle name="Currency 5 2 2 2 2 5" xfId="2827" xr:uid="{73D55DC2-C573-4153-ACAB-92A94CBA8E73}"/>
    <cellStyle name="Currency 5 2 2 2 2 5 2" xfId="12775" xr:uid="{D78C81BF-9FA6-4E14-885C-05362733375E}"/>
    <cellStyle name="Currency 5 2 2 2 2 6" xfId="3656" xr:uid="{A97815F6-5040-44EE-AE51-201DC18D6BBD}"/>
    <cellStyle name="Currency 5 2 2 2 2 6 2" xfId="13604" xr:uid="{8EA14EAC-9909-4EF9-85F9-02118DB147D0}"/>
    <cellStyle name="Currency 5 2 2 2 2 7" xfId="4485" xr:uid="{2AFC47C9-FEB3-4DDD-B513-11A3AD29B9CB}"/>
    <cellStyle name="Currency 5 2 2 2 2 7 2" xfId="14433" xr:uid="{E1712115-0B9A-4E28-8C18-69B10121B5D1}"/>
    <cellStyle name="Currency 5 2 2 2 2 8" xfId="5314" xr:uid="{D36890DD-9042-465B-BCE1-6E2DD61343AA}"/>
    <cellStyle name="Currency 5 2 2 2 2 8 2" xfId="15262" xr:uid="{CFF00F75-FE73-4D63-A23D-DD9B9049A231}"/>
    <cellStyle name="Currency 5 2 2 2 2 9" xfId="6143" xr:uid="{44CC61E5-5AB4-4569-9575-BCF7C8309382}"/>
    <cellStyle name="Currency 5 2 2 2 2 9 2" xfId="16091" xr:uid="{DE7D904B-AB9E-4110-8211-F636CC7B0E7D}"/>
    <cellStyle name="Currency 5 2 2 2 3" xfId="200" xr:uid="{00000000-0005-0000-0000-000060010000}"/>
    <cellStyle name="Currency 5 2 2 2 3 10" xfId="7803" xr:uid="{06CFE1B8-662C-45FA-B32C-645A2A86A5D3}"/>
    <cellStyle name="Currency 5 2 2 2 3 10 2" xfId="17751" xr:uid="{0E12E54E-E8D4-4302-951F-991F1AEAFE66}"/>
    <cellStyle name="Currency 5 2 2 2 3 11" xfId="8632" xr:uid="{C36CC4F2-B8F8-4880-9738-5AC2E4A3DB1E}"/>
    <cellStyle name="Currency 5 2 2 2 3 11 2" xfId="18580" xr:uid="{F49DF719-2D7F-48B9-8984-725A38F38E94}"/>
    <cellStyle name="Currency 5 2 2 2 3 12" xfId="9461" xr:uid="{06D95C43-2BF5-4C8B-B459-FFCA210CE3CC}"/>
    <cellStyle name="Currency 5 2 2 2 3 12 2" xfId="19409" xr:uid="{30E2E98B-903B-4E5E-8252-70AD3EC5A108}"/>
    <cellStyle name="Currency 5 2 2 2 3 13" xfId="10290" xr:uid="{C3895D94-62CF-4054-BBD0-3590B08EDFD6}"/>
    <cellStyle name="Currency 5 2 2 2 3 13 2" xfId="20238" xr:uid="{0DE8A82B-6CDF-4716-92ED-C9BE9A699D24}"/>
    <cellStyle name="Currency 5 2 2 2 3 14" xfId="1171" xr:uid="{C9B9DD5F-A1B7-4553-99F1-DD4B293A9749}"/>
    <cellStyle name="Currency 5 2 2 2 3 15" xfId="11119" xr:uid="{0D421DF1-C384-4674-8424-65C2CF7357FB}"/>
    <cellStyle name="Currency 5 2 2 2 3 2" xfId="733" xr:uid="{00000000-0005-0000-0000-000061010000}"/>
    <cellStyle name="Currency 5 2 2 2 3 2 10" xfId="9048" xr:uid="{1C4C9748-6E54-4E55-A757-5031485ADC3C}"/>
    <cellStyle name="Currency 5 2 2 2 3 2 10 2" xfId="18996" xr:uid="{C9ABB800-CC1F-4F00-A1B0-B04C05D009DB}"/>
    <cellStyle name="Currency 5 2 2 2 3 2 11" xfId="9877" xr:uid="{76737DEB-04EC-400E-BC7E-795F339D5989}"/>
    <cellStyle name="Currency 5 2 2 2 3 2 11 2" xfId="19825" xr:uid="{14A3F89C-0F1E-4E9E-9E5F-B2D080E54E5C}"/>
    <cellStyle name="Currency 5 2 2 2 3 2 12" xfId="10706" xr:uid="{C71938F0-6030-49C8-9F95-47E99E5F5612}"/>
    <cellStyle name="Currency 5 2 2 2 3 2 12 2" xfId="20654" xr:uid="{40C3EA7B-E3D9-4FA1-9C6A-69411BCB64C5}"/>
    <cellStyle name="Currency 5 2 2 2 3 2 13" xfId="1587" xr:uid="{D4DB445C-140B-4654-853D-35EDA09659C4}"/>
    <cellStyle name="Currency 5 2 2 2 3 2 14" xfId="11535" xr:uid="{260DD863-12FB-4158-BAA5-501A2A942281}"/>
    <cellStyle name="Currency 5 2 2 2 3 2 2" xfId="2416" xr:uid="{45BF3DB9-E2AD-4B15-B9B8-084ABA3F8F33}"/>
    <cellStyle name="Currency 5 2 2 2 3 2 2 2" xfId="12364" xr:uid="{113EC3F2-086D-45BC-9AA2-2393F9ECD0D5}"/>
    <cellStyle name="Currency 5 2 2 2 3 2 3" xfId="3245" xr:uid="{8C8D9C0C-4D79-4C8C-A659-F920D3373993}"/>
    <cellStyle name="Currency 5 2 2 2 3 2 3 2" xfId="13193" xr:uid="{0A1911F6-1FAA-4433-9E6A-D5EF818C03BC}"/>
    <cellStyle name="Currency 5 2 2 2 3 2 4" xfId="4074" xr:uid="{70925861-88A3-4C73-8DB0-5E4A293E20F4}"/>
    <cellStyle name="Currency 5 2 2 2 3 2 4 2" xfId="14022" xr:uid="{2969FEFE-C7C2-422A-81D3-22D982833C1D}"/>
    <cellStyle name="Currency 5 2 2 2 3 2 5" xfId="4903" xr:uid="{06A3673D-61DD-4379-9BDA-6A0D352D639A}"/>
    <cellStyle name="Currency 5 2 2 2 3 2 5 2" xfId="14851" xr:uid="{6F9C5FC2-28DC-4E02-A165-92FA4E00230B}"/>
    <cellStyle name="Currency 5 2 2 2 3 2 6" xfId="5732" xr:uid="{74F54F85-72F6-4162-9908-92E0D0AA148C}"/>
    <cellStyle name="Currency 5 2 2 2 3 2 6 2" xfId="15680" xr:uid="{0AD525A5-B84B-41CB-838B-5FB5D1003F83}"/>
    <cellStyle name="Currency 5 2 2 2 3 2 7" xfId="6561" xr:uid="{9B37FFD6-01EF-4346-AD0F-2D71C46E63E3}"/>
    <cellStyle name="Currency 5 2 2 2 3 2 7 2" xfId="16509" xr:uid="{DF5317B7-3174-4926-950B-C7C98439411B}"/>
    <cellStyle name="Currency 5 2 2 2 3 2 8" xfId="7390" xr:uid="{734B6192-DAF3-41F7-AE8F-BC2CBBD740CF}"/>
    <cellStyle name="Currency 5 2 2 2 3 2 8 2" xfId="17338" xr:uid="{D2532B99-1DC9-4093-9D8B-FECC38ACFF7A}"/>
    <cellStyle name="Currency 5 2 2 2 3 2 9" xfId="8219" xr:uid="{C4A05428-1EAC-44D0-83C2-AF4467ADBBFB}"/>
    <cellStyle name="Currency 5 2 2 2 3 2 9 2" xfId="18167" xr:uid="{8E52BFBE-1E77-4E8C-B3FC-38619CCCB2BC}"/>
    <cellStyle name="Currency 5 2 2 2 3 3" xfId="2000" xr:uid="{2C77C4DF-6186-4BD7-AFC3-FE4EE4B53D46}"/>
    <cellStyle name="Currency 5 2 2 2 3 3 2" xfId="11948" xr:uid="{6CCBCF66-CD26-4E01-A051-A967D06DF0B9}"/>
    <cellStyle name="Currency 5 2 2 2 3 4" xfId="2829" xr:uid="{B23EC9C1-5272-4C15-B78A-A5679EB83520}"/>
    <cellStyle name="Currency 5 2 2 2 3 4 2" xfId="12777" xr:uid="{6B3F9CAD-BEAA-497C-9B5D-111050FD599E}"/>
    <cellStyle name="Currency 5 2 2 2 3 5" xfId="3658" xr:uid="{C5F3BB3A-4148-435B-8BE0-C1A15DF534CA}"/>
    <cellStyle name="Currency 5 2 2 2 3 5 2" xfId="13606" xr:uid="{980191A6-7D51-45F4-B786-9A240BE437CF}"/>
    <cellStyle name="Currency 5 2 2 2 3 6" xfId="4487" xr:uid="{E443C95A-1C72-44C9-A84C-1B0BF9BD8CAE}"/>
    <cellStyle name="Currency 5 2 2 2 3 6 2" xfId="14435" xr:uid="{9078B93C-491E-4AB3-BFD5-F6251D61789F}"/>
    <cellStyle name="Currency 5 2 2 2 3 7" xfId="5316" xr:uid="{6D5EB25F-7BA1-4E7E-9F64-61757BD21692}"/>
    <cellStyle name="Currency 5 2 2 2 3 7 2" xfId="15264" xr:uid="{DF6ADA51-6137-445E-9D5E-37F4D3D32B51}"/>
    <cellStyle name="Currency 5 2 2 2 3 8" xfId="6145" xr:uid="{2057F5EB-98C3-4673-A93B-AEBA4AE22887}"/>
    <cellStyle name="Currency 5 2 2 2 3 8 2" xfId="16093" xr:uid="{0794D323-BFD4-421F-82C2-29A078024E6D}"/>
    <cellStyle name="Currency 5 2 2 2 3 9" xfId="6974" xr:uid="{474AB01B-654F-44FE-A49A-B84A664E2C01}"/>
    <cellStyle name="Currency 5 2 2 2 3 9 2" xfId="16922" xr:uid="{41CDA2A1-7F88-4EEA-A864-951B235FD4CA}"/>
    <cellStyle name="Currency 5 2 2 2 4" xfId="730" xr:uid="{00000000-0005-0000-0000-000062010000}"/>
    <cellStyle name="Currency 5 2 2 2 4 10" xfId="9045" xr:uid="{CAA2132A-BC2F-4EA0-9385-3B11B831DEB5}"/>
    <cellStyle name="Currency 5 2 2 2 4 10 2" xfId="18993" xr:uid="{BF6018DF-D9DC-44C7-AAA9-F02BE941D42A}"/>
    <cellStyle name="Currency 5 2 2 2 4 11" xfId="9874" xr:uid="{4DEEE94F-9BB4-4D76-B61F-4C188C2EF730}"/>
    <cellStyle name="Currency 5 2 2 2 4 11 2" xfId="19822" xr:uid="{CB9C1DD8-1CBB-4A50-BD16-D38C03F49E3B}"/>
    <cellStyle name="Currency 5 2 2 2 4 12" xfId="10703" xr:uid="{4DC11A7B-B7D8-4A5C-9A1D-0F00DBE90BDD}"/>
    <cellStyle name="Currency 5 2 2 2 4 12 2" xfId="20651" xr:uid="{586B9650-246F-4964-B7EC-EC0E9A25B701}"/>
    <cellStyle name="Currency 5 2 2 2 4 13" xfId="1584" xr:uid="{8343DA41-D049-42B6-9504-440A68B1BB2B}"/>
    <cellStyle name="Currency 5 2 2 2 4 14" xfId="11532" xr:uid="{A17AEC42-7FD5-464D-A979-C548D1CC950D}"/>
    <cellStyle name="Currency 5 2 2 2 4 2" xfId="2413" xr:uid="{980D563D-A083-4860-96B3-6568A3DE4384}"/>
    <cellStyle name="Currency 5 2 2 2 4 2 2" xfId="12361" xr:uid="{61495CDC-FE1E-42D3-90E1-3DDD03A88B3F}"/>
    <cellStyle name="Currency 5 2 2 2 4 3" xfId="3242" xr:uid="{DE2B9A32-1C05-4257-A6D6-6227E26A1DFE}"/>
    <cellStyle name="Currency 5 2 2 2 4 3 2" xfId="13190" xr:uid="{F5190693-4A50-415D-8BDC-AA0EF2F99CE6}"/>
    <cellStyle name="Currency 5 2 2 2 4 4" xfId="4071" xr:uid="{191CC6E3-D08B-429B-BDCB-246E32E81DF3}"/>
    <cellStyle name="Currency 5 2 2 2 4 4 2" xfId="14019" xr:uid="{5D6B58FA-A331-4F0B-8695-262E333267E3}"/>
    <cellStyle name="Currency 5 2 2 2 4 5" xfId="4900" xr:uid="{74DDF1EE-1290-4467-8141-DF9452A8BE3A}"/>
    <cellStyle name="Currency 5 2 2 2 4 5 2" xfId="14848" xr:uid="{AA17E3F5-ABA0-4650-B3E9-CB17ED668EF7}"/>
    <cellStyle name="Currency 5 2 2 2 4 6" xfId="5729" xr:uid="{D66006A5-C848-4F8F-B86B-99D522B27C29}"/>
    <cellStyle name="Currency 5 2 2 2 4 6 2" xfId="15677" xr:uid="{3E746E5F-EEC5-4244-B7B3-794B8D3A7B81}"/>
    <cellStyle name="Currency 5 2 2 2 4 7" xfId="6558" xr:uid="{728592A3-913B-4189-9C80-B34D5BF61E95}"/>
    <cellStyle name="Currency 5 2 2 2 4 7 2" xfId="16506" xr:uid="{19E820B4-ADCA-4226-BFBB-C518D654BE9A}"/>
    <cellStyle name="Currency 5 2 2 2 4 8" xfId="7387" xr:uid="{371A144D-B434-48D4-BAA3-0D5864ADB123}"/>
    <cellStyle name="Currency 5 2 2 2 4 8 2" xfId="17335" xr:uid="{A835B736-FE47-4C94-BDBB-2BD38B4DF466}"/>
    <cellStyle name="Currency 5 2 2 2 4 9" xfId="8216" xr:uid="{4F12636F-61F6-426D-A288-EA6005116F05}"/>
    <cellStyle name="Currency 5 2 2 2 4 9 2" xfId="18164" xr:uid="{18352481-E371-4655-B088-F770E3FF5001}"/>
    <cellStyle name="Currency 5 2 2 2 5" xfId="1997" xr:uid="{4A017E71-2C78-4937-B3B5-DBBA20EC4537}"/>
    <cellStyle name="Currency 5 2 2 2 5 2" xfId="11945" xr:uid="{E14509C3-D091-47FB-ADFE-FE5BDBC802DE}"/>
    <cellStyle name="Currency 5 2 2 2 6" xfId="2826" xr:uid="{DE07EAD5-7F99-431D-B837-A6940F7373DB}"/>
    <cellStyle name="Currency 5 2 2 2 6 2" xfId="12774" xr:uid="{4A2F0A59-955F-4A0F-9023-F9428AF8E6D6}"/>
    <cellStyle name="Currency 5 2 2 2 7" xfId="3655" xr:uid="{0EBA5726-A90A-4F66-A5D9-D6CBBB2CCAD1}"/>
    <cellStyle name="Currency 5 2 2 2 7 2" xfId="13603" xr:uid="{90935C8E-576E-44DF-8038-D63377622955}"/>
    <cellStyle name="Currency 5 2 2 2 8" xfId="4484" xr:uid="{D3F8F9C4-8527-4C46-9A6E-A861D249F7AD}"/>
    <cellStyle name="Currency 5 2 2 2 8 2" xfId="14432" xr:uid="{1891483D-0726-4491-9793-914D78044718}"/>
    <cellStyle name="Currency 5 2 2 2 9" xfId="5313" xr:uid="{F6EA0D2F-852E-4A90-B0E7-6B53D2EA4D25}"/>
    <cellStyle name="Currency 5 2 2 2 9 2" xfId="15261" xr:uid="{3063FB2C-3C2F-4D1E-9B6D-C4B782ACE811}"/>
    <cellStyle name="Currency 5 2 2 3" xfId="201" xr:uid="{00000000-0005-0000-0000-000063010000}"/>
    <cellStyle name="Currency 5 2 2 3 10" xfId="6975" xr:uid="{F67D13BE-C6FF-44C9-B7FA-3B1AFAD303C3}"/>
    <cellStyle name="Currency 5 2 2 3 10 2" xfId="16923" xr:uid="{B879A4A5-6666-43AD-B14F-0A2156A7CFA8}"/>
    <cellStyle name="Currency 5 2 2 3 11" xfId="7804" xr:uid="{6A057F40-5B03-4DA7-8FB0-3AC4EFE05143}"/>
    <cellStyle name="Currency 5 2 2 3 11 2" xfId="17752" xr:uid="{20A843B9-FB90-4DE3-BB67-C94FEDE1C2E3}"/>
    <cellStyle name="Currency 5 2 2 3 12" xfId="8633" xr:uid="{1BE1B261-BA1C-46B9-AA2F-DB7216503C7A}"/>
    <cellStyle name="Currency 5 2 2 3 12 2" xfId="18581" xr:uid="{ACCC080C-C50B-4050-9FE7-1A9194C71FE3}"/>
    <cellStyle name="Currency 5 2 2 3 13" xfId="9462" xr:uid="{BD249C76-C92F-4F0B-8F48-5B66359AB6B2}"/>
    <cellStyle name="Currency 5 2 2 3 13 2" xfId="19410" xr:uid="{05C48982-52B9-42EC-9BC3-07F2D11A1014}"/>
    <cellStyle name="Currency 5 2 2 3 14" xfId="10291" xr:uid="{F7347671-A128-49D3-A4E9-F93D24FF64C4}"/>
    <cellStyle name="Currency 5 2 2 3 14 2" xfId="20239" xr:uid="{D6F409EE-6C56-4248-8E2C-1D9645C062BA}"/>
    <cellStyle name="Currency 5 2 2 3 15" xfId="1172" xr:uid="{99425A42-EF2A-4F84-B31F-B818993C85CE}"/>
    <cellStyle name="Currency 5 2 2 3 16" xfId="11120" xr:uid="{7A8BBCD3-58FA-4D61-B0BC-5C136754F783}"/>
    <cellStyle name="Currency 5 2 2 3 2" xfId="202" xr:uid="{00000000-0005-0000-0000-000064010000}"/>
    <cellStyle name="Currency 5 2 2 3 2 10" xfId="7805" xr:uid="{A57F7447-6CC1-4E5C-B8D8-9679D78C6BC1}"/>
    <cellStyle name="Currency 5 2 2 3 2 10 2" xfId="17753" xr:uid="{AF671321-538B-4F9C-BE62-F5D435E3BA88}"/>
    <cellStyle name="Currency 5 2 2 3 2 11" xfId="8634" xr:uid="{25EA92DB-11D7-49AF-959E-F1EA193BEA56}"/>
    <cellStyle name="Currency 5 2 2 3 2 11 2" xfId="18582" xr:uid="{B84079C3-5F00-4206-8C03-DB4B0E7CCCF0}"/>
    <cellStyle name="Currency 5 2 2 3 2 12" xfId="9463" xr:uid="{23F20BD4-505C-422C-9EA8-4373A522E10B}"/>
    <cellStyle name="Currency 5 2 2 3 2 12 2" xfId="19411" xr:uid="{CC1A0F53-EFE6-4FB1-B5EC-9FD9F4B3A9FD}"/>
    <cellStyle name="Currency 5 2 2 3 2 13" xfId="10292" xr:uid="{D1393D10-564E-4D2C-99E6-E7B113366895}"/>
    <cellStyle name="Currency 5 2 2 3 2 13 2" xfId="20240" xr:uid="{9207A5B2-3199-4ADD-8839-5948078F3F37}"/>
    <cellStyle name="Currency 5 2 2 3 2 14" xfId="1173" xr:uid="{A5B4E934-8053-4DE2-9F54-D1FDB84DD934}"/>
    <cellStyle name="Currency 5 2 2 3 2 15" xfId="11121" xr:uid="{5FA7A60D-39E9-4272-AD75-CCCC277A1378}"/>
    <cellStyle name="Currency 5 2 2 3 2 2" xfId="735" xr:uid="{00000000-0005-0000-0000-000065010000}"/>
    <cellStyle name="Currency 5 2 2 3 2 2 10" xfId="9050" xr:uid="{7472311B-9D38-421B-8B94-9D3B51445CE5}"/>
    <cellStyle name="Currency 5 2 2 3 2 2 10 2" xfId="18998" xr:uid="{4FFA0D40-2633-4F14-AA30-7D1048C21503}"/>
    <cellStyle name="Currency 5 2 2 3 2 2 11" xfId="9879" xr:uid="{8F88CA5E-EBA5-434E-92A7-C0BDF4397F8D}"/>
    <cellStyle name="Currency 5 2 2 3 2 2 11 2" xfId="19827" xr:uid="{7F602993-F050-4E69-8A89-2CE3F78439C7}"/>
    <cellStyle name="Currency 5 2 2 3 2 2 12" xfId="10708" xr:uid="{BB49F2EC-CA5D-448E-8E37-253F2F3CED60}"/>
    <cellStyle name="Currency 5 2 2 3 2 2 12 2" xfId="20656" xr:uid="{8812F23D-B705-4413-8086-8CA35BAFB6A2}"/>
    <cellStyle name="Currency 5 2 2 3 2 2 13" xfId="1589" xr:uid="{11AD34A4-9346-4029-BE1B-378792914850}"/>
    <cellStyle name="Currency 5 2 2 3 2 2 14" xfId="11537" xr:uid="{1B3021AB-5C8F-4654-88C9-1B91FA5F8D00}"/>
    <cellStyle name="Currency 5 2 2 3 2 2 2" xfId="2418" xr:uid="{D008393F-E8CA-45ED-B96F-5968FAB605EC}"/>
    <cellStyle name="Currency 5 2 2 3 2 2 2 2" xfId="12366" xr:uid="{FE372856-1E80-4C72-AA2A-DA87AD98848E}"/>
    <cellStyle name="Currency 5 2 2 3 2 2 3" xfId="3247" xr:uid="{A1D083FE-D54D-4545-A303-8CECCE76A093}"/>
    <cellStyle name="Currency 5 2 2 3 2 2 3 2" xfId="13195" xr:uid="{7B2527B8-9A8D-4D9A-8F6C-751AF0C1C168}"/>
    <cellStyle name="Currency 5 2 2 3 2 2 4" xfId="4076" xr:uid="{EC8D7F99-B1B8-48E0-BA12-DA2D04EBD7B7}"/>
    <cellStyle name="Currency 5 2 2 3 2 2 4 2" xfId="14024" xr:uid="{EF0F8413-169E-4F6F-987A-97682603CACE}"/>
    <cellStyle name="Currency 5 2 2 3 2 2 5" xfId="4905" xr:uid="{39398958-A8A3-4FC2-BA3C-222775855D74}"/>
    <cellStyle name="Currency 5 2 2 3 2 2 5 2" xfId="14853" xr:uid="{AD50E493-1525-414D-A145-F920E34460F8}"/>
    <cellStyle name="Currency 5 2 2 3 2 2 6" xfId="5734" xr:uid="{FC2626CF-376C-4096-A211-AEA788BB36E9}"/>
    <cellStyle name="Currency 5 2 2 3 2 2 6 2" xfId="15682" xr:uid="{2392ABAC-FF7E-410D-B285-26D92E6FAA14}"/>
    <cellStyle name="Currency 5 2 2 3 2 2 7" xfId="6563" xr:uid="{3A843D58-AE0C-4DC4-9305-6CEBCDE0CC63}"/>
    <cellStyle name="Currency 5 2 2 3 2 2 7 2" xfId="16511" xr:uid="{C21D1789-C048-4058-8B58-4AC39ECBB2AC}"/>
    <cellStyle name="Currency 5 2 2 3 2 2 8" xfId="7392" xr:uid="{548E2CD5-D029-4E20-AF69-B8D6F8072C51}"/>
    <cellStyle name="Currency 5 2 2 3 2 2 8 2" xfId="17340" xr:uid="{2D0C2829-1F62-45CF-91A1-6B64023A6104}"/>
    <cellStyle name="Currency 5 2 2 3 2 2 9" xfId="8221" xr:uid="{4C230558-972C-41CF-A238-51ED5E2CEEEF}"/>
    <cellStyle name="Currency 5 2 2 3 2 2 9 2" xfId="18169" xr:uid="{DF16323F-92A1-47D2-97A7-C71FF36431BF}"/>
    <cellStyle name="Currency 5 2 2 3 2 3" xfId="2002" xr:uid="{266A0AF0-CAD4-4F66-B4AB-84C239DD20A2}"/>
    <cellStyle name="Currency 5 2 2 3 2 3 2" xfId="11950" xr:uid="{D86DDFD6-4BD5-4F2F-95E1-CF32514FFDC0}"/>
    <cellStyle name="Currency 5 2 2 3 2 4" xfId="2831" xr:uid="{52D7998F-BE3A-4F58-B5F9-F752D8682B8C}"/>
    <cellStyle name="Currency 5 2 2 3 2 4 2" xfId="12779" xr:uid="{211E64D2-0041-47E3-9CAD-A65B225C25DC}"/>
    <cellStyle name="Currency 5 2 2 3 2 5" xfId="3660" xr:uid="{31C5EF3A-A6F4-49D8-9411-214FAA2C478A}"/>
    <cellStyle name="Currency 5 2 2 3 2 5 2" xfId="13608" xr:uid="{B16AA94A-CB3E-44EA-A869-8A7F19334217}"/>
    <cellStyle name="Currency 5 2 2 3 2 6" xfId="4489" xr:uid="{D8B63E25-B84E-4E4A-89C2-5F1251586056}"/>
    <cellStyle name="Currency 5 2 2 3 2 6 2" xfId="14437" xr:uid="{F254E4A8-C4CC-4F44-97F0-3252C938F703}"/>
    <cellStyle name="Currency 5 2 2 3 2 7" xfId="5318" xr:uid="{371D6B15-C981-4FD2-8855-771CA9E6F2DB}"/>
    <cellStyle name="Currency 5 2 2 3 2 7 2" xfId="15266" xr:uid="{9F313748-62DB-45FC-9202-9F7384896EBE}"/>
    <cellStyle name="Currency 5 2 2 3 2 8" xfId="6147" xr:uid="{8E134F9E-F2ED-4ECF-A955-627F59AAE6C2}"/>
    <cellStyle name="Currency 5 2 2 3 2 8 2" xfId="16095" xr:uid="{5256BEFA-F730-4745-B9F2-9924147A13AE}"/>
    <cellStyle name="Currency 5 2 2 3 2 9" xfId="6976" xr:uid="{A9B6BB3B-F1F2-4C69-ADD2-8085CE172975}"/>
    <cellStyle name="Currency 5 2 2 3 2 9 2" xfId="16924" xr:uid="{652D5F58-BF00-45F5-83CE-F5D4496BBEDC}"/>
    <cellStyle name="Currency 5 2 2 3 3" xfId="734" xr:uid="{00000000-0005-0000-0000-000066010000}"/>
    <cellStyle name="Currency 5 2 2 3 3 10" xfId="9049" xr:uid="{74BFD396-2916-4AF9-826E-DEE2D779A520}"/>
    <cellStyle name="Currency 5 2 2 3 3 10 2" xfId="18997" xr:uid="{29612767-34B0-4D7B-96F5-0497AA047DA0}"/>
    <cellStyle name="Currency 5 2 2 3 3 11" xfId="9878" xr:uid="{30BDBD25-DAA0-4768-962C-DB26974AE4C3}"/>
    <cellStyle name="Currency 5 2 2 3 3 11 2" xfId="19826" xr:uid="{9CD81044-C421-4075-9EFB-182C8DA9DD68}"/>
    <cellStyle name="Currency 5 2 2 3 3 12" xfId="10707" xr:uid="{B9D0F276-D10A-4324-81C2-720EA985CF11}"/>
    <cellStyle name="Currency 5 2 2 3 3 12 2" xfId="20655" xr:uid="{FB4EE289-74D9-4BFD-8383-04F7430C377D}"/>
    <cellStyle name="Currency 5 2 2 3 3 13" xfId="1588" xr:uid="{0F615DD1-AB19-4E02-AE16-0E489E4D2CE0}"/>
    <cellStyle name="Currency 5 2 2 3 3 14" xfId="11536" xr:uid="{1EF3CB80-C540-4174-B8EE-BCC8CA295E9A}"/>
    <cellStyle name="Currency 5 2 2 3 3 2" xfId="2417" xr:uid="{576E14A4-1E5C-481D-AB01-9DD43F948F5E}"/>
    <cellStyle name="Currency 5 2 2 3 3 2 2" xfId="12365" xr:uid="{6B1049A2-A184-4310-A0DE-29D4C2310E6B}"/>
    <cellStyle name="Currency 5 2 2 3 3 3" xfId="3246" xr:uid="{B1583D00-7066-4383-A066-EED60CB7EA9E}"/>
    <cellStyle name="Currency 5 2 2 3 3 3 2" xfId="13194" xr:uid="{875F81C9-C6E1-4CB2-9CA2-BADC635E8773}"/>
    <cellStyle name="Currency 5 2 2 3 3 4" xfId="4075" xr:uid="{27607DA1-AF5C-4DE9-A764-93C2A174199B}"/>
    <cellStyle name="Currency 5 2 2 3 3 4 2" xfId="14023" xr:uid="{31B907A1-529E-43BC-B4CB-DA85EA6E1A2F}"/>
    <cellStyle name="Currency 5 2 2 3 3 5" xfId="4904" xr:uid="{52B13485-2364-4E30-B00F-42011DE7552E}"/>
    <cellStyle name="Currency 5 2 2 3 3 5 2" xfId="14852" xr:uid="{41905C1B-8776-4169-AA87-B9DF78A1A29F}"/>
    <cellStyle name="Currency 5 2 2 3 3 6" xfId="5733" xr:uid="{6BD0C02D-DBA0-414C-854E-1A756A1A9165}"/>
    <cellStyle name="Currency 5 2 2 3 3 6 2" xfId="15681" xr:uid="{3BA222C7-C8FA-4625-8F97-343DDF0D04ED}"/>
    <cellStyle name="Currency 5 2 2 3 3 7" xfId="6562" xr:uid="{2F8DE7DB-2FE1-4805-A321-F249A6BB1238}"/>
    <cellStyle name="Currency 5 2 2 3 3 7 2" xfId="16510" xr:uid="{0D44E3AE-DE06-4473-B7D8-E39586FAA30E}"/>
    <cellStyle name="Currency 5 2 2 3 3 8" xfId="7391" xr:uid="{9DCFECAE-CBF8-40CC-A50C-78AB4D7DCBD6}"/>
    <cellStyle name="Currency 5 2 2 3 3 8 2" xfId="17339" xr:uid="{E4C2CEB5-6118-4DE0-BF47-EEDC2C924962}"/>
    <cellStyle name="Currency 5 2 2 3 3 9" xfId="8220" xr:uid="{DCCE3D18-E6D7-4657-9611-7F0B8A0B5877}"/>
    <cellStyle name="Currency 5 2 2 3 3 9 2" xfId="18168" xr:uid="{F023CB59-9DCA-488E-BD69-8E02488E1868}"/>
    <cellStyle name="Currency 5 2 2 3 4" xfId="2001" xr:uid="{ADD21D75-0D1A-409F-8AB3-90ADEB54FC7F}"/>
    <cellStyle name="Currency 5 2 2 3 4 2" xfId="11949" xr:uid="{FC05E8CE-1D07-4B51-BC5E-7F43A2DCCBA8}"/>
    <cellStyle name="Currency 5 2 2 3 5" xfId="2830" xr:uid="{746786EA-A708-4058-A694-C81ADEF32E72}"/>
    <cellStyle name="Currency 5 2 2 3 5 2" xfId="12778" xr:uid="{76D68ADE-ED61-4BB7-AA16-45FB19601EDC}"/>
    <cellStyle name="Currency 5 2 2 3 6" xfId="3659" xr:uid="{40D3B4F3-18A9-44BC-BBC8-DBB318487B5E}"/>
    <cellStyle name="Currency 5 2 2 3 6 2" xfId="13607" xr:uid="{D8DFF177-0D1E-4EF6-A262-61B40796088D}"/>
    <cellStyle name="Currency 5 2 2 3 7" xfId="4488" xr:uid="{012D996A-9268-49BA-ADFF-F0EC86009267}"/>
    <cellStyle name="Currency 5 2 2 3 7 2" xfId="14436" xr:uid="{4D55CED2-9117-449C-BEB8-A9956DFECA12}"/>
    <cellStyle name="Currency 5 2 2 3 8" xfId="5317" xr:uid="{CCEEEBD1-7A7E-4030-B288-2E53A9B7635E}"/>
    <cellStyle name="Currency 5 2 2 3 8 2" xfId="15265" xr:uid="{25B44D92-207C-4CE3-B758-9460E7D7C3D3}"/>
    <cellStyle name="Currency 5 2 2 3 9" xfId="6146" xr:uid="{3FDA99C3-CEAF-4E13-B49A-CB3378C6CF66}"/>
    <cellStyle name="Currency 5 2 2 3 9 2" xfId="16094" xr:uid="{2218C552-668D-4245-B118-F7668DEB0BED}"/>
    <cellStyle name="Currency 5 2 2 4" xfId="203" xr:uid="{00000000-0005-0000-0000-000067010000}"/>
    <cellStyle name="Currency 5 2 2 4 10" xfId="7806" xr:uid="{57F82004-944B-4475-AE86-8C82E5EA96B2}"/>
    <cellStyle name="Currency 5 2 2 4 10 2" xfId="17754" xr:uid="{39DE9721-50B5-4017-B890-974C65E7F5A1}"/>
    <cellStyle name="Currency 5 2 2 4 11" xfId="8635" xr:uid="{806A6787-54F0-4D4E-B3E8-9577FDB88EAF}"/>
    <cellStyle name="Currency 5 2 2 4 11 2" xfId="18583" xr:uid="{FD405966-868A-47F8-B29E-E3BD9CF380AA}"/>
    <cellStyle name="Currency 5 2 2 4 12" xfId="9464" xr:uid="{D196B9C7-0363-4B71-BEB5-D45AE1CCB669}"/>
    <cellStyle name="Currency 5 2 2 4 12 2" xfId="19412" xr:uid="{82B08F94-9FBD-4C18-AA7B-EB9566DD4F0A}"/>
    <cellStyle name="Currency 5 2 2 4 13" xfId="10293" xr:uid="{7FBF7C63-615A-41EE-97D8-2FE1914585E5}"/>
    <cellStyle name="Currency 5 2 2 4 13 2" xfId="20241" xr:uid="{E414BDD5-321A-4B25-A848-0CA789A6BAD2}"/>
    <cellStyle name="Currency 5 2 2 4 14" xfId="1174" xr:uid="{AB4F818B-C4C0-48C9-AFF4-034EAFE9E7B2}"/>
    <cellStyle name="Currency 5 2 2 4 15" xfId="11122" xr:uid="{24A14E31-F989-4305-8B30-DB586F7A1111}"/>
    <cellStyle name="Currency 5 2 2 4 2" xfId="736" xr:uid="{00000000-0005-0000-0000-000068010000}"/>
    <cellStyle name="Currency 5 2 2 4 2 10" xfId="9051" xr:uid="{5942B207-B6BF-4E16-A48F-AC6BAA821D82}"/>
    <cellStyle name="Currency 5 2 2 4 2 10 2" xfId="18999" xr:uid="{FC2511B2-68D0-4E6C-B37A-B643FEC5CE5C}"/>
    <cellStyle name="Currency 5 2 2 4 2 11" xfId="9880" xr:uid="{3D74D61E-CB4D-437E-9D80-1A6CBEC37DAC}"/>
    <cellStyle name="Currency 5 2 2 4 2 11 2" xfId="19828" xr:uid="{CA67AF2D-9902-444B-BD41-039800E6E46E}"/>
    <cellStyle name="Currency 5 2 2 4 2 12" xfId="10709" xr:uid="{1C849EFC-12C6-423E-B65D-65BCB9C84656}"/>
    <cellStyle name="Currency 5 2 2 4 2 12 2" xfId="20657" xr:uid="{FD6CC7F3-BD6D-46DC-9E91-D820BBD9AA44}"/>
    <cellStyle name="Currency 5 2 2 4 2 13" xfId="1590" xr:uid="{47E9EBD4-B1DB-4643-99F2-E4B496C5EF6B}"/>
    <cellStyle name="Currency 5 2 2 4 2 14" xfId="11538" xr:uid="{06DA6DA3-69B3-4036-A839-6FBBC47144EC}"/>
    <cellStyle name="Currency 5 2 2 4 2 2" xfId="2419" xr:uid="{E22383EA-B08C-4156-9E37-832E2FB0616A}"/>
    <cellStyle name="Currency 5 2 2 4 2 2 2" xfId="12367" xr:uid="{1CD69BC5-BE74-462D-BEB9-36E1D43C29CD}"/>
    <cellStyle name="Currency 5 2 2 4 2 3" xfId="3248" xr:uid="{AC437CF5-2A01-45C3-9C2F-92708EEEDD96}"/>
    <cellStyle name="Currency 5 2 2 4 2 3 2" xfId="13196" xr:uid="{E1D18CA0-F175-4647-9151-AA5C48DC1565}"/>
    <cellStyle name="Currency 5 2 2 4 2 4" xfId="4077" xr:uid="{FE24A202-ADBF-47F2-AE59-63513FFA3E1D}"/>
    <cellStyle name="Currency 5 2 2 4 2 4 2" xfId="14025" xr:uid="{A6966D38-976B-45A3-AA52-CCE72818D3F5}"/>
    <cellStyle name="Currency 5 2 2 4 2 5" xfId="4906" xr:uid="{AAD16367-0360-4394-98C0-81815077ABBF}"/>
    <cellStyle name="Currency 5 2 2 4 2 5 2" xfId="14854" xr:uid="{722C1C9F-0B27-4B4B-84E4-80D626433EAA}"/>
    <cellStyle name="Currency 5 2 2 4 2 6" xfId="5735" xr:uid="{C27B90F8-1ECF-4478-87CE-4EA232B13310}"/>
    <cellStyle name="Currency 5 2 2 4 2 6 2" xfId="15683" xr:uid="{AD8C9D78-F46C-40F0-BA3F-69A28440332B}"/>
    <cellStyle name="Currency 5 2 2 4 2 7" xfId="6564" xr:uid="{809635BC-CEB7-49D3-B322-CFFF91E12382}"/>
    <cellStyle name="Currency 5 2 2 4 2 7 2" xfId="16512" xr:uid="{6B4F05EF-0DE3-4867-A44C-1A48771FC079}"/>
    <cellStyle name="Currency 5 2 2 4 2 8" xfId="7393" xr:uid="{274E16D5-3B6F-4952-B3EB-E1174BF775AC}"/>
    <cellStyle name="Currency 5 2 2 4 2 8 2" xfId="17341" xr:uid="{89B9FF3F-CD8C-4E74-BB20-FE43E7F563D9}"/>
    <cellStyle name="Currency 5 2 2 4 2 9" xfId="8222" xr:uid="{B8C80912-A8B5-4696-AA52-34C3701952FF}"/>
    <cellStyle name="Currency 5 2 2 4 2 9 2" xfId="18170" xr:uid="{62D44328-A63F-4917-A732-0CF41FA6E535}"/>
    <cellStyle name="Currency 5 2 2 4 3" xfId="2003" xr:uid="{99E71309-919C-41D4-B55F-4EFED841D072}"/>
    <cellStyle name="Currency 5 2 2 4 3 2" xfId="11951" xr:uid="{5DDB3CE4-1A0C-4443-8136-1B4F557AE238}"/>
    <cellStyle name="Currency 5 2 2 4 4" xfId="2832" xr:uid="{92220D6F-DA64-49F4-88F6-CDB8D1B46ED4}"/>
    <cellStyle name="Currency 5 2 2 4 4 2" xfId="12780" xr:uid="{3EE3F19E-5727-4C4E-9B1B-D52ECD25E23B}"/>
    <cellStyle name="Currency 5 2 2 4 5" xfId="3661" xr:uid="{1F9A5E3C-6469-427A-B1CB-671BD66495F1}"/>
    <cellStyle name="Currency 5 2 2 4 5 2" xfId="13609" xr:uid="{F231E284-9910-4D79-9E77-C606F56D3C61}"/>
    <cellStyle name="Currency 5 2 2 4 6" xfId="4490" xr:uid="{2A9E2F2B-47E0-477E-BE99-05384D04FDFC}"/>
    <cellStyle name="Currency 5 2 2 4 6 2" xfId="14438" xr:uid="{4D6147E5-236D-4B49-B804-4EF898ABCECF}"/>
    <cellStyle name="Currency 5 2 2 4 7" xfId="5319" xr:uid="{BDFA7EA7-E8D7-4614-8298-FC8DB956A19C}"/>
    <cellStyle name="Currency 5 2 2 4 7 2" xfId="15267" xr:uid="{A23617A4-F716-4A7D-9504-A71F82D33B59}"/>
    <cellStyle name="Currency 5 2 2 4 8" xfId="6148" xr:uid="{1E8DB75C-F6B0-4F5B-97D6-86740F5B4D16}"/>
    <cellStyle name="Currency 5 2 2 4 8 2" xfId="16096" xr:uid="{F68DEE4D-8051-47D2-9228-FE95B8F1E40B}"/>
    <cellStyle name="Currency 5 2 2 4 9" xfId="6977" xr:uid="{C39E9F84-BF26-4BB2-9F9E-D661E8B7AE65}"/>
    <cellStyle name="Currency 5 2 2 4 9 2" xfId="16925" xr:uid="{E63D3D65-97F3-4694-A47D-6BED6E5F4496}"/>
    <cellStyle name="Currency 5 2 2 5" xfId="204" xr:uid="{00000000-0005-0000-0000-000069010000}"/>
    <cellStyle name="Currency 5 2 2 5 10" xfId="7807" xr:uid="{B3EE95AA-8DE5-4E6E-B2D7-53A63AC1EED7}"/>
    <cellStyle name="Currency 5 2 2 5 10 2" xfId="17755" xr:uid="{DDA29918-5F4E-4565-8CB0-1799DDB4593E}"/>
    <cellStyle name="Currency 5 2 2 5 11" xfId="8636" xr:uid="{8ED34ABA-2757-4428-85C0-BF9800FC7B01}"/>
    <cellStyle name="Currency 5 2 2 5 11 2" xfId="18584" xr:uid="{546830D6-EE8F-46AD-8C6C-EB7A16701A8C}"/>
    <cellStyle name="Currency 5 2 2 5 12" xfId="9465" xr:uid="{90E5A879-CE76-40AC-ACC6-4D114FF06EBA}"/>
    <cellStyle name="Currency 5 2 2 5 12 2" xfId="19413" xr:uid="{94D03A33-CCC7-4049-822D-4C974020D309}"/>
    <cellStyle name="Currency 5 2 2 5 13" xfId="10294" xr:uid="{A98B18AF-8ABA-43BC-AE7E-786B029CB88F}"/>
    <cellStyle name="Currency 5 2 2 5 13 2" xfId="20242" xr:uid="{2C3FB5E0-53BA-43DB-83D1-0BBD6F313DEC}"/>
    <cellStyle name="Currency 5 2 2 5 14" xfId="1175" xr:uid="{8EDB8FED-87FC-4FC4-B958-E009D8E5588C}"/>
    <cellStyle name="Currency 5 2 2 5 15" xfId="11123" xr:uid="{1FB4CC87-8F9B-4740-8E62-5DB53C278A22}"/>
    <cellStyle name="Currency 5 2 2 5 2" xfId="737" xr:uid="{00000000-0005-0000-0000-00006A010000}"/>
    <cellStyle name="Currency 5 2 2 5 2 10" xfId="9052" xr:uid="{B5240E9D-3449-415E-A536-0C4E3A61E494}"/>
    <cellStyle name="Currency 5 2 2 5 2 10 2" xfId="19000" xr:uid="{93750F7A-81F4-49F5-B247-FF15AC65C682}"/>
    <cellStyle name="Currency 5 2 2 5 2 11" xfId="9881" xr:uid="{1996B1C4-CC8D-4F70-AAB5-9EF069834406}"/>
    <cellStyle name="Currency 5 2 2 5 2 11 2" xfId="19829" xr:uid="{958E8943-4CD8-4A72-B754-841D5D88FB2A}"/>
    <cellStyle name="Currency 5 2 2 5 2 12" xfId="10710" xr:uid="{E1510145-B885-4A96-ADDD-5B46F2395B83}"/>
    <cellStyle name="Currency 5 2 2 5 2 12 2" xfId="20658" xr:uid="{DF59E1BF-ED17-431D-AC2D-14035772553D}"/>
    <cellStyle name="Currency 5 2 2 5 2 13" xfId="1591" xr:uid="{7CEC6A4D-B01B-4089-8A8A-AB3CF1EBD688}"/>
    <cellStyle name="Currency 5 2 2 5 2 14" xfId="11539" xr:uid="{371F831B-6EB1-4288-AC19-AF2811CE867E}"/>
    <cellStyle name="Currency 5 2 2 5 2 2" xfId="2420" xr:uid="{D5AE6748-D873-4D0B-A546-A8157AF4DEEE}"/>
    <cellStyle name="Currency 5 2 2 5 2 2 2" xfId="12368" xr:uid="{A297593C-0891-42F0-BFF7-6EE3F7837470}"/>
    <cellStyle name="Currency 5 2 2 5 2 3" xfId="3249" xr:uid="{90E3EA67-7E6A-4B6E-B2D0-DB28B1713884}"/>
    <cellStyle name="Currency 5 2 2 5 2 3 2" xfId="13197" xr:uid="{CBA3D658-C1F8-4000-A865-15E2B03F7563}"/>
    <cellStyle name="Currency 5 2 2 5 2 4" xfId="4078" xr:uid="{1A373207-C42D-41ED-BEE8-029BEC960DDB}"/>
    <cellStyle name="Currency 5 2 2 5 2 4 2" xfId="14026" xr:uid="{21CCA1C5-80E7-4416-AEB9-47F334C6FD61}"/>
    <cellStyle name="Currency 5 2 2 5 2 5" xfId="4907" xr:uid="{B0C210CD-19FC-4008-BAE6-F7D422ADD06C}"/>
    <cellStyle name="Currency 5 2 2 5 2 5 2" xfId="14855" xr:uid="{B9BC03B5-D668-4D79-9975-FAC11304F6EA}"/>
    <cellStyle name="Currency 5 2 2 5 2 6" xfId="5736" xr:uid="{1AB33F39-ACA2-42C4-A2A0-65C92ED2822F}"/>
    <cellStyle name="Currency 5 2 2 5 2 6 2" xfId="15684" xr:uid="{1E5CF7C3-BBD0-47CD-BBF6-31E278141D55}"/>
    <cellStyle name="Currency 5 2 2 5 2 7" xfId="6565" xr:uid="{CC02A6D5-F013-4676-94AD-B0FF36BA1EED}"/>
    <cellStyle name="Currency 5 2 2 5 2 7 2" xfId="16513" xr:uid="{7BB8CC51-9A40-47F7-ADE6-6C0976C12EA9}"/>
    <cellStyle name="Currency 5 2 2 5 2 8" xfId="7394" xr:uid="{DCEDD396-8159-4990-AAE8-40E5AFFFB9DE}"/>
    <cellStyle name="Currency 5 2 2 5 2 8 2" xfId="17342" xr:uid="{12D09B7E-54DF-4C8F-AA05-4E9A2D9FC064}"/>
    <cellStyle name="Currency 5 2 2 5 2 9" xfId="8223" xr:uid="{2DA83B2D-60B1-4794-88AD-C01FF5C661B8}"/>
    <cellStyle name="Currency 5 2 2 5 2 9 2" xfId="18171" xr:uid="{AF52F094-C6A7-4D0C-8A9D-B5643F119B39}"/>
    <cellStyle name="Currency 5 2 2 5 3" xfId="2004" xr:uid="{FFA588C4-D3AB-46DC-87D0-997063AB6C71}"/>
    <cellStyle name="Currency 5 2 2 5 3 2" xfId="11952" xr:uid="{2691D740-184D-45F8-9954-E6E320D0BB14}"/>
    <cellStyle name="Currency 5 2 2 5 4" xfId="2833" xr:uid="{DD0F49F3-8E55-4119-AC57-7AC786DF07D8}"/>
    <cellStyle name="Currency 5 2 2 5 4 2" xfId="12781" xr:uid="{DB6E1247-CF12-42CF-A78A-1FA96FF8A3D3}"/>
    <cellStyle name="Currency 5 2 2 5 5" xfId="3662" xr:uid="{D8FE8487-D26A-4F03-887F-D871FD60DAD9}"/>
    <cellStyle name="Currency 5 2 2 5 5 2" xfId="13610" xr:uid="{3BAD8213-5D93-4C58-9B22-F033CB943507}"/>
    <cellStyle name="Currency 5 2 2 5 6" xfId="4491" xr:uid="{88460C44-96A0-4D78-A582-AAF9AD0BBE07}"/>
    <cellStyle name="Currency 5 2 2 5 6 2" xfId="14439" xr:uid="{4BD24154-CE6A-4C74-BD8B-942D3A686F0F}"/>
    <cellStyle name="Currency 5 2 2 5 7" xfId="5320" xr:uid="{4A0A45D6-F86E-4709-A34E-ED09150FBBC5}"/>
    <cellStyle name="Currency 5 2 2 5 7 2" xfId="15268" xr:uid="{9857C4A2-1D56-4DFD-8AEF-4A7FC8D71D7C}"/>
    <cellStyle name="Currency 5 2 2 5 8" xfId="6149" xr:uid="{5382D1F3-0331-45F4-874E-4DEF20D3920C}"/>
    <cellStyle name="Currency 5 2 2 5 8 2" xfId="16097" xr:uid="{E23DB544-F886-4DC9-925B-3B931E9AB5C1}"/>
    <cellStyle name="Currency 5 2 2 5 9" xfId="6978" xr:uid="{7CA680AF-E861-494E-8578-B9100ED8D176}"/>
    <cellStyle name="Currency 5 2 2 5 9 2" xfId="16926" xr:uid="{2882CCA1-BED6-4FD9-9EE6-4E653025A93D}"/>
    <cellStyle name="Currency 5 2 3" xfId="205" xr:uid="{00000000-0005-0000-0000-00006B010000}"/>
    <cellStyle name="Currency 5 2 3 2" xfId="738" xr:uid="{00000000-0005-0000-0000-00006C010000}"/>
    <cellStyle name="Currency 5 2 4" xfId="206" xr:uid="{00000000-0005-0000-0000-00006D010000}"/>
    <cellStyle name="Currency 5 2 4 10" xfId="6979" xr:uid="{BC1F2C5D-B290-49D0-BE2A-D6643ECABECE}"/>
    <cellStyle name="Currency 5 2 4 10 2" xfId="16927" xr:uid="{377198AE-9CFE-4AB9-B92A-61F3FC3F224F}"/>
    <cellStyle name="Currency 5 2 4 11" xfId="7808" xr:uid="{E26641D3-A438-4A66-A8B6-7E9D0ACAE8E9}"/>
    <cellStyle name="Currency 5 2 4 11 2" xfId="17756" xr:uid="{5ECF9A93-92DB-405B-AC81-85C703D7F826}"/>
    <cellStyle name="Currency 5 2 4 12" xfId="8637" xr:uid="{3B3791B5-ADC8-40D3-B876-9EC470872F1A}"/>
    <cellStyle name="Currency 5 2 4 12 2" xfId="18585" xr:uid="{B46DE68C-24A6-4368-911E-3081682D4DB4}"/>
    <cellStyle name="Currency 5 2 4 13" xfId="9466" xr:uid="{1D3CBC7E-B3A5-4FF0-83F1-DC9D8F653388}"/>
    <cellStyle name="Currency 5 2 4 13 2" xfId="19414" xr:uid="{E59CDA1C-D8AC-42C9-8370-47D3422D9FA2}"/>
    <cellStyle name="Currency 5 2 4 14" xfId="10295" xr:uid="{832C8E4B-C9E3-4ACA-8623-56BFA6B354AC}"/>
    <cellStyle name="Currency 5 2 4 14 2" xfId="20243" xr:uid="{2A01C28F-EAAB-4E58-A52E-E05BA168E325}"/>
    <cellStyle name="Currency 5 2 4 15" xfId="1176" xr:uid="{3FCA8FEB-4F72-492C-9DA2-8FBAB9F87CFB}"/>
    <cellStyle name="Currency 5 2 4 16" xfId="11124" xr:uid="{96DE7FC6-4B40-4F4B-8B57-ABC1A38531EC}"/>
    <cellStyle name="Currency 5 2 4 2" xfId="207" xr:uid="{00000000-0005-0000-0000-00006E010000}"/>
    <cellStyle name="Currency 5 2 4 2 10" xfId="7809" xr:uid="{AB7FAE6B-33A6-44AE-BA29-59FA62B4C4E2}"/>
    <cellStyle name="Currency 5 2 4 2 10 2" xfId="17757" xr:uid="{E8543548-1552-4BD2-B886-C541113BD91F}"/>
    <cellStyle name="Currency 5 2 4 2 11" xfId="8638" xr:uid="{BE58D1DB-697A-4E41-B57B-AC8EAAFC3631}"/>
    <cellStyle name="Currency 5 2 4 2 11 2" xfId="18586" xr:uid="{119359F6-620C-440C-A238-925C88064800}"/>
    <cellStyle name="Currency 5 2 4 2 12" xfId="9467" xr:uid="{5A19B678-FFCF-4549-8E43-0EC2113B9A41}"/>
    <cellStyle name="Currency 5 2 4 2 12 2" xfId="19415" xr:uid="{F5038DD1-89D0-4516-B78C-6CF78F8DC097}"/>
    <cellStyle name="Currency 5 2 4 2 13" xfId="10296" xr:uid="{21EFFC07-6CC0-4F0A-9E10-EFA9C2A908F2}"/>
    <cellStyle name="Currency 5 2 4 2 13 2" xfId="20244" xr:uid="{DDE0668D-E9BC-4E5B-9891-52344069758F}"/>
    <cellStyle name="Currency 5 2 4 2 14" xfId="1177" xr:uid="{2525FFEB-03F4-4A00-B578-D5253E673483}"/>
    <cellStyle name="Currency 5 2 4 2 15" xfId="11125" xr:uid="{80E60882-F50C-4605-ACAD-F072F99DFDFD}"/>
    <cellStyle name="Currency 5 2 4 2 2" xfId="740" xr:uid="{00000000-0005-0000-0000-00006F010000}"/>
    <cellStyle name="Currency 5 2 4 2 2 10" xfId="9054" xr:uid="{22686896-654C-4C55-8481-0CBD6B5B93D2}"/>
    <cellStyle name="Currency 5 2 4 2 2 10 2" xfId="19002" xr:uid="{7BC54A37-C0E5-4DE8-AAD5-07BAD643C96C}"/>
    <cellStyle name="Currency 5 2 4 2 2 11" xfId="9883" xr:uid="{97A2EC18-04F6-4C54-B2F9-0AC0006A5EF4}"/>
    <cellStyle name="Currency 5 2 4 2 2 11 2" xfId="19831" xr:uid="{423151CA-68AB-42C7-B51A-E90B6DB1A338}"/>
    <cellStyle name="Currency 5 2 4 2 2 12" xfId="10712" xr:uid="{D9C3095D-B840-4D30-B56B-EDF49DFD21BC}"/>
    <cellStyle name="Currency 5 2 4 2 2 12 2" xfId="20660" xr:uid="{81433647-A63E-45E0-897D-6CF30C39D64E}"/>
    <cellStyle name="Currency 5 2 4 2 2 13" xfId="1593" xr:uid="{7D342B4A-0D72-4B54-B27D-984EE3422DE8}"/>
    <cellStyle name="Currency 5 2 4 2 2 14" xfId="11541" xr:uid="{F9FB56F9-9C47-41A9-B358-93E753C682E9}"/>
    <cellStyle name="Currency 5 2 4 2 2 2" xfId="2422" xr:uid="{2BE67D1A-623A-4C33-AC6E-EB206FD488FC}"/>
    <cellStyle name="Currency 5 2 4 2 2 2 2" xfId="12370" xr:uid="{958A4709-143E-48DA-8D13-FD287A9D0ECA}"/>
    <cellStyle name="Currency 5 2 4 2 2 3" xfId="3251" xr:uid="{DA107DA6-C1A1-4616-9599-9F8F0BE4921E}"/>
    <cellStyle name="Currency 5 2 4 2 2 3 2" xfId="13199" xr:uid="{1AE190C0-8AD4-4272-A3F8-9F872698BDD7}"/>
    <cellStyle name="Currency 5 2 4 2 2 4" xfId="4080" xr:uid="{2220DD49-56BC-4B22-812A-009F7C6710D0}"/>
    <cellStyle name="Currency 5 2 4 2 2 4 2" xfId="14028" xr:uid="{86E7A574-C0EA-46FE-8DB4-713190C0F2D4}"/>
    <cellStyle name="Currency 5 2 4 2 2 5" xfId="4909" xr:uid="{CAD5C7AE-8FEF-49B3-A114-40AD06C80400}"/>
    <cellStyle name="Currency 5 2 4 2 2 5 2" xfId="14857" xr:uid="{13C3F33C-F2FF-41C0-B740-9C94753A8E4B}"/>
    <cellStyle name="Currency 5 2 4 2 2 6" xfId="5738" xr:uid="{FC9530FB-5560-4726-94C6-D2C1A6AA5352}"/>
    <cellStyle name="Currency 5 2 4 2 2 6 2" xfId="15686" xr:uid="{A4F63A40-FB1C-4916-9D6C-FB7363A8BACC}"/>
    <cellStyle name="Currency 5 2 4 2 2 7" xfId="6567" xr:uid="{AD688D94-0CD8-4B0D-8A2E-7857A9228A22}"/>
    <cellStyle name="Currency 5 2 4 2 2 7 2" xfId="16515" xr:uid="{1102A79D-B62D-4A34-830C-76272CDC81AF}"/>
    <cellStyle name="Currency 5 2 4 2 2 8" xfId="7396" xr:uid="{AEC4D431-027D-412B-A918-15929DC20763}"/>
    <cellStyle name="Currency 5 2 4 2 2 8 2" xfId="17344" xr:uid="{CC8CF697-7C75-43B7-B7F5-6AE45354369E}"/>
    <cellStyle name="Currency 5 2 4 2 2 9" xfId="8225" xr:uid="{CF8D9CBC-E388-45F2-A363-B043DCC136ED}"/>
    <cellStyle name="Currency 5 2 4 2 2 9 2" xfId="18173" xr:uid="{98C65417-01F4-45D2-A797-4EF6CD69BEDE}"/>
    <cellStyle name="Currency 5 2 4 2 3" xfId="2006" xr:uid="{1D27A86E-2CAC-40BC-97A2-E5DC6340407B}"/>
    <cellStyle name="Currency 5 2 4 2 3 2" xfId="11954" xr:uid="{70052E76-8D3B-4042-9808-5B58EBE84F14}"/>
    <cellStyle name="Currency 5 2 4 2 4" xfId="2835" xr:uid="{0A0E225B-06DF-4537-AA2D-ABC7E18A1768}"/>
    <cellStyle name="Currency 5 2 4 2 4 2" xfId="12783" xr:uid="{2B0ADEF8-DCA0-40D4-A8A7-A109F61F9970}"/>
    <cellStyle name="Currency 5 2 4 2 5" xfId="3664" xr:uid="{1140121B-4537-4642-BB11-7AAED0D0C545}"/>
    <cellStyle name="Currency 5 2 4 2 5 2" xfId="13612" xr:uid="{609614DF-B10A-44D3-8B45-65A1EA8A1AF4}"/>
    <cellStyle name="Currency 5 2 4 2 6" xfId="4493" xr:uid="{D60F4A4E-BCD4-44AB-8774-BAF2F08D3E51}"/>
    <cellStyle name="Currency 5 2 4 2 6 2" xfId="14441" xr:uid="{7537A633-1D19-4DCC-9B4C-42C711986A5E}"/>
    <cellStyle name="Currency 5 2 4 2 7" xfId="5322" xr:uid="{08C26692-B38D-4646-9CE2-3A26DB36A08F}"/>
    <cellStyle name="Currency 5 2 4 2 7 2" xfId="15270" xr:uid="{C8F08F10-C49E-471F-A358-A67D32955A96}"/>
    <cellStyle name="Currency 5 2 4 2 8" xfId="6151" xr:uid="{54521BF6-6BD2-4440-AC6B-5F814C1BBE65}"/>
    <cellStyle name="Currency 5 2 4 2 8 2" xfId="16099" xr:uid="{4DA40A56-C6C3-4627-95CD-22F5306CFF1C}"/>
    <cellStyle name="Currency 5 2 4 2 9" xfId="6980" xr:uid="{DF39267D-E010-42DF-89A8-D7CF169284C4}"/>
    <cellStyle name="Currency 5 2 4 2 9 2" xfId="16928" xr:uid="{EDB54C64-AF2D-4D1A-9F18-7DF938B5834A}"/>
    <cellStyle name="Currency 5 2 4 3" xfId="739" xr:uid="{00000000-0005-0000-0000-000070010000}"/>
    <cellStyle name="Currency 5 2 4 3 10" xfId="9053" xr:uid="{F66D939F-C7A3-44DB-8925-F4D4AEA739FC}"/>
    <cellStyle name="Currency 5 2 4 3 10 2" xfId="19001" xr:uid="{BDB9922A-0C9B-4A3A-B357-A89A905A5CAB}"/>
    <cellStyle name="Currency 5 2 4 3 11" xfId="9882" xr:uid="{DF505BDA-BBCA-4092-AF8A-03CE2EAFF328}"/>
    <cellStyle name="Currency 5 2 4 3 11 2" xfId="19830" xr:uid="{11314F93-601D-4AF8-9FE8-981B1F6535CE}"/>
    <cellStyle name="Currency 5 2 4 3 12" xfId="10711" xr:uid="{82460C2F-8BB4-42BF-B7DF-9A2DF9E3BC7B}"/>
    <cellStyle name="Currency 5 2 4 3 12 2" xfId="20659" xr:uid="{9BD7A6BA-F610-45CF-A6F5-D68375B97D2A}"/>
    <cellStyle name="Currency 5 2 4 3 13" xfId="1592" xr:uid="{0277768E-BD97-4D5C-A041-896144BB6AEC}"/>
    <cellStyle name="Currency 5 2 4 3 14" xfId="11540" xr:uid="{3547715E-42CF-429E-9BDF-4E77E557D49E}"/>
    <cellStyle name="Currency 5 2 4 3 2" xfId="2421" xr:uid="{05C8168C-CD7E-4138-ABED-9C8CE7EC9153}"/>
    <cellStyle name="Currency 5 2 4 3 2 2" xfId="12369" xr:uid="{66374A03-753F-4C91-B505-BF6188211DD7}"/>
    <cellStyle name="Currency 5 2 4 3 3" xfId="3250" xr:uid="{4D84F306-3339-4D82-8B34-9267E239A7D1}"/>
    <cellStyle name="Currency 5 2 4 3 3 2" xfId="13198" xr:uid="{B06D5D73-D5BA-48FC-81AF-FF9F2A018CA2}"/>
    <cellStyle name="Currency 5 2 4 3 4" xfId="4079" xr:uid="{A4482E0D-5755-412A-A5B0-CC8FE11FBEA2}"/>
    <cellStyle name="Currency 5 2 4 3 4 2" xfId="14027" xr:uid="{A85E21A2-6491-4C84-8972-C6CA3969B4E9}"/>
    <cellStyle name="Currency 5 2 4 3 5" xfId="4908" xr:uid="{52F3C7B0-1D17-4DE5-A3B9-7A7FCCE1E29E}"/>
    <cellStyle name="Currency 5 2 4 3 5 2" xfId="14856" xr:uid="{6A974AB0-08F5-4D18-B9BB-C8EBC1CB851F}"/>
    <cellStyle name="Currency 5 2 4 3 6" xfId="5737" xr:uid="{C4110468-7ECF-4453-855D-6C149E730392}"/>
    <cellStyle name="Currency 5 2 4 3 6 2" xfId="15685" xr:uid="{E60C6649-C4FB-403B-869F-AA97DB808919}"/>
    <cellStyle name="Currency 5 2 4 3 7" xfId="6566" xr:uid="{40EE2058-C54E-46C7-8596-AAE2DCB3265A}"/>
    <cellStyle name="Currency 5 2 4 3 7 2" xfId="16514" xr:uid="{3B6B9AA5-C5C6-4ACA-BED3-DE75EA9256C7}"/>
    <cellStyle name="Currency 5 2 4 3 8" xfId="7395" xr:uid="{014F1EE6-A4AC-4764-809C-8CA089267ED5}"/>
    <cellStyle name="Currency 5 2 4 3 8 2" xfId="17343" xr:uid="{13525661-C352-441C-96FD-23D31B0B2980}"/>
    <cellStyle name="Currency 5 2 4 3 9" xfId="8224" xr:uid="{7B5A9D4D-C946-4991-AA36-94CE2542B8B9}"/>
    <cellStyle name="Currency 5 2 4 3 9 2" xfId="18172" xr:uid="{1D340CF1-A59F-4D1D-B21A-54BB7349E3BC}"/>
    <cellStyle name="Currency 5 2 4 4" xfId="2005" xr:uid="{210F9FA7-1C12-4A86-8EC4-DED972C46900}"/>
    <cellStyle name="Currency 5 2 4 4 2" xfId="11953" xr:uid="{C9EB0EF1-F2C2-4A97-9D46-599D43A573DE}"/>
    <cellStyle name="Currency 5 2 4 5" xfId="2834" xr:uid="{B7D0F2E0-F975-44FE-A68B-51B7E1AE8BF9}"/>
    <cellStyle name="Currency 5 2 4 5 2" xfId="12782" xr:uid="{0B3282C4-13E5-400F-9CC8-BC30DE06E979}"/>
    <cellStyle name="Currency 5 2 4 6" xfId="3663" xr:uid="{56B6DD7B-051F-4B37-87AD-3595E77B89E9}"/>
    <cellStyle name="Currency 5 2 4 6 2" xfId="13611" xr:uid="{176334E3-D806-48FA-B0E1-1415E2DB79BF}"/>
    <cellStyle name="Currency 5 2 4 7" xfId="4492" xr:uid="{E0EAB36D-B195-4812-B73E-3EF55BD3E23E}"/>
    <cellStyle name="Currency 5 2 4 7 2" xfId="14440" xr:uid="{4A20513C-5080-4D83-A905-38783BE431A7}"/>
    <cellStyle name="Currency 5 2 4 8" xfId="5321" xr:uid="{C4866B45-CFF2-4B42-BE40-583F3751B454}"/>
    <cellStyle name="Currency 5 2 4 8 2" xfId="15269" xr:uid="{74F56C49-C9D9-407F-B198-4C3B46B80E1D}"/>
    <cellStyle name="Currency 5 2 4 9" xfId="6150" xr:uid="{E089C5AA-C863-4303-A1ED-51C46F57F1D9}"/>
    <cellStyle name="Currency 5 2 4 9 2" xfId="16098" xr:uid="{C1CF9257-375F-4B4A-97A6-3818F1B73819}"/>
    <cellStyle name="Currency 5 2 5" xfId="208" xr:uid="{00000000-0005-0000-0000-000071010000}"/>
    <cellStyle name="Currency 5 2 5 10" xfId="7810" xr:uid="{1C0A70D7-CBA6-4715-BB9C-CD0A7AEFE896}"/>
    <cellStyle name="Currency 5 2 5 10 2" xfId="17758" xr:uid="{8F45D251-41AB-4286-81F1-07FE359274D6}"/>
    <cellStyle name="Currency 5 2 5 11" xfId="8639" xr:uid="{B0B844FD-CDAA-4251-B2FA-38A3682CDD92}"/>
    <cellStyle name="Currency 5 2 5 11 2" xfId="18587" xr:uid="{AA23367B-F9F5-4467-B5A3-9BF28A4E8749}"/>
    <cellStyle name="Currency 5 2 5 12" xfId="9468" xr:uid="{2F320903-A239-4877-A0F7-52B265D89BCF}"/>
    <cellStyle name="Currency 5 2 5 12 2" xfId="19416" xr:uid="{6811F77C-AD6B-4ABC-82E9-06289BFAEF92}"/>
    <cellStyle name="Currency 5 2 5 13" xfId="10297" xr:uid="{50D38C43-FBBD-49CD-A2CD-3AEB9127D2EB}"/>
    <cellStyle name="Currency 5 2 5 13 2" xfId="20245" xr:uid="{EE6913E8-AFA1-4E2B-90E7-634F46E3D6A7}"/>
    <cellStyle name="Currency 5 2 5 14" xfId="1178" xr:uid="{3CBF07D2-9E1B-424E-B94F-40992C233F63}"/>
    <cellStyle name="Currency 5 2 5 15" xfId="11126" xr:uid="{B84F6119-5814-4E6A-BCC3-10D405B1CA15}"/>
    <cellStyle name="Currency 5 2 5 2" xfId="741" xr:uid="{00000000-0005-0000-0000-000072010000}"/>
    <cellStyle name="Currency 5 2 5 2 10" xfId="9055" xr:uid="{646977DA-3372-4A9D-AD31-0ED41276D2B4}"/>
    <cellStyle name="Currency 5 2 5 2 10 2" xfId="19003" xr:uid="{8CC52706-2ED8-4F66-AD7C-5C83A2FF04E8}"/>
    <cellStyle name="Currency 5 2 5 2 11" xfId="9884" xr:uid="{8EB05987-BCB7-4686-88E1-4B595E9CD645}"/>
    <cellStyle name="Currency 5 2 5 2 11 2" xfId="19832" xr:uid="{80F1E36A-4EC5-458B-98C1-71E3F763DA06}"/>
    <cellStyle name="Currency 5 2 5 2 12" xfId="10713" xr:uid="{8FFCBFA8-6507-4D88-ABD1-CF1E4DBDDA7B}"/>
    <cellStyle name="Currency 5 2 5 2 12 2" xfId="20661" xr:uid="{3F80D60C-4C5B-4D5B-A186-C3888F309EB9}"/>
    <cellStyle name="Currency 5 2 5 2 13" xfId="1594" xr:uid="{9436ABCC-C775-44E5-A34D-09BD9190EF27}"/>
    <cellStyle name="Currency 5 2 5 2 14" xfId="11542" xr:uid="{2657887C-0916-4BCF-897B-31EB1C39F48F}"/>
    <cellStyle name="Currency 5 2 5 2 2" xfId="2423" xr:uid="{43715751-FF0D-478D-8623-BF12350A5F1F}"/>
    <cellStyle name="Currency 5 2 5 2 2 2" xfId="12371" xr:uid="{D4370D73-8E53-4633-BC50-086806A858F5}"/>
    <cellStyle name="Currency 5 2 5 2 3" xfId="3252" xr:uid="{B4CE6163-E718-4C8E-94E3-BDAF7A2F8082}"/>
    <cellStyle name="Currency 5 2 5 2 3 2" xfId="13200" xr:uid="{1A803F2D-B516-4A6F-B185-C231FDA5135E}"/>
    <cellStyle name="Currency 5 2 5 2 4" xfId="4081" xr:uid="{3F2DBFF9-2B77-406D-9E5E-7CA74E53CFC3}"/>
    <cellStyle name="Currency 5 2 5 2 4 2" xfId="14029" xr:uid="{987E63F1-AEBE-4D5D-85C5-FE0EB3DC15B2}"/>
    <cellStyle name="Currency 5 2 5 2 5" xfId="4910" xr:uid="{FDF85BF3-7AF7-4C9F-A1EC-40C9DE655D6A}"/>
    <cellStyle name="Currency 5 2 5 2 5 2" xfId="14858" xr:uid="{A9FD7963-E113-4C17-92FB-28389E4CBEB2}"/>
    <cellStyle name="Currency 5 2 5 2 6" xfId="5739" xr:uid="{B8B4464E-B736-4BBF-B443-E0E5AF8821FE}"/>
    <cellStyle name="Currency 5 2 5 2 6 2" xfId="15687" xr:uid="{77828EF3-3DC6-4BC7-93C8-DE32264B22EF}"/>
    <cellStyle name="Currency 5 2 5 2 7" xfId="6568" xr:uid="{303A17C3-A085-4728-9147-66D1D3468863}"/>
    <cellStyle name="Currency 5 2 5 2 7 2" xfId="16516" xr:uid="{8EF71DE3-1D5F-4125-9945-B7477EF0522E}"/>
    <cellStyle name="Currency 5 2 5 2 8" xfId="7397" xr:uid="{BE18EC4D-92C3-4D21-946F-6083FE46FB8A}"/>
    <cellStyle name="Currency 5 2 5 2 8 2" xfId="17345" xr:uid="{8416E9E0-5DD7-4FF6-8C49-6A0A7166B82B}"/>
    <cellStyle name="Currency 5 2 5 2 9" xfId="8226" xr:uid="{AE27E666-55D6-4E9A-A72B-AE0BADEA30D5}"/>
    <cellStyle name="Currency 5 2 5 2 9 2" xfId="18174" xr:uid="{20CC99B4-A403-421D-93B1-9DD8059D054E}"/>
    <cellStyle name="Currency 5 2 5 3" xfId="2007" xr:uid="{68679322-BF72-4EE9-AB4F-9BD170A78474}"/>
    <cellStyle name="Currency 5 2 5 3 2" xfId="11955" xr:uid="{290B4440-FA6F-4446-BD3C-6C5D712ACF4D}"/>
    <cellStyle name="Currency 5 2 5 4" xfId="2836" xr:uid="{8AD371F5-86B1-4D45-BA0C-6390ADBFA0F4}"/>
    <cellStyle name="Currency 5 2 5 4 2" xfId="12784" xr:uid="{854A951B-6B28-47F5-915D-8C97E4BA4B00}"/>
    <cellStyle name="Currency 5 2 5 5" xfId="3665" xr:uid="{97BB8812-6196-4871-9D9B-1D5F46738C5E}"/>
    <cellStyle name="Currency 5 2 5 5 2" xfId="13613" xr:uid="{BD40D694-2CE0-4EA5-BB9F-E4D8CBDFE04E}"/>
    <cellStyle name="Currency 5 2 5 6" xfId="4494" xr:uid="{5DFEB0EB-2507-45D8-B799-3F1F3570E203}"/>
    <cellStyle name="Currency 5 2 5 6 2" xfId="14442" xr:uid="{3A39E91E-DFFC-44D7-9ADF-5F01B77666F4}"/>
    <cellStyle name="Currency 5 2 5 7" xfId="5323" xr:uid="{7D577F9C-F022-4BD7-B57E-404557F44F67}"/>
    <cellStyle name="Currency 5 2 5 7 2" xfId="15271" xr:uid="{47432E17-A8FA-45D6-B002-BE352DFFF0C4}"/>
    <cellStyle name="Currency 5 2 5 8" xfId="6152" xr:uid="{94950E52-AE49-4253-BFA9-3E515B45260A}"/>
    <cellStyle name="Currency 5 2 5 8 2" xfId="16100" xr:uid="{CC510BB1-7CC9-4F11-9052-3E5E99899EEC}"/>
    <cellStyle name="Currency 5 2 5 9" xfId="6981" xr:uid="{8F95E187-D01C-4662-8197-E1655B447BDF}"/>
    <cellStyle name="Currency 5 2 5 9 2" xfId="16929" xr:uid="{95CE5D98-09AC-4D56-B38C-6B1F956A1656}"/>
    <cellStyle name="Currency 5 2 6" xfId="209" xr:uid="{00000000-0005-0000-0000-000073010000}"/>
    <cellStyle name="Currency 5 2 6 10" xfId="7811" xr:uid="{FA63B287-12B5-4AE0-873A-E2BC6BC900E7}"/>
    <cellStyle name="Currency 5 2 6 10 2" xfId="17759" xr:uid="{573C79EA-A9F3-4CB5-95B1-38223EF69F2D}"/>
    <cellStyle name="Currency 5 2 6 11" xfId="8640" xr:uid="{EF09DB6B-4757-4AC8-8A61-6755C2D80AA1}"/>
    <cellStyle name="Currency 5 2 6 11 2" xfId="18588" xr:uid="{ECA6D509-EEBA-43FF-9144-169BF6985941}"/>
    <cellStyle name="Currency 5 2 6 12" xfId="9469" xr:uid="{FEF828B6-BB9F-4E9F-8269-5141749FFF6B}"/>
    <cellStyle name="Currency 5 2 6 12 2" xfId="19417" xr:uid="{7A37B2E6-89A1-4E3E-87C6-F8C61A747D3B}"/>
    <cellStyle name="Currency 5 2 6 13" xfId="10298" xr:uid="{3B2B659B-EC44-4790-8544-E04AE1301EEE}"/>
    <cellStyle name="Currency 5 2 6 13 2" xfId="20246" xr:uid="{216288CA-BFC4-4ECE-8FA8-C625F08AC790}"/>
    <cellStyle name="Currency 5 2 6 14" xfId="1179" xr:uid="{8EC54A7F-2FDC-434A-BBC5-95FF7EBF25B3}"/>
    <cellStyle name="Currency 5 2 6 15" xfId="11127" xr:uid="{EA44591F-E42F-4E0C-88D7-C7B0FDED59CF}"/>
    <cellStyle name="Currency 5 2 6 2" xfId="742" xr:uid="{00000000-0005-0000-0000-000074010000}"/>
    <cellStyle name="Currency 5 2 6 2 10" xfId="9056" xr:uid="{4041C84C-63E0-4ED0-A3D6-290D1BA5487B}"/>
    <cellStyle name="Currency 5 2 6 2 10 2" xfId="19004" xr:uid="{F94FF3F0-396D-4576-96C6-DCDA51D9FCC2}"/>
    <cellStyle name="Currency 5 2 6 2 11" xfId="9885" xr:uid="{262CB599-8CD9-4F7E-99AA-827EE5412501}"/>
    <cellStyle name="Currency 5 2 6 2 11 2" xfId="19833" xr:uid="{2B65251F-F8D1-4C25-8AB0-68167D1A1621}"/>
    <cellStyle name="Currency 5 2 6 2 12" xfId="10714" xr:uid="{2337EE5E-53C5-4F1E-9BEE-30EB823CE1A4}"/>
    <cellStyle name="Currency 5 2 6 2 12 2" xfId="20662" xr:uid="{89DA4B45-76C6-480B-B20C-391BB5A5E1CD}"/>
    <cellStyle name="Currency 5 2 6 2 13" xfId="1595" xr:uid="{5237B962-A8B9-4D91-B0CA-B07F204E386D}"/>
    <cellStyle name="Currency 5 2 6 2 14" xfId="11543" xr:uid="{EC890104-F2F0-4456-8F2F-D695C5FC67FE}"/>
    <cellStyle name="Currency 5 2 6 2 2" xfId="2424" xr:uid="{5853892C-1D56-4BA0-BAD2-D1F4975A37E8}"/>
    <cellStyle name="Currency 5 2 6 2 2 2" xfId="12372" xr:uid="{1ADFDB9C-193B-4E16-A71A-6122E2921EA8}"/>
    <cellStyle name="Currency 5 2 6 2 3" xfId="3253" xr:uid="{D5AC2050-7632-4726-B7BD-8CE1629C6011}"/>
    <cellStyle name="Currency 5 2 6 2 3 2" xfId="13201" xr:uid="{675D2980-4A63-4A70-A118-18AB7203C12C}"/>
    <cellStyle name="Currency 5 2 6 2 4" xfId="4082" xr:uid="{D4AD3EC0-A85A-416C-8B97-36CF5E00B73C}"/>
    <cellStyle name="Currency 5 2 6 2 4 2" xfId="14030" xr:uid="{E26FE929-26A3-42D2-A219-E2A6432CF146}"/>
    <cellStyle name="Currency 5 2 6 2 5" xfId="4911" xr:uid="{CFB49E0E-6012-4700-A098-7AC0863A9D81}"/>
    <cellStyle name="Currency 5 2 6 2 5 2" xfId="14859" xr:uid="{EAEF5607-4850-48C4-8DF7-47FD9630ECE5}"/>
    <cellStyle name="Currency 5 2 6 2 6" xfId="5740" xr:uid="{8BB1F83F-7890-49F5-B110-4FFD965C6975}"/>
    <cellStyle name="Currency 5 2 6 2 6 2" xfId="15688" xr:uid="{CF973047-705A-4CAF-ADB3-2C6F6FE419D9}"/>
    <cellStyle name="Currency 5 2 6 2 7" xfId="6569" xr:uid="{4D19CF92-08C2-47CA-93F7-D94E4EE86443}"/>
    <cellStyle name="Currency 5 2 6 2 7 2" xfId="16517" xr:uid="{E743C5EA-AACD-4042-8F07-89F48A1A3A7E}"/>
    <cellStyle name="Currency 5 2 6 2 8" xfId="7398" xr:uid="{C1BE7138-F038-4FAD-BC6A-DEBF55B660F0}"/>
    <cellStyle name="Currency 5 2 6 2 8 2" xfId="17346" xr:uid="{A309C5FA-2D85-44DB-84F2-4622D40F955D}"/>
    <cellStyle name="Currency 5 2 6 2 9" xfId="8227" xr:uid="{E2C5766F-6E64-46A9-98F1-5A999CD04321}"/>
    <cellStyle name="Currency 5 2 6 2 9 2" xfId="18175" xr:uid="{B701FB84-2FAF-42F6-A447-89B6C45B0B40}"/>
    <cellStyle name="Currency 5 2 6 3" xfId="2008" xr:uid="{4B6350DA-2FD1-4CB0-B4C4-4061C18471A3}"/>
    <cellStyle name="Currency 5 2 6 3 2" xfId="11956" xr:uid="{BCF5C626-F260-4B7D-A1E9-785766E7BC18}"/>
    <cellStyle name="Currency 5 2 6 4" xfId="2837" xr:uid="{281E7184-F969-4EA8-94F3-47E9BCCF1691}"/>
    <cellStyle name="Currency 5 2 6 4 2" xfId="12785" xr:uid="{5F6202C7-295C-4842-A83A-513197035FD2}"/>
    <cellStyle name="Currency 5 2 6 5" xfId="3666" xr:uid="{00374C5E-F6FA-42AA-85B4-22BE8D4ED8F5}"/>
    <cellStyle name="Currency 5 2 6 5 2" xfId="13614" xr:uid="{DF1AB88F-BBD0-449D-9822-E937B92228FF}"/>
    <cellStyle name="Currency 5 2 6 6" xfId="4495" xr:uid="{C621A412-F0F1-4220-AC80-E36287401CDF}"/>
    <cellStyle name="Currency 5 2 6 6 2" xfId="14443" xr:uid="{34F52F73-6A5F-4764-8D05-ACF677604746}"/>
    <cellStyle name="Currency 5 2 6 7" xfId="5324" xr:uid="{CB990BA1-9684-4EE0-9782-9B1529A480FF}"/>
    <cellStyle name="Currency 5 2 6 7 2" xfId="15272" xr:uid="{FC858FF1-11B9-4306-B470-07E653471CDC}"/>
    <cellStyle name="Currency 5 2 6 8" xfId="6153" xr:uid="{1588CE94-8427-49D9-A60C-C1C6A79D14D3}"/>
    <cellStyle name="Currency 5 2 6 8 2" xfId="16101" xr:uid="{EB3870BE-1FF6-4306-8699-9E6E0D98E715}"/>
    <cellStyle name="Currency 5 2 6 9" xfId="6982" xr:uid="{D92F4686-CE74-4F1B-8A3D-9256C60FDA9F}"/>
    <cellStyle name="Currency 5 2 6 9 2" xfId="16930" xr:uid="{F151691B-6B7A-4F69-A256-57C37F9FFCBB}"/>
    <cellStyle name="Currency 5 2 7" xfId="729" xr:uid="{00000000-0005-0000-0000-000075010000}"/>
    <cellStyle name="Currency 5 3" xfId="210" xr:uid="{00000000-0005-0000-0000-000076010000}"/>
    <cellStyle name="Currency 5 3 2" xfId="211" xr:uid="{00000000-0005-0000-0000-000077010000}"/>
    <cellStyle name="Currency 5 3 2 10" xfId="6154" xr:uid="{A82E6281-B68A-4619-8DCE-2313D6B16837}"/>
    <cellStyle name="Currency 5 3 2 10 2" xfId="16102" xr:uid="{CCF92292-16E2-4E31-BBD4-D91C70C71914}"/>
    <cellStyle name="Currency 5 3 2 11" xfId="6983" xr:uid="{418D848A-114C-4145-AEA1-42012F2BBF2C}"/>
    <cellStyle name="Currency 5 3 2 11 2" xfId="16931" xr:uid="{715539AC-2BFA-4AF6-89B6-478F7B4D92C2}"/>
    <cellStyle name="Currency 5 3 2 12" xfId="7812" xr:uid="{11B99D61-4765-4875-ABB0-CEFEF324B0A8}"/>
    <cellStyle name="Currency 5 3 2 12 2" xfId="17760" xr:uid="{4887D132-926A-4F02-A575-B4B60E5F25F2}"/>
    <cellStyle name="Currency 5 3 2 13" xfId="8641" xr:uid="{2F50A28B-8DD8-456B-95DF-467FB42580D7}"/>
    <cellStyle name="Currency 5 3 2 13 2" xfId="18589" xr:uid="{7C576448-F0DD-4A78-A286-4A0432854AC0}"/>
    <cellStyle name="Currency 5 3 2 14" xfId="9470" xr:uid="{1ADABAE4-6BE8-4289-BDB0-6CD688FDED2F}"/>
    <cellStyle name="Currency 5 3 2 14 2" xfId="19418" xr:uid="{6A9A7700-D50A-439D-AC20-5F73982C9921}"/>
    <cellStyle name="Currency 5 3 2 15" xfId="10299" xr:uid="{9D4E766A-8F8B-4635-B02C-A82053E34BE1}"/>
    <cellStyle name="Currency 5 3 2 15 2" xfId="20247" xr:uid="{F4E4CAA1-20F2-4B81-89A6-80F8088524B9}"/>
    <cellStyle name="Currency 5 3 2 16" xfId="1180" xr:uid="{DB5745DE-321A-4A97-993F-02121F442DD6}"/>
    <cellStyle name="Currency 5 3 2 17" xfId="11128" xr:uid="{38DA44CF-5FB2-49C6-A031-BA009D4B5F94}"/>
    <cellStyle name="Currency 5 3 2 2" xfId="212" xr:uid="{00000000-0005-0000-0000-000078010000}"/>
    <cellStyle name="Currency 5 3 2 2 10" xfId="6984" xr:uid="{BE02FFCF-B708-44B4-B3E0-ACE1E9C1D5C5}"/>
    <cellStyle name="Currency 5 3 2 2 10 2" xfId="16932" xr:uid="{738A0336-800B-422A-9E3B-8B5707A7329A}"/>
    <cellStyle name="Currency 5 3 2 2 11" xfId="7813" xr:uid="{CF81A5AD-314A-4110-87F8-90870DCA2B2A}"/>
    <cellStyle name="Currency 5 3 2 2 11 2" xfId="17761" xr:uid="{E8452A44-A9A3-4AC8-94F2-778DD70A3273}"/>
    <cellStyle name="Currency 5 3 2 2 12" xfId="8642" xr:uid="{945D65E8-2E23-452B-8E1A-9354D1E8673C}"/>
    <cellStyle name="Currency 5 3 2 2 12 2" xfId="18590" xr:uid="{2ED750BC-6322-4B41-B24A-308737978C14}"/>
    <cellStyle name="Currency 5 3 2 2 13" xfId="9471" xr:uid="{A3D8AEEF-000C-41DD-8EC6-FA2BD8D3FCC7}"/>
    <cellStyle name="Currency 5 3 2 2 13 2" xfId="19419" xr:uid="{325EF8BE-8B97-4F07-AA5C-10C7AC80373C}"/>
    <cellStyle name="Currency 5 3 2 2 14" xfId="10300" xr:uid="{1201D8AB-D45D-4F7B-A6B2-464370C03C4B}"/>
    <cellStyle name="Currency 5 3 2 2 14 2" xfId="20248" xr:uid="{58B9F347-B0F4-434E-9ADE-C517EB7A0BCA}"/>
    <cellStyle name="Currency 5 3 2 2 15" xfId="1181" xr:uid="{97822F8F-6A51-4DED-B83B-C51EDA4AFD66}"/>
    <cellStyle name="Currency 5 3 2 2 16" xfId="11129" xr:uid="{43FD2954-CD43-4BA0-81F4-45664E29E8EC}"/>
    <cellStyle name="Currency 5 3 2 2 2" xfId="213" xr:uid="{00000000-0005-0000-0000-000079010000}"/>
    <cellStyle name="Currency 5 3 2 2 2 10" xfId="7814" xr:uid="{688BED10-DC89-409E-BFB2-CECB4FEF1BBB}"/>
    <cellStyle name="Currency 5 3 2 2 2 10 2" xfId="17762" xr:uid="{DFB8DFCB-1769-4F65-9B9E-10F103470EFD}"/>
    <cellStyle name="Currency 5 3 2 2 2 11" xfId="8643" xr:uid="{8DB0CDBA-AE10-4379-8EEE-16E3398C1209}"/>
    <cellStyle name="Currency 5 3 2 2 2 11 2" xfId="18591" xr:uid="{6E95F291-748D-4927-AF7A-87C1525C3906}"/>
    <cellStyle name="Currency 5 3 2 2 2 12" xfId="9472" xr:uid="{FE08A4B0-7BF3-4977-B91C-43C52AE45917}"/>
    <cellStyle name="Currency 5 3 2 2 2 12 2" xfId="19420" xr:uid="{0AF874B5-6092-48AD-B66A-33B4734234CC}"/>
    <cellStyle name="Currency 5 3 2 2 2 13" xfId="10301" xr:uid="{F6006A0A-C41C-4B0F-A520-0CD89BB98EA4}"/>
    <cellStyle name="Currency 5 3 2 2 2 13 2" xfId="20249" xr:uid="{1E18BA88-330B-494E-A699-EA6681A22CE7}"/>
    <cellStyle name="Currency 5 3 2 2 2 14" xfId="1182" xr:uid="{0122CC94-DD8B-4EB3-838E-280BE33CD0E7}"/>
    <cellStyle name="Currency 5 3 2 2 2 15" xfId="11130" xr:uid="{52A50253-97BC-44F1-AAAA-A3362E027ECC}"/>
    <cellStyle name="Currency 5 3 2 2 2 2" xfId="745" xr:uid="{00000000-0005-0000-0000-00007A010000}"/>
    <cellStyle name="Currency 5 3 2 2 2 2 10" xfId="9059" xr:uid="{3F7C9D11-039A-446F-BA7B-5AADDAFB43A7}"/>
    <cellStyle name="Currency 5 3 2 2 2 2 10 2" xfId="19007" xr:uid="{69966EAE-8A77-425E-85E4-52730AF690F8}"/>
    <cellStyle name="Currency 5 3 2 2 2 2 11" xfId="9888" xr:uid="{830EA72D-BAEE-4997-8DA6-8A57CF69D1C3}"/>
    <cellStyle name="Currency 5 3 2 2 2 2 11 2" xfId="19836" xr:uid="{E004EBFD-BC7C-4CC2-954A-28CC5C618B6B}"/>
    <cellStyle name="Currency 5 3 2 2 2 2 12" xfId="10717" xr:uid="{3CE4E881-C9A6-4ABB-9B63-BB10E009FF6B}"/>
    <cellStyle name="Currency 5 3 2 2 2 2 12 2" xfId="20665" xr:uid="{AFBF1B78-C6A5-40DB-BBCA-B52446659711}"/>
    <cellStyle name="Currency 5 3 2 2 2 2 13" xfId="1598" xr:uid="{E9280044-CE65-4E89-B94E-C2C74A10AC01}"/>
    <cellStyle name="Currency 5 3 2 2 2 2 14" xfId="11546" xr:uid="{6A13B9F1-6622-4EB8-9865-2EAA6F3427FE}"/>
    <cellStyle name="Currency 5 3 2 2 2 2 2" xfId="2427" xr:uid="{E74AE17E-37C0-4966-B750-9487B2A0F1BD}"/>
    <cellStyle name="Currency 5 3 2 2 2 2 2 2" xfId="12375" xr:uid="{D613FEEE-A3D4-4B88-8C83-D3FA524FD3F8}"/>
    <cellStyle name="Currency 5 3 2 2 2 2 3" xfId="3256" xr:uid="{D5F84E21-B5C6-4340-8192-E60C8621F7B6}"/>
    <cellStyle name="Currency 5 3 2 2 2 2 3 2" xfId="13204" xr:uid="{7EF49AB9-8A11-405C-9806-EADEA6FE4103}"/>
    <cellStyle name="Currency 5 3 2 2 2 2 4" xfId="4085" xr:uid="{84968DF2-5C1D-4185-9B14-64DECC6FC3AF}"/>
    <cellStyle name="Currency 5 3 2 2 2 2 4 2" xfId="14033" xr:uid="{287F3501-EBF1-4182-8001-B04A2545E4E4}"/>
    <cellStyle name="Currency 5 3 2 2 2 2 5" xfId="4914" xr:uid="{31BACC3D-1658-4660-8C1A-7D0EFB13860A}"/>
    <cellStyle name="Currency 5 3 2 2 2 2 5 2" xfId="14862" xr:uid="{0869BF54-FBA9-40D4-9E18-B30B5FDBDEDB}"/>
    <cellStyle name="Currency 5 3 2 2 2 2 6" xfId="5743" xr:uid="{D9F7B3FC-7C19-4DF2-8E06-8F77F76A0EA5}"/>
    <cellStyle name="Currency 5 3 2 2 2 2 6 2" xfId="15691" xr:uid="{3CBABBC0-4FEC-45C2-B134-80D89D263B02}"/>
    <cellStyle name="Currency 5 3 2 2 2 2 7" xfId="6572" xr:uid="{7614BE38-0006-46EF-944A-98B3BFEABD9B}"/>
    <cellStyle name="Currency 5 3 2 2 2 2 7 2" xfId="16520" xr:uid="{387FD517-DBE9-4991-B327-7410F9A70A3E}"/>
    <cellStyle name="Currency 5 3 2 2 2 2 8" xfId="7401" xr:uid="{A307C583-772D-4D81-AE06-05883DC1E555}"/>
    <cellStyle name="Currency 5 3 2 2 2 2 8 2" xfId="17349" xr:uid="{EDF93C92-F2AA-4ED8-9793-D437A10A03FA}"/>
    <cellStyle name="Currency 5 3 2 2 2 2 9" xfId="8230" xr:uid="{4F436615-7017-4B07-8E8C-33BF06520008}"/>
    <cellStyle name="Currency 5 3 2 2 2 2 9 2" xfId="18178" xr:uid="{C0F7D91D-DAE2-4971-81D2-0E39CE534B4A}"/>
    <cellStyle name="Currency 5 3 2 2 2 3" xfId="2011" xr:uid="{81AED6B2-361E-44A8-BED5-BA4956DF5DF6}"/>
    <cellStyle name="Currency 5 3 2 2 2 3 2" xfId="11959" xr:uid="{A244B961-6CE7-40B5-8908-4FEF69CC96A8}"/>
    <cellStyle name="Currency 5 3 2 2 2 4" xfId="2840" xr:uid="{EA20B211-BDEB-4A51-BCC1-9C3C4A3AE2D0}"/>
    <cellStyle name="Currency 5 3 2 2 2 4 2" xfId="12788" xr:uid="{0C7AED73-E268-4E81-B0A5-C911484D7E39}"/>
    <cellStyle name="Currency 5 3 2 2 2 5" xfId="3669" xr:uid="{E4D7E8DE-CF88-4A32-A60A-FE290EDB269C}"/>
    <cellStyle name="Currency 5 3 2 2 2 5 2" xfId="13617" xr:uid="{50350BFD-871F-4249-9E6C-B7023632CA66}"/>
    <cellStyle name="Currency 5 3 2 2 2 6" xfId="4498" xr:uid="{0CDA931E-D087-4C9B-A953-61789275955D}"/>
    <cellStyle name="Currency 5 3 2 2 2 6 2" xfId="14446" xr:uid="{97491F35-CBC0-4FA8-8D48-E18F20CAB840}"/>
    <cellStyle name="Currency 5 3 2 2 2 7" xfId="5327" xr:uid="{95D83462-6E47-4ED8-A8BB-D313CA02B056}"/>
    <cellStyle name="Currency 5 3 2 2 2 7 2" xfId="15275" xr:uid="{78275961-282F-47D9-82A2-C1EB9BB862CB}"/>
    <cellStyle name="Currency 5 3 2 2 2 8" xfId="6156" xr:uid="{3B66771A-4D1B-4D8D-8FB7-9366B2660186}"/>
    <cellStyle name="Currency 5 3 2 2 2 8 2" xfId="16104" xr:uid="{1B964E0D-E32F-4BEE-8C7C-130AAA52A677}"/>
    <cellStyle name="Currency 5 3 2 2 2 9" xfId="6985" xr:uid="{F6733895-28CC-40BA-A710-FAF9F2CB20BC}"/>
    <cellStyle name="Currency 5 3 2 2 2 9 2" xfId="16933" xr:uid="{832AD282-14C0-4B61-9E89-917271D0FC52}"/>
    <cellStyle name="Currency 5 3 2 2 3" xfId="744" xr:uid="{00000000-0005-0000-0000-00007B010000}"/>
    <cellStyle name="Currency 5 3 2 2 3 10" xfId="9058" xr:uid="{9D418987-A367-4987-8A6A-16EB6EB700DC}"/>
    <cellStyle name="Currency 5 3 2 2 3 10 2" xfId="19006" xr:uid="{172AEF7F-B585-4C0C-AE85-43DA954E1C61}"/>
    <cellStyle name="Currency 5 3 2 2 3 11" xfId="9887" xr:uid="{2AAD1326-EB62-4B87-BC12-C461E2C8C6A9}"/>
    <cellStyle name="Currency 5 3 2 2 3 11 2" xfId="19835" xr:uid="{0DC66604-890E-4697-8EC0-7C2392836D12}"/>
    <cellStyle name="Currency 5 3 2 2 3 12" xfId="10716" xr:uid="{D67CF14C-54A9-4A5E-9EE9-9EB6BCA1C829}"/>
    <cellStyle name="Currency 5 3 2 2 3 12 2" xfId="20664" xr:uid="{2BC5B036-01B7-4FBA-8A2C-DA7F93756832}"/>
    <cellStyle name="Currency 5 3 2 2 3 13" xfId="1597" xr:uid="{76D35C69-DD24-4F59-9DF2-591F9AB6BCC3}"/>
    <cellStyle name="Currency 5 3 2 2 3 14" xfId="11545" xr:uid="{9F6C204A-7F48-4BF0-84E3-002365F8D0D4}"/>
    <cellStyle name="Currency 5 3 2 2 3 2" xfId="2426" xr:uid="{CD175D23-6F8B-4EE8-B53C-13C90DCAF21C}"/>
    <cellStyle name="Currency 5 3 2 2 3 2 2" xfId="12374" xr:uid="{5B6F3930-8C1D-415E-B2E3-AA6AE57B9D75}"/>
    <cellStyle name="Currency 5 3 2 2 3 3" xfId="3255" xr:uid="{576FA215-8C10-46B6-8693-6E481015CD7E}"/>
    <cellStyle name="Currency 5 3 2 2 3 3 2" xfId="13203" xr:uid="{FF85600C-E6AA-4A33-B29D-56F7131A30E7}"/>
    <cellStyle name="Currency 5 3 2 2 3 4" xfId="4084" xr:uid="{59154EB6-B1A5-45AE-9579-43FF112CDD13}"/>
    <cellStyle name="Currency 5 3 2 2 3 4 2" xfId="14032" xr:uid="{FAE143CC-3068-4525-90BE-9D2F6A542B79}"/>
    <cellStyle name="Currency 5 3 2 2 3 5" xfId="4913" xr:uid="{EC7F37DD-1919-452E-8629-0FB629752714}"/>
    <cellStyle name="Currency 5 3 2 2 3 5 2" xfId="14861" xr:uid="{D72113CA-6649-43CC-A7BB-484CC0FD0EE8}"/>
    <cellStyle name="Currency 5 3 2 2 3 6" xfId="5742" xr:uid="{1D05E61C-0456-4C64-937A-4CA159DDB726}"/>
    <cellStyle name="Currency 5 3 2 2 3 6 2" xfId="15690" xr:uid="{3E2A66EF-E79A-4525-99AE-D60E9C6AE200}"/>
    <cellStyle name="Currency 5 3 2 2 3 7" xfId="6571" xr:uid="{2BF0DDF3-BD6B-44FC-9563-67BAF5149BE3}"/>
    <cellStyle name="Currency 5 3 2 2 3 7 2" xfId="16519" xr:uid="{5E5F595A-E648-419F-A0C8-B4F71CF15999}"/>
    <cellStyle name="Currency 5 3 2 2 3 8" xfId="7400" xr:uid="{77856AB3-CDFD-41AC-A40D-666CDAEB3E29}"/>
    <cellStyle name="Currency 5 3 2 2 3 8 2" xfId="17348" xr:uid="{1354126C-1CB1-4F35-9322-C3B610784D3D}"/>
    <cellStyle name="Currency 5 3 2 2 3 9" xfId="8229" xr:uid="{015D7D5F-AC0A-4656-BDDE-4185E18A8D6F}"/>
    <cellStyle name="Currency 5 3 2 2 3 9 2" xfId="18177" xr:uid="{D661C573-8837-4A80-A819-056D171E376D}"/>
    <cellStyle name="Currency 5 3 2 2 4" xfId="2010" xr:uid="{9BEFFCE5-2DE0-40E4-B146-6100EC33EE7C}"/>
    <cellStyle name="Currency 5 3 2 2 4 2" xfId="11958" xr:uid="{28F4D413-C775-4B7F-BE4C-DCB677E2A6AC}"/>
    <cellStyle name="Currency 5 3 2 2 5" xfId="2839" xr:uid="{8E32C1D2-FEB9-4DDA-9A1D-380BB6C7F59F}"/>
    <cellStyle name="Currency 5 3 2 2 5 2" xfId="12787" xr:uid="{5EBFAB1E-9265-433C-912C-9303E85004A3}"/>
    <cellStyle name="Currency 5 3 2 2 6" xfId="3668" xr:uid="{EAEC32C5-FFC2-4AAA-9189-1B9F0B0059CA}"/>
    <cellStyle name="Currency 5 3 2 2 6 2" xfId="13616" xr:uid="{C37A9DA0-EE1A-485F-A72B-D1B2AA2814F7}"/>
    <cellStyle name="Currency 5 3 2 2 7" xfId="4497" xr:uid="{F3B0106B-421D-4DCE-B334-F4D81CBD29A1}"/>
    <cellStyle name="Currency 5 3 2 2 7 2" xfId="14445" xr:uid="{E70998DF-8E24-4399-9096-BB8E58A84C49}"/>
    <cellStyle name="Currency 5 3 2 2 8" xfId="5326" xr:uid="{B7993525-D697-4A65-AB2C-D7FC290B384D}"/>
    <cellStyle name="Currency 5 3 2 2 8 2" xfId="15274" xr:uid="{405624CF-3F32-4D2D-BF26-30792A58136F}"/>
    <cellStyle name="Currency 5 3 2 2 9" xfId="6155" xr:uid="{91F40147-12B8-4565-A9FC-26A6061DA860}"/>
    <cellStyle name="Currency 5 3 2 2 9 2" xfId="16103" xr:uid="{1C3F540F-925D-4A94-8841-F035B7CB127D}"/>
    <cellStyle name="Currency 5 3 2 3" xfId="214" xr:uid="{00000000-0005-0000-0000-00007C010000}"/>
    <cellStyle name="Currency 5 3 2 3 10" xfId="7815" xr:uid="{D9C5E711-57A6-4549-860B-E6FE8B4D226B}"/>
    <cellStyle name="Currency 5 3 2 3 10 2" xfId="17763" xr:uid="{6A49DC09-966B-43FA-96F3-0915D5D224F0}"/>
    <cellStyle name="Currency 5 3 2 3 11" xfId="8644" xr:uid="{FFB26122-1AB9-4C59-9209-74B1EED5D32B}"/>
    <cellStyle name="Currency 5 3 2 3 11 2" xfId="18592" xr:uid="{A5047262-E098-4885-A943-F19C491AC767}"/>
    <cellStyle name="Currency 5 3 2 3 12" xfId="9473" xr:uid="{2BED7BFC-5334-49E0-876E-875BF47BC0B4}"/>
    <cellStyle name="Currency 5 3 2 3 12 2" xfId="19421" xr:uid="{042C3DBD-0B30-452D-86BD-A0084CC58F1D}"/>
    <cellStyle name="Currency 5 3 2 3 13" xfId="10302" xr:uid="{3B24252D-8DB2-4D62-8219-C82EA132AA4C}"/>
    <cellStyle name="Currency 5 3 2 3 13 2" xfId="20250" xr:uid="{1A8A48F1-A85C-4B3E-A1A5-7560B3881949}"/>
    <cellStyle name="Currency 5 3 2 3 14" xfId="1183" xr:uid="{F808F736-9003-4B9A-9DAD-7AD97C185619}"/>
    <cellStyle name="Currency 5 3 2 3 15" xfId="11131" xr:uid="{FB2DCFE6-1A63-49BF-A79B-F891AD5AFDD0}"/>
    <cellStyle name="Currency 5 3 2 3 2" xfId="746" xr:uid="{00000000-0005-0000-0000-00007D010000}"/>
    <cellStyle name="Currency 5 3 2 3 2 10" xfId="9060" xr:uid="{11823C5C-D1EA-4BB6-81A0-56349EB143FB}"/>
    <cellStyle name="Currency 5 3 2 3 2 10 2" xfId="19008" xr:uid="{0935753A-4AC9-4B27-8702-19F1A5A8BBA4}"/>
    <cellStyle name="Currency 5 3 2 3 2 11" xfId="9889" xr:uid="{B7412EEC-9150-4849-ACE6-0DF0C2E017AD}"/>
    <cellStyle name="Currency 5 3 2 3 2 11 2" xfId="19837" xr:uid="{B34A49CD-3652-472B-AE7B-EF00B455534E}"/>
    <cellStyle name="Currency 5 3 2 3 2 12" xfId="10718" xr:uid="{70703320-76ED-4CED-963B-1B20CEF291DA}"/>
    <cellStyle name="Currency 5 3 2 3 2 12 2" xfId="20666" xr:uid="{B0AC98F2-E0BB-428D-BC0E-1A84CF566601}"/>
    <cellStyle name="Currency 5 3 2 3 2 13" xfId="1599" xr:uid="{7E562B6E-5F50-4486-AEE0-B837CBC692ED}"/>
    <cellStyle name="Currency 5 3 2 3 2 14" xfId="11547" xr:uid="{0DE7F9CC-10F7-4CE0-ACA3-DFC43FFE8E5D}"/>
    <cellStyle name="Currency 5 3 2 3 2 2" xfId="2428" xr:uid="{9CA6A191-CE6B-4F0C-A94F-C259632C4127}"/>
    <cellStyle name="Currency 5 3 2 3 2 2 2" xfId="12376" xr:uid="{B30557B7-DC4B-4902-9B3E-B1F9AE9F42B8}"/>
    <cellStyle name="Currency 5 3 2 3 2 3" xfId="3257" xr:uid="{E35C9566-1A6E-495E-9D8B-029F185E4D1B}"/>
    <cellStyle name="Currency 5 3 2 3 2 3 2" xfId="13205" xr:uid="{E982FB2D-CC5E-4196-9292-984924529E81}"/>
    <cellStyle name="Currency 5 3 2 3 2 4" xfId="4086" xr:uid="{F3E72102-90EB-4F90-9300-B4B18FFC9721}"/>
    <cellStyle name="Currency 5 3 2 3 2 4 2" xfId="14034" xr:uid="{2751E395-C023-41CB-A3AB-10F3C0D80541}"/>
    <cellStyle name="Currency 5 3 2 3 2 5" xfId="4915" xr:uid="{B406F1E0-D768-4B86-B773-B6F3CEA2CEF0}"/>
    <cellStyle name="Currency 5 3 2 3 2 5 2" xfId="14863" xr:uid="{FF441E05-402C-4367-8143-91EE857C287C}"/>
    <cellStyle name="Currency 5 3 2 3 2 6" xfId="5744" xr:uid="{A0D93CD4-0451-45F4-80C3-FE9068E5EEAD}"/>
    <cellStyle name="Currency 5 3 2 3 2 6 2" xfId="15692" xr:uid="{9D6BE634-2BFD-47EE-A9F3-8EA503728295}"/>
    <cellStyle name="Currency 5 3 2 3 2 7" xfId="6573" xr:uid="{2C8EDEA2-A017-4588-BD86-D52AF653D3E5}"/>
    <cellStyle name="Currency 5 3 2 3 2 7 2" xfId="16521" xr:uid="{A2FCE684-5EE9-4828-82D2-790E9434464A}"/>
    <cellStyle name="Currency 5 3 2 3 2 8" xfId="7402" xr:uid="{03620B00-CC76-4479-9E5B-B251CBBE0BAB}"/>
    <cellStyle name="Currency 5 3 2 3 2 8 2" xfId="17350" xr:uid="{DB14EEE9-FC7A-49AF-80E5-992E97330C07}"/>
    <cellStyle name="Currency 5 3 2 3 2 9" xfId="8231" xr:uid="{FBAC0CC7-5187-4D71-9879-117C4806F975}"/>
    <cellStyle name="Currency 5 3 2 3 2 9 2" xfId="18179" xr:uid="{95CEB098-E493-4708-9C6E-0C9B1881D1EE}"/>
    <cellStyle name="Currency 5 3 2 3 3" xfId="2012" xr:uid="{05114EA7-B012-4141-8AF3-B3F2B1E616AB}"/>
    <cellStyle name="Currency 5 3 2 3 3 2" xfId="11960" xr:uid="{4FFBAF2E-9CF5-4D9F-BEB1-DC1558FF1C57}"/>
    <cellStyle name="Currency 5 3 2 3 4" xfId="2841" xr:uid="{780DDAEF-52E4-4918-B413-D6720F16E7A2}"/>
    <cellStyle name="Currency 5 3 2 3 4 2" xfId="12789" xr:uid="{7B4E0130-9B51-4DAE-A5AA-EACF7D35E489}"/>
    <cellStyle name="Currency 5 3 2 3 5" xfId="3670" xr:uid="{7FFC8F80-D752-43D4-8A92-EB806D53C446}"/>
    <cellStyle name="Currency 5 3 2 3 5 2" xfId="13618" xr:uid="{503C2945-7A77-4D40-8359-EFC67526DAC3}"/>
    <cellStyle name="Currency 5 3 2 3 6" xfId="4499" xr:uid="{F5E4072C-A2DE-419C-BC1E-229A130E1AB2}"/>
    <cellStyle name="Currency 5 3 2 3 6 2" xfId="14447" xr:uid="{E950098C-A8D3-43B8-B9BC-E52BA65DA5B4}"/>
    <cellStyle name="Currency 5 3 2 3 7" xfId="5328" xr:uid="{C3B999A8-5FE7-4079-9598-A39ABE5CE900}"/>
    <cellStyle name="Currency 5 3 2 3 7 2" xfId="15276" xr:uid="{89B9842C-D441-4F35-84B7-BEF01801F457}"/>
    <cellStyle name="Currency 5 3 2 3 8" xfId="6157" xr:uid="{FE46C666-B608-44D2-AA56-FFFA03AAD281}"/>
    <cellStyle name="Currency 5 3 2 3 8 2" xfId="16105" xr:uid="{8A3E3938-749D-4742-A72F-E665E75B771A}"/>
    <cellStyle name="Currency 5 3 2 3 9" xfId="6986" xr:uid="{2E55AC11-2B6D-4476-8F68-F817285A0FE7}"/>
    <cellStyle name="Currency 5 3 2 3 9 2" xfId="16934" xr:uid="{A1B8C973-726A-4AAB-9F47-34730B49BD02}"/>
    <cellStyle name="Currency 5 3 2 4" xfId="743" xr:uid="{00000000-0005-0000-0000-00007E010000}"/>
    <cellStyle name="Currency 5 3 2 4 10" xfId="9057" xr:uid="{5F5C1FAE-5188-40A3-BFDD-C649CD4C6FAF}"/>
    <cellStyle name="Currency 5 3 2 4 10 2" xfId="19005" xr:uid="{9EB37FC8-84AB-48BA-963C-649B80210F66}"/>
    <cellStyle name="Currency 5 3 2 4 11" xfId="9886" xr:uid="{1856AC96-0ACA-48CA-A358-7AB007114982}"/>
    <cellStyle name="Currency 5 3 2 4 11 2" xfId="19834" xr:uid="{C1DF9C19-320E-485E-BEBA-98CF52E253DE}"/>
    <cellStyle name="Currency 5 3 2 4 12" xfId="10715" xr:uid="{6C2EABFC-82AD-4161-ADF4-411124AAFFF8}"/>
    <cellStyle name="Currency 5 3 2 4 12 2" xfId="20663" xr:uid="{B83076B8-2A80-4099-BCD2-4C2BAF8EAD89}"/>
    <cellStyle name="Currency 5 3 2 4 13" xfId="1596" xr:uid="{2FD55BB0-148D-4D35-A27B-45776B3DC967}"/>
    <cellStyle name="Currency 5 3 2 4 14" xfId="11544" xr:uid="{ACBD0F25-1D90-4993-A81C-6F9E654705BC}"/>
    <cellStyle name="Currency 5 3 2 4 2" xfId="2425" xr:uid="{37386C15-DF3F-4988-BB65-DDFBE3C35636}"/>
    <cellStyle name="Currency 5 3 2 4 2 2" xfId="12373" xr:uid="{A437B545-437F-4145-9C9D-0FFEFF40215D}"/>
    <cellStyle name="Currency 5 3 2 4 3" xfId="3254" xr:uid="{43016A0A-93B8-41E0-ACB3-9CE758C99CF3}"/>
    <cellStyle name="Currency 5 3 2 4 3 2" xfId="13202" xr:uid="{98C7D49F-05A9-46B0-A78B-4ACE05FD0367}"/>
    <cellStyle name="Currency 5 3 2 4 4" xfId="4083" xr:uid="{4BAB8CF3-76B4-41D7-A1AC-DDEF4333F010}"/>
    <cellStyle name="Currency 5 3 2 4 4 2" xfId="14031" xr:uid="{1AF1909C-2B63-4E17-A780-1FD7DF8F9368}"/>
    <cellStyle name="Currency 5 3 2 4 5" xfId="4912" xr:uid="{FE6D2F6C-984D-4EAB-B82A-5302A5FC4EE1}"/>
    <cellStyle name="Currency 5 3 2 4 5 2" xfId="14860" xr:uid="{8B052E13-4DD6-4C3E-BCD0-A1FE0A9E965E}"/>
    <cellStyle name="Currency 5 3 2 4 6" xfId="5741" xr:uid="{C0D3E660-A0F9-4A26-921D-46F589273BC5}"/>
    <cellStyle name="Currency 5 3 2 4 6 2" xfId="15689" xr:uid="{C2819DEE-4A92-471C-8913-4D6637C5C5BF}"/>
    <cellStyle name="Currency 5 3 2 4 7" xfId="6570" xr:uid="{754E64AB-0960-468A-BDD1-715147F81F6C}"/>
    <cellStyle name="Currency 5 3 2 4 7 2" xfId="16518" xr:uid="{C781D54D-DBD6-478A-B518-7F4C02DF9FF8}"/>
    <cellStyle name="Currency 5 3 2 4 8" xfId="7399" xr:uid="{231A9A76-2778-42F1-8D69-43D0A303188C}"/>
    <cellStyle name="Currency 5 3 2 4 8 2" xfId="17347" xr:uid="{4B8DD3A3-1BE6-42CB-8C10-5E1540D9B895}"/>
    <cellStyle name="Currency 5 3 2 4 9" xfId="8228" xr:uid="{D3AE72D8-A378-41F3-B6C7-22459CC46C2E}"/>
    <cellStyle name="Currency 5 3 2 4 9 2" xfId="18176" xr:uid="{9191E3F5-39F4-4A17-908D-570A1E0472F8}"/>
    <cellStyle name="Currency 5 3 2 5" xfId="2009" xr:uid="{21983807-6928-4911-883E-599F3D973AA3}"/>
    <cellStyle name="Currency 5 3 2 5 2" xfId="11957" xr:uid="{FEC392DC-B6A9-4615-A054-4ACD4592F236}"/>
    <cellStyle name="Currency 5 3 2 6" xfId="2838" xr:uid="{C03C5EF1-1EFD-4D50-A57E-098B8D8D1F9E}"/>
    <cellStyle name="Currency 5 3 2 6 2" xfId="12786" xr:uid="{F29C8E97-E03C-409B-A213-57E1702CF8EA}"/>
    <cellStyle name="Currency 5 3 2 7" xfId="3667" xr:uid="{6F21F84B-6AFF-4ABA-97C7-94E303BE6239}"/>
    <cellStyle name="Currency 5 3 2 7 2" xfId="13615" xr:uid="{43B87EBE-26D0-41F3-9BBE-593B1E529093}"/>
    <cellStyle name="Currency 5 3 2 8" xfId="4496" xr:uid="{8B1E811B-A484-4F42-9AB8-4DBBB42A452F}"/>
    <cellStyle name="Currency 5 3 2 8 2" xfId="14444" xr:uid="{9FDCBEA5-5AC2-4489-A100-A8F09D623644}"/>
    <cellStyle name="Currency 5 3 2 9" xfId="5325" xr:uid="{A5345E65-F2F3-482B-82F8-B834179EF6E6}"/>
    <cellStyle name="Currency 5 3 2 9 2" xfId="15273" xr:uid="{7C5849A6-B6AB-40B3-989A-E265D52EFCDD}"/>
    <cellStyle name="Currency 5 3 3" xfId="215" xr:uid="{00000000-0005-0000-0000-00007F010000}"/>
    <cellStyle name="Currency 5 3 3 10" xfId="6987" xr:uid="{4C0179D3-3F7A-464B-8AE3-7F1452F05C23}"/>
    <cellStyle name="Currency 5 3 3 10 2" xfId="16935" xr:uid="{E8065332-B189-499F-AAC3-E4D572474E5A}"/>
    <cellStyle name="Currency 5 3 3 11" xfId="7816" xr:uid="{EDDD7786-3525-45DC-B5B4-9B75E3A38035}"/>
    <cellStyle name="Currency 5 3 3 11 2" xfId="17764" xr:uid="{15B3B47D-A63F-46F4-83C9-18E59226FF85}"/>
    <cellStyle name="Currency 5 3 3 12" xfId="8645" xr:uid="{BA73DA59-976F-4C8A-813F-A9DE658D1C7E}"/>
    <cellStyle name="Currency 5 3 3 12 2" xfId="18593" xr:uid="{1B00CF93-7043-4FB1-A944-381FE7A57926}"/>
    <cellStyle name="Currency 5 3 3 13" xfId="9474" xr:uid="{77097E02-DB8B-4F86-B9E1-F916DD3F001C}"/>
    <cellStyle name="Currency 5 3 3 13 2" xfId="19422" xr:uid="{C4F84DD7-D9F3-47E3-BB06-8532D7DAB582}"/>
    <cellStyle name="Currency 5 3 3 14" xfId="10303" xr:uid="{5A055C21-5F79-440A-A773-F5B3BAEDAB65}"/>
    <cellStyle name="Currency 5 3 3 14 2" xfId="20251" xr:uid="{1CA7E329-6D67-42B4-A467-7503575DFE30}"/>
    <cellStyle name="Currency 5 3 3 15" xfId="1184" xr:uid="{4B38BCE0-DC1C-46DA-8D02-D4EE3C1CEE92}"/>
    <cellStyle name="Currency 5 3 3 16" xfId="11132" xr:uid="{C91D7C87-56D3-4A2A-8699-66CE18BC07F0}"/>
    <cellStyle name="Currency 5 3 3 2" xfId="216" xr:uid="{00000000-0005-0000-0000-000080010000}"/>
    <cellStyle name="Currency 5 3 3 2 10" xfId="7817" xr:uid="{E96C6C71-CDB8-46D0-B15B-B0CC10294090}"/>
    <cellStyle name="Currency 5 3 3 2 10 2" xfId="17765" xr:uid="{289842A1-A272-4AF2-BDE8-11B5D49EC28F}"/>
    <cellStyle name="Currency 5 3 3 2 11" xfId="8646" xr:uid="{6898B784-EED4-4FEF-81DD-951ED3CC43C5}"/>
    <cellStyle name="Currency 5 3 3 2 11 2" xfId="18594" xr:uid="{D78D9D57-85E5-4DB0-81EA-FCDE703166B1}"/>
    <cellStyle name="Currency 5 3 3 2 12" xfId="9475" xr:uid="{A45EBA7D-6C45-400D-9A06-4CF275D008B6}"/>
    <cellStyle name="Currency 5 3 3 2 12 2" xfId="19423" xr:uid="{A6B97326-E090-499B-B604-62BBF13F7DC5}"/>
    <cellStyle name="Currency 5 3 3 2 13" xfId="10304" xr:uid="{9933EF3B-BC79-47A8-9D9C-4447B04112E9}"/>
    <cellStyle name="Currency 5 3 3 2 13 2" xfId="20252" xr:uid="{F8949A41-C7AC-4F65-80A0-8CEB915006C1}"/>
    <cellStyle name="Currency 5 3 3 2 14" xfId="1185" xr:uid="{66D2D8AD-8DA9-4835-A6EE-AB312E631431}"/>
    <cellStyle name="Currency 5 3 3 2 15" xfId="11133" xr:uid="{8DAF2BDE-C32C-47F9-9C26-8C1D5B79A3AB}"/>
    <cellStyle name="Currency 5 3 3 2 2" xfId="748" xr:uid="{00000000-0005-0000-0000-000081010000}"/>
    <cellStyle name="Currency 5 3 3 2 2 10" xfId="9062" xr:uid="{B1357DB6-6C85-423E-ABDF-BE83490CD68B}"/>
    <cellStyle name="Currency 5 3 3 2 2 10 2" xfId="19010" xr:uid="{29F12BA0-25EE-4E87-8142-2708E15D707D}"/>
    <cellStyle name="Currency 5 3 3 2 2 11" xfId="9891" xr:uid="{BED13249-6E33-457B-8C87-8BEA18DC491A}"/>
    <cellStyle name="Currency 5 3 3 2 2 11 2" xfId="19839" xr:uid="{49C4959E-16AB-4A28-BFBB-34CA85DE5F12}"/>
    <cellStyle name="Currency 5 3 3 2 2 12" xfId="10720" xr:uid="{070D5D1F-8ADE-40B6-BC97-288B6CC6B55C}"/>
    <cellStyle name="Currency 5 3 3 2 2 12 2" xfId="20668" xr:uid="{D080F9BF-C674-4CD0-803D-20ECE2720E8C}"/>
    <cellStyle name="Currency 5 3 3 2 2 13" xfId="1601" xr:uid="{B8E6E0DA-CE53-4C55-AC5B-F6A5194C636F}"/>
    <cellStyle name="Currency 5 3 3 2 2 14" xfId="11549" xr:uid="{ABC2DD48-6119-4179-B94D-6E377E09AC01}"/>
    <cellStyle name="Currency 5 3 3 2 2 2" xfId="2430" xr:uid="{1DF05D67-4A87-47A2-89A3-3EDD93434256}"/>
    <cellStyle name="Currency 5 3 3 2 2 2 2" xfId="12378" xr:uid="{CA14D2DC-6632-4277-BD6A-6A61CC5A2FA1}"/>
    <cellStyle name="Currency 5 3 3 2 2 3" xfId="3259" xr:uid="{DA06E92B-7980-44D0-BD19-D2AF2E01962B}"/>
    <cellStyle name="Currency 5 3 3 2 2 3 2" xfId="13207" xr:uid="{A792A6D5-983B-4E76-8CB7-90C363D66B67}"/>
    <cellStyle name="Currency 5 3 3 2 2 4" xfId="4088" xr:uid="{A71F58AD-6463-402D-89BA-5BF85D08F4CF}"/>
    <cellStyle name="Currency 5 3 3 2 2 4 2" xfId="14036" xr:uid="{B12FE443-ABC6-4B9F-A86D-843508A2557B}"/>
    <cellStyle name="Currency 5 3 3 2 2 5" xfId="4917" xr:uid="{91AFD7FD-BFBA-4DA5-BF9B-14400F329817}"/>
    <cellStyle name="Currency 5 3 3 2 2 5 2" xfId="14865" xr:uid="{9F08738B-5537-4697-9BA6-DBFCF70FE96F}"/>
    <cellStyle name="Currency 5 3 3 2 2 6" xfId="5746" xr:uid="{97912C21-B81F-4C3F-8C64-773DBF26F54D}"/>
    <cellStyle name="Currency 5 3 3 2 2 6 2" xfId="15694" xr:uid="{DC7C82D8-B337-4134-A56E-27D049750E1F}"/>
    <cellStyle name="Currency 5 3 3 2 2 7" xfId="6575" xr:uid="{0132E87D-FA4F-4E39-91D6-3FB4B89446A9}"/>
    <cellStyle name="Currency 5 3 3 2 2 7 2" xfId="16523" xr:uid="{3B5C41F9-A467-4D79-8623-CE847286FA5D}"/>
    <cellStyle name="Currency 5 3 3 2 2 8" xfId="7404" xr:uid="{D9AB89A5-C3C6-4623-9F41-4AAE8AEB2D32}"/>
    <cellStyle name="Currency 5 3 3 2 2 8 2" xfId="17352" xr:uid="{1FFE91BC-0762-4E82-83D8-F3CA3C7D7D32}"/>
    <cellStyle name="Currency 5 3 3 2 2 9" xfId="8233" xr:uid="{1780C0EC-76A5-4DC8-891A-95404857DC5D}"/>
    <cellStyle name="Currency 5 3 3 2 2 9 2" xfId="18181" xr:uid="{4FAFAEC0-22E1-4463-80D8-1FF1ED264EFA}"/>
    <cellStyle name="Currency 5 3 3 2 3" xfId="2014" xr:uid="{03F4E1A6-DE4A-4546-9C5A-6A0DDB3A7696}"/>
    <cellStyle name="Currency 5 3 3 2 3 2" xfId="11962" xr:uid="{B55B9B90-F779-450E-8EC8-CF23A1150271}"/>
    <cellStyle name="Currency 5 3 3 2 4" xfId="2843" xr:uid="{5CC41035-7388-4AF4-BFF6-CA525D1665B4}"/>
    <cellStyle name="Currency 5 3 3 2 4 2" xfId="12791" xr:uid="{6185796A-7FE4-48E0-A5DD-E2AA7FEA7B80}"/>
    <cellStyle name="Currency 5 3 3 2 5" xfId="3672" xr:uid="{52FAEF07-1452-471A-BDB5-236FCE8AD59B}"/>
    <cellStyle name="Currency 5 3 3 2 5 2" xfId="13620" xr:uid="{EEE5E8A7-D84A-4586-9043-AFDFB98E15F8}"/>
    <cellStyle name="Currency 5 3 3 2 6" xfId="4501" xr:uid="{A5E175F4-AEA0-4623-B3AF-9213950CB3C3}"/>
    <cellStyle name="Currency 5 3 3 2 6 2" xfId="14449" xr:uid="{18C69EF5-435C-4CDA-8F82-5F639EA0848D}"/>
    <cellStyle name="Currency 5 3 3 2 7" xfId="5330" xr:uid="{7038C3BA-6B8A-47FB-8378-DA80C75B3D66}"/>
    <cellStyle name="Currency 5 3 3 2 7 2" xfId="15278" xr:uid="{7EA006DA-9908-49DD-A9F0-1187A6568FC3}"/>
    <cellStyle name="Currency 5 3 3 2 8" xfId="6159" xr:uid="{DC8FBEF4-FBF6-44CA-A967-B9999F6E0441}"/>
    <cellStyle name="Currency 5 3 3 2 8 2" xfId="16107" xr:uid="{0FE19E96-BE60-4FD9-9E7C-76DE7AFAF8BD}"/>
    <cellStyle name="Currency 5 3 3 2 9" xfId="6988" xr:uid="{C7A18CE5-5F91-454B-BD5B-8244036F871E}"/>
    <cellStyle name="Currency 5 3 3 2 9 2" xfId="16936" xr:uid="{310ADF6D-5C99-446B-9585-7A08B4A4DD83}"/>
    <cellStyle name="Currency 5 3 3 3" xfId="747" xr:uid="{00000000-0005-0000-0000-000082010000}"/>
    <cellStyle name="Currency 5 3 3 3 10" xfId="9061" xr:uid="{A4DFA93A-FF9D-4858-86C3-AD3A0A3DB786}"/>
    <cellStyle name="Currency 5 3 3 3 10 2" xfId="19009" xr:uid="{B39FA282-FC9D-45DC-B055-BC313BDED68C}"/>
    <cellStyle name="Currency 5 3 3 3 11" xfId="9890" xr:uid="{8EB8AFBE-57CC-47F2-9D9B-6AD843B36A8C}"/>
    <cellStyle name="Currency 5 3 3 3 11 2" xfId="19838" xr:uid="{7D7BFC66-563C-4E7E-BB3F-816B23DA70B9}"/>
    <cellStyle name="Currency 5 3 3 3 12" xfId="10719" xr:uid="{20DF6617-0CBF-49F1-AF6D-020E8599584E}"/>
    <cellStyle name="Currency 5 3 3 3 12 2" xfId="20667" xr:uid="{3936C3CA-2DA0-4AB0-84C7-C2ED6B5F4899}"/>
    <cellStyle name="Currency 5 3 3 3 13" xfId="1600" xr:uid="{55907D20-B08B-4B73-9DE3-BB4F16F3C788}"/>
    <cellStyle name="Currency 5 3 3 3 14" xfId="11548" xr:uid="{D7AC58CD-982D-49A1-8B4A-3D5D96051230}"/>
    <cellStyle name="Currency 5 3 3 3 2" xfId="2429" xr:uid="{386F58F5-1257-47B4-AC0D-0BAB3D066B96}"/>
    <cellStyle name="Currency 5 3 3 3 2 2" xfId="12377" xr:uid="{5709D075-54C8-4CDF-98D6-41A5831C770A}"/>
    <cellStyle name="Currency 5 3 3 3 3" xfId="3258" xr:uid="{EBC24932-5967-47CD-97ED-4CF9F84A1622}"/>
    <cellStyle name="Currency 5 3 3 3 3 2" xfId="13206" xr:uid="{E49115FE-5A2B-4654-A862-EA3CC8E33CCA}"/>
    <cellStyle name="Currency 5 3 3 3 4" xfId="4087" xr:uid="{96E60E4A-0743-49DD-A85B-70326D26C761}"/>
    <cellStyle name="Currency 5 3 3 3 4 2" xfId="14035" xr:uid="{D4442B68-2A5A-4C18-83AF-B41EA944F4C9}"/>
    <cellStyle name="Currency 5 3 3 3 5" xfId="4916" xr:uid="{AF3F4212-54D8-4F2A-807B-321C8EE44CAC}"/>
    <cellStyle name="Currency 5 3 3 3 5 2" xfId="14864" xr:uid="{2ED7F751-A550-40F4-A644-8518812F1A2F}"/>
    <cellStyle name="Currency 5 3 3 3 6" xfId="5745" xr:uid="{4833BEF7-0D3F-4C17-AE67-C23BF9C09D8D}"/>
    <cellStyle name="Currency 5 3 3 3 6 2" xfId="15693" xr:uid="{E8E6BE78-8C32-474D-BDC1-E071D67773BF}"/>
    <cellStyle name="Currency 5 3 3 3 7" xfId="6574" xr:uid="{861C2A01-4FA4-4D81-9809-410C17B1FCC7}"/>
    <cellStyle name="Currency 5 3 3 3 7 2" xfId="16522" xr:uid="{EB859AEC-45AC-4B4F-ADE4-4CCD17229A87}"/>
    <cellStyle name="Currency 5 3 3 3 8" xfId="7403" xr:uid="{D56A0513-7E0E-49B4-8802-B2D38701F395}"/>
    <cellStyle name="Currency 5 3 3 3 8 2" xfId="17351" xr:uid="{83FD0055-23A1-4986-990C-A4230C5DDF05}"/>
    <cellStyle name="Currency 5 3 3 3 9" xfId="8232" xr:uid="{A472FC2B-2B6D-438B-A877-B00A03F1887B}"/>
    <cellStyle name="Currency 5 3 3 3 9 2" xfId="18180" xr:uid="{C275D964-087A-4AD1-9059-B96558F4766B}"/>
    <cellStyle name="Currency 5 3 3 4" xfId="2013" xr:uid="{7CCBD6A5-B166-4CB6-8E46-3E2CB7266220}"/>
    <cellStyle name="Currency 5 3 3 4 2" xfId="11961" xr:uid="{2C25D760-D8EE-475E-8B34-5E86E9DE751F}"/>
    <cellStyle name="Currency 5 3 3 5" xfId="2842" xr:uid="{CEFF05C9-335D-4B8F-BFBF-F7AA237C404E}"/>
    <cellStyle name="Currency 5 3 3 5 2" xfId="12790" xr:uid="{D04982CC-4171-4121-A56C-2B69A806E216}"/>
    <cellStyle name="Currency 5 3 3 6" xfId="3671" xr:uid="{5FA2BFD6-06D2-4615-A60B-5A0A7AFB4C3A}"/>
    <cellStyle name="Currency 5 3 3 6 2" xfId="13619" xr:uid="{1C564B39-16EC-4EEF-9669-44BE2EFE2DF8}"/>
    <cellStyle name="Currency 5 3 3 7" xfId="4500" xr:uid="{D40C120D-4BAC-4DE1-817B-3F0ECFCD87EE}"/>
    <cellStyle name="Currency 5 3 3 7 2" xfId="14448" xr:uid="{BD20ECA1-6925-43EC-808B-38B957DF67DF}"/>
    <cellStyle name="Currency 5 3 3 8" xfId="5329" xr:uid="{084E5FEF-6B75-41A3-8A85-22ECB1E76E24}"/>
    <cellStyle name="Currency 5 3 3 8 2" xfId="15277" xr:uid="{425A36B9-77F3-4E61-9D78-B7C6A77044F6}"/>
    <cellStyle name="Currency 5 3 3 9" xfId="6158" xr:uid="{E01FB326-9311-44D3-B503-FB6B8758B760}"/>
    <cellStyle name="Currency 5 3 3 9 2" xfId="16106" xr:uid="{2B6D69F5-0736-4631-BE2A-6997359ADC8D}"/>
    <cellStyle name="Currency 5 3 4" xfId="217" xr:uid="{00000000-0005-0000-0000-000083010000}"/>
    <cellStyle name="Currency 5 3 4 10" xfId="7818" xr:uid="{3318AB47-B3DD-48A1-A7EB-996751F5A535}"/>
    <cellStyle name="Currency 5 3 4 10 2" xfId="17766" xr:uid="{2BF0300D-4310-44BC-A38A-C58A114212CD}"/>
    <cellStyle name="Currency 5 3 4 11" xfId="8647" xr:uid="{B7593162-D548-440B-A47F-B9D08731AEA4}"/>
    <cellStyle name="Currency 5 3 4 11 2" xfId="18595" xr:uid="{37E59AA8-60C5-4C05-85BC-DC3A1EAD41BA}"/>
    <cellStyle name="Currency 5 3 4 12" xfId="9476" xr:uid="{59F3DA19-D375-45B3-A74E-F79C13B42D8E}"/>
    <cellStyle name="Currency 5 3 4 12 2" xfId="19424" xr:uid="{BAFB9206-589F-44C1-AA58-CD84F5488E07}"/>
    <cellStyle name="Currency 5 3 4 13" xfId="10305" xr:uid="{2151530D-AADB-42C9-A77F-BF424B4A3A10}"/>
    <cellStyle name="Currency 5 3 4 13 2" xfId="20253" xr:uid="{D3E9CD80-69BA-476D-8C30-0346C16EF761}"/>
    <cellStyle name="Currency 5 3 4 14" xfId="1186" xr:uid="{4F212E72-DD8A-4ADA-8CC4-DDF557AF19FB}"/>
    <cellStyle name="Currency 5 3 4 15" xfId="11134" xr:uid="{5D8A1261-487C-4930-8D0F-88B85E79DE2E}"/>
    <cellStyle name="Currency 5 3 4 2" xfId="749" xr:uid="{00000000-0005-0000-0000-000084010000}"/>
    <cellStyle name="Currency 5 3 4 2 10" xfId="9063" xr:uid="{FB728E5D-9ED3-45A1-88A8-3BAF3D8A3305}"/>
    <cellStyle name="Currency 5 3 4 2 10 2" xfId="19011" xr:uid="{2081F82F-611E-4A3E-B1E8-3A1B08C855D0}"/>
    <cellStyle name="Currency 5 3 4 2 11" xfId="9892" xr:uid="{440432D6-6E07-4A34-9862-7F253FB1BE60}"/>
    <cellStyle name="Currency 5 3 4 2 11 2" xfId="19840" xr:uid="{1F7D498D-C288-4287-930D-1D09A4F414EC}"/>
    <cellStyle name="Currency 5 3 4 2 12" xfId="10721" xr:uid="{43032043-C980-467F-B823-34DD3A8D2463}"/>
    <cellStyle name="Currency 5 3 4 2 12 2" xfId="20669" xr:uid="{0C97776B-0254-4144-9E8C-3398418A9E84}"/>
    <cellStyle name="Currency 5 3 4 2 13" xfId="1602" xr:uid="{03C27633-7891-4699-8B6D-BB69D6150C07}"/>
    <cellStyle name="Currency 5 3 4 2 14" xfId="11550" xr:uid="{08300FB7-3712-4A24-8BEB-3EB9827ECF4B}"/>
    <cellStyle name="Currency 5 3 4 2 2" xfId="2431" xr:uid="{4DDB339D-C02C-4729-AEC0-4148204353FA}"/>
    <cellStyle name="Currency 5 3 4 2 2 2" xfId="12379" xr:uid="{487900CB-0EEE-4D82-8632-BBAC5F650D0A}"/>
    <cellStyle name="Currency 5 3 4 2 3" xfId="3260" xr:uid="{C6B4C639-677F-4D85-B0FC-25976175AA9C}"/>
    <cellStyle name="Currency 5 3 4 2 3 2" xfId="13208" xr:uid="{72BD272B-F1DE-467D-9FE3-00A8F97B02F6}"/>
    <cellStyle name="Currency 5 3 4 2 4" xfId="4089" xr:uid="{61EDFB62-2B33-42A7-A266-51A3BDDCA4DE}"/>
    <cellStyle name="Currency 5 3 4 2 4 2" xfId="14037" xr:uid="{14853FED-8908-4E07-AADC-11C435BABA50}"/>
    <cellStyle name="Currency 5 3 4 2 5" xfId="4918" xr:uid="{30699D53-5DE6-45E4-9F96-C490962B46E8}"/>
    <cellStyle name="Currency 5 3 4 2 5 2" xfId="14866" xr:uid="{146F9702-ECA0-4227-8780-5A88D153100B}"/>
    <cellStyle name="Currency 5 3 4 2 6" xfId="5747" xr:uid="{3F43E83F-971F-431E-97A2-4C05F73CE606}"/>
    <cellStyle name="Currency 5 3 4 2 6 2" xfId="15695" xr:uid="{6FDF823A-ABA5-49F9-B69E-9079E9D75C5A}"/>
    <cellStyle name="Currency 5 3 4 2 7" xfId="6576" xr:uid="{0DE860E1-C7C5-461A-B86D-52FD089349E2}"/>
    <cellStyle name="Currency 5 3 4 2 7 2" xfId="16524" xr:uid="{F412A03C-1B9C-4E99-A204-AD6462BDF4EA}"/>
    <cellStyle name="Currency 5 3 4 2 8" xfId="7405" xr:uid="{EDC45418-D7A6-4B7A-AD9A-B4CB3B041332}"/>
    <cellStyle name="Currency 5 3 4 2 8 2" xfId="17353" xr:uid="{45788423-79A3-4E74-AF22-B40770A90448}"/>
    <cellStyle name="Currency 5 3 4 2 9" xfId="8234" xr:uid="{66DE4416-75F8-4007-BDB0-00BDA45F1041}"/>
    <cellStyle name="Currency 5 3 4 2 9 2" xfId="18182" xr:uid="{88B170E1-2E18-4EAC-8F75-B04E1FD04B4D}"/>
    <cellStyle name="Currency 5 3 4 3" xfId="2015" xr:uid="{61E16F2F-8904-4233-9718-5CE7BBB12A8B}"/>
    <cellStyle name="Currency 5 3 4 3 2" xfId="11963" xr:uid="{770CF839-BFC3-4624-B1F7-E6C2D79A450A}"/>
    <cellStyle name="Currency 5 3 4 4" xfId="2844" xr:uid="{A72EBB6D-03D1-4694-A76A-85886ECBFCB2}"/>
    <cellStyle name="Currency 5 3 4 4 2" xfId="12792" xr:uid="{4BE6F249-CB86-4331-AE5B-CA0EF51F0C87}"/>
    <cellStyle name="Currency 5 3 4 5" xfId="3673" xr:uid="{41EA6095-9AC5-4C44-ABD8-2BD4F8ACF35F}"/>
    <cellStyle name="Currency 5 3 4 5 2" xfId="13621" xr:uid="{D04D3BA0-F712-48D1-999A-BF8D0D6F8E2B}"/>
    <cellStyle name="Currency 5 3 4 6" xfId="4502" xr:uid="{022E2549-B3A6-4172-9797-4BD17E037889}"/>
    <cellStyle name="Currency 5 3 4 6 2" xfId="14450" xr:uid="{359D18EA-AFEC-48F0-ABF0-E423499781F6}"/>
    <cellStyle name="Currency 5 3 4 7" xfId="5331" xr:uid="{C53829D4-8F38-4166-A620-ECFE83724A74}"/>
    <cellStyle name="Currency 5 3 4 7 2" xfId="15279" xr:uid="{A377137A-7D27-430E-9D2D-E8A221DE68FC}"/>
    <cellStyle name="Currency 5 3 4 8" xfId="6160" xr:uid="{BA48C768-1EC1-496F-B3BC-85955C1FAEBA}"/>
    <cellStyle name="Currency 5 3 4 8 2" xfId="16108" xr:uid="{A1A929C6-EA39-4568-B9BF-83997ED19654}"/>
    <cellStyle name="Currency 5 3 4 9" xfId="6989" xr:uid="{371C9DBC-78A0-43DC-BD54-73688386BDDA}"/>
    <cellStyle name="Currency 5 3 4 9 2" xfId="16937" xr:uid="{6959D7CD-F827-4228-9265-80E6BC9C5B7F}"/>
    <cellStyle name="Currency 5 3 5" xfId="218" xr:uid="{00000000-0005-0000-0000-000085010000}"/>
    <cellStyle name="Currency 5 3 5 10" xfId="7819" xr:uid="{E6B43A46-07DF-47DE-8F68-DFC2FC46AB15}"/>
    <cellStyle name="Currency 5 3 5 10 2" xfId="17767" xr:uid="{2A696D9E-2A4E-4865-8A26-2FA3FE691100}"/>
    <cellStyle name="Currency 5 3 5 11" xfId="8648" xr:uid="{BD77EAD8-A9CA-49EA-80D5-BB1FFD425799}"/>
    <cellStyle name="Currency 5 3 5 11 2" xfId="18596" xr:uid="{45C6E495-A5D7-4DAB-906C-E558CF4D3AD0}"/>
    <cellStyle name="Currency 5 3 5 12" xfId="9477" xr:uid="{D621FBFF-69AB-4B5B-96C6-39475E4E7351}"/>
    <cellStyle name="Currency 5 3 5 12 2" xfId="19425" xr:uid="{89BBC6EA-9D28-41B4-9DEA-9A8D9489F187}"/>
    <cellStyle name="Currency 5 3 5 13" xfId="10306" xr:uid="{F54B9E6E-6C39-45DB-A641-90AE526014EC}"/>
    <cellStyle name="Currency 5 3 5 13 2" xfId="20254" xr:uid="{3313FE3D-8962-4B93-885E-857A965176BD}"/>
    <cellStyle name="Currency 5 3 5 14" xfId="1187" xr:uid="{6E58BFE6-1AFA-4499-BA0D-D4D36FACC0FE}"/>
    <cellStyle name="Currency 5 3 5 15" xfId="11135" xr:uid="{1A96A128-15CA-4842-BEBB-4C8D9C65CAFF}"/>
    <cellStyle name="Currency 5 3 5 2" xfId="750" xr:uid="{00000000-0005-0000-0000-000086010000}"/>
    <cellStyle name="Currency 5 3 5 2 10" xfId="9064" xr:uid="{F712817E-44E6-4D88-882F-16E495E89CF9}"/>
    <cellStyle name="Currency 5 3 5 2 10 2" xfId="19012" xr:uid="{781B0B03-2F28-4EFE-913D-6031E4CD3B8C}"/>
    <cellStyle name="Currency 5 3 5 2 11" xfId="9893" xr:uid="{F88A57DD-5599-4209-885A-0B31B7F101D2}"/>
    <cellStyle name="Currency 5 3 5 2 11 2" xfId="19841" xr:uid="{E921EEE9-9348-43FC-B994-E03D16218FD1}"/>
    <cellStyle name="Currency 5 3 5 2 12" xfId="10722" xr:uid="{38218D1F-E596-419A-A414-7C936ECAA68E}"/>
    <cellStyle name="Currency 5 3 5 2 12 2" xfId="20670" xr:uid="{8758B3B6-0FCE-4CBE-88E5-45E226056B7F}"/>
    <cellStyle name="Currency 5 3 5 2 13" xfId="1603" xr:uid="{16FF584A-9723-4F08-BBF4-1A9E2DAD8294}"/>
    <cellStyle name="Currency 5 3 5 2 14" xfId="11551" xr:uid="{4606CD1F-96E1-47CB-B3BD-18A508814124}"/>
    <cellStyle name="Currency 5 3 5 2 2" xfId="2432" xr:uid="{79D94BA8-EBF0-4BD8-B43D-C5D5A7C0FB29}"/>
    <cellStyle name="Currency 5 3 5 2 2 2" xfId="12380" xr:uid="{D96AFFAE-5A5F-4646-9EA4-ED6181E58792}"/>
    <cellStyle name="Currency 5 3 5 2 3" xfId="3261" xr:uid="{54BE9C9B-AF9A-4E0D-AF2B-3768526D1400}"/>
    <cellStyle name="Currency 5 3 5 2 3 2" xfId="13209" xr:uid="{1BB64371-3185-47E3-8331-B0B0B1AF5C73}"/>
    <cellStyle name="Currency 5 3 5 2 4" xfId="4090" xr:uid="{358D5D7B-7BDB-4E6A-B23B-EA29BA24961E}"/>
    <cellStyle name="Currency 5 3 5 2 4 2" xfId="14038" xr:uid="{A56CCD44-744F-48B4-AE20-56779EDB65C7}"/>
    <cellStyle name="Currency 5 3 5 2 5" xfId="4919" xr:uid="{E0AC3C17-32C0-40C3-A90A-5283491CFF73}"/>
    <cellStyle name="Currency 5 3 5 2 5 2" xfId="14867" xr:uid="{DEC72E27-156F-48A7-907F-0DC06CCA2A6C}"/>
    <cellStyle name="Currency 5 3 5 2 6" xfId="5748" xr:uid="{E0F4E50D-6917-424E-A8AA-E66079946678}"/>
    <cellStyle name="Currency 5 3 5 2 6 2" xfId="15696" xr:uid="{9FA1651A-9E37-4096-97AE-82BC60BE6647}"/>
    <cellStyle name="Currency 5 3 5 2 7" xfId="6577" xr:uid="{198AE89A-E433-49F0-852E-8BB35C601EE8}"/>
    <cellStyle name="Currency 5 3 5 2 7 2" xfId="16525" xr:uid="{B3864E17-AE66-434C-A102-31DB7AE2B483}"/>
    <cellStyle name="Currency 5 3 5 2 8" xfId="7406" xr:uid="{8C0A618B-617C-46F6-85B9-4A0D4EEB6183}"/>
    <cellStyle name="Currency 5 3 5 2 8 2" xfId="17354" xr:uid="{DC0BD446-69F9-40C9-9E71-57134D7FD74A}"/>
    <cellStyle name="Currency 5 3 5 2 9" xfId="8235" xr:uid="{05A62B36-8830-416F-92C5-E309CCD48A59}"/>
    <cellStyle name="Currency 5 3 5 2 9 2" xfId="18183" xr:uid="{D8610CFC-DADC-486F-A7C5-C269BB8033AD}"/>
    <cellStyle name="Currency 5 3 5 3" xfId="2016" xr:uid="{3C679726-5CD2-47D2-8575-18107DFD57EC}"/>
    <cellStyle name="Currency 5 3 5 3 2" xfId="11964" xr:uid="{C3AA2507-B2AA-417D-9233-95955F2F8AAB}"/>
    <cellStyle name="Currency 5 3 5 4" xfId="2845" xr:uid="{FC768511-6F3A-4274-B112-CB1AA61AB6F3}"/>
    <cellStyle name="Currency 5 3 5 4 2" xfId="12793" xr:uid="{B0718BCD-6462-42FD-AD34-5D22C99B364A}"/>
    <cellStyle name="Currency 5 3 5 5" xfId="3674" xr:uid="{37D4FF7D-1707-488C-99A6-7048A69F48FC}"/>
    <cellStyle name="Currency 5 3 5 5 2" xfId="13622" xr:uid="{4A530B82-ADD2-4290-B700-E6EFBFE4D27B}"/>
    <cellStyle name="Currency 5 3 5 6" xfId="4503" xr:uid="{9D40BF49-AE58-419E-B75D-39430EF2A81F}"/>
    <cellStyle name="Currency 5 3 5 6 2" xfId="14451" xr:uid="{6001DB7B-0D02-40E5-AC2A-6FF42776BC2C}"/>
    <cellStyle name="Currency 5 3 5 7" xfId="5332" xr:uid="{51CD4F93-542C-45B8-93D1-65C991551D1D}"/>
    <cellStyle name="Currency 5 3 5 7 2" xfId="15280" xr:uid="{E7406E6A-078E-48DE-8E82-8256067C2E84}"/>
    <cellStyle name="Currency 5 3 5 8" xfId="6161" xr:uid="{53F8FCE8-5B06-463C-983B-83E2700C862B}"/>
    <cellStyle name="Currency 5 3 5 8 2" xfId="16109" xr:uid="{016DE704-9009-4581-9F4C-2898B3DAF92C}"/>
    <cellStyle name="Currency 5 3 5 9" xfId="6990" xr:uid="{DCC86FB4-C6AF-4365-8B34-F8B03D19D3B5}"/>
    <cellStyle name="Currency 5 3 5 9 2" xfId="16938" xr:uid="{51279255-F6B5-4ADA-975B-AE610BAA6809}"/>
    <cellStyle name="Currency 5 4" xfId="219" xr:uid="{00000000-0005-0000-0000-000087010000}"/>
    <cellStyle name="Currency 5 4 2" xfId="751" xr:uid="{00000000-0005-0000-0000-000088010000}"/>
    <cellStyle name="Currency 5 5" xfId="220" xr:uid="{00000000-0005-0000-0000-000089010000}"/>
    <cellStyle name="Currency 5 5 10" xfId="6991" xr:uid="{F5696CE5-C00E-428C-981F-932468E2FF3F}"/>
    <cellStyle name="Currency 5 5 10 2" xfId="16939" xr:uid="{7729F8AF-802B-4203-B928-DECA2D1255DD}"/>
    <cellStyle name="Currency 5 5 11" xfId="7820" xr:uid="{45E7812C-B291-4C93-A51E-4C3EDE951B62}"/>
    <cellStyle name="Currency 5 5 11 2" xfId="17768" xr:uid="{0ED3DE6B-C0DB-413D-B389-B79DC1A9C380}"/>
    <cellStyle name="Currency 5 5 12" xfId="8649" xr:uid="{DE16F5BE-F26F-4305-9449-645457F397FC}"/>
    <cellStyle name="Currency 5 5 12 2" xfId="18597" xr:uid="{399E7680-9DDD-460A-8F21-9501DD88A46D}"/>
    <cellStyle name="Currency 5 5 13" xfId="9478" xr:uid="{D91BE4D9-D0FE-4A37-9EC0-51808D2903D4}"/>
    <cellStyle name="Currency 5 5 13 2" xfId="19426" xr:uid="{D67CE5A7-E3AC-4957-BA60-59DE73FDB025}"/>
    <cellStyle name="Currency 5 5 14" xfId="10307" xr:uid="{27D80B13-8F68-4932-9651-29465A4AF62C}"/>
    <cellStyle name="Currency 5 5 14 2" xfId="20255" xr:uid="{188111BB-EEE3-4E2E-B68C-C324FC85B849}"/>
    <cellStyle name="Currency 5 5 15" xfId="1188" xr:uid="{3AF219E6-D31A-4239-B797-98E6501F17BB}"/>
    <cellStyle name="Currency 5 5 16" xfId="11136" xr:uid="{763FEA5D-A15C-46FA-B4DE-C5F8FB822EEF}"/>
    <cellStyle name="Currency 5 5 2" xfId="221" xr:uid="{00000000-0005-0000-0000-00008A010000}"/>
    <cellStyle name="Currency 5 5 2 10" xfId="7821" xr:uid="{5FB469E6-88BD-4CFF-9AE9-021E2F98866A}"/>
    <cellStyle name="Currency 5 5 2 10 2" xfId="17769" xr:uid="{5923DC07-F426-4A2C-BC1C-503A1E7BB24F}"/>
    <cellStyle name="Currency 5 5 2 11" xfId="8650" xr:uid="{9D929904-3B61-44E3-BC72-F8E0B38CFD68}"/>
    <cellStyle name="Currency 5 5 2 11 2" xfId="18598" xr:uid="{5939792A-188C-4DCD-AEF1-A64D2680E099}"/>
    <cellStyle name="Currency 5 5 2 12" xfId="9479" xr:uid="{59BB425F-BC9D-4A5F-AE85-31B386D0CDFC}"/>
    <cellStyle name="Currency 5 5 2 12 2" xfId="19427" xr:uid="{2B5FFE01-DAC1-4FD6-BBC7-EA1726DD6322}"/>
    <cellStyle name="Currency 5 5 2 13" xfId="10308" xr:uid="{C65FC712-2714-4E40-A62D-D4F6650BFCC8}"/>
    <cellStyle name="Currency 5 5 2 13 2" xfId="20256" xr:uid="{38860020-5065-4EDD-92D7-8DB23CE1E579}"/>
    <cellStyle name="Currency 5 5 2 14" xfId="1189" xr:uid="{A2DED7EE-8F23-47F8-A32D-49D7F14A2008}"/>
    <cellStyle name="Currency 5 5 2 15" xfId="11137" xr:uid="{88DD4812-2009-4756-A5D2-17CF4BC3FC28}"/>
    <cellStyle name="Currency 5 5 2 2" xfId="753" xr:uid="{00000000-0005-0000-0000-00008B010000}"/>
    <cellStyle name="Currency 5 5 2 2 10" xfId="9066" xr:uid="{31F7AFC0-FC8E-4EB0-BF4E-623F557321DC}"/>
    <cellStyle name="Currency 5 5 2 2 10 2" xfId="19014" xr:uid="{FD2FAD05-9B02-427F-AF4F-4E2B02CF0E6E}"/>
    <cellStyle name="Currency 5 5 2 2 11" xfId="9895" xr:uid="{70D02735-62CB-4272-AD30-C79A7599619C}"/>
    <cellStyle name="Currency 5 5 2 2 11 2" xfId="19843" xr:uid="{D1B488D2-168D-41B9-8005-DEB9C4943061}"/>
    <cellStyle name="Currency 5 5 2 2 12" xfId="10724" xr:uid="{A82DFFB2-E9E5-4DB5-9AA7-633F47B918A9}"/>
    <cellStyle name="Currency 5 5 2 2 12 2" xfId="20672" xr:uid="{A473C65E-9220-46D9-815A-1F144A5088D3}"/>
    <cellStyle name="Currency 5 5 2 2 13" xfId="1605" xr:uid="{FAF3FFCB-E5B0-4F44-92BB-921830872A12}"/>
    <cellStyle name="Currency 5 5 2 2 14" xfId="11553" xr:uid="{15A68373-84D0-44EB-A721-E87327EFC82E}"/>
    <cellStyle name="Currency 5 5 2 2 2" xfId="2434" xr:uid="{49D093A7-FF85-49C1-8F7C-3A2880C515E1}"/>
    <cellStyle name="Currency 5 5 2 2 2 2" xfId="12382" xr:uid="{1A9304B3-05DF-4AB1-AE9B-DE32576F7B16}"/>
    <cellStyle name="Currency 5 5 2 2 3" xfId="3263" xr:uid="{2CAF79A4-6CDB-41B4-B9E8-C7736AFA27C5}"/>
    <cellStyle name="Currency 5 5 2 2 3 2" xfId="13211" xr:uid="{E1B9C8A8-75F2-42E7-BA41-9F61DB531086}"/>
    <cellStyle name="Currency 5 5 2 2 4" xfId="4092" xr:uid="{60148B08-5CAC-419D-8F5F-466666637C5E}"/>
    <cellStyle name="Currency 5 5 2 2 4 2" xfId="14040" xr:uid="{B843511B-F6F1-4C2F-B772-E6451942C0CD}"/>
    <cellStyle name="Currency 5 5 2 2 5" xfId="4921" xr:uid="{32459CEF-3F5B-4BCA-A18F-3FDE74813F9D}"/>
    <cellStyle name="Currency 5 5 2 2 5 2" xfId="14869" xr:uid="{0AC2016B-9031-4798-82AC-57015D633330}"/>
    <cellStyle name="Currency 5 5 2 2 6" xfId="5750" xr:uid="{B2DD2895-F29E-455C-A7E1-842ACB6889F3}"/>
    <cellStyle name="Currency 5 5 2 2 6 2" xfId="15698" xr:uid="{16019077-10F0-49EE-B5E7-42568ED6103B}"/>
    <cellStyle name="Currency 5 5 2 2 7" xfId="6579" xr:uid="{846B3C5B-D422-498F-AC8B-E2A6E2E8DD53}"/>
    <cellStyle name="Currency 5 5 2 2 7 2" xfId="16527" xr:uid="{05E45FE5-A907-4F29-9940-4E8064E78F7D}"/>
    <cellStyle name="Currency 5 5 2 2 8" xfId="7408" xr:uid="{7440FC78-ACB4-4F14-934D-96C5FB936271}"/>
    <cellStyle name="Currency 5 5 2 2 8 2" xfId="17356" xr:uid="{168AB3F0-5242-46B4-9F7D-D0EC077D2F72}"/>
    <cellStyle name="Currency 5 5 2 2 9" xfId="8237" xr:uid="{996C6AEC-658D-4B73-A734-15EB8977F3D0}"/>
    <cellStyle name="Currency 5 5 2 2 9 2" xfId="18185" xr:uid="{BE664A08-6E39-4FF5-8F0E-EE6F64EAA37B}"/>
    <cellStyle name="Currency 5 5 2 3" xfId="2018" xr:uid="{51327C8B-5AD3-4515-B652-B5C6F00DBC81}"/>
    <cellStyle name="Currency 5 5 2 3 2" xfId="11966" xr:uid="{C42EA622-69B8-4A77-A258-C39B9EF648CB}"/>
    <cellStyle name="Currency 5 5 2 4" xfId="2847" xr:uid="{846DE92B-07E1-48D5-8264-6EF6229B5294}"/>
    <cellStyle name="Currency 5 5 2 4 2" xfId="12795" xr:uid="{B76FD3C6-926C-45F6-8F35-1E5F017066EB}"/>
    <cellStyle name="Currency 5 5 2 5" xfId="3676" xr:uid="{414E7B44-8967-4B1C-B955-5E9ECCCF04D3}"/>
    <cellStyle name="Currency 5 5 2 5 2" xfId="13624" xr:uid="{BE0171A3-C179-456C-9C22-022694106598}"/>
    <cellStyle name="Currency 5 5 2 6" xfId="4505" xr:uid="{7DEF5713-D789-403C-84C4-A5035ACEF793}"/>
    <cellStyle name="Currency 5 5 2 6 2" xfId="14453" xr:uid="{7EBFCD65-3BFE-4EA2-9832-4B6F2563B901}"/>
    <cellStyle name="Currency 5 5 2 7" xfId="5334" xr:uid="{D02373E5-0E18-41C7-9F95-B79001C8E478}"/>
    <cellStyle name="Currency 5 5 2 7 2" xfId="15282" xr:uid="{C165DAD3-97C2-446E-8641-40FC5A4DF52F}"/>
    <cellStyle name="Currency 5 5 2 8" xfId="6163" xr:uid="{440B3509-61A3-4035-B813-D2DA9AAFB44D}"/>
    <cellStyle name="Currency 5 5 2 8 2" xfId="16111" xr:uid="{B32CC303-68DF-4E4A-811F-C6ACB1E336EE}"/>
    <cellStyle name="Currency 5 5 2 9" xfId="6992" xr:uid="{4C622E70-91F5-4C93-820D-ECE6C84314C8}"/>
    <cellStyle name="Currency 5 5 2 9 2" xfId="16940" xr:uid="{C5FC4F75-E926-4934-9D1A-455B066577FC}"/>
    <cellStyle name="Currency 5 5 3" xfId="752" xr:uid="{00000000-0005-0000-0000-00008C010000}"/>
    <cellStyle name="Currency 5 5 3 10" xfId="9065" xr:uid="{BD9E262D-D935-46A2-9C89-1F693FD11DBA}"/>
    <cellStyle name="Currency 5 5 3 10 2" xfId="19013" xr:uid="{76C17ECA-AD2A-4C12-88E2-26FF5B403EA1}"/>
    <cellStyle name="Currency 5 5 3 11" xfId="9894" xr:uid="{CF6BAE11-289C-4910-83C8-525DDC70EA9B}"/>
    <cellStyle name="Currency 5 5 3 11 2" xfId="19842" xr:uid="{B44D3F01-1D1A-4372-BD11-553E3A2A12A2}"/>
    <cellStyle name="Currency 5 5 3 12" xfId="10723" xr:uid="{C3892C9E-15FB-4CE3-85EE-6DF5C1054D1D}"/>
    <cellStyle name="Currency 5 5 3 12 2" xfId="20671" xr:uid="{017A65AB-B2FF-4E28-B5F3-23F487E192EE}"/>
    <cellStyle name="Currency 5 5 3 13" xfId="1604" xr:uid="{F4D74411-8702-4D00-A263-31B36DB090BC}"/>
    <cellStyle name="Currency 5 5 3 14" xfId="11552" xr:uid="{E6E08C26-FA6E-4B05-BE27-31BCD8DD81D0}"/>
    <cellStyle name="Currency 5 5 3 2" xfId="2433" xr:uid="{4527405A-2264-4695-8427-7FB23B510A5E}"/>
    <cellStyle name="Currency 5 5 3 2 2" xfId="12381" xr:uid="{DFCEDC93-E343-4CE8-ADFF-696024E3D085}"/>
    <cellStyle name="Currency 5 5 3 3" xfId="3262" xr:uid="{6CD288C1-D124-413D-A7D3-AF09534E2940}"/>
    <cellStyle name="Currency 5 5 3 3 2" xfId="13210" xr:uid="{D1BAEBA5-A5DE-4160-AA12-4E4160C3C349}"/>
    <cellStyle name="Currency 5 5 3 4" xfId="4091" xr:uid="{85DD9346-21BF-4A9D-B833-DD89D37A17FD}"/>
    <cellStyle name="Currency 5 5 3 4 2" xfId="14039" xr:uid="{E28594FF-72F0-4216-A6E5-7960C7FDE35A}"/>
    <cellStyle name="Currency 5 5 3 5" xfId="4920" xr:uid="{3E3B3EAC-D626-4097-A586-423022C3ACFE}"/>
    <cellStyle name="Currency 5 5 3 5 2" xfId="14868" xr:uid="{14ACF703-6DE5-4E35-8602-1FFB83000621}"/>
    <cellStyle name="Currency 5 5 3 6" xfId="5749" xr:uid="{94D36633-1AAA-439D-847C-E4166351E13E}"/>
    <cellStyle name="Currency 5 5 3 6 2" xfId="15697" xr:uid="{077EFC4E-7DCC-4E5F-A9B6-91608F51DAE7}"/>
    <cellStyle name="Currency 5 5 3 7" xfId="6578" xr:uid="{05D1BEBB-0944-488B-B73C-F1D29028A76F}"/>
    <cellStyle name="Currency 5 5 3 7 2" xfId="16526" xr:uid="{D93B59A2-9FE9-4467-97CC-232C6A685F59}"/>
    <cellStyle name="Currency 5 5 3 8" xfId="7407" xr:uid="{4D795BD1-9AA4-4A27-BFCF-A0444025900D}"/>
    <cellStyle name="Currency 5 5 3 8 2" xfId="17355" xr:uid="{329EF892-0F2D-4A38-BAB5-34DB62D98672}"/>
    <cellStyle name="Currency 5 5 3 9" xfId="8236" xr:uid="{ECCA0058-E8DE-418D-907F-8F347943E682}"/>
    <cellStyle name="Currency 5 5 3 9 2" xfId="18184" xr:uid="{29E81292-BB74-4FFB-9807-EBC8BE0EACF9}"/>
    <cellStyle name="Currency 5 5 4" xfId="2017" xr:uid="{2FF4FC67-BD58-417E-80F2-04C755EA1052}"/>
    <cellStyle name="Currency 5 5 4 2" xfId="11965" xr:uid="{2D58E092-09F7-4A89-AAF3-43F3D22E146B}"/>
    <cellStyle name="Currency 5 5 5" xfId="2846" xr:uid="{2E19D58A-D117-4906-9381-19F665F8C77F}"/>
    <cellStyle name="Currency 5 5 5 2" xfId="12794" xr:uid="{84A8BE26-2E78-4F61-A678-1E103BFE7162}"/>
    <cellStyle name="Currency 5 5 6" xfId="3675" xr:uid="{139B5C77-2254-49F1-8A2B-05D88D28FC08}"/>
    <cellStyle name="Currency 5 5 6 2" xfId="13623" xr:uid="{B6FA2ADB-3147-4C8E-81EE-D1470C9CFD17}"/>
    <cellStyle name="Currency 5 5 7" xfId="4504" xr:uid="{B9E974A2-D7EB-407F-87BC-A5B2696BF958}"/>
    <cellStyle name="Currency 5 5 7 2" xfId="14452" xr:uid="{CD738871-FC4E-49F0-ACE7-DAECF4355A32}"/>
    <cellStyle name="Currency 5 5 8" xfId="5333" xr:uid="{63565E65-BAE0-4422-95B2-E13EA0A0EDF4}"/>
    <cellStyle name="Currency 5 5 8 2" xfId="15281" xr:uid="{DDE659CC-DD2B-481B-A642-910A01883C86}"/>
    <cellStyle name="Currency 5 5 9" xfId="6162" xr:uid="{3883727C-3519-4993-AA70-9223B78FE592}"/>
    <cellStyle name="Currency 5 5 9 2" xfId="16110" xr:uid="{E2B8B65F-3A25-4852-A1CD-CECF42E47158}"/>
    <cellStyle name="Currency 5 6" xfId="222" xr:uid="{00000000-0005-0000-0000-00008D010000}"/>
    <cellStyle name="Currency 5 6 10" xfId="7822" xr:uid="{00A32CEA-3892-4347-90E6-004603A99E19}"/>
    <cellStyle name="Currency 5 6 10 2" xfId="17770" xr:uid="{B9C17117-A82C-4610-B995-FE1F7EF8A98B}"/>
    <cellStyle name="Currency 5 6 11" xfId="8651" xr:uid="{3C66D6B4-4CA9-4CAA-AC74-0F6AB39F9E17}"/>
    <cellStyle name="Currency 5 6 11 2" xfId="18599" xr:uid="{367BC670-8794-45E9-9F8A-D352274C64AC}"/>
    <cellStyle name="Currency 5 6 12" xfId="9480" xr:uid="{CBB31012-7AEA-466F-91DA-663BDEC9AA5D}"/>
    <cellStyle name="Currency 5 6 12 2" xfId="19428" xr:uid="{BDCC3693-B1F3-4392-AB16-2EB2F7B914BA}"/>
    <cellStyle name="Currency 5 6 13" xfId="10309" xr:uid="{203B7CC8-A0B8-4813-B4DA-E8EC98FE967A}"/>
    <cellStyle name="Currency 5 6 13 2" xfId="20257" xr:uid="{6B592C5B-4717-4F33-B343-E139DDFA161C}"/>
    <cellStyle name="Currency 5 6 14" xfId="1190" xr:uid="{B1C2EB2B-685E-4D63-888E-BAE40BDE33D9}"/>
    <cellStyle name="Currency 5 6 15" xfId="11138" xr:uid="{44110A1F-8B17-45AE-842D-6E7F5F4202FB}"/>
    <cellStyle name="Currency 5 6 2" xfId="754" xr:uid="{00000000-0005-0000-0000-00008E010000}"/>
    <cellStyle name="Currency 5 6 2 10" xfId="9067" xr:uid="{01302FC3-0624-429D-8145-DE6380BCBBF3}"/>
    <cellStyle name="Currency 5 6 2 10 2" xfId="19015" xr:uid="{7E4BBB6B-4B86-4F29-97CD-71B95A56DDA7}"/>
    <cellStyle name="Currency 5 6 2 11" xfId="9896" xr:uid="{423CF2FE-8B46-4960-8902-7B63F4365FD8}"/>
    <cellStyle name="Currency 5 6 2 11 2" xfId="19844" xr:uid="{864C4701-DB7C-4A0F-8415-FB34C5D3DFEA}"/>
    <cellStyle name="Currency 5 6 2 12" xfId="10725" xr:uid="{66AC3965-A552-4821-AF78-BB8CC9EA68A2}"/>
    <cellStyle name="Currency 5 6 2 12 2" xfId="20673" xr:uid="{B177AA4A-DA6D-47BE-8075-1BEB3D899CBE}"/>
    <cellStyle name="Currency 5 6 2 13" xfId="1606" xr:uid="{0A715058-9F36-4850-8A29-779A85E4FAA4}"/>
    <cellStyle name="Currency 5 6 2 14" xfId="11554" xr:uid="{E313F707-6CD9-4361-832C-AC7B24A11A7C}"/>
    <cellStyle name="Currency 5 6 2 2" xfId="2435" xr:uid="{09875405-0BA4-4AE2-A472-2E86C7F0FFAF}"/>
    <cellStyle name="Currency 5 6 2 2 2" xfId="12383" xr:uid="{641F2CD7-EAD0-4FAC-B10A-E5ECCF01C403}"/>
    <cellStyle name="Currency 5 6 2 3" xfId="3264" xr:uid="{4BAA1925-E87F-4153-932D-BBCE3F615263}"/>
    <cellStyle name="Currency 5 6 2 3 2" xfId="13212" xr:uid="{7F865891-46F4-407E-9FA0-14A2925F0454}"/>
    <cellStyle name="Currency 5 6 2 4" xfId="4093" xr:uid="{4622ABB0-BAD7-4D81-BF50-986AFEB5504D}"/>
    <cellStyle name="Currency 5 6 2 4 2" xfId="14041" xr:uid="{A7FA840E-6275-448E-9E8B-E82F1EBF1032}"/>
    <cellStyle name="Currency 5 6 2 5" xfId="4922" xr:uid="{8B3C7205-04C3-41FD-9F4B-241680A72B2A}"/>
    <cellStyle name="Currency 5 6 2 5 2" xfId="14870" xr:uid="{E2259200-D380-4CAE-86AB-8E626B2F072E}"/>
    <cellStyle name="Currency 5 6 2 6" xfId="5751" xr:uid="{653D0EC2-D637-4787-9DE0-3BE0EED4D31B}"/>
    <cellStyle name="Currency 5 6 2 6 2" xfId="15699" xr:uid="{9CA72000-D413-447F-9C1A-1E0A1C19D347}"/>
    <cellStyle name="Currency 5 6 2 7" xfId="6580" xr:uid="{17E19A7B-6672-4A6C-91DB-EF09A798F347}"/>
    <cellStyle name="Currency 5 6 2 7 2" xfId="16528" xr:uid="{DF32F9F9-4E4E-4B22-B7FF-55D3CD750FF2}"/>
    <cellStyle name="Currency 5 6 2 8" xfId="7409" xr:uid="{84B8E7AB-A244-42AD-9D41-2435880B0632}"/>
    <cellStyle name="Currency 5 6 2 8 2" xfId="17357" xr:uid="{CFAA0F3D-14E1-4FFA-BCF2-61FA7B972B35}"/>
    <cellStyle name="Currency 5 6 2 9" xfId="8238" xr:uid="{698ACC9D-0F47-43EC-87BF-217279DA856D}"/>
    <cellStyle name="Currency 5 6 2 9 2" xfId="18186" xr:uid="{02AF8D7A-241D-42B1-A8A2-CB7253C3A048}"/>
    <cellStyle name="Currency 5 6 3" xfId="2019" xr:uid="{26B16302-6C59-4C60-ADE0-703C4F7683B5}"/>
    <cellStyle name="Currency 5 6 3 2" xfId="11967" xr:uid="{CBDC0648-FB12-4F6F-8D7D-0C55E58DC2C5}"/>
    <cellStyle name="Currency 5 6 4" xfId="2848" xr:uid="{C4B0CD2C-0811-4AF3-9C2F-BF6C803533A3}"/>
    <cellStyle name="Currency 5 6 4 2" xfId="12796" xr:uid="{EEF34FF5-1555-4905-89DB-FEF597A07E0F}"/>
    <cellStyle name="Currency 5 6 5" xfId="3677" xr:uid="{90DB96D8-50E5-4DC5-B636-E40C32CC5755}"/>
    <cellStyle name="Currency 5 6 5 2" xfId="13625" xr:uid="{B9371B55-8675-43BF-A6AA-D02E4B18F28B}"/>
    <cellStyle name="Currency 5 6 6" xfId="4506" xr:uid="{F3ADD03E-7280-4340-BB16-FBA84FC77BEB}"/>
    <cellStyle name="Currency 5 6 6 2" xfId="14454" xr:uid="{D10FA566-069B-4749-A51D-0619EAE1650E}"/>
    <cellStyle name="Currency 5 6 7" xfId="5335" xr:uid="{BA5BD724-F27D-4D1D-9F5E-AEBFFEFFBA22}"/>
    <cellStyle name="Currency 5 6 7 2" xfId="15283" xr:uid="{9FCF6CD4-4DB0-4A8B-90FC-D35FA0425210}"/>
    <cellStyle name="Currency 5 6 8" xfId="6164" xr:uid="{F8DC80F4-1404-4B73-91A1-363BE3E51FE9}"/>
    <cellStyle name="Currency 5 6 8 2" xfId="16112" xr:uid="{806F42E7-7726-4951-B58E-DCE8EC34A17F}"/>
    <cellStyle name="Currency 5 6 9" xfId="6993" xr:uid="{FA67CD9E-4D88-4EF5-8C2D-37A0A18DC099}"/>
    <cellStyle name="Currency 5 6 9 2" xfId="16941" xr:uid="{F80F2E7A-4ACD-4A57-9323-B98FF35D2B0C}"/>
    <cellStyle name="Currency 5 7" xfId="223" xr:uid="{00000000-0005-0000-0000-00008F010000}"/>
    <cellStyle name="Currency 5 7 10" xfId="7823" xr:uid="{9146AD96-02A1-455F-94F0-DD49B9401CE6}"/>
    <cellStyle name="Currency 5 7 10 2" xfId="17771" xr:uid="{F0FA4648-3574-46AA-A452-ED42CC3E5BA8}"/>
    <cellStyle name="Currency 5 7 11" xfId="8652" xr:uid="{BB50A579-74A8-4F90-B1FC-68CEB3896653}"/>
    <cellStyle name="Currency 5 7 11 2" xfId="18600" xr:uid="{2C9F6605-6B33-43F1-82EE-FE0ABC2C6A55}"/>
    <cellStyle name="Currency 5 7 12" xfId="9481" xr:uid="{DAF0E3FC-3471-4C2F-BFA5-8700332618C1}"/>
    <cellStyle name="Currency 5 7 12 2" xfId="19429" xr:uid="{65ACA7D4-26E4-4D89-AA45-2451CC1D2866}"/>
    <cellStyle name="Currency 5 7 13" xfId="10310" xr:uid="{9EA2BDB8-7E0C-4F86-AFA7-7DF3AC0F7720}"/>
    <cellStyle name="Currency 5 7 13 2" xfId="20258" xr:uid="{9715897E-5E7C-47CA-AFCE-9B414644F668}"/>
    <cellStyle name="Currency 5 7 14" xfId="1191" xr:uid="{235E7BE2-74B8-49C5-9F0F-2A69A2F8FCA6}"/>
    <cellStyle name="Currency 5 7 15" xfId="11139" xr:uid="{8660BCD7-F673-49EF-A9F0-9AE53F1AFAF2}"/>
    <cellStyle name="Currency 5 7 2" xfId="755" xr:uid="{00000000-0005-0000-0000-000090010000}"/>
    <cellStyle name="Currency 5 7 2 10" xfId="9068" xr:uid="{5AA653B8-8337-4E35-9CF3-751DA4F3EA5C}"/>
    <cellStyle name="Currency 5 7 2 10 2" xfId="19016" xr:uid="{BC7DF85F-D686-40FA-822A-64DBC0BF41B0}"/>
    <cellStyle name="Currency 5 7 2 11" xfId="9897" xr:uid="{0F608F41-5416-452E-92D9-5481EA74CDFB}"/>
    <cellStyle name="Currency 5 7 2 11 2" xfId="19845" xr:uid="{EEE27C32-F362-4AA5-A263-88D6BED00700}"/>
    <cellStyle name="Currency 5 7 2 12" xfId="10726" xr:uid="{FA85A7A0-6F82-4288-AAE1-68C8D4CAD712}"/>
    <cellStyle name="Currency 5 7 2 12 2" xfId="20674" xr:uid="{AC6558F1-C5B7-434D-BC59-DDD448462B5E}"/>
    <cellStyle name="Currency 5 7 2 13" xfId="1607" xr:uid="{AE2DC24D-D294-4B7F-964C-76C47AFD5136}"/>
    <cellStyle name="Currency 5 7 2 14" xfId="11555" xr:uid="{159D5687-BEB5-43F1-9CE1-90B6BEC74A97}"/>
    <cellStyle name="Currency 5 7 2 2" xfId="2436" xr:uid="{1121BEB5-925B-4631-910C-2CAB7A6D1FC3}"/>
    <cellStyle name="Currency 5 7 2 2 2" xfId="12384" xr:uid="{65C461EE-30A5-41E4-9743-0657DAD83C58}"/>
    <cellStyle name="Currency 5 7 2 3" xfId="3265" xr:uid="{66010CC7-16C8-4BEA-879D-EB3E6087A082}"/>
    <cellStyle name="Currency 5 7 2 3 2" xfId="13213" xr:uid="{AD03795F-7014-428C-B1D9-FC316A505B67}"/>
    <cellStyle name="Currency 5 7 2 4" xfId="4094" xr:uid="{C8ED9180-D1BD-4D13-A8D5-48B20C211E12}"/>
    <cellStyle name="Currency 5 7 2 4 2" xfId="14042" xr:uid="{72B670D3-856B-40B6-B5BD-47609280AF12}"/>
    <cellStyle name="Currency 5 7 2 5" xfId="4923" xr:uid="{7D28C9F8-DACE-47C0-8DDC-C2E954C08099}"/>
    <cellStyle name="Currency 5 7 2 5 2" xfId="14871" xr:uid="{4556B51E-F40F-497E-B6BF-74EF46496A81}"/>
    <cellStyle name="Currency 5 7 2 6" xfId="5752" xr:uid="{A9343B34-E89B-4870-A780-46712EC312E3}"/>
    <cellStyle name="Currency 5 7 2 6 2" xfId="15700" xr:uid="{62B011EC-6C60-4219-8382-F368EF8390CF}"/>
    <cellStyle name="Currency 5 7 2 7" xfId="6581" xr:uid="{6A716A4D-BB0A-4933-BDEE-9A203F4DDCCA}"/>
    <cellStyle name="Currency 5 7 2 7 2" xfId="16529" xr:uid="{1F38CE41-A443-4DB3-89BA-0B870C0108B7}"/>
    <cellStyle name="Currency 5 7 2 8" xfId="7410" xr:uid="{A3C3ED42-0C64-4769-910F-BC55C39547D3}"/>
    <cellStyle name="Currency 5 7 2 8 2" xfId="17358" xr:uid="{4B62400B-F8CC-45C3-B85D-C6BE401DB98D}"/>
    <cellStyle name="Currency 5 7 2 9" xfId="8239" xr:uid="{8F8D2D13-E5AD-44CF-A369-D87AFAB69A87}"/>
    <cellStyle name="Currency 5 7 2 9 2" xfId="18187" xr:uid="{4D5C3AD8-192C-4D61-96AF-310352BD1F29}"/>
    <cellStyle name="Currency 5 7 3" xfId="2020" xr:uid="{C0C039C8-FCCC-4A77-B818-D2567892F6A7}"/>
    <cellStyle name="Currency 5 7 3 2" xfId="11968" xr:uid="{1C7FFAF0-DDC7-4E17-BBC1-7139DE0622C7}"/>
    <cellStyle name="Currency 5 7 4" xfId="2849" xr:uid="{9CF92DC5-8288-47FA-B582-19A58AE181D7}"/>
    <cellStyle name="Currency 5 7 4 2" xfId="12797" xr:uid="{BBCDB521-27EB-4438-A0E1-FF811D21953A}"/>
    <cellStyle name="Currency 5 7 5" xfId="3678" xr:uid="{56D217AD-7690-43EF-B771-98666CB64A9C}"/>
    <cellStyle name="Currency 5 7 5 2" xfId="13626" xr:uid="{B86CE7F6-FB8D-48D4-9505-21B16D9F9E18}"/>
    <cellStyle name="Currency 5 7 6" xfId="4507" xr:uid="{59A16DEA-D233-4DB5-99D1-7219B011268F}"/>
    <cellStyle name="Currency 5 7 6 2" xfId="14455" xr:uid="{538848BE-8FC9-4062-B731-28D70805041F}"/>
    <cellStyle name="Currency 5 7 7" xfId="5336" xr:uid="{0BE3D43C-AF95-4015-BA33-E4DDCFEB53D0}"/>
    <cellStyle name="Currency 5 7 7 2" xfId="15284" xr:uid="{ACBAC9D4-3783-49F6-887D-1B95F17EB175}"/>
    <cellStyle name="Currency 5 7 8" xfId="6165" xr:uid="{9FE9A107-B40C-44FF-BCFF-D61913B45D0A}"/>
    <cellStyle name="Currency 5 7 8 2" xfId="16113" xr:uid="{06A468CF-E9CB-4BFF-8F90-205C333A013D}"/>
    <cellStyle name="Currency 5 7 9" xfId="6994" xr:uid="{29776D9B-7221-4B5F-A95D-23F76D529304}"/>
    <cellStyle name="Currency 5 7 9 2" xfId="16942" xr:uid="{958367CB-8A1D-4595-900C-B035B904D738}"/>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10" xfId="4508" xr:uid="{04AA249E-4698-4131-AF85-08BEF6C55D16}"/>
    <cellStyle name="Normal 12 10 2" xfId="14456" xr:uid="{1B96D8F7-B79C-41AC-A752-16E3C8C02F3B}"/>
    <cellStyle name="Normal 12 11" xfId="5337" xr:uid="{B35D4A6D-AA16-4033-BFFC-6E9D77A4E00A}"/>
    <cellStyle name="Normal 12 11 2" xfId="15285" xr:uid="{E975B26B-46B1-482C-AF5B-AE278EBECB24}"/>
    <cellStyle name="Normal 12 12" xfId="6166" xr:uid="{F22165C2-243B-4F97-AE8E-D8CE372894B7}"/>
    <cellStyle name="Normal 12 12 2" xfId="16114" xr:uid="{370E8EC8-64AB-4DC4-9EFD-B0DA8FE96CDB}"/>
    <cellStyle name="Normal 12 13" xfId="6995" xr:uid="{7D1B35A1-6BF0-4C45-89A8-1DCF0AD5B08A}"/>
    <cellStyle name="Normal 12 13 2" xfId="16943" xr:uid="{C69446AB-C5E8-4A1A-8710-6D88B304E38F}"/>
    <cellStyle name="Normal 12 14" xfId="7824" xr:uid="{1ADA857B-07A3-45D5-A2C4-6BFF474F2264}"/>
    <cellStyle name="Normal 12 14 2" xfId="17772" xr:uid="{1C36DD92-484A-454E-868D-CC3D093DDCBC}"/>
    <cellStyle name="Normal 12 15" xfId="8653" xr:uid="{F6E4E2D7-B85E-451C-906B-67C4F10AEF87}"/>
    <cellStyle name="Normal 12 15 2" xfId="18601" xr:uid="{A59334A1-1763-4DC2-A49F-45CFCFA929D7}"/>
    <cellStyle name="Normal 12 16" xfId="9482" xr:uid="{C77406EF-6C52-4F5C-BF38-AED6A553EF5C}"/>
    <cellStyle name="Normal 12 16 2" xfId="19430" xr:uid="{B43C87A8-9FA6-4AB3-8388-78ABC5DAF243}"/>
    <cellStyle name="Normal 12 17" xfId="10311" xr:uid="{966CFF5A-C0BD-4433-8D9E-EA08B5D3E853}"/>
    <cellStyle name="Normal 12 17 2" xfId="20259" xr:uid="{6259467E-A4BC-4977-9C52-D127D31280AE}"/>
    <cellStyle name="Normal 12 18" xfId="1192" xr:uid="{F48CA4EF-877D-434C-918E-B98D1889A06F}"/>
    <cellStyle name="Normal 12 19" xfId="11140" xr:uid="{9A237A88-2B59-47B1-9C30-5E76D9A1A72F}"/>
    <cellStyle name="Normal 12 2" xfId="262" xr:uid="{00000000-0005-0000-0000-0000C5010000}"/>
    <cellStyle name="Normal 12 2 10" xfId="6167" xr:uid="{F7A5102F-071E-4851-8806-A9F897FAF46F}"/>
    <cellStyle name="Normal 12 2 10 2" xfId="16115" xr:uid="{AC129726-F451-43D6-A67A-4943E174993E}"/>
    <cellStyle name="Normal 12 2 11" xfId="6996" xr:uid="{904BC7A9-69E1-4A66-90CE-C0BA34292943}"/>
    <cellStyle name="Normal 12 2 11 2" xfId="16944" xr:uid="{E66C3E9D-E92C-4580-8494-81F7B372276A}"/>
    <cellStyle name="Normal 12 2 12" xfId="7825" xr:uid="{39BE221A-B083-4B51-BE46-B468324D6DAB}"/>
    <cellStyle name="Normal 12 2 12 2" xfId="17773" xr:uid="{9D702898-3CFE-408A-A468-DB3069D13CA9}"/>
    <cellStyle name="Normal 12 2 13" xfId="8654" xr:uid="{B2656AE2-3DD3-4C5C-8059-BA9568A3661B}"/>
    <cellStyle name="Normal 12 2 13 2" xfId="18602" xr:uid="{EC0E869A-8E63-4598-B093-620CAB13F17D}"/>
    <cellStyle name="Normal 12 2 14" xfId="9483" xr:uid="{605320FF-5FE8-4E03-8BF4-9B6CF2F6FF0B}"/>
    <cellStyle name="Normal 12 2 14 2" xfId="19431" xr:uid="{83D0C371-004A-49BB-AB3F-9EDCEB9E42FF}"/>
    <cellStyle name="Normal 12 2 15" xfId="10312" xr:uid="{E4133397-9265-494F-B806-E7D3B1BD0F62}"/>
    <cellStyle name="Normal 12 2 15 2" xfId="20260" xr:uid="{2BF8A1AD-0245-40B3-9990-EE6E80DCCAAC}"/>
    <cellStyle name="Normal 12 2 16" xfId="1193" xr:uid="{1F64877D-A046-4AA0-864D-ACB198C89F90}"/>
    <cellStyle name="Normal 12 2 17" xfId="11141" xr:uid="{28CECD88-5B31-49FB-83BC-7275197D700A}"/>
    <cellStyle name="Normal 12 2 2" xfId="263" xr:uid="{00000000-0005-0000-0000-0000C6010000}"/>
    <cellStyle name="Normal 12 2 2 10" xfId="6997" xr:uid="{052D28D4-E221-42FD-869B-A5CABF39977A}"/>
    <cellStyle name="Normal 12 2 2 10 2" xfId="16945" xr:uid="{5EEB4F40-F039-4B23-B284-BDE55AC81AD0}"/>
    <cellStyle name="Normal 12 2 2 11" xfId="7826" xr:uid="{0C041C60-7968-42C5-83A7-FE69B2C33963}"/>
    <cellStyle name="Normal 12 2 2 11 2" xfId="17774" xr:uid="{514E91F8-F400-4D6B-B74F-A9D237CE6294}"/>
    <cellStyle name="Normal 12 2 2 12" xfId="8655" xr:uid="{6FF6D4A1-D364-4E5F-9856-37905BCFA1CC}"/>
    <cellStyle name="Normal 12 2 2 12 2" xfId="18603" xr:uid="{F7BBDE10-CDCA-4C2E-B2B8-3903C73418D1}"/>
    <cellStyle name="Normal 12 2 2 13" xfId="9484" xr:uid="{791FC869-7654-4674-AA32-E3D990C5F6F1}"/>
    <cellStyle name="Normal 12 2 2 13 2" xfId="19432" xr:uid="{4A8D6B46-DBFD-4562-AAD5-5548B8E5D904}"/>
    <cellStyle name="Normal 12 2 2 14" xfId="10313" xr:uid="{AFBED32A-A0E1-40E4-BC5D-4FA472042883}"/>
    <cellStyle name="Normal 12 2 2 14 2" xfId="20261" xr:uid="{F01D2B40-EF83-4A0D-A386-C488F4E765C7}"/>
    <cellStyle name="Normal 12 2 2 15" xfId="1194" xr:uid="{7A8365CF-A260-4A74-992D-D033FDC567BA}"/>
    <cellStyle name="Normal 12 2 2 16" xfId="11142" xr:uid="{0B1AD38C-00F5-455A-8406-7578DB45F319}"/>
    <cellStyle name="Normal 12 2 2 2" xfId="264" xr:uid="{00000000-0005-0000-0000-0000C7010000}"/>
    <cellStyle name="Normal 12 2 2 2 10" xfId="7827" xr:uid="{3D9E203D-BDBC-4CF0-AAC9-6F6C5166D6E9}"/>
    <cellStyle name="Normal 12 2 2 2 10 2" xfId="17775" xr:uid="{E84A1010-8123-455D-B1E0-DC2FFEB8EF40}"/>
    <cellStyle name="Normal 12 2 2 2 11" xfId="8656" xr:uid="{07BB5DB2-710E-4EB1-9A9B-47C5B38DF8C3}"/>
    <cellStyle name="Normal 12 2 2 2 11 2" xfId="18604" xr:uid="{D636381B-96B0-4912-A9A5-ED8F834EBC99}"/>
    <cellStyle name="Normal 12 2 2 2 12" xfId="9485" xr:uid="{74D03E2F-D6F0-40F1-8E96-00CB4DF06A7B}"/>
    <cellStyle name="Normal 12 2 2 2 12 2" xfId="19433" xr:uid="{28E3A0E0-8E9D-4C71-A50D-F215D3382C4A}"/>
    <cellStyle name="Normal 12 2 2 2 13" xfId="10314" xr:uid="{09BB597D-3F26-414E-A499-76FEAAB367E9}"/>
    <cellStyle name="Normal 12 2 2 2 13 2" xfId="20262" xr:uid="{CEB573E8-7A88-453F-A78D-D7A8F26C7BB9}"/>
    <cellStyle name="Normal 12 2 2 2 14" xfId="1195" xr:uid="{A15552DB-DE4B-470A-8044-66DF8E7EF602}"/>
    <cellStyle name="Normal 12 2 2 2 15" xfId="11143" xr:uid="{604AC6C7-F099-49B4-8D18-49261436FE15}"/>
    <cellStyle name="Normal 12 2 2 2 2" xfId="771" xr:uid="{00000000-0005-0000-0000-0000C8010000}"/>
    <cellStyle name="Normal 12 2 2 2 2 10" xfId="9072" xr:uid="{EB7C4AD1-3365-4D1D-83F4-06A7A539FDFB}"/>
    <cellStyle name="Normal 12 2 2 2 2 10 2" xfId="19020" xr:uid="{A6A4F163-9CB2-4537-864B-6063D1A2F0E1}"/>
    <cellStyle name="Normal 12 2 2 2 2 11" xfId="9901" xr:uid="{4422B6CF-269A-4B11-8D7D-0E6DD3068B7D}"/>
    <cellStyle name="Normal 12 2 2 2 2 11 2" xfId="19849" xr:uid="{2F0AA813-2060-4A6F-B769-D64A7CE63D1B}"/>
    <cellStyle name="Normal 12 2 2 2 2 12" xfId="10730" xr:uid="{EC86E288-ECF1-4A2D-95CD-7DDDF37C65B1}"/>
    <cellStyle name="Normal 12 2 2 2 2 12 2" xfId="20678" xr:uid="{2A9CC253-202A-4FE8-A651-D4AC5FA25E84}"/>
    <cellStyle name="Normal 12 2 2 2 2 13" xfId="1611" xr:uid="{A1564741-A249-451B-84BF-60787411BB1C}"/>
    <cellStyle name="Normal 12 2 2 2 2 14" xfId="11559" xr:uid="{72D4819F-32F1-4A06-9E62-7B43366742B1}"/>
    <cellStyle name="Normal 12 2 2 2 2 2" xfId="2440" xr:uid="{2346B930-1A38-4DA6-B6EA-0A6F8AC4DE04}"/>
    <cellStyle name="Normal 12 2 2 2 2 2 2" xfId="12388" xr:uid="{93A2DEC4-F6AF-4F71-8579-4FFE36F69AC1}"/>
    <cellStyle name="Normal 12 2 2 2 2 3" xfId="3269" xr:uid="{5D4836E9-DB4D-419F-A33D-D6701B6E66CF}"/>
    <cellStyle name="Normal 12 2 2 2 2 3 2" xfId="13217" xr:uid="{EA635447-1A5F-47E6-B43A-B09FD9E4CBAA}"/>
    <cellStyle name="Normal 12 2 2 2 2 4" xfId="4098" xr:uid="{C43E776A-26CA-482E-8A15-C1E6AFC17DCE}"/>
    <cellStyle name="Normal 12 2 2 2 2 4 2" xfId="14046" xr:uid="{C2B7750D-79F8-4E69-B1AC-36E7A71F3F9C}"/>
    <cellStyle name="Normal 12 2 2 2 2 5" xfId="4927" xr:uid="{C9D814A1-67F1-410B-87D8-438ED5AF859E}"/>
    <cellStyle name="Normal 12 2 2 2 2 5 2" xfId="14875" xr:uid="{2C5E14CB-6DE6-4F1D-9150-5C0926BC7CB6}"/>
    <cellStyle name="Normal 12 2 2 2 2 6" xfId="5756" xr:uid="{E7D69892-71BD-4FB2-A024-64A19E4A19DB}"/>
    <cellStyle name="Normal 12 2 2 2 2 6 2" xfId="15704" xr:uid="{57E15F9B-FA6B-487D-9D7B-5859C0E70F76}"/>
    <cellStyle name="Normal 12 2 2 2 2 7" xfId="6585" xr:uid="{32171280-5570-41C9-8EE3-E893EABC1B03}"/>
    <cellStyle name="Normal 12 2 2 2 2 7 2" xfId="16533" xr:uid="{E45A6024-5F85-4742-A4BB-EDCDF1EEBA24}"/>
    <cellStyle name="Normal 12 2 2 2 2 8" xfId="7414" xr:uid="{C8F5B471-50B9-4CDB-AEA1-F356AB4FB06B}"/>
    <cellStyle name="Normal 12 2 2 2 2 8 2" xfId="17362" xr:uid="{430E494D-715B-4F6D-ADA9-BA99D37B01E5}"/>
    <cellStyle name="Normal 12 2 2 2 2 9" xfId="8243" xr:uid="{CD44F3BE-92D7-468B-B63E-B9F0890125E6}"/>
    <cellStyle name="Normal 12 2 2 2 2 9 2" xfId="18191" xr:uid="{8A2C046A-5D98-4EC8-9C33-1300D62800F1}"/>
    <cellStyle name="Normal 12 2 2 2 3" xfId="2024" xr:uid="{DBCB4400-8188-4D93-A037-AF3ED4990678}"/>
    <cellStyle name="Normal 12 2 2 2 3 2" xfId="11972" xr:uid="{2C310443-09F3-4BBE-A90E-9C2E96D69486}"/>
    <cellStyle name="Normal 12 2 2 2 4" xfId="2853" xr:uid="{41764930-EF80-4EC4-BB13-E0C80217B453}"/>
    <cellStyle name="Normal 12 2 2 2 4 2" xfId="12801" xr:uid="{4B7DAB47-D0D7-45AE-B2D6-3539AA0B93B1}"/>
    <cellStyle name="Normal 12 2 2 2 5" xfId="3682" xr:uid="{F8FB3E11-74E0-49FA-900F-302401549D68}"/>
    <cellStyle name="Normal 12 2 2 2 5 2" xfId="13630" xr:uid="{984BB26C-73B3-45AD-8109-60CB74AB4A3A}"/>
    <cellStyle name="Normal 12 2 2 2 6" xfId="4511" xr:uid="{D1FF2688-D033-4F04-A0C3-8F05F6CE7969}"/>
    <cellStyle name="Normal 12 2 2 2 6 2" xfId="14459" xr:uid="{00F3E86D-010A-4FAD-8C49-450AAB351A40}"/>
    <cellStyle name="Normal 12 2 2 2 7" xfId="5340" xr:uid="{88F65AE0-AAC2-4190-BEB2-AE496B6540E6}"/>
    <cellStyle name="Normal 12 2 2 2 7 2" xfId="15288" xr:uid="{E12F8918-97B9-4BBF-B726-077FE1357204}"/>
    <cellStyle name="Normal 12 2 2 2 8" xfId="6169" xr:uid="{014B4560-68B7-4E7E-8AEC-5CBCE1015112}"/>
    <cellStyle name="Normal 12 2 2 2 8 2" xfId="16117" xr:uid="{EA25E284-67E0-4A00-BD0D-5427BC869F14}"/>
    <cellStyle name="Normal 12 2 2 2 9" xfId="6998" xr:uid="{F8B8EF61-E2E0-44DB-A822-91C430DD319A}"/>
    <cellStyle name="Normal 12 2 2 2 9 2" xfId="16946" xr:uid="{EC859646-2412-4925-BD2C-4989FC8CF796}"/>
    <cellStyle name="Normal 12 2 2 3" xfId="770" xr:uid="{00000000-0005-0000-0000-0000C9010000}"/>
    <cellStyle name="Normal 12 2 2 3 10" xfId="9071" xr:uid="{48E0DE23-F366-4E5E-831E-8901910C5EBA}"/>
    <cellStyle name="Normal 12 2 2 3 10 2" xfId="19019" xr:uid="{47F50919-7161-466D-8B4B-AF079C4B5D4A}"/>
    <cellStyle name="Normal 12 2 2 3 11" xfId="9900" xr:uid="{97CD6098-A748-4F25-BEB4-74B34700BA79}"/>
    <cellStyle name="Normal 12 2 2 3 11 2" xfId="19848" xr:uid="{AF9527D7-5D88-41F5-8886-EC565F76340C}"/>
    <cellStyle name="Normal 12 2 2 3 12" xfId="10729" xr:uid="{BCB101CC-0884-4E5E-9EB4-F8D0DEF2BAE4}"/>
    <cellStyle name="Normal 12 2 2 3 12 2" xfId="20677" xr:uid="{16C8289E-6799-4354-AB6E-9156A45DF482}"/>
    <cellStyle name="Normal 12 2 2 3 13" xfId="1610" xr:uid="{6005641B-1950-4FD8-BC62-044BEEA59BFE}"/>
    <cellStyle name="Normal 12 2 2 3 14" xfId="11558" xr:uid="{DC7402B1-AEAB-4146-8308-516DA36FCC11}"/>
    <cellStyle name="Normal 12 2 2 3 2" xfId="2439" xr:uid="{9274B674-4A09-4F6A-943D-39BFFC8280D1}"/>
    <cellStyle name="Normal 12 2 2 3 2 2" xfId="12387" xr:uid="{E908B2F3-F751-4C2A-B66D-748D351E515F}"/>
    <cellStyle name="Normal 12 2 2 3 3" xfId="3268" xr:uid="{A75A8C2A-6262-4AC4-8426-022DA5742DEA}"/>
    <cellStyle name="Normal 12 2 2 3 3 2" xfId="13216" xr:uid="{24068A74-CD4F-43B6-8168-FE9DB1560B0C}"/>
    <cellStyle name="Normal 12 2 2 3 4" xfId="4097" xr:uid="{A8FF5554-E0F3-486C-9B65-99C0DD5F5B76}"/>
    <cellStyle name="Normal 12 2 2 3 4 2" xfId="14045" xr:uid="{2BDE8F9E-BB91-4961-BCA9-3FE18E103DA0}"/>
    <cellStyle name="Normal 12 2 2 3 5" xfId="4926" xr:uid="{5F0780BA-D3C6-400C-B941-01F9543AF1A8}"/>
    <cellStyle name="Normal 12 2 2 3 5 2" xfId="14874" xr:uid="{DDC4EE08-AD85-42B6-A825-5B7F5D111782}"/>
    <cellStyle name="Normal 12 2 2 3 6" xfId="5755" xr:uid="{6BA93D92-2815-42F4-BB08-301F20A57151}"/>
    <cellStyle name="Normal 12 2 2 3 6 2" xfId="15703" xr:uid="{121F4397-94D9-44D0-9E75-A0A6433EFC48}"/>
    <cellStyle name="Normal 12 2 2 3 7" xfId="6584" xr:uid="{D1D72AE4-9BA5-4F6E-81C9-837D3DA94E83}"/>
    <cellStyle name="Normal 12 2 2 3 7 2" xfId="16532" xr:uid="{BF2D2A07-2F4F-4767-9B81-F4D1A48961D6}"/>
    <cellStyle name="Normal 12 2 2 3 8" xfId="7413" xr:uid="{A1828EE5-8F58-40E9-96D4-FAB2B4E23A1F}"/>
    <cellStyle name="Normal 12 2 2 3 8 2" xfId="17361" xr:uid="{1036C77F-CA58-4DAA-98A6-D896092DCD90}"/>
    <cellStyle name="Normal 12 2 2 3 9" xfId="8242" xr:uid="{A68DA796-BA87-46F5-8B9F-B230DB0BA599}"/>
    <cellStyle name="Normal 12 2 2 3 9 2" xfId="18190" xr:uid="{EF5E19D0-BBA4-4FCE-8E49-ED5DA7188E1E}"/>
    <cellStyle name="Normal 12 2 2 4" xfId="2023" xr:uid="{6CF3E8CC-1441-4199-A837-C3D14781B3AC}"/>
    <cellStyle name="Normal 12 2 2 4 2" xfId="11971" xr:uid="{54CCB295-EDEA-4D50-9167-8715C7FA495F}"/>
    <cellStyle name="Normal 12 2 2 5" xfId="2852" xr:uid="{E2180827-CD8F-478D-8EF8-519FE4F7711C}"/>
    <cellStyle name="Normal 12 2 2 5 2" xfId="12800" xr:uid="{1FCB3A11-5166-47AE-996B-D4DAE8C2A2EF}"/>
    <cellStyle name="Normal 12 2 2 6" xfId="3681" xr:uid="{E35A15E4-0010-41B5-8D08-F9808475A245}"/>
    <cellStyle name="Normal 12 2 2 6 2" xfId="13629" xr:uid="{4C90515F-E6F1-4069-9467-7A4D9D9A2E1A}"/>
    <cellStyle name="Normal 12 2 2 7" xfId="4510" xr:uid="{74D8FCC9-E907-4001-87FC-2DBA31C24F47}"/>
    <cellStyle name="Normal 12 2 2 7 2" xfId="14458" xr:uid="{0523123D-20BA-4F05-B98C-B6C8F6DD5A8D}"/>
    <cellStyle name="Normal 12 2 2 8" xfId="5339" xr:uid="{78787912-7010-4F84-9C30-41446B1291B8}"/>
    <cellStyle name="Normal 12 2 2 8 2" xfId="15287" xr:uid="{547C795F-AC8E-4C69-A082-378BE39629FA}"/>
    <cellStyle name="Normal 12 2 2 9" xfId="6168" xr:uid="{B64C2062-3BB3-46DB-97D6-A67017983034}"/>
    <cellStyle name="Normal 12 2 2 9 2" xfId="16116" xr:uid="{B0FBF794-6B4F-4479-A43D-639582DD17CC}"/>
    <cellStyle name="Normal 12 2 3" xfId="265" xr:uid="{00000000-0005-0000-0000-0000CA010000}"/>
    <cellStyle name="Normal 12 2 3 10" xfId="7828" xr:uid="{1198E34C-33B4-429D-9219-2E612D89418A}"/>
    <cellStyle name="Normal 12 2 3 10 2" xfId="17776" xr:uid="{1DDC4D20-D935-40DC-9A94-1B531805BAC5}"/>
    <cellStyle name="Normal 12 2 3 11" xfId="8657" xr:uid="{93CB7C1E-92DC-40AA-8ABC-DF0F8BFB2A53}"/>
    <cellStyle name="Normal 12 2 3 11 2" xfId="18605" xr:uid="{D96F7ACE-3203-4DD1-A909-3E163F52BB40}"/>
    <cellStyle name="Normal 12 2 3 12" xfId="9486" xr:uid="{C552279C-5247-4E02-998D-693E0FB22370}"/>
    <cellStyle name="Normal 12 2 3 12 2" xfId="19434" xr:uid="{F5F15FC0-8E89-4235-BE45-B730F4507E78}"/>
    <cellStyle name="Normal 12 2 3 13" xfId="10315" xr:uid="{2192641B-3718-45E0-A274-42C89AED60A2}"/>
    <cellStyle name="Normal 12 2 3 13 2" xfId="20263" xr:uid="{0777C6B6-1C9C-4472-9295-024F33C24EA0}"/>
    <cellStyle name="Normal 12 2 3 14" xfId="1196" xr:uid="{CB076CE4-58AE-40E2-8471-BB340EB04C6E}"/>
    <cellStyle name="Normal 12 2 3 15" xfId="11144" xr:uid="{8329207C-DBF0-4C74-88DC-F4A84AE0E53C}"/>
    <cellStyle name="Normal 12 2 3 2" xfId="772" xr:uid="{00000000-0005-0000-0000-0000CB010000}"/>
    <cellStyle name="Normal 12 2 3 2 10" xfId="9073" xr:uid="{CA840EDA-57A8-4DA8-92AA-EB110B6A0C9C}"/>
    <cellStyle name="Normal 12 2 3 2 10 2" xfId="19021" xr:uid="{728D39F9-2B01-4138-8B70-AA408A8113EF}"/>
    <cellStyle name="Normal 12 2 3 2 11" xfId="9902" xr:uid="{6C3CD1ED-3E2A-4D03-8A5A-B650CDDD2787}"/>
    <cellStyle name="Normal 12 2 3 2 11 2" xfId="19850" xr:uid="{61F454F3-60B0-495A-AD03-9ACBAF3C92CC}"/>
    <cellStyle name="Normal 12 2 3 2 12" xfId="10731" xr:uid="{6F3C291C-442E-4CB8-805C-6903EA0987C5}"/>
    <cellStyle name="Normal 12 2 3 2 12 2" xfId="20679" xr:uid="{E1123FAC-C1ED-4D49-AD80-59A3203A4BC9}"/>
    <cellStyle name="Normal 12 2 3 2 13" xfId="1612" xr:uid="{E038CF98-7273-4DF8-91A0-377702294D76}"/>
    <cellStyle name="Normal 12 2 3 2 14" xfId="11560" xr:uid="{37C16B5F-7844-4936-9524-155E99286087}"/>
    <cellStyle name="Normal 12 2 3 2 2" xfId="2441" xr:uid="{5FB16575-5D1E-404A-BE2D-8252D86DA3F4}"/>
    <cellStyle name="Normal 12 2 3 2 2 2" xfId="12389" xr:uid="{4B2152BF-5B6A-40A0-9E1F-020E0777D854}"/>
    <cellStyle name="Normal 12 2 3 2 3" xfId="3270" xr:uid="{E63037BE-0736-4FB9-ACDD-624CE1A62E4C}"/>
    <cellStyle name="Normal 12 2 3 2 3 2" xfId="13218" xr:uid="{B4CA7E87-2C39-4252-BD21-536942789EC1}"/>
    <cellStyle name="Normal 12 2 3 2 4" xfId="4099" xr:uid="{829F0E86-B9D9-49ED-AD42-E104A3793DD6}"/>
    <cellStyle name="Normal 12 2 3 2 4 2" xfId="14047" xr:uid="{BA236F45-CD6C-4740-8CC6-9B118698BE76}"/>
    <cellStyle name="Normal 12 2 3 2 5" xfId="4928" xr:uid="{637DABEA-4D6C-4E01-A5A8-7A1A2C2149AF}"/>
    <cellStyle name="Normal 12 2 3 2 5 2" xfId="14876" xr:uid="{AE36365A-AEC1-4911-B4E8-BF2068C0B454}"/>
    <cellStyle name="Normal 12 2 3 2 6" xfId="5757" xr:uid="{A8D80602-EA2E-4210-AC38-643C31348534}"/>
    <cellStyle name="Normal 12 2 3 2 6 2" xfId="15705" xr:uid="{061F5705-1A2C-4DD0-A153-193505A0C5B0}"/>
    <cellStyle name="Normal 12 2 3 2 7" xfId="6586" xr:uid="{F4E6BF74-82DF-47B0-A261-A7EDBD221196}"/>
    <cellStyle name="Normal 12 2 3 2 7 2" xfId="16534" xr:uid="{544934B4-1D15-4376-BD2F-D99526F23E72}"/>
    <cellStyle name="Normal 12 2 3 2 8" xfId="7415" xr:uid="{FAC2D8C9-AC74-4192-8AAC-E5DDBEE13EA9}"/>
    <cellStyle name="Normal 12 2 3 2 8 2" xfId="17363" xr:uid="{C5ED675E-3660-45EB-9B46-348584294785}"/>
    <cellStyle name="Normal 12 2 3 2 9" xfId="8244" xr:uid="{0D5C4E1A-BEF8-4A30-B3B2-6B54FF04A47C}"/>
    <cellStyle name="Normal 12 2 3 2 9 2" xfId="18192" xr:uid="{0A33AD18-A47E-406E-8D00-07A5325D8084}"/>
    <cellStyle name="Normal 12 2 3 3" xfId="2025" xr:uid="{A1784A1D-F1A7-49FA-ABF2-235ECA1F54BC}"/>
    <cellStyle name="Normal 12 2 3 3 2" xfId="11973" xr:uid="{52573D3D-30FF-4C13-B333-CB717AD4FB03}"/>
    <cellStyle name="Normal 12 2 3 4" xfId="2854" xr:uid="{A913B395-8010-435B-974C-887851FEBA12}"/>
    <cellStyle name="Normal 12 2 3 4 2" xfId="12802" xr:uid="{870A9E36-CDB2-43FA-8591-98628223311A}"/>
    <cellStyle name="Normal 12 2 3 5" xfId="3683" xr:uid="{36D4DF9D-52F9-4F78-B02B-EA5FCCBF511B}"/>
    <cellStyle name="Normal 12 2 3 5 2" xfId="13631" xr:uid="{1E9A629E-9570-4601-AA7F-490ADE2ADF18}"/>
    <cellStyle name="Normal 12 2 3 6" xfId="4512" xr:uid="{11552E69-3904-4FB7-8FC0-283B8BA11A34}"/>
    <cellStyle name="Normal 12 2 3 6 2" xfId="14460" xr:uid="{0C877EA4-1D27-4737-83ED-BE62804D0A72}"/>
    <cellStyle name="Normal 12 2 3 7" xfId="5341" xr:uid="{34E4EA40-9A97-4429-9862-D8F3FD0D07F7}"/>
    <cellStyle name="Normal 12 2 3 7 2" xfId="15289" xr:uid="{862254F1-3B97-4142-A451-D6A294882822}"/>
    <cellStyle name="Normal 12 2 3 8" xfId="6170" xr:uid="{4A629C11-2CE3-4B3B-AA74-6C4B084576CA}"/>
    <cellStyle name="Normal 12 2 3 8 2" xfId="16118" xr:uid="{3AA50C27-F8AC-4050-946F-D44076B95E8B}"/>
    <cellStyle name="Normal 12 2 3 9" xfId="6999" xr:uid="{1CDA6A87-0A63-470E-9E59-053B36FC51C7}"/>
    <cellStyle name="Normal 12 2 3 9 2" xfId="16947" xr:uid="{BC87F8AA-ABCF-4582-8CEE-FB4297AA3C62}"/>
    <cellStyle name="Normal 12 2 4" xfId="769" xr:uid="{00000000-0005-0000-0000-0000CC010000}"/>
    <cellStyle name="Normal 12 2 4 10" xfId="9070" xr:uid="{767AEFDC-AA18-4776-9977-928C3ADACB5D}"/>
    <cellStyle name="Normal 12 2 4 10 2" xfId="19018" xr:uid="{64661597-3DE4-4295-8E5A-493286A45528}"/>
    <cellStyle name="Normal 12 2 4 11" xfId="9899" xr:uid="{0FF09438-A942-4967-A31D-C88BE17DE3A2}"/>
    <cellStyle name="Normal 12 2 4 11 2" xfId="19847" xr:uid="{F9AE97BC-D0CC-49C5-B18B-EF630008908F}"/>
    <cellStyle name="Normal 12 2 4 12" xfId="10728" xr:uid="{60D4DF43-3CA8-4063-96FC-F50BB14932B9}"/>
    <cellStyle name="Normal 12 2 4 12 2" xfId="20676" xr:uid="{7C778EBE-F4ED-4881-8B99-BC8731B484CB}"/>
    <cellStyle name="Normal 12 2 4 13" xfId="1609" xr:uid="{34E55511-4610-4FE1-800B-8E9CE6CAA920}"/>
    <cellStyle name="Normal 12 2 4 14" xfId="11557" xr:uid="{A2BB7714-BEB5-4445-993B-C2187646BB69}"/>
    <cellStyle name="Normal 12 2 4 2" xfId="2438" xr:uid="{8AEA5DEA-10B8-4F5E-8475-D177748F09C9}"/>
    <cellStyle name="Normal 12 2 4 2 2" xfId="12386" xr:uid="{CE7CBEE6-D09A-4B86-8806-0A7FA55CD13E}"/>
    <cellStyle name="Normal 12 2 4 3" xfId="3267" xr:uid="{099C69A3-65BA-4B77-A143-3EAA70CF2474}"/>
    <cellStyle name="Normal 12 2 4 3 2" xfId="13215" xr:uid="{EDBCB507-8D8B-4B25-8003-6BCD30355571}"/>
    <cellStyle name="Normal 12 2 4 4" xfId="4096" xr:uid="{81559025-CC32-479B-AA92-F8DBCE3C495A}"/>
    <cellStyle name="Normal 12 2 4 4 2" xfId="14044" xr:uid="{2BD18351-53C0-4B22-B520-E21F6259B993}"/>
    <cellStyle name="Normal 12 2 4 5" xfId="4925" xr:uid="{26B149E8-F84A-41AC-B18E-C0447727F4E3}"/>
    <cellStyle name="Normal 12 2 4 5 2" xfId="14873" xr:uid="{FD97722C-D924-4A9E-A39A-3021E91A86B4}"/>
    <cellStyle name="Normal 12 2 4 6" xfId="5754" xr:uid="{6DB4763F-E12A-4BFD-ADA1-1C74DBCFB380}"/>
    <cellStyle name="Normal 12 2 4 6 2" xfId="15702" xr:uid="{CC4D340C-8832-4309-8517-9D3F425CFF36}"/>
    <cellStyle name="Normal 12 2 4 7" xfId="6583" xr:uid="{115416D4-A8C1-4BA8-8FA9-E44FD96814C5}"/>
    <cellStyle name="Normal 12 2 4 7 2" xfId="16531" xr:uid="{C9905EB8-9134-40D0-94A6-D84FE4F561F3}"/>
    <cellStyle name="Normal 12 2 4 8" xfId="7412" xr:uid="{CB7EBAC4-C16E-4E7F-8BD3-EE8AF33E5D86}"/>
    <cellStyle name="Normal 12 2 4 8 2" xfId="17360" xr:uid="{930EC0B6-35A9-4128-9B74-E6714DFDA5DF}"/>
    <cellStyle name="Normal 12 2 4 9" xfId="8241" xr:uid="{693A8F8D-C957-473A-B9B4-9F432A4552D8}"/>
    <cellStyle name="Normal 12 2 4 9 2" xfId="18189" xr:uid="{49318053-8B76-4E7E-950F-9F401887847D}"/>
    <cellStyle name="Normal 12 2 5" xfId="2022" xr:uid="{9FC2FBED-56E6-4360-88E1-0F6DF7660A2B}"/>
    <cellStyle name="Normal 12 2 5 2" xfId="11970" xr:uid="{B26C0321-AA77-4D34-8C20-AE7169E2CB09}"/>
    <cellStyle name="Normal 12 2 6" xfId="2851" xr:uid="{A1027113-DC51-49E4-B68B-072B27DFEB10}"/>
    <cellStyle name="Normal 12 2 6 2" xfId="12799" xr:uid="{46C9C8C2-965C-4A52-9BA9-0A662973147C}"/>
    <cellStyle name="Normal 12 2 7" xfId="3680" xr:uid="{9535ED22-BFC0-462E-A1A9-39FB0C6911B7}"/>
    <cellStyle name="Normal 12 2 7 2" xfId="13628" xr:uid="{7EEF700B-B941-4223-AE8F-E634FC224CD2}"/>
    <cellStyle name="Normal 12 2 8" xfId="4509" xr:uid="{2F3C92E7-9258-41CB-87D9-54833FC3E249}"/>
    <cellStyle name="Normal 12 2 8 2" xfId="14457" xr:uid="{C7B235C3-4EAA-440A-9B7E-7813F9D6E013}"/>
    <cellStyle name="Normal 12 2 9" xfId="5338" xr:uid="{42C82BF7-1F85-435A-A427-DBB5F85652F0}"/>
    <cellStyle name="Normal 12 2 9 2" xfId="15286" xr:uid="{40033C65-E76C-4B61-83A7-8086DE5A26FA}"/>
    <cellStyle name="Normal 12 3" xfId="266" xr:uid="{00000000-0005-0000-0000-0000CD010000}"/>
    <cellStyle name="Normal 12 3 10" xfId="7000" xr:uid="{B8A8268F-20C4-4411-8C0E-E3148CD1FEBE}"/>
    <cellStyle name="Normal 12 3 10 2" xfId="16948" xr:uid="{035A7B6A-C337-4797-8B2E-6D3574C4D4E3}"/>
    <cellStyle name="Normal 12 3 11" xfId="7829" xr:uid="{0D6CAF99-9335-4ECC-84F4-403037C72928}"/>
    <cellStyle name="Normal 12 3 11 2" xfId="17777" xr:uid="{7AEEF6A7-BAC4-455A-A35C-186E6938E704}"/>
    <cellStyle name="Normal 12 3 12" xfId="8658" xr:uid="{B5EBF589-358D-463F-886C-FA87D5BD7160}"/>
    <cellStyle name="Normal 12 3 12 2" xfId="18606" xr:uid="{148033E5-74F6-47A5-860F-24234E1D2C19}"/>
    <cellStyle name="Normal 12 3 13" xfId="9487" xr:uid="{7F9CE540-31E8-457E-8A25-410C9D5FD70B}"/>
    <cellStyle name="Normal 12 3 13 2" xfId="19435" xr:uid="{699DAE14-3A35-4213-8104-274A78CF9094}"/>
    <cellStyle name="Normal 12 3 14" xfId="10316" xr:uid="{850E74BB-F216-49D7-BEF9-940EEF1D1FF4}"/>
    <cellStyle name="Normal 12 3 14 2" xfId="20264" xr:uid="{D2982667-95D5-488B-BCD8-50A5B572BE51}"/>
    <cellStyle name="Normal 12 3 15" xfId="1197" xr:uid="{0CB43618-5421-41C9-948B-BD019AA23B7F}"/>
    <cellStyle name="Normal 12 3 16" xfId="11145" xr:uid="{AF42320E-9A09-4148-8F0E-282C7D7EE592}"/>
    <cellStyle name="Normal 12 3 2" xfId="267" xr:uid="{00000000-0005-0000-0000-0000CE010000}"/>
    <cellStyle name="Normal 12 3 2 10" xfId="7830" xr:uid="{7D666E88-47C7-498B-B193-279E85325037}"/>
    <cellStyle name="Normal 12 3 2 10 2" xfId="17778" xr:uid="{FDA96C4E-EAE0-4775-81FA-78309E90C338}"/>
    <cellStyle name="Normal 12 3 2 11" xfId="8659" xr:uid="{E1EE5B3E-D855-4EC4-9629-F3F19CE956C4}"/>
    <cellStyle name="Normal 12 3 2 11 2" xfId="18607" xr:uid="{EDFF9348-32CB-4FEC-BE48-538CA6487A2E}"/>
    <cellStyle name="Normal 12 3 2 12" xfId="9488" xr:uid="{3F0EFF22-EEBC-4372-B647-FCA6292CACA6}"/>
    <cellStyle name="Normal 12 3 2 12 2" xfId="19436" xr:uid="{9010016E-C84D-499E-BAB0-F456DF3AE841}"/>
    <cellStyle name="Normal 12 3 2 13" xfId="10317" xr:uid="{1FFE6DE0-5BB0-4535-B5AA-1AA029CC13F0}"/>
    <cellStyle name="Normal 12 3 2 13 2" xfId="20265" xr:uid="{32EE5227-87C1-4139-B3FB-27947BA2C6F5}"/>
    <cellStyle name="Normal 12 3 2 14" xfId="1198" xr:uid="{CC121F2E-5574-4150-A853-DEF7F1CEF206}"/>
    <cellStyle name="Normal 12 3 2 15" xfId="11146" xr:uid="{4064C238-E230-4EF4-9D40-7B3648883EBB}"/>
    <cellStyle name="Normal 12 3 2 2" xfId="774" xr:uid="{00000000-0005-0000-0000-0000CF010000}"/>
    <cellStyle name="Normal 12 3 2 2 10" xfId="9075" xr:uid="{F25ADBA6-278C-4A6F-8263-845BC694D9C8}"/>
    <cellStyle name="Normal 12 3 2 2 10 2" xfId="19023" xr:uid="{C2D23004-AE45-4C08-BB41-852C1C8A13C0}"/>
    <cellStyle name="Normal 12 3 2 2 11" xfId="9904" xr:uid="{2502F051-C9C1-4313-94A8-4C957AA8AE14}"/>
    <cellStyle name="Normal 12 3 2 2 11 2" xfId="19852" xr:uid="{5EDEBD0B-B7BA-44BC-B1BA-8AB77EA3ACC4}"/>
    <cellStyle name="Normal 12 3 2 2 12" xfId="10733" xr:uid="{0E666577-C953-4506-847B-5EDE3FB22A84}"/>
    <cellStyle name="Normal 12 3 2 2 12 2" xfId="20681" xr:uid="{916C231C-3C71-446E-A253-44775EA90BEB}"/>
    <cellStyle name="Normal 12 3 2 2 13" xfId="1614" xr:uid="{4C393EA9-3939-4EBE-B7C2-54EA9121C61C}"/>
    <cellStyle name="Normal 12 3 2 2 14" xfId="11562" xr:uid="{30AC808A-E8E0-44AC-B4AC-08B5CD025253}"/>
    <cellStyle name="Normal 12 3 2 2 2" xfId="2443" xr:uid="{A26B95AA-18A2-4FC5-874B-79A10670619E}"/>
    <cellStyle name="Normal 12 3 2 2 2 2" xfId="12391" xr:uid="{D2DE4C8C-DE19-487E-8302-C21B6FDDC95A}"/>
    <cellStyle name="Normal 12 3 2 2 3" xfId="3272" xr:uid="{F65A9E89-28A0-4312-9AF3-ECA634D0F729}"/>
    <cellStyle name="Normal 12 3 2 2 3 2" xfId="13220" xr:uid="{50E35A4D-5F7D-4F27-A2D7-4C752F26EE17}"/>
    <cellStyle name="Normal 12 3 2 2 4" xfId="4101" xr:uid="{BA0654D3-DBF2-4F39-85C5-70E32AB567C1}"/>
    <cellStyle name="Normal 12 3 2 2 4 2" xfId="14049" xr:uid="{4517424E-3FC8-4687-BC3B-92B08270750B}"/>
    <cellStyle name="Normal 12 3 2 2 5" xfId="4930" xr:uid="{14DDC8A1-3AA4-4E73-9F68-6DBC7BCA0B48}"/>
    <cellStyle name="Normal 12 3 2 2 5 2" xfId="14878" xr:uid="{ACB18815-C3EF-45AD-AFA6-3532F0220FAB}"/>
    <cellStyle name="Normal 12 3 2 2 6" xfId="5759" xr:uid="{93CB5731-0919-4384-AF63-92559E2F1203}"/>
    <cellStyle name="Normal 12 3 2 2 6 2" xfId="15707" xr:uid="{D357B629-E7E8-478A-88C0-311A93E205F8}"/>
    <cellStyle name="Normal 12 3 2 2 7" xfId="6588" xr:uid="{28899B2E-8137-439F-A3F4-9E9B244B562D}"/>
    <cellStyle name="Normal 12 3 2 2 7 2" xfId="16536" xr:uid="{871E406B-98E7-4E2A-8DA7-26102D3715D2}"/>
    <cellStyle name="Normal 12 3 2 2 8" xfId="7417" xr:uid="{372F8ED9-EB49-43B9-96E5-79BE222F5650}"/>
    <cellStyle name="Normal 12 3 2 2 8 2" xfId="17365" xr:uid="{B5EB92CA-E821-4C7A-B658-115343612ED7}"/>
    <cellStyle name="Normal 12 3 2 2 9" xfId="8246" xr:uid="{506DF411-FF18-4052-B2B5-26379C5470E7}"/>
    <cellStyle name="Normal 12 3 2 2 9 2" xfId="18194" xr:uid="{C4B9B590-F35F-450E-987C-AA2DA83FE9B8}"/>
    <cellStyle name="Normal 12 3 2 3" xfId="2027" xr:uid="{04152409-8C9A-4BD6-9BC6-76D1E3BCB79C}"/>
    <cellStyle name="Normal 12 3 2 3 2" xfId="11975" xr:uid="{705CE5FE-3445-4991-B18C-F37FDFA80495}"/>
    <cellStyle name="Normal 12 3 2 4" xfId="2856" xr:uid="{18080563-6DA1-42D3-A239-E94C88628A93}"/>
    <cellStyle name="Normal 12 3 2 4 2" xfId="12804" xr:uid="{F9C654F1-7897-4418-A6C8-9E5B0CE37DB7}"/>
    <cellStyle name="Normal 12 3 2 5" xfId="3685" xr:uid="{D957744A-451B-4A5E-956E-F94A309DF541}"/>
    <cellStyle name="Normal 12 3 2 5 2" xfId="13633" xr:uid="{95C53025-E7E8-44B7-880E-368B7834C68F}"/>
    <cellStyle name="Normal 12 3 2 6" xfId="4514" xr:uid="{23D90A56-A880-4943-8EBA-07C8AACFA2A7}"/>
    <cellStyle name="Normal 12 3 2 6 2" xfId="14462" xr:uid="{B129243B-C663-44F1-B04F-18D90F43D8E4}"/>
    <cellStyle name="Normal 12 3 2 7" xfId="5343" xr:uid="{1190AB5C-3DCA-4D99-B192-9BC3D5E0E640}"/>
    <cellStyle name="Normal 12 3 2 7 2" xfId="15291" xr:uid="{795DE272-20D1-49AD-AFF3-CA86D58722E4}"/>
    <cellStyle name="Normal 12 3 2 8" xfId="6172" xr:uid="{BA774E56-9A3E-44E9-A41B-174311D0FCAF}"/>
    <cellStyle name="Normal 12 3 2 8 2" xfId="16120" xr:uid="{AF682160-3F90-43CB-995A-511DCB98C64E}"/>
    <cellStyle name="Normal 12 3 2 9" xfId="7001" xr:uid="{B2BA9AA2-2223-48E4-B78A-30ECEE4D1B41}"/>
    <cellStyle name="Normal 12 3 2 9 2" xfId="16949" xr:uid="{8A03E8D4-39EF-4DCC-B91D-B260D25ABEBA}"/>
    <cellStyle name="Normal 12 3 3" xfId="773" xr:uid="{00000000-0005-0000-0000-0000D0010000}"/>
    <cellStyle name="Normal 12 3 3 10" xfId="9074" xr:uid="{BE8ADD98-CF7F-448E-97FE-E588603FCDDF}"/>
    <cellStyle name="Normal 12 3 3 10 2" xfId="19022" xr:uid="{4036D74D-CE1A-45CD-970B-5DCC39820214}"/>
    <cellStyle name="Normal 12 3 3 11" xfId="9903" xr:uid="{3BEA0BE3-1D08-4A7E-B493-6FCCF879266C}"/>
    <cellStyle name="Normal 12 3 3 11 2" xfId="19851" xr:uid="{989931CB-F03D-4C52-9CAF-0ED072B27BF3}"/>
    <cellStyle name="Normal 12 3 3 12" xfId="10732" xr:uid="{6B7843F1-02EE-4056-89D9-CBA1F8AF696A}"/>
    <cellStyle name="Normal 12 3 3 12 2" xfId="20680" xr:uid="{EA382587-1350-41B0-8EF6-CB22D4138153}"/>
    <cellStyle name="Normal 12 3 3 13" xfId="1613" xr:uid="{7412A0F9-C531-45C0-9FD7-6C45B98C29BC}"/>
    <cellStyle name="Normal 12 3 3 14" xfId="11561" xr:uid="{C677ED64-D835-4A01-A38F-F0513991A7F0}"/>
    <cellStyle name="Normal 12 3 3 2" xfId="2442" xr:uid="{687DFE54-2296-4DD4-A22B-A46D3A56621C}"/>
    <cellStyle name="Normal 12 3 3 2 2" xfId="12390" xr:uid="{FDD373DD-60A2-4EAC-B9E7-3B4EAEF7D200}"/>
    <cellStyle name="Normal 12 3 3 3" xfId="3271" xr:uid="{63D163E5-8715-4236-8175-5446853CDA3C}"/>
    <cellStyle name="Normal 12 3 3 3 2" xfId="13219" xr:uid="{FD978D12-9526-4430-BDC3-A459CDC4BEFA}"/>
    <cellStyle name="Normal 12 3 3 4" xfId="4100" xr:uid="{69A9A5EA-2341-4C8F-82A8-42A59D6271F6}"/>
    <cellStyle name="Normal 12 3 3 4 2" xfId="14048" xr:uid="{9576567D-0D9E-4603-9D50-EF4614FD8B7F}"/>
    <cellStyle name="Normal 12 3 3 5" xfId="4929" xr:uid="{2999BEE8-CF26-4C1D-887C-F6D6477982C3}"/>
    <cellStyle name="Normal 12 3 3 5 2" xfId="14877" xr:uid="{A66C1BB6-15E9-4EBC-A182-FC9C5EA5CD40}"/>
    <cellStyle name="Normal 12 3 3 6" xfId="5758" xr:uid="{B1A0A2BC-9535-44F6-9743-24EDF45DB024}"/>
    <cellStyle name="Normal 12 3 3 6 2" xfId="15706" xr:uid="{9D3AAC80-AD3E-4201-B988-BD786A8E737A}"/>
    <cellStyle name="Normal 12 3 3 7" xfId="6587" xr:uid="{3F2F9F92-8D29-48D2-9262-7ECD928A8E4C}"/>
    <cellStyle name="Normal 12 3 3 7 2" xfId="16535" xr:uid="{48688476-9FE0-4133-9FCB-F1DB11130298}"/>
    <cellStyle name="Normal 12 3 3 8" xfId="7416" xr:uid="{4EFF42B3-CE0E-4E10-B61E-33E92EBB1B22}"/>
    <cellStyle name="Normal 12 3 3 8 2" xfId="17364" xr:uid="{EDD99EA4-B702-4549-BF25-169A8B861A7B}"/>
    <cellStyle name="Normal 12 3 3 9" xfId="8245" xr:uid="{C5609248-724A-4E32-A739-D027434CD303}"/>
    <cellStyle name="Normal 12 3 3 9 2" xfId="18193" xr:uid="{DE8A6D34-3E81-407C-A9FF-1A4B18A5AF53}"/>
    <cellStyle name="Normal 12 3 4" xfId="2026" xr:uid="{1248D40F-499D-47BF-9B9A-3035ECEF5116}"/>
    <cellStyle name="Normal 12 3 4 2" xfId="11974" xr:uid="{D475CCB0-C5CB-4A53-A862-7E6EB6BEB20A}"/>
    <cellStyle name="Normal 12 3 5" xfId="2855" xr:uid="{A5EFE89F-2A16-4F3D-8223-6C0305C56AE9}"/>
    <cellStyle name="Normal 12 3 5 2" xfId="12803" xr:uid="{80793683-0E44-4BDD-9036-4565F6C6B32A}"/>
    <cellStyle name="Normal 12 3 6" xfId="3684" xr:uid="{03B5FEA6-44E2-4281-A3DE-AC06FB8EC1E2}"/>
    <cellStyle name="Normal 12 3 6 2" xfId="13632" xr:uid="{F54D6520-1A33-44A3-A442-3568D33ED1D6}"/>
    <cellStyle name="Normal 12 3 7" xfId="4513" xr:uid="{646F64D6-BF12-48B3-A215-3F66D4CB4D3E}"/>
    <cellStyle name="Normal 12 3 7 2" xfId="14461" xr:uid="{C9523748-DB16-4A15-B358-3DBF22A4D0DA}"/>
    <cellStyle name="Normal 12 3 8" xfId="5342" xr:uid="{E8F51F56-ACE9-441A-A52A-B01C556D48FE}"/>
    <cellStyle name="Normal 12 3 8 2" xfId="15290" xr:uid="{E6F8130B-F96B-423E-A7A0-B7B4A19B6DF7}"/>
    <cellStyle name="Normal 12 3 9" xfId="6171" xr:uid="{D1EF2C57-71BE-4F8B-A528-A41CFC5FFCF2}"/>
    <cellStyle name="Normal 12 3 9 2" xfId="16119" xr:uid="{3BA78329-E63A-4C59-AC96-4312D11D3099}"/>
    <cellStyle name="Normal 12 4" xfId="268" xr:uid="{00000000-0005-0000-0000-0000D1010000}"/>
    <cellStyle name="Normal 12 4 10" xfId="7831" xr:uid="{98B673A2-9A10-483C-94DD-C1374DA196DD}"/>
    <cellStyle name="Normal 12 4 10 2" xfId="17779" xr:uid="{E2C3B38C-ADE2-4D68-9EDD-4BA20F7617F8}"/>
    <cellStyle name="Normal 12 4 11" xfId="8660" xr:uid="{B3DDAF11-CFB0-405F-9CA1-7DE11C05AA01}"/>
    <cellStyle name="Normal 12 4 11 2" xfId="18608" xr:uid="{C140388E-891F-40F0-AC0E-45D41E87C49A}"/>
    <cellStyle name="Normal 12 4 12" xfId="9489" xr:uid="{0E885F53-1B8E-4BC2-BFD0-67CF2768967E}"/>
    <cellStyle name="Normal 12 4 12 2" xfId="19437" xr:uid="{31875368-38AD-4D18-8D34-37A0F49A6467}"/>
    <cellStyle name="Normal 12 4 13" xfId="10318" xr:uid="{4B904B67-566B-45A8-B3FB-BF8D32B2EF57}"/>
    <cellStyle name="Normal 12 4 13 2" xfId="20266" xr:uid="{98315F01-9F9B-4593-86A9-1B873E9EE016}"/>
    <cellStyle name="Normal 12 4 14" xfId="1199" xr:uid="{B3FB018B-4FFD-40C6-85C7-14C5AC04490A}"/>
    <cellStyle name="Normal 12 4 15" xfId="11147" xr:uid="{B8CF7617-3B50-4A8D-8C75-9F729365221A}"/>
    <cellStyle name="Normal 12 4 2" xfId="775" xr:uid="{00000000-0005-0000-0000-0000D2010000}"/>
    <cellStyle name="Normal 12 4 2 10" xfId="9076" xr:uid="{33D87E78-56B7-45A7-B6E4-22082C6578B1}"/>
    <cellStyle name="Normal 12 4 2 10 2" xfId="19024" xr:uid="{55BC26A3-EC1F-4428-ACC8-D1A3FD0EB70D}"/>
    <cellStyle name="Normal 12 4 2 11" xfId="9905" xr:uid="{D5D2E02E-F2F3-4214-BD23-AE209426975C}"/>
    <cellStyle name="Normal 12 4 2 11 2" xfId="19853" xr:uid="{EDF2B4D6-FC28-433C-A860-187F245F91F2}"/>
    <cellStyle name="Normal 12 4 2 12" xfId="10734" xr:uid="{920389F7-5E93-4FD5-8607-80E3077D7FAD}"/>
    <cellStyle name="Normal 12 4 2 12 2" xfId="20682" xr:uid="{6FA0DE18-A92A-485F-A4BF-123F823085A6}"/>
    <cellStyle name="Normal 12 4 2 13" xfId="1615" xr:uid="{593CF96D-1161-4C37-8F62-50E01FCA2210}"/>
    <cellStyle name="Normal 12 4 2 14" xfId="11563" xr:uid="{5245F4A0-1B36-410E-99ED-67AFA8D831F1}"/>
    <cellStyle name="Normal 12 4 2 2" xfId="2444" xr:uid="{6E30B4B8-0B0B-49AB-90E5-8BA8A499B2CA}"/>
    <cellStyle name="Normal 12 4 2 2 2" xfId="12392" xr:uid="{D10006D2-EC74-4FB1-8CD7-98C647237F22}"/>
    <cellStyle name="Normal 12 4 2 3" xfId="3273" xr:uid="{B964B629-F224-48CC-8E35-C747EF099521}"/>
    <cellStyle name="Normal 12 4 2 3 2" xfId="13221" xr:uid="{3A87286F-7741-4A6E-A919-7F85DABACC8F}"/>
    <cellStyle name="Normal 12 4 2 4" xfId="4102" xr:uid="{C1D1BBE7-A63E-4228-8195-742D843C310A}"/>
    <cellStyle name="Normal 12 4 2 4 2" xfId="14050" xr:uid="{2425A6F3-62AE-464A-A735-15B3CEEFC25E}"/>
    <cellStyle name="Normal 12 4 2 5" xfId="4931" xr:uid="{A3BD072E-A58E-450C-AF20-8A627928ADD4}"/>
    <cellStyle name="Normal 12 4 2 5 2" xfId="14879" xr:uid="{1DB6C134-D67D-4576-9E97-062D7F086EC0}"/>
    <cellStyle name="Normal 12 4 2 6" xfId="5760" xr:uid="{9F9ADFB6-D274-4A95-AB0F-10C75809EF28}"/>
    <cellStyle name="Normal 12 4 2 6 2" xfId="15708" xr:uid="{29ED10E7-1CA5-4BE8-B25D-1FFA98FA10AE}"/>
    <cellStyle name="Normal 12 4 2 7" xfId="6589" xr:uid="{7559BA6F-0E62-4CC2-8E88-DE6961F9892A}"/>
    <cellStyle name="Normal 12 4 2 7 2" xfId="16537" xr:uid="{F8A7BF4D-2E7E-4956-AB1E-2430212D9201}"/>
    <cellStyle name="Normal 12 4 2 8" xfId="7418" xr:uid="{759B7E08-889B-4E8E-8EB9-BFBCEFEE85C8}"/>
    <cellStyle name="Normal 12 4 2 8 2" xfId="17366" xr:uid="{A563E7EF-BDF0-47FF-84E0-08DB36050A5E}"/>
    <cellStyle name="Normal 12 4 2 9" xfId="8247" xr:uid="{3953AF4E-0660-4DDC-8503-011A569B7286}"/>
    <cellStyle name="Normal 12 4 2 9 2" xfId="18195" xr:uid="{301AEB76-95A9-4DD0-9D3D-47AF170F71B8}"/>
    <cellStyle name="Normal 12 4 3" xfId="2028" xr:uid="{0CC5642F-39D6-4E0D-B70D-F3DCD9CA8D43}"/>
    <cellStyle name="Normal 12 4 3 2" xfId="11976" xr:uid="{8BBD56D4-66B2-44E2-8363-CAA0CD9CFFA0}"/>
    <cellStyle name="Normal 12 4 4" xfId="2857" xr:uid="{D4F7CC82-C277-48CD-A778-F724B9FE2F92}"/>
    <cellStyle name="Normal 12 4 4 2" xfId="12805" xr:uid="{69AFBBF6-63BA-4DA5-AAAA-EE7B3857E478}"/>
    <cellStyle name="Normal 12 4 5" xfId="3686" xr:uid="{95A3F577-626D-42DC-8BFA-AEC963FAD46D}"/>
    <cellStyle name="Normal 12 4 5 2" xfId="13634" xr:uid="{01E5C084-573C-48CA-BAC2-BBFA040D9FAC}"/>
    <cellStyle name="Normal 12 4 6" xfId="4515" xr:uid="{4764F46C-AC8C-45F5-9325-929C3BE53BE4}"/>
    <cellStyle name="Normal 12 4 6 2" xfId="14463" xr:uid="{0019B75E-AE38-4F01-9C25-6E6C1B559245}"/>
    <cellStyle name="Normal 12 4 7" xfId="5344" xr:uid="{9F25C02B-BCA7-41E9-AC08-943FD5764BBE}"/>
    <cellStyle name="Normal 12 4 7 2" xfId="15292" xr:uid="{C3E97AAC-76F1-4894-8C72-F8030F3E318B}"/>
    <cellStyle name="Normal 12 4 8" xfId="6173" xr:uid="{F04754C7-7910-44E6-9362-1A1BA58BA9BA}"/>
    <cellStyle name="Normal 12 4 8 2" xfId="16121" xr:uid="{C034710F-FB82-4D96-8284-A51142F15C5E}"/>
    <cellStyle name="Normal 12 4 9" xfId="7002" xr:uid="{E68C5D4F-EA12-4F4F-8330-DE47ED6E89F9}"/>
    <cellStyle name="Normal 12 4 9 2" xfId="16950" xr:uid="{227FC02A-2200-4787-AFA3-81B1FC52420A}"/>
    <cellStyle name="Normal 12 5" xfId="269" xr:uid="{00000000-0005-0000-0000-0000D3010000}"/>
    <cellStyle name="Normal 12 6" xfId="768" xr:uid="{00000000-0005-0000-0000-0000D4010000}"/>
    <cellStyle name="Normal 12 6 10" xfId="9069" xr:uid="{1230B15C-4784-4732-B52C-DE048C820348}"/>
    <cellStyle name="Normal 12 6 10 2" xfId="19017" xr:uid="{E94E9339-BDB8-4652-9752-46C31E86F50B}"/>
    <cellStyle name="Normal 12 6 11" xfId="9898" xr:uid="{3309EA5A-76EC-4B47-8C83-7A593678B6B7}"/>
    <cellStyle name="Normal 12 6 11 2" xfId="19846" xr:uid="{8F861161-BD5B-41F3-8BF9-EDD6B028BD88}"/>
    <cellStyle name="Normal 12 6 12" xfId="10727" xr:uid="{0A8C1CDB-6018-4C09-96A4-B5286CB3BFFA}"/>
    <cellStyle name="Normal 12 6 12 2" xfId="20675" xr:uid="{7483E52C-68DC-407A-9292-E5FF7657594E}"/>
    <cellStyle name="Normal 12 6 13" xfId="1608" xr:uid="{8CD3F981-1BC0-4A6F-986D-7FFFE69151AE}"/>
    <cellStyle name="Normal 12 6 14" xfId="11556" xr:uid="{D144D140-8506-469D-B033-CB7E66F771F7}"/>
    <cellStyle name="Normal 12 6 2" xfId="2437" xr:uid="{6F4B723E-2CDB-4509-BC8A-9058B4A0E1A5}"/>
    <cellStyle name="Normal 12 6 2 2" xfId="12385" xr:uid="{D1CCC898-9E02-4FE0-8D5A-10187F7252A8}"/>
    <cellStyle name="Normal 12 6 3" xfId="3266" xr:uid="{EECA05C4-9222-46D0-B413-0816DA89A412}"/>
    <cellStyle name="Normal 12 6 3 2" xfId="13214" xr:uid="{92C97808-23E2-409E-9277-8660E7465CE8}"/>
    <cellStyle name="Normal 12 6 4" xfId="4095" xr:uid="{8D2B4F65-CB2E-40A5-8C0A-4FA1A1F71874}"/>
    <cellStyle name="Normal 12 6 4 2" xfId="14043" xr:uid="{E581C20D-F73F-48BF-AB11-8AD99B90ECCD}"/>
    <cellStyle name="Normal 12 6 5" xfId="4924" xr:uid="{E75CD720-1CB4-49E9-86F9-3E208994BB8B}"/>
    <cellStyle name="Normal 12 6 5 2" xfId="14872" xr:uid="{377B8061-EF09-4031-971E-D319C9EF33AA}"/>
    <cellStyle name="Normal 12 6 6" xfId="5753" xr:uid="{B05D96BA-C3E2-425D-84D5-6C668E0EEE8C}"/>
    <cellStyle name="Normal 12 6 6 2" xfId="15701" xr:uid="{806F6A0F-6292-4BE4-8DE4-5C1526D56F34}"/>
    <cellStyle name="Normal 12 6 7" xfId="6582" xr:uid="{C78FDB1F-FC58-4DFA-BFF2-FE1BCC96BEC2}"/>
    <cellStyle name="Normal 12 6 7 2" xfId="16530" xr:uid="{746C0F75-1994-4D32-BABF-167A00194735}"/>
    <cellStyle name="Normal 12 6 8" xfId="7411" xr:uid="{0A695086-FC96-45FD-AA2D-E6ED923AD9BA}"/>
    <cellStyle name="Normal 12 6 8 2" xfId="17359" xr:uid="{F4E7B55E-FD1E-4C8D-883E-CB1DB183C4B6}"/>
    <cellStyle name="Normal 12 6 9" xfId="8240" xr:uid="{D043DC3D-2142-4153-BBBE-5E14941CF53B}"/>
    <cellStyle name="Normal 12 6 9 2" xfId="18188" xr:uid="{67E01672-6749-4E0A-9BD8-5A3E731A7A8A}"/>
    <cellStyle name="Normal 12 7" xfId="2021" xr:uid="{1F20A2F6-6ADA-4480-A571-B55408DE1E81}"/>
    <cellStyle name="Normal 12 7 2" xfId="11969" xr:uid="{FD876377-817B-4922-A770-56D60812A987}"/>
    <cellStyle name="Normal 12 8" xfId="2850" xr:uid="{3BF4D0F4-8E16-40DA-87CC-CC317DFDB07D}"/>
    <cellStyle name="Normal 12 8 2" xfId="12798" xr:uid="{E4E834A6-CB3E-4FE1-88F2-BE5C253408F9}"/>
    <cellStyle name="Normal 12 9" xfId="3679" xr:uid="{CC8E7381-EBDA-4CBA-B2E3-11E18F262F76}"/>
    <cellStyle name="Normal 12 9 2" xfId="13627" xr:uid="{40329CC8-A6C4-4700-BFD9-C2DACF6EE387}"/>
    <cellStyle name="Normal 13" xfId="270" xr:uid="{00000000-0005-0000-0000-0000D5010000}"/>
    <cellStyle name="Normal 13 2" xfId="271" xr:uid="{00000000-0005-0000-0000-0000D6010000}"/>
    <cellStyle name="Normal 14" xfId="272" xr:uid="{00000000-0005-0000-0000-0000D7010000}"/>
    <cellStyle name="Normal 14 10" xfId="7832" xr:uid="{DF0EF63C-8FCC-40F4-A8E1-C109FAEFD12E}"/>
    <cellStyle name="Normal 14 10 2" xfId="17780" xr:uid="{1F1613E4-953E-4F6D-BAC7-D1FD74FA251A}"/>
    <cellStyle name="Normal 14 11" xfId="8661" xr:uid="{60D699DA-7AA7-4A15-9BDC-5F297562B164}"/>
    <cellStyle name="Normal 14 11 2" xfId="18609" xr:uid="{EAAF6D40-3807-4D44-A265-B54F50D3F516}"/>
    <cellStyle name="Normal 14 12" xfId="9490" xr:uid="{A3CFFDF8-61F8-4E36-9A56-FC41D6F7C7A7}"/>
    <cellStyle name="Normal 14 12 2" xfId="19438" xr:uid="{31D2FBE0-A2FC-4DB7-A571-00606EF58E1E}"/>
    <cellStyle name="Normal 14 13" xfId="10319" xr:uid="{6066E550-F9AD-4D0A-9EB8-B9F5E1E2052A}"/>
    <cellStyle name="Normal 14 13 2" xfId="20267" xr:uid="{A9808182-1E6D-4BEE-9B9E-852F92971184}"/>
    <cellStyle name="Normal 14 14" xfId="1200" xr:uid="{F9BD620A-F374-400B-9D48-D432F66DF506}"/>
    <cellStyle name="Normal 14 15" xfId="11148" xr:uid="{B04A3359-E99F-408B-9490-EDACCF159893}"/>
    <cellStyle name="Normal 14 2" xfId="776" xr:uid="{00000000-0005-0000-0000-0000D8010000}"/>
    <cellStyle name="Normal 14 2 10" xfId="9077" xr:uid="{AA9EFF7F-C42C-472A-92EB-5D26D6AA5F99}"/>
    <cellStyle name="Normal 14 2 10 2" xfId="19025" xr:uid="{5AEA9353-A09B-4345-80CF-74DC9C17A033}"/>
    <cellStyle name="Normal 14 2 11" xfId="9906" xr:uid="{16731F7A-A251-4E5C-83D3-5215D833ACC0}"/>
    <cellStyle name="Normal 14 2 11 2" xfId="19854" xr:uid="{D51B86A2-65E8-4182-A6FF-58C989624173}"/>
    <cellStyle name="Normal 14 2 12" xfId="10735" xr:uid="{5857D3BE-B72B-4C5E-A7ED-70B570D838B7}"/>
    <cellStyle name="Normal 14 2 12 2" xfId="20683" xr:uid="{723FE828-F127-4BDA-9390-37A61E4C07D6}"/>
    <cellStyle name="Normal 14 2 13" xfId="1616" xr:uid="{693E7310-6F32-479C-AB2F-E7A76D775385}"/>
    <cellStyle name="Normal 14 2 14" xfId="11564" xr:uid="{034001E1-8830-40B4-A5B7-388B6AC67FF9}"/>
    <cellStyle name="Normal 14 2 2" xfId="2445" xr:uid="{7B2EAF35-647A-45A0-8494-8596DE9E6087}"/>
    <cellStyle name="Normal 14 2 2 2" xfId="12393" xr:uid="{C98CA879-AF44-4AA2-AC53-8437875C2ECE}"/>
    <cellStyle name="Normal 14 2 3" xfId="3274" xr:uid="{ADC8D3B5-7D2E-4E6F-A647-872E6A08E666}"/>
    <cellStyle name="Normal 14 2 3 2" xfId="13222" xr:uid="{E46A273F-98E0-4174-A294-65235A3B2ADE}"/>
    <cellStyle name="Normal 14 2 4" xfId="4103" xr:uid="{1F0E0245-81D4-4726-B716-6BC4E55E412F}"/>
    <cellStyle name="Normal 14 2 4 2" xfId="14051" xr:uid="{7C5FDCD4-6B2E-4A01-83B6-CE8A0226FCE8}"/>
    <cellStyle name="Normal 14 2 5" xfId="4932" xr:uid="{9175B2F6-41DA-4311-A8D2-BCC2B3F5096E}"/>
    <cellStyle name="Normal 14 2 5 2" xfId="14880" xr:uid="{C6EFE99F-2D6D-4E9B-80E6-60B7C05F175B}"/>
    <cellStyle name="Normal 14 2 6" xfId="5761" xr:uid="{0079D67D-258B-4911-B368-55F95DADDE97}"/>
    <cellStyle name="Normal 14 2 6 2" xfId="15709" xr:uid="{473D1B0D-69E5-4332-BDC4-C486DCC28DB4}"/>
    <cellStyle name="Normal 14 2 7" xfId="6590" xr:uid="{5F054A22-9F54-4528-8334-951226012D20}"/>
    <cellStyle name="Normal 14 2 7 2" xfId="16538" xr:uid="{FA09CEBB-0164-43F8-92BE-A018CB672A21}"/>
    <cellStyle name="Normal 14 2 8" xfId="7419" xr:uid="{55E31216-8A32-4676-80C3-6337E67860F8}"/>
    <cellStyle name="Normal 14 2 8 2" xfId="17367" xr:uid="{7493AEAE-4C30-4170-96D5-3467082E9857}"/>
    <cellStyle name="Normal 14 2 9" xfId="8248" xr:uid="{2DB6F864-D9EF-4A19-9319-603492B34E37}"/>
    <cellStyle name="Normal 14 2 9 2" xfId="18196" xr:uid="{DD6089CE-8C0A-4530-A9BC-4470EB64175C}"/>
    <cellStyle name="Normal 14 3" xfId="2029" xr:uid="{C8746941-5553-49C4-BE1D-66798F8C605D}"/>
    <cellStyle name="Normal 14 3 2" xfId="11977" xr:uid="{10420B49-B23A-47F3-B0BC-BD7DF722CE7E}"/>
    <cellStyle name="Normal 14 4" xfId="2858" xr:uid="{2619EBC2-8747-400C-9DBA-7A5E91620017}"/>
    <cellStyle name="Normal 14 4 2" xfId="12806" xr:uid="{F08092A3-D35C-41EF-82BD-AD6FEBDBEA85}"/>
    <cellStyle name="Normal 14 5" xfId="3687" xr:uid="{B02D496B-248B-4DE8-A2AA-CE4420AD7D13}"/>
    <cellStyle name="Normal 14 5 2" xfId="13635" xr:uid="{382AF73A-3766-4A3D-B29D-945626A6216A}"/>
    <cellStyle name="Normal 14 6" xfId="4516" xr:uid="{B5959D00-5FB5-48B4-AD49-6A61F467E888}"/>
    <cellStyle name="Normal 14 6 2" xfId="14464" xr:uid="{40618481-8297-4ABD-8436-DADCEF532286}"/>
    <cellStyle name="Normal 14 7" xfId="5345" xr:uid="{DCA8681F-96D8-421E-9673-8F6DA80DC3F5}"/>
    <cellStyle name="Normal 14 7 2" xfId="15293" xr:uid="{3A239677-89F8-4864-9DD9-DBB90C2DB26F}"/>
    <cellStyle name="Normal 14 8" xfId="6174" xr:uid="{9B266797-E59C-43E9-860F-35C31C308BBD}"/>
    <cellStyle name="Normal 14 8 2" xfId="16122" xr:uid="{334CC174-F3F3-4BF4-8C7B-D95297160D95}"/>
    <cellStyle name="Normal 14 9" xfId="7003" xr:uid="{EEF3326E-9997-44BA-9B27-F1C2DBD7F062}"/>
    <cellStyle name="Normal 14 9 2" xfId="16951" xr:uid="{0CE2034C-8D2E-4180-9A9A-246C3EBF4821}"/>
    <cellStyle name="Normal 15" xfId="575" xr:uid="{00000000-0005-0000-0000-0000D9010000}"/>
    <cellStyle name="Normal 15 10" xfId="8906" xr:uid="{E91C2B78-88B9-4753-A3DE-5C863CEEE024}"/>
    <cellStyle name="Normal 15 10 2" xfId="18854" xr:uid="{43C90D9D-F4B7-47FD-ACB9-1FAA186D9D55}"/>
    <cellStyle name="Normal 15 11" xfId="9735" xr:uid="{4817DC86-BE51-474D-AB8B-8BD268335714}"/>
    <cellStyle name="Normal 15 11 2" xfId="19683" xr:uid="{DC9C9675-4B6B-4F54-987E-DB3D398D14FD}"/>
    <cellStyle name="Normal 15 12" xfId="10564" xr:uid="{E1EA0584-4231-4A40-83BD-14AB139BF858}"/>
    <cellStyle name="Normal 15 12 2" xfId="20512" xr:uid="{2F8ED58A-3CA2-4C25-9D77-6D61A4C4790D}"/>
    <cellStyle name="Normal 15 13" xfId="1445" xr:uid="{BE3A0B41-18E0-479F-92BC-7DD3FFE7B86A}"/>
    <cellStyle name="Normal 15 14" xfId="11393" xr:uid="{0CAB043E-80FA-4E4E-BBD6-1F24F0981AE8}"/>
    <cellStyle name="Normal 15 2" xfId="2274" xr:uid="{8925443C-7C90-4D54-A29D-E22727AB2BB4}"/>
    <cellStyle name="Normal 15 2 2" xfId="12222" xr:uid="{D9B7414D-8539-418D-916B-803E80E0A19C}"/>
    <cellStyle name="Normal 15 3" xfId="3103" xr:uid="{77D343C1-6860-42C1-833F-9FAD6D7CCB1B}"/>
    <cellStyle name="Normal 15 3 2" xfId="13051" xr:uid="{FA53AE77-8886-40CF-8883-BC9A0FF1C83A}"/>
    <cellStyle name="Normal 15 4" xfId="3932" xr:uid="{F47840F2-79D3-4B9A-BF2C-7D7D093AC594}"/>
    <cellStyle name="Normal 15 4 2" xfId="13880" xr:uid="{8AB4B5B9-6950-43D7-BD36-067FAB4BD878}"/>
    <cellStyle name="Normal 15 5" xfId="4761" xr:uid="{E375627E-EC33-4CD3-839B-B4FDFF0EFFDA}"/>
    <cellStyle name="Normal 15 5 2" xfId="14709" xr:uid="{A089F931-987D-4115-A33A-3B9E4C298686}"/>
    <cellStyle name="Normal 15 6" xfId="5590" xr:uid="{E264A427-44A5-422B-9C9E-9DD07B5A5061}"/>
    <cellStyle name="Normal 15 6 2" xfId="15538" xr:uid="{74BD9653-40D4-4EF4-86AD-89C1E1761DA3}"/>
    <cellStyle name="Normal 15 7" xfId="6419" xr:uid="{72DC104C-6E95-41E2-AEFB-3386FE50E749}"/>
    <cellStyle name="Normal 15 7 2" xfId="16367" xr:uid="{3F35BB27-18D2-4E7F-B3B2-04C7A6E5E36A}"/>
    <cellStyle name="Normal 15 8" xfId="7248" xr:uid="{429679EA-03F8-44F3-BBB9-2DFC05B269E5}"/>
    <cellStyle name="Normal 15 8 2" xfId="17196" xr:uid="{5BEBD209-F549-4FBD-ADE0-C87237241E89}"/>
    <cellStyle name="Normal 15 9" xfId="8077" xr:uid="{EABA691B-24B2-472E-BAC0-0A54B8833C38}"/>
    <cellStyle name="Normal 15 9 2" xfId="18025" xr:uid="{BA2F8341-937B-4FA4-ADD7-E6A873F93DDD}"/>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10" xfId="3688" xr:uid="{78D488C1-32DE-48C3-B670-F8A2C9B96AD0}"/>
    <cellStyle name="Normal 2 4 2 10 2" xfId="13636" xr:uid="{97C0D083-71C1-4752-8CDA-98953A0C4F11}"/>
    <cellStyle name="Normal 2 4 2 11" xfId="4517" xr:uid="{6351A7CD-E17D-4A9C-94B4-3FBE26F18C49}"/>
    <cellStyle name="Normal 2 4 2 11 2" xfId="14465" xr:uid="{D46F9EE0-31D8-4741-BC59-5D09800073D0}"/>
    <cellStyle name="Normal 2 4 2 12" xfId="5346" xr:uid="{FF81926B-ABF0-4526-ACB8-F08B178EE844}"/>
    <cellStyle name="Normal 2 4 2 12 2" xfId="15294" xr:uid="{0BF07B01-98E1-4FC2-A823-8AFD41432878}"/>
    <cellStyle name="Normal 2 4 2 13" xfId="6175" xr:uid="{1584AE49-2EB6-434B-AAB2-EEB051701E50}"/>
    <cellStyle name="Normal 2 4 2 13 2" xfId="16123" xr:uid="{B6FB18EE-9695-467C-AF57-B8345F7FE33B}"/>
    <cellStyle name="Normal 2 4 2 14" xfId="7004" xr:uid="{49DC9BA0-C766-458E-9BB3-AC021C7A9035}"/>
    <cellStyle name="Normal 2 4 2 14 2" xfId="16952" xr:uid="{4357B96A-CB4D-49E7-B273-EA1332D761CF}"/>
    <cellStyle name="Normal 2 4 2 15" xfId="7833" xr:uid="{52D6F52C-AB0A-438C-B615-4F3BF7A1B047}"/>
    <cellStyle name="Normal 2 4 2 15 2" xfId="17781" xr:uid="{3506F952-774C-4C3F-A4B0-9B61F79A8907}"/>
    <cellStyle name="Normal 2 4 2 16" xfId="8662" xr:uid="{E008028F-FEEF-4F80-ACF6-7E62A71AB163}"/>
    <cellStyle name="Normal 2 4 2 16 2" xfId="18610" xr:uid="{D1731C11-42C1-4AA6-979A-8B0FF4D9BABB}"/>
    <cellStyle name="Normal 2 4 2 17" xfId="9491" xr:uid="{239D3142-F4AE-4C5B-BEC3-D7DEF4D23209}"/>
    <cellStyle name="Normal 2 4 2 17 2" xfId="19439" xr:uid="{5C3FB694-F8F3-40C0-A331-E75C77EC77BA}"/>
    <cellStyle name="Normal 2 4 2 18" xfId="10320" xr:uid="{7DA556FC-4E6B-41F7-AA8B-ACE03046417C}"/>
    <cellStyle name="Normal 2 4 2 18 2" xfId="20268" xr:uid="{0F73CD40-1ED2-464A-9931-A062C9422FF4}"/>
    <cellStyle name="Normal 2 4 2 19" xfId="1201" xr:uid="{3837CBBB-E4C8-4FFF-ADD4-299AE7760E9F}"/>
    <cellStyle name="Normal 2 4 2 2" xfId="283" xr:uid="{00000000-0005-0000-0000-0000E6010000}"/>
    <cellStyle name="Normal 2 4 2 20" xfId="11149" xr:uid="{4CD77FF1-2654-444B-AD40-0D637BD48912}"/>
    <cellStyle name="Normal 2 4 2 3" xfId="284" xr:uid="{00000000-0005-0000-0000-0000E7010000}"/>
    <cellStyle name="Normal 2 4 2 3 10" xfId="5347" xr:uid="{07D03DF7-39BC-4D0E-B457-2EE436FA39E2}"/>
    <cellStyle name="Normal 2 4 2 3 10 2" xfId="15295" xr:uid="{5FD6FAC3-0064-4B06-91FB-BBC681879824}"/>
    <cellStyle name="Normal 2 4 2 3 11" xfId="6176" xr:uid="{1F719F39-4932-4AFC-9E21-2C100C93B072}"/>
    <cellStyle name="Normal 2 4 2 3 11 2" xfId="16124" xr:uid="{A3BAAFB1-1806-4F13-9634-5A27D3E6870F}"/>
    <cellStyle name="Normal 2 4 2 3 12" xfId="7005" xr:uid="{40A6332B-44F8-446C-987A-14EDC58E407A}"/>
    <cellStyle name="Normal 2 4 2 3 12 2" xfId="16953" xr:uid="{FE1E2B81-B164-46A0-A671-4CBEC5436C4A}"/>
    <cellStyle name="Normal 2 4 2 3 13" xfId="7834" xr:uid="{0A9951C1-B479-4420-BB29-F183B3A950DF}"/>
    <cellStyle name="Normal 2 4 2 3 13 2" xfId="17782" xr:uid="{8449FC86-F0B9-4ABE-BC0B-63023A523C25}"/>
    <cellStyle name="Normal 2 4 2 3 14" xfId="8663" xr:uid="{60C051B6-7EBE-414C-9486-40A79D75FEE7}"/>
    <cellStyle name="Normal 2 4 2 3 14 2" xfId="18611" xr:uid="{DF91985F-78E1-4F42-A29E-C61874F52C2C}"/>
    <cellStyle name="Normal 2 4 2 3 15" xfId="9492" xr:uid="{50C4C3C5-0BAC-4569-9AB3-97EBFBA78EFA}"/>
    <cellStyle name="Normal 2 4 2 3 15 2" xfId="19440" xr:uid="{EB66BEF4-C532-41B3-A6E4-8B2772D32494}"/>
    <cellStyle name="Normal 2 4 2 3 16" xfId="10321" xr:uid="{7C4443F0-E18C-4F41-A62A-963D6AD51DC3}"/>
    <cellStyle name="Normal 2 4 2 3 16 2" xfId="20269" xr:uid="{48BDE186-DF87-4855-A1F4-5DE719065CDF}"/>
    <cellStyle name="Normal 2 4 2 3 17" xfId="1202" xr:uid="{386AF423-3883-44BA-89E9-3525DEE858D8}"/>
    <cellStyle name="Normal 2 4 2 3 18" xfId="11150" xr:uid="{D2969687-2E9C-4F58-9DC5-6F4828AD04BC}"/>
    <cellStyle name="Normal 2 4 2 3 2" xfId="285" xr:uid="{00000000-0005-0000-0000-0000E8010000}"/>
    <cellStyle name="Normal 2 4 2 3 2 10" xfId="6177" xr:uid="{4EA161C1-14C0-43EC-996E-D73E9642E773}"/>
    <cellStyle name="Normal 2 4 2 3 2 10 2" xfId="16125" xr:uid="{8332254B-68EE-4C25-BB4E-43FA62110FBC}"/>
    <cellStyle name="Normal 2 4 2 3 2 11" xfId="7006" xr:uid="{9A0816DD-BCE6-401E-8123-14C6BF3B9F40}"/>
    <cellStyle name="Normal 2 4 2 3 2 11 2" xfId="16954" xr:uid="{99E90772-A047-4EEA-ADE7-81CBBC46C92C}"/>
    <cellStyle name="Normal 2 4 2 3 2 12" xfId="7835" xr:uid="{0FE14417-9855-4B0C-973F-ED813A0C7254}"/>
    <cellStyle name="Normal 2 4 2 3 2 12 2" xfId="17783" xr:uid="{4D41A629-12A9-404E-A4AC-24950D78DDAF}"/>
    <cellStyle name="Normal 2 4 2 3 2 13" xfId="8664" xr:uid="{D2049E26-463F-4BF4-8080-08D18107C210}"/>
    <cellStyle name="Normal 2 4 2 3 2 13 2" xfId="18612" xr:uid="{5313F947-E008-44AA-9A15-C5EEE2B9C9A0}"/>
    <cellStyle name="Normal 2 4 2 3 2 14" xfId="9493" xr:uid="{9C8DA122-D954-4ED2-A902-26E241FF23C5}"/>
    <cellStyle name="Normal 2 4 2 3 2 14 2" xfId="19441" xr:uid="{D5B24C0B-9490-4B71-84E9-EAE3DEBDC225}"/>
    <cellStyle name="Normal 2 4 2 3 2 15" xfId="10322" xr:uid="{4FF9F004-6BDF-4F44-8D8E-9993CF4D7793}"/>
    <cellStyle name="Normal 2 4 2 3 2 15 2" xfId="20270" xr:uid="{FDBA5648-E9E4-4400-AD68-293E15A5FCE7}"/>
    <cellStyle name="Normal 2 4 2 3 2 16" xfId="1203" xr:uid="{1E24CD10-4388-4DD2-A162-794B7A8E99B7}"/>
    <cellStyle name="Normal 2 4 2 3 2 17" xfId="11151" xr:uid="{752B6CA8-9AE0-48AC-97AA-9D5DF1406499}"/>
    <cellStyle name="Normal 2 4 2 3 2 2" xfId="286" xr:uid="{00000000-0005-0000-0000-0000E9010000}"/>
    <cellStyle name="Normal 2 4 2 3 2 2 10" xfId="7007" xr:uid="{62033ED3-2FDC-4A72-B234-71637BD9F43F}"/>
    <cellStyle name="Normal 2 4 2 3 2 2 10 2" xfId="16955" xr:uid="{ADC585FB-8A75-4187-96DE-11E60E23F2F9}"/>
    <cellStyle name="Normal 2 4 2 3 2 2 11" xfId="7836" xr:uid="{12135F5A-6533-445D-9DD9-AC5467A1FCEC}"/>
    <cellStyle name="Normal 2 4 2 3 2 2 11 2" xfId="17784" xr:uid="{A8E53EA5-2FB1-4DEF-A95D-205ABB4554C9}"/>
    <cellStyle name="Normal 2 4 2 3 2 2 12" xfId="8665" xr:uid="{9165E561-B605-4A94-B07C-F22D1C56D3B2}"/>
    <cellStyle name="Normal 2 4 2 3 2 2 12 2" xfId="18613" xr:uid="{818C4D10-F6E6-4E2B-893F-B3D19D7CFF5F}"/>
    <cellStyle name="Normal 2 4 2 3 2 2 13" xfId="9494" xr:uid="{E682E88E-902B-4D84-8809-9ED4E0726624}"/>
    <cellStyle name="Normal 2 4 2 3 2 2 13 2" xfId="19442" xr:uid="{F22872B6-E87D-45BB-8F1D-3F363015B28A}"/>
    <cellStyle name="Normal 2 4 2 3 2 2 14" xfId="10323" xr:uid="{105736E0-E323-439A-9A89-353F78682117}"/>
    <cellStyle name="Normal 2 4 2 3 2 2 14 2" xfId="20271" xr:uid="{BE30F6A4-5A35-4AB5-A443-72C6738F8895}"/>
    <cellStyle name="Normal 2 4 2 3 2 2 15" xfId="1204" xr:uid="{09AF291D-C74E-45AD-81CB-FFFBF9E0F9B7}"/>
    <cellStyle name="Normal 2 4 2 3 2 2 16" xfId="11152" xr:uid="{44C00EA1-5FE1-4751-A47D-386529EACF9B}"/>
    <cellStyle name="Normal 2 4 2 3 2 2 2" xfId="287" xr:uid="{00000000-0005-0000-0000-0000EA010000}"/>
    <cellStyle name="Normal 2 4 2 3 2 2 2 10" xfId="7837" xr:uid="{67F663D5-B719-4E34-8B08-7441F278A7EC}"/>
    <cellStyle name="Normal 2 4 2 3 2 2 2 10 2" xfId="17785" xr:uid="{5B361630-D9BD-4626-8F0A-175280355A09}"/>
    <cellStyle name="Normal 2 4 2 3 2 2 2 11" xfId="8666" xr:uid="{FBF1DA53-CA16-4FDA-99BB-9D841241193F}"/>
    <cellStyle name="Normal 2 4 2 3 2 2 2 11 2" xfId="18614" xr:uid="{A22EAC8D-AB95-4AFA-B3FD-68B9E4D54746}"/>
    <cellStyle name="Normal 2 4 2 3 2 2 2 12" xfId="9495" xr:uid="{D5681EAC-BA60-4DD3-817B-278FA9AFE928}"/>
    <cellStyle name="Normal 2 4 2 3 2 2 2 12 2" xfId="19443" xr:uid="{DB81629B-9897-4A86-A26A-99D871B3EA1E}"/>
    <cellStyle name="Normal 2 4 2 3 2 2 2 13" xfId="10324" xr:uid="{7BDB9E5D-4586-4A93-9599-FCF2FA3578CA}"/>
    <cellStyle name="Normal 2 4 2 3 2 2 2 13 2" xfId="20272" xr:uid="{659ADB40-EB54-424F-92BE-632D03778FD5}"/>
    <cellStyle name="Normal 2 4 2 3 2 2 2 14" xfId="1205" xr:uid="{9EEFBBC9-E9DD-47A6-8397-2521BD69DFAE}"/>
    <cellStyle name="Normal 2 4 2 3 2 2 2 15" xfId="11153" xr:uid="{A8771488-5921-4690-986C-6A1DBEECF413}"/>
    <cellStyle name="Normal 2 4 2 3 2 2 2 2" xfId="783" xr:uid="{00000000-0005-0000-0000-0000EB010000}"/>
    <cellStyle name="Normal 2 4 2 3 2 2 2 2 10" xfId="9082" xr:uid="{0DFEAFB3-1065-4CC6-944A-1097DF9BB3AF}"/>
    <cellStyle name="Normal 2 4 2 3 2 2 2 2 10 2" xfId="19030" xr:uid="{322F27BC-02EB-4B56-983F-F170AC42945E}"/>
    <cellStyle name="Normal 2 4 2 3 2 2 2 2 11" xfId="9911" xr:uid="{997FD072-2CEC-40D8-8BC6-1010C15E39D6}"/>
    <cellStyle name="Normal 2 4 2 3 2 2 2 2 11 2" xfId="19859" xr:uid="{ADB278F0-A930-43A2-A04B-36C1B36F187B}"/>
    <cellStyle name="Normal 2 4 2 3 2 2 2 2 12" xfId="10740" xr:uid="{674BFBAC-003F-4570-8013-50ABA903A3DC}"/>
    <cellStyle name="Normal 2 4 2 3 2 2 2 2 12 2" xfId="20688" xr:uid="{BFAB3057-AD5D-48E8-99E5-0D9643154D6F}"/>
    <cellStyle name="Normal 2 4 2 3 2 2 2 2 13" xfId="1621" xr:uid="{4FEC37B7-468E-4A2A-8CFB-F89A35F46236}"/>
    <cellStyle name="Normal 2 4 2 3 2 2 2 2 14" xfId="11569" xr:uid="{7DD94FC2-31E7-440B-AB6C-0A71366EF9D4}"/>
    <cellStyle name="Normal 2 4 2 3 2 2 2 2 2" xfId="2450" xr:uid="{CE985948-3B31-4D03-BDA8-7B8BE6D75974}"/>
    <cellStyle name="Normal 2 4 2 3 2 2 2 2 2 2" xfId="12398" xr:uid="{5B4FF6F6-7090-415F-BA99-60E9B3ED3C6C}"/>
    <cellStyle name="Normal 2 4 2 3 2 2 2 2 3" xfId="3279" xr:uid="{85B317F4-F528-4244-AD4B-83A4138DB9BC}"/>
    <cellStyle name="Normal 2 4 2 3 2 2 2 2 3 2" xfId="13227" xr:uid="{F9557A96-7F6E-4016-B320-5B5E111505F1}"/>
    <cellStyle name="Normal 2 4 2 3 2 2 2 2 4" xfId="4108" xr:uid="{F1310A31-EAED-42EF-84C1-5BFBFA9BD0C3}"/>
    <cellStyle name="Normal 2 4 2 3 2 2 2 2 4 2" xfId="14056" xr:uid="{6FEC879B-B315-46E6-B94F-C372C02776C4}"/>
    <cellStyle name="Normal 2 4 2 3 2 2 2 2 5" xfId="4937" xr:uid="{5F802DA9-0B4B-4BC9-8005-EC28D5093EDD}"/>
    <cellStyle name="Normal 2 4 2 3 2 2 2 2 5 2" xfId="14885" xr:uid="{BA361525-B8FF-424B-8BE7-B663661EBD38}"/>
    <cellStyle name="Normal 2 4 2 3 2 2 2 2 6" xfId="5766" xr:uid="{0C2C32B0-BE0F-4F11-9087-016EED432B11}"/>
    <cellStyle name="Normal 2 4 2 3 2 2 2 2 6 2" xfId="15714" xr:uid="{0F8E3EA7-65A3-4A49-88DA-840F279C792A}"/>
    <cellStyle name="Normal 2 4 2 3 2 2 2 2 7" xfId="6595" xr:uid="{0AE78EFE-79D5-4C40-A68E-657664DC0E28}"/>
    <cellStyle name="Normal 2 4 2 3 2 2 2 2 7 2" xfId="16543" xr:uid="{9441237C-6FE3-4B5E-9C07-FF27FBF96A06}"/>
    <cellStyle name="Normal 2 4 2 3 2 2 2 2 8" xfId="7424" xr:uid="{5AB62A48-E661-4AA9-B529-555026394EFE}"/>
    <cellStyle name="Normal 2 4 2 3 2 2 2 2 8 2" xfId="17372" xr:uid="{DD755C72-45E9-4E04-8E40-DF07B28A4EE2}"/>
    <cellStyle name="Normal 2 4 2 3 2 2 2 2 9" xfId="8253" xr:uid="{C1F508AD-471A-4D7F-814D-9B38A8AC4195}"/>
    <cellStyle name="Normal 2 4 2 3 2 2 2 2 9 2" xfId="18201" xr:uid="{0E0857C3-7B2B-4E8B-9245-CB62AB8019B3}"/>
    <cellStyle name="Normal 2 4 2 3 2 2 2 3" xfId="2034" xr:uid="{9E1EB525-284C-4368-A451-972651A2AEC7}"/>
    <cellStyle name="Normal 2 4 2 3 2 2 2 3 2" xfId="11982" xr:uid="{CC89FDD4-AF3A-4C70-8A78-9D59B0D2DDF1}"/>
    <cellStyle name="Normal 2 4 2 3 2 2 2 4" xfId="2863" xr:uid="{FA073C53-B23C-498E-8EA0-10E5CAE22935}"/>
    <cellStyle name="Normal 2 4 2 3 2 2 2 4 2" xfId="12811" xr:uid="{2096CBDE-A4F1-4ABE-AC2E-E131FE585EE5}"/>
    <cellStyle name="Normal 2 4 2 3 2 2 2 5" xfId="3692" xr:uid="{38C72263-4061-4137-8FD8-940465DE699F}"/>
    <cellStyle name="Normal 2 4 2 3 2 2 2 5 2" xfId="13640" xr:uid="{1A9E0484-9C33-41C9-920F-D0D6C29FA224}"/>
    <cellStyle name="Normal 2 4 2 3 2 2 2 6" xfId="4521" xr:uid="{ACAFA613-AB07-466D-AAC7-212BAEFED592}"/>
    <cellStyle name="Normal 2 4 2 3 2 2 2 6 2" xfId="14469" xr:uid="{01216543-A656-455E-A093-86DDDB5234EE}"/>
    <cellStyle name="Normal 2 4 2 3 2 2 2 7" xfId="5350" xr:uid="{04E80775-449B-4D9D-BAAF-16BB54A19F4C}"/>
    <cellStyle name="Normal 2 4 2 3 2 2 2 7 2" xfId="15298" xr:uid="{3E279ED3-FB15-495C-BB43-674EE2AD6686}"/>
    <cellStyle name="Normal 2 4 2 3 2 2 2 8" xfId="6179" xr:uid="{EFBF9990-9B12-45D8-A063-B53AD3CEEBB5}"/>
    <cellStyle name="Normal 2 4 2 3 2 2 2 8 2" xfId="16127" xr:uid="{802094EB-594C-4531-AEF1-5DE5579B9531}"/>
    <cellStyle name="Normal 2 4 2 3 2 2 2 9" xfId="7008" xr:uid="{9FE93A53-C3BB-4925-8421-914964691B62}"/>
    <cellStyle name="Normal 2 4 2 3 2 2 2 9 2" xfId="16956" xr:uid="{43727BB4-5658-41B1-807B-52B4029369D7}"/>
    <cellStyle name="Normal 2 4 2 3 2 2 3" xfId="782" xr:uid="{00000000-0005-0000-0000-0000EC010000}"/>
    <cellStyle name="Normal 2 4 2 3 2 2 3 10" xfId="9081" xr:uid="{3AE1B041-3829-46A2-AAD6-C2A2A080EADD}"/>
    <cellStyle name="Normal 2 4 2 3 2 2 3 10 2" xfId="19029" xr:uid="{FD31C093-0109-45B5-B312-907A44581605}"/>
    <cellStyle name="Normal 2 4 2 3 2 2 3 11" xfId="9910" xr:uid="{6FF91151-24B8-42BA-ADD2-760AC0A7841F}"/>
    <cellStyle name="Normal 2 4 2 3 2 2 3 11 2" xfId="19858" xr:uid="{471006CC-8770-455F-9F07-1CC94B5A87EB}"/>
    <cellStyle name="Normal 2 4 2 3 2 2 3 12" xfId="10739" xr:uid="{4C076A81-CE98-4FEE-B2CA-ACB54EB1E1D4}"/>
    <cellStyle name="Normal 2 4 2 3 2 2 3 12 2" xfId="20687" xr:uid="{899E883D-2B99-438D-BF8F-D35CA959845A}"/>
    <cellStyle name="Normal 2 4 2 3 2 2 3 13" xfId="1620" xr:uid="{E9C72356-E7C5-402A-A614-76EE8854C0A4}"/>
    <cellStyle name="Normal 2 4 2 3 2 2 3 14" xfId="11568" xr:uid="{23CC2035-B79D-47A7-BD4E-3F749DE90FB5}"/>
    <cellStyle name="Normal 2 4 2 3 2 2 3 2" xfId="2449" xr:uid="{AEAB4B5B-578D-4C59-B92B-4AA2E93534C9}"/>
    <cellStyle name="Normal 2 4 2 3 2 2 3 2 2" xfId="12397" xr:uid="{9ADFBF81-A2BE-48A4-8B1D-B761958139FA}"/>
    <cellStyle name="Normal 2 4 2 3 2 2 3 3" xfId="3278" xr:uid="{A1FAD799-B168-4EFC-9993-C4EF07DCB04D}"/>
    <cellStyle name="Normal 2 4 2 3 2 2 3 3 2" xfId="13226" xr:uid="{C1BE687C-6227-417F-B7DF-D1F0DEF8613C}"/>
    <cellStyle name="Normal 2 4 2 3 2 2 3 4" xfId="4107" xr:uid="{EF2EDD76-9C90-4B7B-A2D7-23DFD1EC4F6E}"/>
    <cellStyle name="Normal 2 4 2 3 2 2 3 4 2" xfId="14055" xr:uid="{4F0B3BDE-D21E-4871-A0B6-78E9255781B5}"/>
    <cellStyle name="Normal 2 4 2 3 2 2 3 5" xfId="4936" xr:uid="{903E6F20-3639-4F8F-A083-3D02DF24B9BD}"/>
    <cellStyle name="Normal 2 4 2 3 2 2 3 5 2" xfId="14884" xr:uid="{77E24438-C5EB-482D-9A50-D83E2C5162C8}"/>
    <cellStyle name="Normal 2 4 2 3 2 2 3 6" xfId="5765" xr:uid="{7622F265-E68C-4987-B54C-F908B3F870DF}"/>
    <cellStyle name="Normal 2 4 2 3 2 2 3 6 2" xfId="15713" xr:uid="{78F36813-B34C-4BAA-A6A4-90ABC9B50568}"/>
    <cellStyle name="Normal 2 4 2 3 2 2 3 7" xfId="6594" xr:uid="{C444D025-65F9-4D14-8EAC-AE55AA2C8F89}"/>
    <cellStyle name="Normal 2 4 2 3 2 2 3 7 2" xfId="16542" xr:uid="{C2CF85C5-CF03-4F63-B1B5-A83441E5D573}"/>
    <cellStyle name="Normal 2 4 2 3 2 2 3 8" xfId="7423" xr:uid="{57749CBA-F6C2-4829-938D-67CF9E4CD01D}"/>
    <cellStyle name="Normal 2 4 2 3 2 2 3 8 2" xfId="17371" xr:uid="{0D34B13B-91D5-4DB5-8107-7F727EBED2CD}"/>
    <cellStyle name="Normal 2 4 2 3 2 2 3 9" xfId="8252" xr:uid="{47966E91-503D-4AA6-ABF8-4E4186D44B99}"/>
    <cellStyle name="Normal 2 4 2 3 2 2 3 9 2" xfId="18200" xr:uid="{190C01CF-C24C-4AEE-9150-219D8DA8A81A}"/>
    <cellStyle name="Normal 2 4 2 3 2 2 4" xfId="2033" xr:uid="{C18334D4-B63D-4704-9DE6-597E3678D986}"/>
    <cellStyle name="Normal 2 4 2 3 2 2 4 2" xfId="11981" xr:uid="{939CE062-DC1B-4D48-9016-9FC37E340175}"/>
    <cellStyle name="Normal 2 4 2 3 2 2 5" xfId="2862" xr:uid="{1D82353B-AAAD-4FC7-AE12-24F4664A3078}"/>
    <cellStyle name="Normal 2 4 2 3 2 2 5 2" xfId="12810" xr:uid="{C4022554-6CE9-4DFB-A0A7-9F267B52A605}"/>
    <cellStyle name="Normal 2 4 2 3 2 2 6" xfId="3691" xr:uid="{5A8FA355-C934-488C-8CFA-A5CD3B61E0F9}"/>
    <cellStyle name="Normal 2 4 2 3 2 2 6 2" xfId="13639" xr:uid="{B0A04A52-8720-401F-B55E-AB25671F6B14}"/>
    <cellStyle name="Normal 2 4 2 3 2 2 7" xfId="4520" xr:uid="{0C7D33B1-9CD7-4929-9C83-A70AC6DFB58E}"/>
    <cellStyle name="Normal 2 4 2 3 2 2 7 2" xfId="14468" xr:uid="{721DEDA5-B616-4A07-9E2E-3864DEFD7741}"/>
    <cellStyle name="Normal 2 4 2 3 2 2 8" xfId="5349" xr:uid="{EA49DA57-5142-4025-BDB1-3337C2E0F461}"/>
    <cellStyle name="Normal 2 4 2 3 2 2 8 2" xfId="15297" xr:uid="{8205A37F-C504-43F3-AA9A-D521420E23CE}"/>
    <cellStyle name="Normal 2 4 2 3 2 2 9" xfId="6178" xr:uid="{7CD69AC1-27CA-4376-B3A1-0C616C46EFF7}"/>
    <cellStyle name="Normal 2 4 2 3 2 2 9 2" xfId="16126" xr:uid="{16C69F54-68BC-4F21-AC54-1BD22D6B0668}"/>
    <cellStyle name="Normal 2 4 2 3 2 3" xfId="288" xr:uid="{00000000-0005-0000-0000-0000ED010000}"/>
    <cellStyle name="Normal 2 4 2 3 2 3 10" xfId="7838" xr:uid="{ED958606-3C49-485B-8C26-ECDE3450ADE7}"/>
    <cellStyle name="Normal 2 4 2 3 2 3 10 2" xfId="17786" xr:uid="{B72D4737-EC0E-4294-AA07-CA44D3405A86}"/>
    <cellStyle name="Normal 2 4 2 3 2 3 11" xfId="8667" xr:uid="{0752A7E6-EBEF-4607-8C2B-DFB259ABF2E9}"/>
    <cellStyle name="Normal 2 4 2 3 2 3 11 2" xfId="18615" xr:uid="{DC03DFDE-FEAA-44A7-8873-A4949EECECC5}"/>
    <cellStyle name="Normal 2 4 2 3 2 3 12" xfId="9496" xr:uid="{66897AF4-C757-4A8F-9668-8317605FE299}"/>
    <cellStyle name="Normal 2 4 2 3 2 3 12 2" xfId="19444" xr:uid="{2BC01AEC-2654-45F9-BA3D-E0FB992B5A98}"/>
    <cellStyle name="Normal 2 4 2 3 2 3 13" xfId="10325" xr:uid="{6705A373-4AFF-40E4-B4B0-FCAC3EB6F79C}"/>
    <cellStyle name="Normal 2 4 2 3 2 3 13 2" xfId="20273" xr:uid="{DDB48E13-F079-4167-B8C5-944A1DA8C4DC}"/>
    <cellStyle name="Normal 2 4 2 3 2 3 14" xfId="1206" xr:uid="{F3865A23-BF60-4FA8-830D-D1586BE98658}"/>
    <cellStyle name="Normal 2 4 2 3 2 3 15" xfId="11154" xr:uid="{D5EBBDCF-F4FD-48C2-ABD5-867CEE74EDD2}"/>
    <cellStyle name="Normal 2 4 2 3 2 3 2" xfId="784" xr:uid="{00000000-0005-0000-0000-0000EE010000}"/>
    <cellStyle name="Normal 2 4 2 3 2 3 2 10" xfId="9083" xr:uid="{543E6825-0D94-4D27-BB75-6DEC1CF6E350}"/>
    <cellStyle name="Normal 2 4 2 3 2 3 2 10 2" xfId="19031" xr:uid="{45CCA8B0-2961-41FE-8D3F-3934AC62A4FB}"/>
    <cellStyle name="Normal 2 4 2 3 2 3 2 11" xfId="9912" xr:uid="{159B8CA2-59AB-493E-8EE3-686FAAB36403}"/>
    <cellStyle name="Normal 2 4 2 3 2 3 2 11 2" xfId="19860" xr:uid="{5EB29243-92E1-4735-843E-EC7453A4BA23}"/>
    <cellStyle name="Normal 2 4 2 3 2 3 2 12" xfId="10741" xr:uid="{744A2A3A-8DB2-4104-8319-0D6E4F1C1358}"/>
    <cellStyle name="Normal 2 4 2 3 2 3 2 12 2" xfId="20689" xr:uid="{EFAE9FB2-6B34-4A5D-8836-78ED570E34BA}"/>
    <cellStyle name="Normal 2 4 2 3 2 3 2 13" xfId="1622" xr:uid="{16C1FE85-55E0-478E-97CB-FD2CE3A33A4B}"/>
    <cellStyle name="Normal 2 4 2 3 2 3 2 14" xfId="11570" xr:uid="{A100653F-C132-4A3F-B51A-0B4EBE49980F}"/>
    <cellStyle name="Normal 2 4 2 3 2 3 2 2" xfId="2451" xr:uid="{2F90C6AD-1EB6-4B98-8CD8-AFEF397B8061}"/>
    <cellStyle name="Normal 2 4 2 3 2 3 2 2 2" xfId="12399" xr:uid="{CCB86E05-14E1-4AF8-85B0-0531505B4CEC}"/>
    <cellStyle name="Normal 2 4 2 3 2 3 2 3" xfId="3280" xr:uid="{EE665544-A183-43F6-B48B-5CD146131A79}"/>
    <cellStyle name="Normal 2 4 2 3 2 3 2 3 2" xfId="13228" xr:uid="{64A45EE9-22EE-42A0-81BF-CFDF0850EC80}"/>
    <cellStyle name="Normal 2 4 2 3 2 3 2 4" xfId="4109" xr:uid="{DCF4B884-AFE4-48E6-B0AD-A156C6D53CD4}"/>
    <cellStyle name="Normal 2 4 2 3 2 3 2 4 2" xfId="14057" xr:uid="{4ECADF03-C352-4910-B5D0-BEDDF39E3B55}"/>
    <cellStyle name="Normal 2 4 2 3 2 3 2 5" xfId="4938" xr:uid="{C0C0640B-CB84-4044-8EFE-9985F41D9632}"/>
    <cellStyle name="Normal 2 4 2 3 2 3 2 5 2" xfId="14886" xr:uid="{6E3D69E2-2868-4057-8B8A-FCE6EB67E00A}"/>
    <cellStyle name="Normal 2 4 2 3 2 3 2 6" xfId="5767" xr:uid="{F9335E61-13CC-4EDF-A2DD-3215638D9422}"/>
    <cellStyle name="Normal 2 4 2 3 2 3 2 6 2" xfId="15715" xr:uid="{E291584F-2970-4F63-8F2C-A9B33F5D79DA}"/>
    <cellStyle name="Normal 2 4 2 3 2 3 2 7" xfId="6596" xr:uid="{D6ED7DCD-F3A3-4BF2-8AA7-6503BA2D911B}"/>
    <cellStyle name="Normal 2 4 2 3 2 3 2 7 2" xfId="16544" xr:uid="{57063855-7938-4931-BBBF-A55BB72A34DE}"/>
    <cellStyle name="Normal 2 4 2 3 2 3 2 8" xfId="7425" xr:uid="{6E957163-0A81-433E-9930-94F644D4CDAE}"/>
    <cellStyle name="Normal 2 4 2 3 2 3 2 8 2" xfId="17373" xr:uid="{A292F40E-2D05-459B-AF80-09605E6EAE86}"/>
    <cellStyle name="Normal 2 4 2 3 2 3 2 9" xfId="8254" xr:uid="{6DC90265-3D3C-4A20-A3C8-FEC6B76C3809}"/>
    <cellStyle name="Normal 2 4 2 3 2 3 2 9 2" xfId="18202" xr:uid="{D8DC5309-90A1-433A-9710-A9735449D8A3}"/>
    <cellStyle name="Normal 2 4 2 3 2 3 3" xfId="2035" xr:uid="{CCE72ED9-44E0-4492-86C5-2F028E042C93}"/>
    <cellStyle name="Normal 2 4 2 3 2 3 3 2" xfId="11983" xr:uid="{67CE823A-00C1-4CCA-B8AC-0BA344BBBAFD}"/>
    <cellStyle name="Normal 2 4 2 3 2 3 4" xfId="2864" xr:uid="{9196DE4D-79F7-4015-B4A4-A973BBE5B007}"/>
    <cellStyle name="Normal 2 4 2 3 2 3 4 2" xfId="12812" xr:uid="{DC2F3791-952B-432A-A1E7-20F88CCC4DA4}"/>
    <cellStyle name="Normal 2 4 2 3 2 3 5" xfId="3693" xr:uid="{45EA9246-BD3E-4002-95E2-021B50256B50}"/>
    <cellStyle name="Normal 2 4 2 3 2 3 5 2" xfId="13641" xr:uid="{143440FF-7B03-417A-B4A3-991BD9055595}"/>
    <cellStyle name="Normal 2 4 2 3 2 3 6" xfId="4522" xr:uid="{FF502598-CA97-41D9-B40A-08920EBAA5DB}"/>
    <cellStyle name="Normal 2 4 2 3 2 3 6 2" xfId="14470" xr:uid="{29C89503-8181-47E3-8720-C785A1CF575D}"/>
    <cellStyle name="Normal 2 4 2 3 2 3 7" xfId="5351" xr:uid="{8CA1B075-8102-4A61-ACFA-E42803548C57}"/>
    <cellStyle name="Normal 2 4 2 3 2 3 7 2" xfId="15299" xr:uid="{7D679959-9E92-4F5B-BF04-0A91944A0669}"/>
    <cellStyle name="Normal 2 4 2 3 2 3 8" xfId="6180" xr:uid="{DE785B42-92DF-4B8F-BD1A-1C2655B8126A}"/>
    <cellStyle name="Normal 2 4 2 3 2 3 8 2" xfId="16128" xr:uid="{1126B9EF-CA47-4ED0-BEB9-54B93A66FF9D}"/>
    <cellStyle name="Normal 2 4 2 3 2 3 9" xfId="7009" xr:uid="{2CADAA89-4CAD-4F04-9862-6A6CD6C1976D}"/>
    <cellStyle name="Normal 2 4 2 3 2 3 9 2" xfId="16957" xr:uid="{39472166-1D4F-401D-A8FD-7681156AF01B}"/>
    <cellStyle name="Normal 2 4 2 3 2 4" xfId="781" xr:uid="{00000000-0005-0000-0000-0000EF010000}"/>
    <cellStyle name="Normal 2 4 2 3 2 4 10" xfId="9080" xr:uid="{47855DB2-3DC4-4B56-9540-6B294A2A6E6D}"/>
    <cellStyle name="Normal 2 4 2 3 2 4 10 2" xfId="19028" xr:uid="{B33B2679-633C-4D23-B5FC-199BAF23B44C}"/>
    <cellStyle name="Normal 2 4 2 3 2 4 11" xfId="9909" xr:uid="{04B37107-3EDC-441B-A6A9-9972D9D443BD}"/>
    <cellStyle name="Normal 2 4 2 3 2 4 11 2" xfId="19857" xr:uid="{72E02B00-A5CA-4DB7-8716-231C3B55ECC4}"/>
    <cellStyle name="Normal 2 4 2 3 2 4 12" xfId="10738" xr:uid="{85F5EF70-BB83-4097-8506-A3275BABB6D4}"/>
    <cellStyle name="Normal 2 4 2 3 2 4 12 2" xfId="20686" xr:uid="{1A40F98D-E5ED-4700-ABB7-5E4F24277AFB}"/>
    <cellStyle name="Normal 2 4 2 3 2 4 13" xfId="1619" xr:uid="{7231C241-7F98-47B3-B46D-63D187399623}"/>
    <cellStyle name="Normal 2 4 2 3 2 4 14" xfId="11567" xr:uid="{79BBAA3F-36F8-4F0D-9D50-292CF544DE14}"/>
    <cellStyle name="Normal 2 4 2 3 2 4 2" xfId="2448" xr:uid="{70468628-9F9C-41AD-9D4B-71A18F14F859}"/>
    <cellStyle name="Normal 2 4 2 3 2 4 2 2" xfId="12396" xr:uid="{81FA27FC-9DFF-413C-8D5D-2113A60AB087}"/>
    <cellStyle name="Normal 2 4 2 3 2 4 3" xfId="3277" xr:uid="{7BB8F790-7501-478C-9A6D-FC04183068CF}"/>
    <cellStyle name="Normal 2 4 2 3 2 4 3 2" xfId="13225" xr:uid="{595A92F6-A150-44A4-8EE0-69EC95908CC1}"/>
    <cellStyle name="Normal 2 4 2 3 2 4 4" xfId="4106" xr:uid="{13CE7AC7-2B2E-4CAD-9F63-D9613CDF7A0E}"/>
    <cellStyle name="Normal 2 4 2 3 2 4 4 2" xfId="14054" xr:uid="{E687B656-A847-45E6-93DB-52236E2E166B}"/>
    <cellStyle name="Normal 2 4 2 3 2 4 5" xfId="4935" xr:uid="{E6E2E743-A60B-4E59-9433-2C4A551F74DF}"/>
    <cellStyle name="Normal 2 4 2 3 2 4 5 2" xfId="14883" xr:uid="{FDF517D0-039A-41C4-8A87-C98F99EB562D}"/>
    <cellStyle name="Normal 2 4 2 3 2 4 6" xfId="5764" xr:uid="{FD4E4060-73D9-4B5D-87F4-85CE6EE51897}"/>
    <cellStyle name="Normal 2 4 2 3 2 4 6 2" xfId="15712" xr:uid="{163486BF-3C08-4021-8601-65D0BF19AC2C}"/>
    <cellStyle name="Normal 2 4 2 3 2 4 7" xfId="6593" xr:uid="{5746E189-3FB4-4D92-9499-97F7D7BCE4A3}"/>
    <cellStyle name="Normal 2 4 2 3 2 4 7 2" xfId="16541" xr:uid="{66D52DB9-84FD-439F-8A49-81C9A6BEB8D1}"/>
    <cellStyle name="Normal 2 4 2 3 2 4 8" xfId="7422" xr:uid="{638256B1-6884-49DA-B463-EA0021F7A8DA}"/>
    <cellStyle name="Normal 2 4 2 3 2 4 8 2" xfId="17370" xr:uid="{DAFA85D8-AFF7-4CF5-9817-5E73D5D36AB7}"/>
    <cellStyle name="Normal 2 4 2 3 2 4 9" xfId="8251" xr:uid="{76ED8EF8-714F-4AFE-B1C7-2B7485F958A1}"/>
    <cellStyle name="Normal 2 4 2 3 2 4 9 2" xfId="18199" xr:uid="{1EDEBB85-15B2-4A92-8F54-C47593755EDA}"/>
    <cellStyle name="Normal 2 4 2 3 2 5" xfId="2032" xr:uid="{DF0C0ABF-502A-46F4-B015-A5DF77EC02DD}"/>
    <cellStyle name="Normal 2 4 2 3 2 5 2" xfId="11980" xr:uid="{7FC70CAE-683D-4C91-BCBB-98D01234E995}"/>
    <cellStyle name="Normal 2 4 2 3 2 6" xfId="2861" xr:uid="{EC388713-6840-4A56-97CA-6001ED86D646}"/>
    <cellStyle name="Normal 2 4 2 3 2 6 2" xfId="12809" xr:uid="{FBC35059-02F6-49DC-9460-FE6DDB297EFB}"/>
    <cellStyle name="Normal 2 4 2 3 2 7" xfId="3690" xr:uid="{D096EDB8-030C-45C1-8187-94CD9DF46F9C}"/>
    <cellStyle name="Normal 2 4 2 3 2 7 2" xfId="13638" xr:uid="{80BFC05E-3C92-4BD1-8E4F-A5567000D79A}"/>
    <cellStyle name="Normal 2 4 2 3 2 8" xfId="4519" xr:uid="{2D8C5EFE-29FB-4BC1-BA4B-401AD56348B9}"/>
    <cellStyle name="Normal 2 4 2 3 2 8 2" xfId="14467" xr:uid="{8264C398-D5FD-4C9F-8CD5-3D52DD65A58E}"/>
    <cellStyle name="Normal 2 4 2 3 2 9" xfId="5348" xr:uid="{DC899761-9EFB-49E7-BECC-F640D38DD5B7}"/>
    <cellStyle name="Normal 2 4 2 3 2 9 2" xfId="15296" xr:uid="{CB46DB11-0931-4D49-85C2-3B36351EFB06}"/>
    <cellStyle name="Normal 2 4 2 3 3" xfId="289" xr:uid="{00000000-0005-0000-0000-0000F0010000}"/>
    <cellStyle name="Normal 2 4 2 3 3 10" xfId="7010" xr:uid="{69FCF9F2-15EE-40C5-8A1B-569372DA7A89}"/>
    <cellStyle name="Normal 2 4 2 3 3 10 2" xfId="16958" xr:uid="{1AF44FE6-8C3A-461B-95B6-15AF1F028DAC}"/>
    <cellStyle name="Normal 2 4 2 3 3 11" xfId="7839" xr:uid="{73ED40F7-6095-4931-A12C-7D65EAC5095C}"/>
    <cellStyle name="Normal 2 4 2 3 3 11 2" xfId="17787" xr:uid="{AE56DD58-D431-4EC7-9E15-B8A42A923005}"/>
    <cellStyle name="Normal 2 4 2 3 3 12" xfId="8668" xr:uid="{E15B34A6-2B3C-47B5-B165-6D26C30AE238}"/>
    <cellStyle name="Normal 2 4 2 3 3 12 2" xfId="18616" xr:uid="{73161EBD-8C16-40DE-BAE3-268DE7A6EFB2}"/>
    <cellStyle name="Normal 2 4 2 3 3 13" xfId="9497" xr:uid="{9B8E9A98-9820-4351-8ADC-9F81A614EC2B}"/>
    <cellStyle name="Normal 2 4 2 3 3 13 2" xfId="19445" xr:uid="{44FAB39F-1787-40F7-9622-0E3A5C8B0908}"/>
    <cellStyle name="Normal 2 4 2 3 3 14" xfId="10326" xr:uid="{9AB8DE3D-69A1-48D7-A62C-14D8D15E7D00}"/>
    <cellStyle name="Normal 2 4 2 3 3 14 2" xfId="20274" xr:uid="{DE0C8E80-8CA0-4ED5-A31C-031642EF89AC}"/>
    <cellStyle name="Normal 2 4 2 3 3 15" xfId="1207" xr:uid="{99DB3036-8A69-4367-A46D-C2D046CC9B13}"/>
    <cellStyle name="Normal 2 4 2 3 3 16" xfId="11155" xr:uid="{51CECE18-E232-47FB-9601-46A1F8E473A1}"/>
    <cellStyle name="Normal 2 4 2 3 3 2" xfId="290" xr:uid="{00000000-0005-0000-0000-0000F1010000}"/>
    <cellStyle name="Normal 2 4 2 3 3 2 10" xfId="7840" xr:uid="{3E3E211B-D562-4CF1-B41B-D34B1D20A343}"/>
    <cellStyle name="Normal 2 4 2 3 3 2 10 2" xfId="17788" xr:uid="{88A4AA0A-A700-46CC-A033-6AC0C196123A}"/>
    <cellStyle name="Normal 2 4 2 3 3 2 11" xfId="8669" xr:uid="{79594FE0-9BF0-4DDF-9587-A6CDAC9FCAB5}"/>
    <cellStyle name="Normal 2 4 2 3 3 2 11 2" xfId="18617" xr:uid="{EC5AB114-8D16-448B-923F-87DF91702724}"/>
    <cellStyle name="Normal 2 4 2 3 3 2 12" xfId="9498" xr:uid="{59A1CFCF-2990-45C0-9001-5390B17BCD26}"/>
    <cellStyle name="Normal 2 4 2 3 3 2 12 2" xfId="19446" xr:uid="{247B773E-5BA5-41EC-A3A1-DD1705BB03BB}"/>
    <cellStyle name="Normal 2 4 2 3 3 2 13" xfId="10327" xr:uid="{089DE375-B9FD-40FA-8D6C-62D6C8407D46}"/>
    <cellStyle name="Normal 2 4 2 3 3 2 13 2" xfId="20275" xr:uid="{3FF34C53-7768-4C6C-A8C4-FC7EE1CF0125}"/>
    <cellStyle name="Normal 2 4 2 3 3 2 14" xfId="1208" xr:uid="{5FF21C1C-60A8-438B-8192-BEED09F76EA4}"/>
    <cellStyle name="Normal 2 4 2 3 3 2 15" xfId="11156" xr:uid="{363E6BC5-018C-4911-A716-D08A05C5B454}"/>
    <cellStyle name="Normal 2 4 2 3 3 2 2" xfId="786" xr:uid="{00000000-0005-0000-0000-0000F2010000}"/>
    <cellStyle name="Normal 2 4 2 3 3 2 2 10" xfId="9085" xr:uid="{9875482B-65A8-4DB6-899B-6223256A5115}"/>
    <cellStyle name="Normal 2 4 2 3 3 2 2 10 2" xfId="19033" xr:uid="{49379FB8-3356-4C24-A059-A846AC671620}"/>
    <cellStyle name="Normal 2 4 2 3 3 2 2 11" xfId="9914" xr:uid="{AE2B0A2B-AF62-424D-B04A-D063D3EFE5C2}"/>
    <cellStyle name="Normal 2 4 2 3 3 2 2 11 2" xfId="19862" xr:uid="{FBCDB653-2B53-41B1-A76D-79F4691C64E9}"/>
    <cellStyle name="Normal 2 4 2 3 3 2 2 12" xfId="10743" xr:uid="{D8B4CAF1-9CF3-4810-8E94-5C5A9B9DCCC3}"/>
    <cellStyle name="Normal 2 4 2 3 3 2 2 12 2" xfId="20691" xr:uid="{524AA3C6-496C-4D07-817F-0D6F6E9249CF}"/>
    <cellStyle name="Normal 2 4 2 3 3 2 2 13" xfId="1624" xr:uid="{2E255B0B-C013-4FE2-9DFB-3F14F5F35445}"/>
    <cellStyle name="Normal 2 4 2 3 3 2 2 14" xfId="11572" xr:uid="{DD70C79B-2119-47D5-A2B2-66D009E7F75B}"/>
    <cellStyle name="Normal 2 4 2 3 3 2 2 2" xfId="2453" xr:uid="{690F223C-CC08-4A54-907C-D195CFE61389}"/>
    <cellStyle name="Normal 2 4 2 3 3 2 2 2 2" xfId="12401" xr:uid="{1EFF8CCB-FA40-4454-8391-A53903C8EA75}"/>
    <cellStyle name="Normal 2 4 2 3 3 2 2 3" xfId="3282" xr:uid="{814DBC13-2DB2-4825-90FD-662DFC2CF43F}"/>
    <cellStyle name="Normal 2 4 2 3 3 2 2 3 2" xfId="13230" xr:uid="{59D04C6E-ED77-4C0E-AD82-92DA2316A289}"/>
    <cellStyle name="Normal 2 4 2 3 3 2 2 4" xfId="4111" xr:uid="{BA9F1456-870D-4F26-9616-8D92A5274EB9}"/>
    <cellStyle name="Normal 2 4 2 3 3 2 2 4 2" xfId="14059" xr:uid="{72435AA5-7548-4C00-B806-C95CACDD7047}"/>
    <cellStyle name="Normal 2 4 2 3 3 2 2 5" xfId="4940" xr:uid="{C041D1DF-C790-4E45-824A-59DB65898FCB}"/>
    <cellStyle name="Normal 2 4 2 3 3 2 2 5 2" xfId="14888" xr:uid="{0257AA9A-1659-4A06-9783-82653C1AD872}"/>
    <cellStyle name="Normal 2 4 2 3 3 2 2 6" xfId="5769" xr:uid="{0B99DCB3-EDD9-423E-95E9-62B40DAF936C}"/>
    <cellStyle name="Normal 2 4 2 3 3 2 2 6 2" xfId="15717" xr:uid="{2F4079E1-2FEC-49D8-B1C6-444A3ABCB12E}"/>
    <cellStyle name="Normal 2 4 2 3 3 2 2 7" xfId="6598" xr:uid="{031F4208-0628-4BEA-92E7-48463411A9FF}"/>
    <cellStyle name="Normal 2 4 2 3 3 2 2 7 2" xfId="16546" xr:uid="{D714D19E-7F68-4CA2-97E2-5D4334DA08B0}"/>
    <cellStyle name="Normal 2 4 2 3 3 2 2 8" xfId="7427" xr:uid="{5BC7C4E5-ADEA-41E7-852C-031FC14F8189}"/>
    <cellStyle name="Normal 2 4 2 3 3 2 2 8 2" xfId="17375" xr:uid="{7E31FD44-5B81-4F74-9E1C-77306F9A8480}"/>
    <cellStyle name="Normal 2 4 2 3 3 2 2 9" xfId="8256" xr:uid="{1DF24F8A-B3D4-482C-8F5A-3EDA50175E44}"/>
    <cellStyle name="Normal 2 4 2 3 3 2 2 9 2" xfId="18204" xr:uid="{2911376F-D005-45EA-A35C-770AB799571D}"/>
    <cellStyle name="Normal 2 4 2 3 3 2 3" xfId="2037" xr:uid="{4511675E-9C42-4AAF-80EC-3667C4E86BC5}"/>
    <cellStyle name="Normal 2 4 2 3 3 2 3 2" xfId="11985" xr:uid="{9EAE9440-4ABC-4E7D-9947-41B469C6759C}"/>
    <cellStyle name="Normal 2 4 2 3 3 2 4" xfId="2866" xr:uid="{8B79EE79-F3D6-490B-BDB1-7060DE291D0A}"/>
    <cellStyle name="Normal 2 4 2 3 3 2 4 2" xfId="12814" xr:uid="{B5AFF7B7-1D2D-449A-92D3-8B9E314B2051}"/>
    <cellStyle name="Normal 2 4 2 3 3 2 5" xfId="3695" xr:uid="{24739BF7-65D9-438E-8E2A-39E21B7E9660}"/>
    <cellStyle name="Normal 2 4 2 3 3 2 5 2" xfId="13643" xr:uid="{E14920FC-7AB7-452F-B7D0-9A75A79AB635}"/>
    <cellStyle name="Normal 2 4 2 3 3 2 6" xfId="4524" xr:uid="{F18FBA5F-B037-407F-9DFB-F970C9D213BF}"/>
    <cellStyle name="Normal 2 4 2 3 3 2 6 2" xfId="14472" xr:uid="{50665BB4-1458-459E-BE76-2A2AE5BC1E0E}"/>
    <cellStyle name="Normal 2 4 2 3 3 2 7" xfId="5353" xr:uid="{94DEE181-14D3-43C0-B0E5-C6CCD2BB27F9}"/>
    <cellStyle name="Normal 2 4 2 3 3 2 7 2" xfId="15301" xr:uid="{68981A3E-6A82-47B0-8249-87F3EB6CDA7D}"/>
    <cellStyle name="Normal 2 4 2 3 3 2 8" xfId="6182" xr:uid="{9545DB3B-B645-4E12-88CB-DA8DD98FECCD}"/>
    <cellStyle name="Normal 2 4 2 3 3 2 8 2" xfId="16130" xr:uid="{A6C81143-3681-4BE4-9458-A9EF70447A00}"/>
    <cellStyle name="Normal 2 4 2 3 3 2 9" xfId="7011" xr:uid="{99E40924-F89D-4340-885C-31628F522068}"/>
    <cellStyle name="Normal 2 4 2 3 3 2 9 2" xfId="16959" xr:uid="{B29DBF4C-2A51-4246-93AD-1ABA7022EFD4}"/>
    <cellStyle name="Normal 2 4 2 3 3 3" xfId="785" xr:uid="{00000000-0005-0000-0000-0000F3010000}"/>
    <cellStyle name="Normal 2 4 2 3 3 3 10" xfId="9084" xr:uid="{10017967-B5A4-41CB-8AA5-AB7D7B035E4B}"/>
    <cellStyle name="Normal 2 4 2 3 3 3 10 2" xfId="19032" xr:uid="{FE051885-8D54-41A6-B4E3-CC3EB63588D8}"/>
    <cellStyle name="Normal 2 4 2 3 3 3 11" xfId="9913" xr:uid="{2663B684-C38F-4A8D-ABB0-4072D926AD3E}"/>
    <cellStyle name="Normal 2 4 2 3 3 3 11 2" xfId="19861" xr:uid="{06A63FA1-1E36-4AC8-8D0B-35D92DA7CED2}"/>
    <cellStyle name="Normal 2 4 2 3 3 3 12" xfId="10742" xr:uid="{C5A22CED-C528-401D-BBDA-C8D9CED67792}"/>
    <cellStyle name="Normal 2 4 2 3 3 3 12 2" xfId="20690" xr:uid="{D74706D8-591E-46AD-A1CB-E7C98A3B13B3}"/>
    <cellStyle name="Normal 2 4 2 3 3 3 13" xfId="1623" xr:uid="{7E831E9F-2785-4878-92F2-FDC5F98741C2}"/>
    <cellStyle name="Normal 2 4 2 3 3 3 14" xfId="11571" xr:uid="{803AC1BC-A928-4338-A582-7BD5A8C7668A}"/>
    <cellStyle name="Normal 2 4 2 3 3 3 2" xfId="2452" xr:uid="{53C4CDBD-6EEE-41CD-86D6-4C9D1DE0BFE3}"/>
    <cellStyle name="Normal 2 4 2 3 3 3 2 2" xfId="12400" xr:uid="{1347A96B-69E7-406D-82E7-EF63D1EAB8CF}"/>
    <cellStyle name="Normal 2 4 2 3 3 3 3" xfId="3281" xr:uid="{4BCE67E2-A742-437E-80CC-B1324A4DFA2B}"/>
    <cellStyle name="Normal 2 4 2 3 3 3 3 2" xfId="13229" xr:uid="{AFB2C93D-6BED-49B7-ADCD-FCF5B0027FFB}"/>
    <cellStyle name="Normal 2 4 2 3 3 3 4" xfId="4110" xr:uid="{748143E3-32AD-42CD-A6A6-4B480C95176A}"/>
    <cellStyle name="Normal 2 4 2 3 3 3 4 2" xfId="14058" xr:uid="{65DCE77D-568F-4779-AD7C-582F8DF2B55A}"/>
    <cellStyle name="Normal 2 4 2 3 3 3 5" xfId="4939" xr:uid="{B6D8904B-D3C4-4879-9B09-F3B18FB14F5A}"/>
    <cellStyle name="Normal 2 4 2 3 3 3 5 2" xfId="14887" xr:uid="{B4D98E76-F121-4A1D-84E0-C23946DD6739}"/>
    <cellStyle name="Normal 2 4 2 3 3 3 6" xfId="5768" xr:uid="{CE4FCFCB-8A74-4297-9E90-D400746DDC16}"/>
    <cellStyle name="Normal 2 4 2 3 3 3 6 2" xfId="15716" xr:uid="{C3BEF536-2D9F-4A5C-B1F0-FD125DAC09E4}"/>
    <cellStyle name="Normal 2 4 2 3 3 3 7" xfId="6597" xr:uid="{65EFD971-B847-4A02-A3D1-326CDD0D55FB}"/>
    <cellStyle name="Normal 2 4 2 3 3 3 7 2" xfId="16545" xr:uid="{788DC3ED-2DE7-4E30-B404-05E5BFFBB390}"/>
    <cellStyle name="Normal 2 4 2 3 3 3 8" xfId="7426" xr:uid="{BBEE6B10-5EBA-40A0-AD0A-51448C81D2FF}"/>
    <cellStyle name="Normal 2 4 2 3 3 3 8 2" xfId="17374" xr:uid="{BA45E34B-1F64-459C-8CE1-5B3DC369BCF3}"/>
    <cellStyle name="Normal 2 4 2 3 3 3 9" xfId="8255" xr:uid="{FAFDFEF6-257E-4BA7-9D57-00EB69A0280C}"/>
    <cellStyle name="Normal 2 4 2 3 3 3 9 2" xfId="18203" xr:uid="{5EEB1B24-CE3D-4241-ADB8-B622D60151B0}"/>
    <cellStyle name="Normal 2 4 2 3 3 4" xfId="2036" xr:uid="{1A337FD5-3B0B-44FF-B887-5DBAD442A54E}"/>
    <cellStyle name="Normal 2 4 2 3 3 4 2" xfId="11984" xr:uid="{5E4D3A51-773F-488A-B0F8-C17A1E5B2183}"/>
    <cellStyle name="Normal 2 4 2 3 3 5" xfId="2865" xr:uid="{399935B2-DBC0-46C4-BE9C-D99DA5FAEC4F}"/>
    <cellStyle name="Normal 2 4 2 3 3 5 2" xfId="12813" xr:uid="{73D8E45D-8A7F-4EBA-8A09-2FE027998680}"/>
    <cellStyle name="Normal 2 4 2 3 3 6" xfId="3694" xr:uid="{6B72CA00-DF6A-4A43-856F-74FE345FAD92}"/>
    <cellStyle name="Normal 2 4 2 3 3 6 2" xfId="13642" xr:uid="{B238AD78-A4AF-400B-BBAD-52FE58D2489F}"/>
    <cellStyle name="Normal 2 4 2 3 3 7" xfId="4523" xr:uid="{F011489B-DA2B-4F58-A427-AAAFAA9B565F}"/>
    <cellStyle name="Normal 2 4 2 3 3 7 2" xfId="14471" xr:uid="{C51A5513-E883-4C15-AF24-704BDB68139D}"/>
    <cellStyle name="Normal 2 4 2 3 3 8" xfId="5352" xr:uid="{BD239A39-FC0E-4D05-87C7-E2DC6B13F78D}"/>
    <cellStyle name="Normal 2 4 2 3 3 8 2" xfId="15300" xr:uid="{046FF853-FF35-44FA-86AB-568DDEA2CD9E}"/>
    <cellStyle name="Normal 2 4 2 3 3 9" xfId="6181" xr:uid="{2772EBC4-AC36-4B19-83E2-7FDED75CCEBA}"/>
    <cellStyle name="Normal 2 4 2 3 3 9 2" xfId="16129" xr:uid="{447DD89B-9682-465D-8E6A-EE8E04C82FA5}"/>
    <cellStyle name="Normal 2 4 2 3 4" xfId="291" xr:uid="{00000000-0005-0000-0000-0000F4010000}"/>
    <cellStyle name="Normal 2 4 2 3 4 10" xfId="7841" xr:uid="{4CCE8246-F074-456D-A9F9-590F5A1400D2}"/>
    <cellStyle name="Normal 2 4 2 3 4 10 2" xfId="17789" xr:uid="{08DC85AB-91CF-42F0-BD03-7EC75A4F7AFB}"/>
    <cellStyle name="Normal 2 4 2 3 4 11" xfId="8670" xr:uid="{A32E694A-F339-4C55-841B-32A149766366}"/>
    <cellStyle name="Normal 2 4 2 3 4 11 2" xfId="18618" xr:uid="{D20F4DC5-03B5-4121-9680-B1C47713852C}"/>
    <cellStyle name="Normal 2 4 2 3 4 12" xfId="9499" xr:uid="{99B878BB-1872-48E3-9FCA-BB4A2DBF2FEC}"/>
    <cellStyle name="Normal 2 4 2 3 4 12 2" xfId="19447" xr:uid="{69F9522D-9CF8-4B2E-B5F7-E6B84F3F581F}"/>
    <cellStyle name="Normal 2 4 2 3 4 13" xfId="10328" xr:uid="{D0F95EA9-6CD5-47A2-83E5-6A028C3FF3ED}"/>
    <cellStyle name="Normal 2 4 2 3 4 13 2" xfId="20276" xr:uid="{8DE9D3C5-6F52-4781-B8AE-26CFD3BCFB51}"/>
    <cellStyle name="Normal 2 4 2 3 4 14" xfId="1209" xr:uid="{31D93837-313F-4003-9336-BE652E714700}"/>
    <cellStyle name="Normal 2 4 2 3 4 15" xfId="11157" xr:uid="{F67C54B3-896C-4F86-98CD-519482BD827F}"/>
    <cellStyle name="Normal 2 4 2 3 4 2" xfId="787" xr:uid="{00000000-0005-0000-0000-0000F5010000}"/>
    <cellStyle name="Normal 2 4 2 3 4 2 10" xfId="9086" xr:uid="{854E80DB-C6F9-47FD-8692-186D73A6A753}"/>
    <cellStyle name="Normal 2 4 2 3 4 2 10 2" xfId="19034" xr:uid="{D122BD52-4922-4F50-BB1A-85B58462141B}"/>
    <cellStyle name="Normal 2 4 2 3 4 2 11" xfId="9915" xr:uid="{5127A468-489F-449D-8D68-2507840074B2}"/>
    <cellStyle name="Normal 2 4 2 3 4 2 11 2" xfId="19863" xr:uid="{EFD486D4-C1AD-486C-883C-689ADF89C305}"/>
    <cellStyle name="Normal 2 4 2 3 4 2 12" xfId="10744" xr:uid="{77579681-AB5F-4E58-90A2-5CDCCD214F55}"/>
    <cellStyle name="Normal 2 4 2 3 4 2 12 2" xfId="20692" xr:uid="{FC6B21D1-C0EF-48E2-BCAC-4ECBF1B5ECA5}"/>
    <cellStyle name="Normal 2 4 2 3 4 2 13" xfId="1625" xr:uid="{93398842-14CD-44D9-ACE5-D7CE22684E61}"/>
    <cellStyle name="Normal 2 4 2 3 4 2 14" xfId="11573" xr:uid="{DD9F6209-1853-47D6-9C69-4EE872B80A37}"/>
    <cellStyle name="Normal 2 4 2 3 4 2 2" xfId="2454" xr:uid="{E7EE18BF-08BC-43BB-BCFA-212255AF0519}"/>
    <cellStyle name="Normal 2 4 2 3 4 2 2 2" xfId="12402" xr:uid="{4E1A11EF-616A-4DBD-8800-DA9A38FA329D}"/>
    <cellStyle name="Normal 2 4 2 3 4 2 3" xfId="3283" xr:uid="{8C84FE0E-12E5-4B43-9A13-6845E80C9A74}"/>
    <cellStyle name="Normal 2 4 2 3 4 2 3 2" xfId="13231" xr:uid="{A8D1CE4F-187A-46BE-B3AA-C77F51C64354}"/>
    <cellStyle name="Normal 2 4 2 3 4 2 4" xfId="4112" xr:uid="{49564F3A-74D4-462D-9540-2891DED57214}"/>
    <cellStyle name="Normal 2 4 2 3 4 2 4 2" xfId="14060" xr:uid="{11D919E1-D3EB-4CEF-8B41-C9DD9E370C75}"/>
    <cellStyle name="Normal 2 4 2 3 4 2 5" xfId="4941" xr:uid="{79717E23-4DED-4256-AA66-81E11B7C053B}"/>
    <cellStyle name="Normal 2 4 2 3 4 2 5 2" xfId="14889" xr:uid="{58A9579A-FC50-49AC-B0DF-451C68E09B40}"/>
    <cellStyle name="Normal 2 4 2 3 4 2 6" xfId="5770" xr:uid="{D891DD98-04B4-421B-BC35-B285E294F41D}"/>
    <cellStyle name="Normal 2 4 2 3 4 2 6 2" xfId="15718" xr:uid="{50C6E1AF-940B-4993-ACC1-A0EF050D119C}"/>
    <cellStyle name="Normal 2 4 2 3 4 2 7" xfId="6599" xr:uid="{95E57E4B-92A7-4AB4-BA86-E0F139CF9B3D}"/>
    <cellStyle name="Normal 2 4 2 3 4 2 7 2" xfId="16547" xr:uid="{4C972D82-FBAB-4184-A1EF-B20EBFCA8B9D}"/>
    <cellStyle name="Normal 2 4 2 3 4 2 8" xfId="7428" xr:uid="{CE03F166-9B54-4F83-8F18-761009662716}"/>
    <cellStyle name="Normal 2 4 2 3 4 2 8 2" xfId="17376" xr:uid="{90285307-C5EA-48CB-AB30-8647A0860393}"/>
    <cellStyle name="Normal 2 4 2 3 4 2 9" xfId="8257" xr:uid="{0369E7C9-CDBB-4880-9F6D-3E167EE88FB3}"/>
    <cellStyle name="Normal 2 4 2 3 4 2 9 2" xfId="18205" xr:uid="{8682D341-488C-4437-B7FD-68D4EEEFD2C8}"/>
    <cellStyle name="Normal 2 4 2 3 4 3" xfId="2038" xr:uid="{7AF3C116-C008-4EB1-9707-9C2785BBB412}"/>
    <cellStyle name="Normal 2 4 2 3 4 3 2" xfId="11986" xr:uid="{0BCC2556-6243-42CC-A654-C62E9131ACF8}"/>
    <cellStyle name="Normal 2 4 2 3 4 4" xfId="2867" xr:uid="{5B21BE66-D64B-4766-BC80-4FE188AB3073}"/>
    <cellStyle name="Normal 2 4 2 3 4 4 2" xfId="12815" xr:uid="{35979EEA-66E3-41DC-86ED-FB826A42FA95}"/>
    <cellStyle name="Normal 2 4 2 3 4 5" xfId="3696" xr:uid="{0667004B-17B6-4F11-AA35-64B67D8E2B5A}"/>
    <cellStyle name="Normal 2 4 2 3 4 5 2" xfId="13644" xr:uid="{452BF0AC-4B21-427F-968C-D108053D978B}"/>
    <cellStyle name="Normal 2 4 2 3 4 6" xfId="4525" xr:uid="{E452FF83-9B5B-4274-A6B4-D1461C5018E4}"/>
    <cellStyle name="Normal 2 4 2 3 4 6 2" xfId="14473" xr:uid="{220C168E-5A5B-478B-9AE2-87714BD0519C}"/>
    <cellStyle name="Normal 2 4 2 3 4 7" xfId="5354" xr:uid="{C0F5FE5E-7F43-4341-8325-F6E992EA8FEE}"/>
    <cellStyle name="Normal 2 4 2 3 4 7 2" xfId="15302" xr:uid="{15A60F70-7574-48BA-830E-F4D147DF5617}"/>
    <cellStyle name="Normal 2 4 2 3 4 8" xfId="6183" xr:uid="{8D7CDE4B-B4A4-4412-BD74-4B89DBBCD050}"/>
    <cellStyle name="Normal 2 4 2 3 4 8 2" xfId="16131" xr:uid="{E8A62B2E-60AD-41C7-9773-0002D0A4F5AE}"/>
    <cellStyle name="Normal 2 4 2 3 4 9" xfId="7012" xr:uid="{B60021A8-C04C-478D-BAA7-AD9FCE423990}"/>
    <cellStyle name="Normal 2 4 2 3 4 9 2" xfId="16960" xr:uid="{B4000FD3-5183-4D36-9C39-35DCA02B1232}"/>
    <cellStyle name="Normal 2 4 2 3 5" xfId="780" xr:uid="{00000000-0005-0000-0000-0000F6010000}"/>
    <cellStyle name="Normal 2 4 2 3 5 10" xfId="9079" xr:uid="{B9661CB1-43D5-4108-8852-87495A7CE73D}"/>
    <cellStyle name="Normal 2 4 2 3 5 10 2" xfId="19027" xr:uid="{1ABE2A7B-7A2A-4107-8DA6-5438A8AB215D}"/>
    <cellStyle name="Normal 2 4 2 3 5 11" xfId="9908" xr:uid="{BE5668B3-6A4E-4915-913B-09C511B24360}"/>
    <cellStyle name="Normal 2 4 2 3 5 11 2" xfId="19856" xr:uid="{8E087969-8ACB-4403-BC2C-F15E59EFD8F9}"/>
    <cellStyle name="Normal 2 4 2 3 5 12" xfId="10737" xr:uid="{DEF97898-44E1-4FE7-ACFF-DB1613269A2F}"/>
    <cellStyle name="Normal 2 4 2 3 5 12 2" xfId="20685" xr:uid="{9C47BB17-CB9F-4EF5-B7CF-1D254A8C6A83}"/>
    <cellStyle name="Normal 2 4 2 3 5 13" xfId="1618" xr:uid="{3CB0C8B9-6ADE-42C9-8344-61BFE76309D4}"/>
    <cellStyle name="Normal 2 4 2 3 5 14" xfId="11566" xr:uid="{C96A2C52-5C9F-45CC-A325-9D36A3783A6B}"/>
    <cellStyle name="Normal 2 4 2 3 5 2" xfId="2447" xr:uid="{E4D04E32-D61F-48AB-84D0-E9E08B6CA588}"/>
    <cellStyle name="Normal 2 4 2 3 5 2 2" xfId="12395" xr:uid="{77FF2E55-9C74-4B5C-B1BB-37313E46D2FA}"/>
    <cellStyle name="Normal 2 4 2 3 5 3" xfId="3276" xr:uid="{1EA2DD7F-89A8-443B-8AE9-467637DDB131}"/>
    <cellStyle name="Normal 2 4 2 3 5 3 2" xfId="13224" xr:uid="{934E805B-76FE-43B9-9273-616BA85195C7}"/>
    <cellStyle name="Normal 2 4 2 3 5 4" xfId="4105" xr:uid="{B7B374EE-DD81-437E-A3D3-191B9FB37C4C}"/>
    <cellStyle name="Normal 2 4 2 3 5 4 2" xfId="14053" xr:uid="{5E797085-3495-4FFD-8F78-4C130161EA51}"/>
    <cellStyle name="Normal 2 4 2 3 5 5" xfId="4934" xr:uid="{FFB2C9F2-73C3-4645-B1DA-83D4C651D1A3}"/>
    <cellStyle name="Normal 2 4 2 3 5 5 2" xfId="14882" xr:uid="{BC20EC21-5F6D-4CB7-A920-AEF720DC8BA4}"/>
    <cellStyle name="Normal 2 4 2 3 5 6" xfId="5763" xr:uid="{5214DB5A-51DF-4AEC-85D7-B6C3D366AE9F}"/>
    <cellStyle name="Normal 2 4 2 3 5 6 2" xfId="15711" xr:uid="{5668C583-E226-4720-B01E-FC376B9E96F2}"/>
    <cellStyle name="Normal 2 4 2 3 5 7" xfId="6592" xr:uid="{736B29B4-FF0A-4855-840B-F3CE3495C5CF}"/>
    <cellStyle name="Normal 2 4 2 3 5 7 2" xfId="16540" xr:uid="{77D20F6D-FD8D-4557-B850-1848D89CD8DF}"/>
    <cellStyle name="Normal 2 4 2 3 5 8" xfId="7421" xr:uid="{1153F870-53FF-4AA2-B06B-2AD5E855A82E}"/>
    <cellStyle name="Normal 2 4 2 3 5 8 2" xfId="17369" xr:uid="{8AF9C676-1EFC-4CC8-8293-532D5D0FB1B0}"/>
    <cellStyle name="Normal 2 4 2 3 5 9" xfId="8250" xr:uid="{943C5892-8841-40EA-8350-8E4E5DEAD975}"/>
    <cellStyle name="Normal 2 4 2 3 5 9 2" xfId="18198" xr:uid="{99777AE2-CA27-4300-B89A-44F181CD11B6}"/>
    <cellStyle name="Normal 2 4 2 3 6" xfId="2031" xr:uid="{CD47827C-BD40-45C9-8148-E0C7FE697B58}"/>
    <cellStyle name="Normal 2 4 2 3 6 2" xfId="11979" xr:uid="{44C59F5B-53CD-4D04-BFB9-A1852DAD3099}"/>
    <cellStyle name="Normal 2 4 2 3 7" xfId="2860" xr:uid="{4546DD8D-A8C4-468B-ABA4-1A5D58066498}"/>
    <cellStyle name="Normal 2 4 2 3 7 2" xfId="12808" xr:uid="{8D55CBBB-0F83-46D6-AB6F-23991574DDDB}"/>
    <cellStyle name="Normal 2 4 2 3 8" xfId="3689" xr:uid="{5EA49048-4513-4A13-9BDB-C4C15CCE49DC}"/>
    <cellStyle name="Normal 2 4 2 3 8 2" xfId="13637" xr:uid="{CDE47ECF-0DCB-4457-A433-E975AC27BD9D}"/>
    <cellStyle name="Normal 2 4 2 3 9" xfId="4518" xr:uid="{16014F40-8536-4F27-B66D-141B53DB8346}"/>
    <cellStyle name="Normal 2 4 2 3 9 2" xfId="14466" xr:uid="{655205DF-5D39-4D94-82EC-963CEEF7F270}"/>
    <cellStyle name="Normal 2 4 2 4" xfId="292" xr:uid="{00000000-0005-0000-0000-0000F7010000}"/>
    <cellStyle name="Normal 2 4 2 4 10" xfId="6184" xr:uid="{B1DF612A-3BF0-4A30-BFDA-0FA8298DA5D4}"/>
    <cellStyle name="Normal 2 4 2 4 10 2" xfId="16132" xr:uid="{DFB18691-5E72-4494-B00D-1E9DA6A74FD7}"/>
    <cellStyle name="Normal 2 4 2 4 11" xfId="7013" xr:uid="{3BE1B617-EE79-4D0B-894C-ACF318B4A80A}"/>
    <cellStyle name="Normal 2 4 2 4 11 2" xfId="16961" xr:uid="{4F8C1096-4A46-4202-B50C-87253856D39C}"/>
    <cellStyle name="Normal 2 4 2 4 12" xfId="7842" xr:uid="{391AC163-98BF-49A0-9CDA-55E3F7528E1D}"/>
    <cellStyle name="Normal 2 4 2 4 12 2" xfId="17790" xr:uid="{AC4FF3D6-B0AB-4556-83A2-7C46283B3033}"/>
    <cellStyle name="Normal 2 4 2 4 13" xfId="8671" xr:uid="{2FCD22D2-F48D-4168-8FA1-701CA560F82D}"/>
    <cellStyle name="Normal 2 4 2 4 13 2" xfId="18619" xr:uid="{4382A94B-AE77-40D5-86BE-4DB9F87467C4}"/>
    <cellStyle name="Normal 2 4 2 4 14" xfId="9500" xr:uid="{9086B335-937B-4D03-8431-163085DF69B0}"/>
    <cellStyle name="Normal 2 4 2 4 14 2" xfId="19448" xr:uid="{BADBA204-4541-411F-AF83-F4814C63B8E4}"/>
    <cellStyle name="Normal 2 4 2 4 15" xfId="10329" xr:uid="{7B26926D-3253-4679-9194-1484F00A6A5F}"/>
    <cellStyle name="Normal 2 4 2 4 15 2" xfId="20277" xr:uid="{0989787D-6576-4346-9D12-77C4FCBED93A}"/>
    <cellStyle name="Normal 2 4 2 4 16" xfId="1210" xr:uid="{EFA94C89-69F4-49A1-820B-1ECFAAC12F8F}"/>
    <cellStyle name="Normal 2 4 2 4 17" xfId="11158" xr:uid="{34078834-496D-466B-87FC-6320B2E83757}"/>
    <cellStyle name="Normal 2 4 2 4 2" xfId="293" xr:uid="{00000000-0005-0000-0000-0000F8010000}"/>
    <cellStyle name="Normal 2 4 2 4 2 10" xfId="7014" xr:uid="{97D51274-8521-406A-8F05-E539E3A402EC}"/>
    <cellStyle name="Normal 2 4 2 4 2 10 2" xfId="16962" xr:uid="{15C82445-B92E-47E2-B712-AB4D1E529412}"/>
    <cellStyle name="Normal 2 4 2 4 2 11" xfId="7843" xr:uid="{1A5C912D-10DF-4BD9-82E4-20D4B283BDC0}"/>
    <cellStyle name="Normal 2 4 2 4 2 11 2" xfId="17791" xr:uid="{22587A5F-4075-452F-B9EE-5FD5442CBAFE}"/>
    <cellStyle name="Normal 2 4 2 4 2 12" xfId="8672" xr:uid="{C18D8563-74A6-4A92-8365-E852B17089B0}"/>
    <cellStyle name="Normal 2 4 2 4 2 12 2" xfId="18620" xr:uid="{F2EE5988-4378-4C54-8890-CF490B12A0EE}"/>
    <cellStyle name="Normal 2 4 2 4 2 13" xfId="9501" xr:uid="{0EDA8D46-2D3E-444D-B9B6-B41F98168D20}"/>
    <cellStyle name="Normal 2 4 2 4 2 13 2" xfId="19449" xr:uid="{021B3949-3489-4BE7-89D2-110F42F01352}"/>
    <cellStyle name="Normal 2 4 2 4 2 14" xfId="10330" xr:uid="{A114F6CF-897D-4A8B-B347-12348D7C23B4}"/>
    <cellStyle name="Normal 2 4 2 4 2 14 2" xfId="20278" xr:uid="{060A524F-182F-4A29-92DC-F1423AAF6726}"/>
    <cellStyle name="Normal 2 4 2 4 2 15" xfId="1211" xr:uid="{5659C6B0-4EFF-448A-9C39-7B089CB7074C}"/>
    <cellStyle name="Normal 2 4 2 4 2 16" xfId="11159" xr:uid="{0635927B-DD91-4154-9F7E-8E9863498E97}"/>
    <cellStyle name="Normal 2 4 2 4 2 2" xfId="294" xr:uid="{00000000-0005-0000-0000-0000F9010000}"/>
    <cellStyle name="Normal 2 4 2 4 2 2 10" xfId="7844" xr:uid="{7F5118ED-A8D7-4E22-B356-561A879931F9}"/>
    <cellStyle name="Normal 2 4 2 4 2 2 10 2" xfId="17792" xr:uid="{FB74EA00-DD2C-491B-AB3B-9304D4DCADC1}"/>
    <cellStyle name="Normal 2 4 2 4 2 2 11" xfId="8673" xr:uid="{77A10E8F-996A-4563-8854-B53969587BFA}"/>
    <cellStyle name="Normal 2 4 2 4 2 2 11 2" xfId="18621" xr:uid="{D15EA889-30E2-4741-AA24-000EBD6A9DBA}"/>
    <cellStyle name="Normal 2 4 2 4 2 2 12" xfId="9502" xr:uid="{1FB15BD9-209D-45D2-82CC-6E13DFCF02C8}"/>
    <cellStyle name="Normal 2 4 2 4 2 2 12 2" xfId="19450" xr:uid="{647B3281-E912-4D6F-8EFE-039D2BB33961}"/>
    <cellStyle name="Normal 2 4 2 4 2 2 13" xfId="10331" xr:uid="{754BAD7B-31E6-4CEA-888E-90D682BD021C}"/>
    <cellStyle name="Normal 2 4 2 4 2 2 13 2" xfId="20279" xr:uid="{6A1E1F48-34A6-49D4-888B-0EC96E19B06C}"/>
    <cellStyle name="Normal 2 4 2 4 2 2 14" xfId="1212" xr:uid="{D12A3AA0-3E04-4B28-98E8-3424EA619D99}"/>
    <cellStyle name="Normal 2 4 2 4 2 2 15" xfId="11160" xr:uid="{8385CDE7-4D2D-4C1B-8184-EC8FA84C5155}"/>
    <cellStyle name="Normal 2 4 2 4 2 2 2" xfId="790" xr:uid="{00000000-0005-0000-0000-0000FA010000}"/>
    <cellStyle name="Normal 2 4 2 4 2 2 2 10" xfId="9089" xr:uid="{ABBC99FE-E164-4FBA-A5C7-CA5F0BC2A7C7}"/>
    <cellStyle name="Normal 2 4 2 4 2 2 2 10 2" xfId="19037" xr:uid="{0065AB4A-07D6-480F-A2A6-CFBB98DC7AB4}"/>
    <cellStyle name="Normal 2 4 2 4 2 2 2 11" xfId="9918" xr:uid="{606F8F37-FAB9-4D10-9214-2763144D9EB2}"/>
    <cellStyle name="Normal 2 4 2 4 2 2 2 11 2" xfId="19866" xr:uid="{6260B3AC-F8C0-492B-8217-0FE4CD9C3DDD}"/>
    <cellStyle name="Normal 2 4 2 4 2 2 2 12" xfId="10747" xr:uid="{6A10A55B-94FC-4F3C-AB88-4F506BF82D61}"/>
    <cellStyle name="Normal 2 4 2 4 2 2 2 12 2" xfId="20695" xr:uid="{3B8BF3AA-C9FD-461D-991D-846E80A25005}"/>
    <cellStyle name="Normal 2 4 2 4 2 2 2 13" xfId="1628" xr:uid="{DAE39217-297B-47EF-888C-F3BC668D61B9}"/>
    <cellStyle name="Normal 2 4 2 4 2 2 2 14" xfId="11576" xr:uid="{1D277B48-2512-4FA1-8614-D9E0E4FFAE1E}"/>
    <cellStyle name="Normal 2 4 2 4 2 2 2 2" xfId="2457" xr:uid="{8A4762CB-2354-41ED-86F0-1FF2B08EB7CB}"/>
    <cellStyle name="Normal 2 4 2 4 2 2 2 2 2" xfId="12405" xr:uid="{9563E0BC-2660-44B2-AB46-713F131A1D39}"/>
    <cellStyle name="Normal 2 4 2 4 2 2 2 3" xfId="3286" xr:uid="{32913E07-D2D5-414D-ADCB-45CA8FB42924}"/>
    <cellStyle name="Normal 2 4 2 4 2 2 2 3 2" xfId="13234" xr:uid="{0D71D04F-B22D-4665-98FB-5856943549E8}"/>
    <cellStyle name="Normal 2 4 2 4 2 2 2 4" xfId="4115" xr:uid="{54E2CCA5-8467-47B9-98A7-2AE025586F84}"/>
    <cellStyle name="Normal 2 4 2 4 2 2 2 4 2" xfId="14063" xr:uid="{5B7F68A1-5177-4784-A84A-8EC20CB02E00}"/>
    <cellStyle name="Normal 2 4 2 4 2 2 2 5" xfId="4944" xr:uid="{26C5DD6E-9745-4CF4-9FC0-186234997F9D}"/>
    <cellStyle name="Normal 2 4 2 4 2 2 2 5 2" xfId="14892" xr:uid="{CE059482-5141-40B3-A13F-9A601D5CD578}"/>
    <cellStyle name="Normal 2 4 2 4 2 2 2 6" xfId="5773" xr:uid="{6EC1D4CE-4787-44D7-9C1A-C87EBB525DC7}"/>
    <cellStyle name="Normal 2 4 2 4 2 2 2 6 2" xfId="15721" xr:uid="{2E6E9A2C-A22C-4E35-A7DE-329C0F677239}"/>
    <cellStyle name="Normal 2 4 2 4 2 2 2 7" xfId="6602" xr:uid="{415D22DC-5323-4270-B541-1F5AA5B9E6F8}"/>
    <cellStyle name="Normal 2 4 2 4 2 2 2 7 2" xfId="16550" xr:uid="{DFA8CEEE-15BF-4A6A-8645-34CF0329748D}"/>
    <cellStyle name="Normal 2 4 2 4 2 2 2 8" xfId="7431" xr:uid="{C1BC6CD4-61A7-432A-80C9-199F09A2CB82}"/>
    <cellStyle name="Normal 2 4 2 4 2 2 2 8 2" xfId="17379" xr:uid="{942441F1-AF97-4D3E-8299-C8D7244C565B}"/>
    <cellStyle name="Normal 2 4 2 4 2 2 2 9" xfId="8260" xr:uid="{FAFBE825-6CC6-47D9-9151-B8A317A2E344}"/>
    <cellStyle name="Normal 2 4 2 4 2 2 2 9 2" xfId="18208" xr:uid="{E2436EEB-945F-4B65-AC6C-E292996FA866}"/>
    <cellStyle name="Normal 2 4 2 4 2 2 3" xfId="2041" xr:uid="{2D03CCE6-84A4-4796-9F95-09D91E1A29BB}"/>
    <cellStyle name="Normal 2 4 2 4 2 2 3 2" xfId="11989" xr:uid="{5C6CFBFA-0C14-4CDF-93FF-F22539E5C2CC}"/>
    <cellStyle name="Normal 2 4 2 4 2 2 4" xfId="2870" xr:uid="{9B891D56-2D8F-48E7-96AE-19F3C764A9D5}"/>
    <cellStyle name="Normal 2 4 2 4 2 2 4 2" xfId="12818" xr:uid="{57449FEB-D477-456C-82B6-9838D54DB0E4}"/>
    <cellStyle name="Normal 2 4 2 4 2 2 5" xfId="3699" xr:uid="{0210DD51-DB19-45E0-804F-AFA889E3E40D}"/>
    <cellStyle name="Normal 2 4 2 4 2 2 5 2" xfId="13647" xr:uid="{B95E4587-18D9-4A46-87BC-53504389AC38}"/>
    <cellStyle name="Normal 2 4 2 4 2 2 6" xfId="4528" xr:uid="{028D494F-C3C7-4B4D-B6A9-5835920C8186}"/>
    <cellStyle name="Normal 2 4 2 4 2 2 6 2" xfId="14476" xr:uid="{465818CB-03F6-426F-98B8-9D50587F916F}"/>
    <cellStyle name="Normal 2 4 2 4 2 2 7" xfId="5357" xr:uid="{1A6188F7-DDEB-4DEC-A033-BAC67ACD93AB}"/>
    <cellStyle name="Normal 2 4 2 4 2 2 7 2" xfId="15305" xr:uid="{731B1FC2-F850-443E-A274-2BAD22619A0C}"/>
    <cellStyle name="Normal 2 4 2 4 2 2 8" xfId="6186" xr:uid="{70630205-8024-40CE-B8B3-0586623D7FB5}"/>
    <cellStyle name="Normal 2 4 2 4 2 2 8 2" xfId="16134" xr:uid="{54434547-6ACB-4362-A68C-EC11597BF7E9}"/>
    <cellStyle name="Normal 2 4 2 4 2 2 9" xfId="7015" xr:uid="{8C4F6A7D-2D33-4A36-96E5-77EA308B38C8}"/>
    <cellStyle name="Normal 2 4 2 4 2 2 9 2" xfId="16963" xr:uid="{8F6E99CE-ED82-4C26-B5C2-8763C73C0050}"/>
    <cellStyle name="Normal 2 4 2 4 2 3" xfId="789" xr:uid="{00000000-0005-0000-0000-0000FB010000}"/>
    <cellStyle name="Normal 2 4 2 4 2 3 10" xfId="9088" xr:uid="{F3DDC670-0473-40F8-808F-4AD0DB9D8B1D}"/>
    <cellStyle name="Normal 2 4 2 4 2 3 10 2" xfId="19036" xr:uid="{959AF35E-61EE-44B2-9E68-19CBECC6DDE8}"/>
    <cellStyle name="Normal 2 4 2 4 2 3 11" xfId="9917" xr:uid="{5879E63D-7AF6-4A7F-ADD8-EB3B8801EEC3}"/>
    <cellStyle name="Normal 2 4 2 4 2 3 11 2" xfId="19865" xr:uid="{0A947AB3-7FE0-44B9-ABF6-0D93E1D14528}"/>
    <cellStyle name="Normal 2 4 2 4 2 3 12" xfId="10746" xr:uid="{772E313D-71A3-4CFF-9C8F-1F7A35F2920D}"/>
    <cellStyle name="Normal 2 4 2 4 2 3 12 2" xfId="20694" xr:uid="{5034187B-5C5A-4C71-A886-BB6FF3D09D7B}"/>
    <cellStyle name="Normal 2 4 2 4 2 3 13" xfId="1627" xr:uid="{E46DDD08-5F9B-4567-B752-A5517426DF8F}"/>
    <cellStyle name="Normal 2 4 2 4 2 3 14" xfId="11575" xr:uid="{0034B50B-EFB5-47C3-9C1C-33844BD0830C}"/>
    <cellStyle name="Normal 2 4 2 4 2 3 2" xfId="2456" xr:uid="{62EFA72B-F1B8-4241-A73E-4D3F676FC3CD}"/>
    <cellStyle name="Normal 2 4 2 4 2 3 2 2" xfId="12404" xr:uid="{E5ACF576-2D37-412B-B7CF-F4F99672D4A7}"/>
    <cellStyle name="Normal 2 4 2 4 2 3 3" xfId="3285" xr:uid="{2139D744-9FBE-4573-A330-E54CB2445C78}"/>
    <cellStyle name="Normal 2 4 2 4 2 3 3 2" xfId="13233" xr:uid="{5A9D1FDA-064D-48DC-9B62-EEA674708037}"/>
    <cellStyle name="Normal 2 4 2 4 2 3 4" xfId="4114" xr:uid="{0A5C4208-FC51-4CBA-9552-3D278A4F61A1}"/>
    <cellStyle name="Normal 2 4 2 4 2 3 4 2" xfId="14062" xr:uid="{626F1400-6438-436B-838B-4FDC87DC0FC9}"/>
    <cellStyle name="Normal 2 4 2 4 2 3 5" xfId="4943" xr:uid="{488B62B7-AC57-465A-92EE-2D01C1B2B137}"/>
    <cellStyle name="Normal 2 4 2 4 2 3 5 2" xfId="14891" xr:uid="{E31DE79E-DC6D-483F-A7B3-38ACDC762A75}"/>
    <cellStyle name="Normal 2 4 2 4 2 3 6" xfId="5772" xr:uid="{45EB931A-D255-401B-B854-558C3913B058}"/>
    <cellStyle name="Normal 2 4 2 4 2 3 6 2" xfId="15720" xr:uid="{01F07E86-94E9-4193-9AC0-294969797839}"/>
    <cellStyle name="Normal 2 4 2 4 2 3 7" xfId="6601" xr:uid="{AE1C7E76-3B14-4006-AD37-61859B4311AA}"/>
    <cellStyle name="Normal 2 4 2 4 2 3 7 2" xfId="16549" xr:uid="{CE6F1911-4445-476A-AF07-AC2EBDEC4650}"/>
    <cellStyle name="Normal 2 4 2 4 2 3 8" xfId="7430" xr:uid="{3879E83B-06CC-4554-9391-70B1ED51F088}"/>
    <cellStyle name="Normal 2 4 2 4 2 3 8 2" xfId="17378" xr:uid="{F881ABB2-4A90-4F77-ABE6-433A48507598}"/>
    <cellStyle name="Normal 2 4 2 4 2 3 9" xfId="8259" xr:uid="{1B4ACB3D-47BF-4816-9974-52CED3B1418E}"/>
    <cellStyle name="Normal 2 4 2 4 2 3 9 2" xfId="18207" xr:uid="{42E4FE4E-C364-46AC-807D-B7851CF7603E}"/>
    <cellStyle name="Normal 2 4 2 4 2 4" xfId="2040" xr:uid="{31B9CBEE-4154-4E2B-B698-F34F872CBE98}"/>
    <cellStyle name="Normal 2 4 2 4 2 4 2" xfId="11988" xr:uid="{5C3AB5B1-E7E3-47C2-9084-813AD5AFF4FD}"/>
    <cellStyle name="Normal 2 4 2 4 2 5" xfId="2869" xr:uid="{2B4455CA-D417-4A78-86F2-0C822B40629C}"/>
    <cellStyle name="Normal 2 4 2 4 2 5 2" xfId="12817" xr:uid="{663D9CF3-BE1F-409D-A7D7-0598D2AC2B59}"/>
    <cellStyle name="Normal 2 4 2 4 2 6" xfId="3698" xr:uid="{5AD8FEFA-2FAC-48B8-9AF6-CDC794B59D7B}"/>
    <cellStyle name="Normal 2 4 2 4 2 6 2" xfId="13646" xr:uid="{0CBBF173-6217-4344-B262-E7F4DE9220A2}"/>
    <cellStyle name="Normal 2 4 2 4 2 7" xfId="4527" xr:uid="{0B238BA9-0E7E-48D8-A178-0966D5F33C91}"/>
    <cellStyle name="Normal 2 4 2 4 2 7 2" xfId="14475" xr:uid="{2622D446-3DC9-45CD-BFE5-DA9B33B75049}"/>
    <cellStyle name="Normal 2 4 2 4 2 8" xfId="5356" xr:uid="{08C2496B-E7C2-49FC-9A46-368F83DB8F2C}"/>
    <cellStyle name="Normal 2 4 2 4 2 8 2" xfId="15304" xr:uid="{0A9F5923-3368-4AE1-8E6E-98C205207EE1}"/>
    <cellStyle name="Normal 2 4 2 4 2 9" xfId="6185" xr:uid="{31413369-3A8E-4D53-AD44-AD1E5EE27BF5}"/>
    <cellStyle name="Normal 2 4 2 4 2 9 2" xfId="16133" xr:uid="{A9E68736-041E-4AD3-B292-EA4AD8BC118B}"/>
    <cellStyle name="Normal 2 4 2 4 3" xfId="295" xr:uid="{00000000-0005-0000-0000-0000FC010000}"/>
    <cellStyle name="Normal 2 4 2 4 3 10" xfId="7845" xr:uid="{444CBE31-CFC5-45CE-9081-ADD50A3053FC}"/>
    <cellStyle name="Normal 2 4 2 4 3 10 2" xfId="17793" xr:uid="{6272F7ED-A2D6-45EB-A371-F3C4A2EA186F}"/>
    <cellStyle name="Normal 2 4 2 4 3 11" xfId="8674" xr:uid="{D5C3354B-9099-4F4D-AD1D-246A4FA120F1}"/>
    <cellStyle name="Normal 2 4 2 4 3 11 2" xfId="18622" xr:uid="{9A026D6C-0FBB-4D5E-9732-E789ED59CA36}"/>
    <cellStyle name="Normal 2 4 2 4 3 12" xfId="9503" xr:uid="{374FAEB6-970B-4121-BB8C-8DACD7C8E101}"/>
    <cellStyle name="Normal 2 4 2 4 3 12 2" xfId="19451" xr:uid="{F3E0AAEE-E391-467B-89C6-5BAB45C98B83}"/>
    <cellStyle name="Normal 2 4 2 4 3 13" xfId="10332" xr:uid="{9063EED7-28BA-47DA-B3C2-1528A12C4F7C}"/>
    <cellStyle name="Normal 2 4 2 4 3 13 2" xfId="20280" xr:uid="{E9629863-2A70-4B5C-B470-37ABBE366E7B}"/>
    <cellStyle name="Normal 2 4 2 4 3 14" xfId="1213" xr:uid="{93AC431C-9747-499D-8307-48D4B867DE75}"/>
    <cellStyle name="Normal 2 4 2 4 3 15" xfId="11161" xr:uid="{7155BC2A-8C3F-4CBA-BF8A-90C09FAEED3C}"/>
    <cellStyle name="Normal 2 4 2 4 3 2" xfId="791" xr:uid="{00000000-0005-0000-0000-0000FD010000}"/>
    <cellStyle name="Normal 2 4 2 4 3 2 10" xfId="9090" xr:uid="{B7FFD05F-6A35-4722-8CF7-5F7BA1132DB2}"/>
    <cellStyle name="Normal 2 4 2 4 3 2 10 2" xfId="19038" xr:uid="{B402BDDD-3752-47D0-A1BC-C87FDB65A193}"/>
    <cellStyle name="Normal 2 4 2 4 3 2 11" xfId="9919" xr:uid="{F3D4F999-9ABC-4CFE-BA29-4051058B02F1}"/>
    <cellStyle name="Normal 2 4 2 4 3 2 11 2" xfId="19867" xr:uid="{71F95B2C-5CB3-4B37-9243-090FCDD94635}"/>
    <cellStyle name="Normal 2 4 2 4 3 2 12" xfId="10748" xr:uid="{D319B148-32DA-4450-9050-E784A79D304A}"/>
    <cellStyle name="Normal 2 4 2 4 3 2 12 2" xfId="20696" xr:uid="{3D67D6E4-9574-4962-9453-59EDF4A5B8C7}"/>
    <cellStyle name="Normal 2 4 2 4 3 2 13" xfId="1629" xr:uid="{3794DBE0-B8E3-4D15-BA9E-A1F37E215FCE}"/>
    <cellStyle name="Normal 2 4 2 4 3 2 14" xfId="11577" xr:uid="{33DA3F0F-7B1F-44C9-9F7E-B04DB14FCAB4}"/>
    <cellStyle name="Normal 2 4 2 4 3 2 2" xfId="2458" xr:uid="{CC79FF87-8E48-4157-B050-1818416344DB}"/>
    <cellStyle name="Normal 2 4 2 4 3 2 2 2" xfId="12406" xr:uid="{EF0C54CF-1D71-4FAA-9BA6-87DBA164419B}"/>
    <cellStyle name="Normal 2 4 2 4 3 2 3" xfId="3287" xr:uid="{BD33B037-23BE-45A8-ABBC-A5E5461FEFA1}"/>
    <cellStyle name="Normal 2 4 2 4 3 2 3 2" xfId="13235" xr:uid="{D66A72C3-B72C-483A-81C3-F5AE4F1846E4}"/>
    <cellStyle name="Normal 2 4 2 4 3 2 4" xfId="4116" xr:uid="{F10AD460-CC9E-4F1D-8D87-58913386893F}"/>
    <cellStyle name="Normal 2 4 2 4 3 2 4 2" xfId="14064" xr:uid="{D1B820DB-5C79-4FB4-AF52-257CD85514D9}"/>
    <cellStyle name="Normal 2 4 2 4 3 2 5" xfId="4945" xr:uid="{A8B8386D-E809-4B57-A632-F8B10D1ABDA9}"/>
    <cellStyle name="Normal 2 4 2 4 3 2 5 2" xfId="14893" xr:uid="{E099E097-907F-4FC6-A743-29C42E78BCCA}"/>
    <cellStyle name="Normal 2 4 2 4 3 2 6" xfId="5774" xr:uid="{85E0C179-3AFB-4749-AF95-07D436C72529}"/>
    <cellStyle name="Normal 2 4 2 4 3 2 6 2" xfId="15722" xr:uid="{C67CE9DE-3FBB-4787-83B3-534CBE53E19A}"/>
    <cellStyle name="Normal 2 4 2 4 3 2 7" xfId="6603" xr:uid="{C8D15BF9-2200-4B1F-A53C-B996B55CDFF6}"/>
    <cellStyle name="Normal 2 4 2 4 3 2 7 2" xfId="16551" xr:uid="{DFB41F5B-9E69-48B6-9AF5-3E272BE8F9FC}"/>
    <cellStyle name="Normal 2 4 2 4 3 2 8" xfId="7432" xr:uid="{0DF6A9FA-6186-4EB2-A773-24525ECB8FAD}"/>
    <cellStyle name="Normal 2 4 2 4 3 2 8 2" xfId="17380" xr:uid="{BF976635-CB61-469F-8A43-8F3CAA8BB10E}"/>
    <cellStyle name="Normal 2 4 2 4 3 2 9" xfId="8261" xr:uid="{36B93A8B-FA10-42A1-AD2A-D29F97DEB5F2}"/>
    <cellStyle name="Normal 2 4 2 4 3 2 9 2" xfId="18209" xr:uid="{5F775B40-E4AC-4794-9A8D-28FFAA3A184D}"/>
    <cellStyle name="Normal 2 4 2 4 3 3" xfId="2042" xr:uid="{85D327E0-D82A-44E1-B862-50D7DCD23B55}"/>
    <cellStyle name="Normal 2 4 2 4 3 3 2" xfId="11990" xr:uid="{C74AB51D-9247-477D-B4C8-6C06BE029E41}"/>
    <cellStyle name="Normal 2 4 2 4 3 4" xfId="2871" xr:uid="{A536FE2A-E3AD-4F80-A02E-A4183524092A}"/>
    <cellStyle name="Normal 2 4 2 4 3 4 2" xfId="12819" xr:uid="{68A6BB00-A6EA-4C7F-9B9D-6C2E11CEC5CE}"/>
    <cellStyle name="Normal 2 4 2 4 3 5" xfId="3700" xr:uid="{89671749-94B1-432E-A928-DF251497F36E}"/>
    <cellStyle name="Normal 2 4 2 4 3 5 2" xfId="13648" xr:uid="{979CE83B-9882-4649-A65F-2ABA727D0F03}"/>
    <cellStyle name="Normal 2 4 2 4 3 6" xfId="4529" xr:uid="{B97D745F-9800-4725-BBF2-B6FFFF0A87A4}"/>
    <cellStyle name="Normal 2 4 2 4 3 6 2" xfId="14477" xr:uid="{3E2D2E28-CC67-4C72-992F-B2879A59F6CB}"/>
    <cellStyle name="Normal 2 4 2 4 3 7" xfId="5358" xr:uid="{9FCA1E8B-4653-43F0-B9BC-E9440EF65512}"/>
    <cellStyle name="Normal 2 4 2 4 3 7 2" xfId="15306" xr:uid="{10A2DE9C-FD4F-48A9-983C-2FAC2A747EB8}"/>
    <cellStyle name="Normal 2 4 2 4 3 8" xfId="6187" xr:uid="{FDCD2C92-229F-4BE6-8392-C0D2146B6A50}"/>
    <cellStyle name="Normal 2 4 2 4 3 8 2" xfId="16135" xr:uid="{3C3619AD-6365-43E0-BBCB-97417CF46E32}"/>
    <cellStyle name="Normal 2 4 2 4 3 9" xfId="7016" xr:uid="{255DF631-70AD-4783-A475-65BA52725EAB}"/>
    <cellStyle name="Normal 2 4 2 4 3 9 2" xfId="16964" xr:uid="{1A7EE377-8933-4BA8-B29D-DF756BB93197}"/>
    <cellStyle name="Normal 2 4 2 4 4" xfId="788" xr:uid="{00000000-0005-0000-0000-0000FE010000}"/>
    <cellStyle name="Normal 2 4 2 4 4 10" xfId="9087" xr:uid="{46506951-2396-4B5F-AE64-02333EB9EC55}"/>
    <cellStyle name="Normal 2 4 2 4 4 10 2" xfId="19035" xr:uid="{30054951-E834-4E5C-93DB-2508605B67F1}"/>
    <cellStyle name="Normal 2 4 2 4 4 11" xfId="9916" xr:uid="{58D6AE15-4A69-4037-A6CC-946886EAED9B}"/>
    <cellStyle name="Normal 2 4 2 4 4 11 2" xfId="19864" xr:uid="{ACEEC141-901F-49BD-8AC5-7C1176664C72}"/>
    <cellStyle name="Normal 2 4 2 4 4 12" xfId="10745" xr:uid="{B6D444C6-278D-4896-8095-D9C8551FD87B}"/>
    <cellStyle name="Normal 2 4 2 4 4 12 2" xfId="20693" xr:uid="{3135B1E1-749F-467D-BA10-BF67B2C511FD}"/>
    <cellStyle name="Normal 2 4 2 4 4 13" xfId="1626" xr:uid="{1510FF8E-C140-4EBF-8C47-C96DFE03B199}"/>
    <cellStyle name="Normal 2 4 2 4 4 14" xfId="11574" xr:uid="{8725789A-E4FA-450E-8196-8B61D40FB542}"/>
    <cellStyle name="Normal 2 4 2 4 4 2" xfId="2455" xr:uid="{9E45CEC2-B678-4806-B9C7-3E693BE8A1E5}"/>
    <cellStyle name="Normal 2 4 2 4 4 2 2" xfId="12403" xr:uid="{A0E386B8-62A6-4213-B88E-FFB12EE9B343}"/>
    <cellStyle name="Normal 2 4 2 4 4 3" xfId="3284" xr:uid="{6214FA2B-B775-42BF-9B0A-4B40A8717AC1}"/>
    <cellStyle name="Normal 2 4 2 4 4 3 2" xfId="13232" xr:uid="{E37A54A8-50C3-4D07-BDF2-9CCD9C11E3C6}"/>
    <cellStyle name="Normal 2 4 2 4 4 4" xfId="4113" xr:uid="{A183C143-5483-4481-B5DB-874631049839}"/>
    <cellStyle name="Normal 2 4 2 4 4 4 2" xfId="14061" xr:uid="{64B32682-4C37-4990-81E6-9470D289B613}"/>
    <cellStyle name="Normal 2 4 2 4 4 5" xfId="4942" xr:uid="{FD9567B0-BB9E-49BF-9854-521DD56F3434}"/>
    <cellStyle name="Normal 2 4 2 4 4 5 2" xfId="14890" xr:uid="{B58C48B2-5F1B-407F-B909-520B452C568A}"/>
    <cellStyle name="Normal 2 4 2 4 4 6" xfId="5771" xr:uid="{5A53843C-34F0-4E1C-97A1-5E4B0698A960}"/>
    <cellStyle name="Normal 2 4 2 4 4 6 2" xfId="15719" xr:uid="{AB072567-6EA3-4F27-8552-D81477521387}"/>
    <cellStyle name="Normal 2 4 2 4 4 7" xfId="6600" xr:uid="{5037930A-FE8B-4A77-BE49-0C7176B9466E}"/>
    <cellStyle name="Normal 2 4 2 4 4 7 2" xfId="16548" xr:uid="{96727AB9-0FD4-44B7-8222-C3CDD5D7495D}"/>
    <cellStyle name="Normal 2 4 2 4 4 8" xfId="7429" xr:uid="{B42F3FB2-896C-463C-AA8A-C3EFF0635C25}"/>
    <cellStyle name="Normal 2 4 2 4 4 8 2" xfId="17377" xr:uid="{5F335A19-0D49-4E0B-B876-2FE1E9C941D6}"/>
    <cellStyle name="Normal 2 4 2 4 4 9" xfId="8258" xr:uid="{DE4E049D-5413-4559-AFC5-EBE87A771462}"/>
    <cellStyle name="Normal 2 4 2 4 4 9 2" xfId="18206" xr:uid="{5E8C9755-9CDD-4D45-820D-8375515AB80B}"/>
    <cellStyle name="Normal 2 4 2 4 5" xfId="2039" xr:uid="{CD142C0C-F23F-47D3-A685-1090A9411170}"/>
    <cellStyle name="Normal 2 4 2 4 5 2" xfId="11987" xr:uid="{2C230F76-9CD1-414F-A80C-2FF8EE5E5FCC}"/>
    <cellStyle name="Normal 2 4 2 4 6" xfId="2868" xr:uid="{02617495-1785-4A72-A15A-89758AC0CA4B}"/>
    <cellStyle name="Normal 2 4 2 4 6 2" xfId="12816" xr:uid="{BBA6E7A0-8746-4B5C-87F9-6C2379DA330C}"/>
    <cellStyle name="Normal 2 4 2 4 7" xfId="3697" xr:uid="{60C6B7C3-AE7F-4B1A-9DC1-C04D562D56AB}"/>
    <cellStyle name="Normal 2 4 2 4 7 2" xfId="13645" xr:uid="{59BE1E7A-6187-401A-99EB-16A5D7754EC7}"/>
    <cellStyle name="Normal 2 4 2 4 8" xfId="4526" xr:uid="{479D4623-49D8-4B63-B878-78A01914B27B}"/>
    <cellStyle name="Normal 2 4 2 4 8 2" xfId="14474" xr:uid="{394CE088-E4EC-486F-8D8B-7785756EF464}"/>
    <cellStyle name="Normal 2 4 2 4 9" xfId="5355" xr:uid="{3DE1D70B-4D87-47BE-8B38-8D92ECDFEC3F}"/>
    <cellStyle name="Normal 2 4 2 4 9 2" xfId="15303" xr:uid="{25EEC0A5-86B0-431B-8C44-C53B700236D6}"/>
    <cellStyle name="Normal 2 4 2 5" xfId="296" xr:uid="{00000000-0005-0000-0000-0000FF010000}"/>
    <cellStyle name="Normal 2 4 2 5 10" xfId="7017" xr:uid="{080DE25F-D3D9-4C58-9E82-7856534FBCCE}"/>
    <cellStyle name="Normal 2 4 2 5 10 2" xfId="16965" xr:uid="{C886CC06-64CC-47EC-ACDD-23783559B130}"/>
    <cellStyle name="Normal 2 4 2 5 11" xfId="7846" xr:uid="{1845492E-D099-457C-80D7-EA726372E8B1}"/>
    <cellStyle name="Normal 2 4 2 5 11 2" xfId="17794" xr:uid="{74B39F80-1FFB-40BB-A9DA-F9228117D025}"/>
    <cellStyle name="Normal 2 4 2 5 12" xfId="8675" xr:uid="{A9D3223A-5843-4DB1-8640-50B218E934BB}"/>
    <cellStyle name="Normal 2 4 2 5 12 2" xfId="18623" xr:uid="{F119ADDC-080C-49EA-AB8D-3DE11A027308}"/>
    <cellStyle name="Normal 2 4 2 5 13" xfId="9504" xr:uid="{931DC2E2-DCD5-4707-8835-434E8E7DE662}"/>
    <cellStyle name="Normal 2 4 2 5 13 2" xfId="19452" xr:uid="{D1F1402A-4021-4418-B249-6DD545F63881}"/>
    <cellStyle name="Normal 2 4 2 5 14" xfId="10333" xr:uid="{1CB560D7-AE6E-45D2-A43F-5067A8B1F34E}"/>
    <cellStyle name="Normal 2 4 2 5 14 2" xfId="20281" xr:uid="{F2295714-8ACD-413E-A1D9-3391A02E9DED}"/>
    <cellStyle name="Normal 2 4 2 5 15" xfId="1214" xr:uid="{31DB9821-E06B-4B52-8F0D-4199F1F5C0DC}"/>
    <cellStyle name="Normal 2 4 2 5 16" xfId="11162" xr:uid="{DE11B461-1E8F-4270-9239-4FA9AF1F17E0}"/>
    <cellStyle name="Normal 2 4 2 5 2" xfId="297" xr:uid="{00000000-0005-0000-0000-000000020000}"/>
    <cellStyle name="Normal 2 4 2 5 2 10" xfId="7847" xr:uid="{43F0437C-FFEF-48C2-893D-C5C72A99A4BC}"/>
    <cellStyle name="Normal 2 4 2 5 2 10 2" xfId="17795" xr:uid="{13447DA4-B845-40D7-8E85-771D90527C19}"/>
    <cellStyle name="Normal 2 4 2 5 2 11" xfId="8676" xr:uid="{17BD9A32-5256-40D4-BB1C-0D624B91EEA6}"/>
    <cellStyle name="Normal 2 4 2 5 2 11 2" xfId="18624" xr:uid="{A2EE24EA-D29D-4B68-BD37-D39F0A06BE71}"/>
    <cellStyle name="Normal 2 4 2 5 2 12" xfId="9505" xr:uid="{EEE6729A-68F1-49F9-A2A7-533D25B6541A}"/>
    <cellStyle name="Normal 2 4 2 5 2 12 2" xfId="19453" xr:uid="{1F53DC07-2DF3-4E7E-8A08-FB2605E99887}"/>
    <cellStyle name="Normal 2 4 2 5 2 13" xfId="10334" xr:uid="{3BB20FDA-6E35-4035-A9C6-34977717FD89}"/>
    <cellStyle name="Normal 2 4 2 5 2 13 2" xfId="20282" xr:uid="{C20CD635-40AA-4445-B3BF-99CD08095D0F}"/>
    <cellStyle name="Normal 2 4 2 5 2 14" xfId="1215" xr:uid="{7F3AC957-B6BB-4678-9F81-61F7FEECB127}"/>
    <cellStyle name="Normal 2 4 2 5 2 15" xfId="11163" xr:uid="{ED9F9762-B9FC-44BF-B535-C518A240CB03}"/>
    <cellStyle name="Normal 2 4 2 5 2 2" xfId="793" xr:uid="{00000000-0005-0000-0000-000001020000}"/>
    <cellStyle name="Normal 2 4 2 5 2 2 10" xfId="9092" xr:uid="{5C914FB5-E84E-4A68-888C-ACDAE5581243}"/>
    <cellStyle name="Normal 2 4 2 5 2 2 10 2" xfId="19040" xr:uid="{D726FF91-D4D6-4D36-85C5-75D1622C2A51}"/>
    <cellStyle name="Normal 2 4 2 5 2 2 11" xfId="9921" xr:uid="{C89B3893-14E5-4B95-9D0D-F95B308A39DE}"/>
    <cellStyle name="Normal 2 4 2 5 2 2 11 2" xfId="19869" xr:uid="{A70E5354-E8D1-4D7B-A6C5-61B5AB2B2219}"/>
    <cellStyle name="Normal 2 4 2 5 2 2 12" xfId="10750" xr:uid="{4FEF2338-79D7-4092-B6C5-3D7A999566A0}"/>
    <cellStyle name="Normal 2 4 2 5 2 2 12 2" xfId="20698" xr:uid="{153A8C48-B694-4201-B4E7-B6749F2810DD}"/>
    <cellStyle name="Normal 2 4 2 5 2 2 13" xfId="1631" xr:uid="{429958E9-E02E-4662-AA19-BCB9C7CC2F8A}"/>
    <cellStyle name="Normal 2 4 2 5 2 2 14" xfId="11579" xr:uid="{601DC7A9-2430-4928-966C-FDEF94DFC2A9}"/>
    <cellStyle name="Normal 2 4 2 5 2 2 2" xfId="2460" xr:uid="{B4198BAA-7EF4-4D0B-8055-7809C8501A4C}"/>
    <cellStyle name="Normal 2 4 2 5 2 2 2 2" xfId="12408" xr:uid="{27C59E3D-95EF-47F2-9F67-848636CE8B89}"/>
    <cellStyle name="Normal 2 4 2 5 2 2 3" xfId="3289" xr:uid="{673C7EB0-C4A8-4292-A240-F969FD6191B2}"/>
    <cellStyle name="Normal 2 4 2 5 2 2 3 2" xfId="13237" xr:uid="{94F17436-E990-40B3-9D6C-327E2260CF87}"/>
    <cellStyle name="Normal 2 4 2 5 2 2 4" xfId="4118" xr:uid="{FDF597EE-1400-4060-BC22-C8066EAA5929}"/>
    <cellStyle name="Normal 2 4 2 5 2 2 4 2" xfId="14066" xr:uid="{8F8BD9E5-C56C-46EC-94E8-84586310BBC6}"/>
    <cellStyle name="Normal 2 4 2 5 2 2 5" xfId="4947" xr:uid="{1544EC84-5732-4392-BDFE-ED017D9599C6}"/>
    <cellStyle name="Normal 2 4 2 5 2 2 5 2" xfId="14895" xr:uid="{7B3096D4-3D55-4E33-9EA9-7D0A402E700D}"/>
    <cellStyle name="Normal 2 4 2 5 2 2 6" xfId="5776" xr:uid="{25D8A812-727C-42EA-A6E0-0E428B00C9D0}"/>
    <cellStyle name="Normal 2 4 2 5 2 2 6 2" xfId="15724" xr:uid="{DD99BAF2-0C54-4E30-91EA-1A0E36E4D877}"/>
    <cellStyle name="Normal 2 4 2 5 2 2 7" xfId="6605" xr:uid="{6622C95A-5DC5-4C2C-8C87-926040D9F43D}"/>
    <cellStyle name="Normal 2 4 2 5 2 2 7 2" xfId="16553" xr:uid="{95792B58-816E-49E6-85C9-04430A96C805}"/>
    <cellStyle name="Normal 2 4 2 5 2 2 8" xfId="7434" xr:uid="{26BD6AE1-F3F9-4D9C-953B-6E3BEFCB9B8A}"/>
    <cellStyle name="Normal 2 4 2 5 2 2 8 2" xfId="17382" xr:uid="{0C719982-11FF-47FF-B44B-ED785191C71F}"/>
    <cellStyle name="Normal 2 4 2 5 2 2 9" xfId="8263" xr:uid="{FA9A2FC7-B643-42EE-948D-BE5435C80574}"/>
    <cellStyle name="Normal 2 4 2 5 2 2 9 2" xfId="18211" xr:uid="{F2A9B5C3-2E65-4986-8A64-30D3EA21C149}"/>
    <cellStyle name="Normal 2 4 2 5 2 3" xfId="2044" xr:uid="{742B259C-E72E-4F85-8C32-CA12A712295E}"/>
    <cellStyle name="Normal 2 4 2 5 2 3 2" xfId="11992" xr:uid="{4FD3F416-C8E2-4FA2-AC56-3C3B6814319C}"/>
    <cellStyle name="Normal 2 4 2 5 2 4" xfId="2873" xr:uid="{B71D4AE1-2B16-48E4-9D03-BD20A2D7162D}"/>
    <cellStyle name="Normal 2 4 2 5 2 4 2" xfId="12821" xr:uid="{61DB5B6A-7DEF-485E-A3A8-300C151C9C5E}"/>
    <cellStyle name="Normal 2 4 2 5 2 5" xfId="3702" xr:uid="{495E0E36-A9AB-48B6-83E5-825623C78831}"/>
    <cellStyle name="Normal 2 4 2 5 2 5 2" xfId="13650" xr:uid="{7491C6BD-92BA-4198-AFA5-1F4AB1C33BDA}"/>
    <cellStyle name="Normal 2 4 2 5 2 6" xfId="4531" xr:uid="{7FBBC7E1-1B81-45C0-AE62-983506AC5223}"/>
    <cellStyle name="Normal 2 4 2 5 2 6 2" xfId="14479" xr:uid="{8DA1118E-3135-4AF4-9D6C-BD4F7BA0C008}"/>
    <cellStyle name="Normal 2 4 2 5 2 7" xfId="5360" xr:uid="{0A934512-F999-45DE-A6D4-5A41ADF97A8E}"/>
    <cellStyle name="Normal 2 4 2 5 2 7 2" xfId="15308" xr:uid="{16DAB9E1-41AA-483B-BB51-AC64758B9E05}"/>
    <cellStyle name="Normal 2 4 2 5 2 8" xfId="6189" xr:uid="{CBEB0695-0383-4884-AB3A-FFD4FAA8B56F}"/>
    <cellStyle name="Normal 2 4 2 5 2 8 2" xfId="16137" xr:uid="{AC085318-B602-4B62-A64B-CB3021C42CE8}"/>
    <cellStyle name="Normal 2 4 2 5 2 9" xfId="7018" xr:uid="{8D667F9B-2981-44D4-A11F-EC118E560AAE}"/>
    <cellStyle name="Normal 2 4 2 5 2 9 2" xfId="16966" xr:uid="{8C30E8A0-427F-4118-A090-6FC09F5B1E32}"/>
    <cellStyle name="Normal 2 4 2 5 3" xfId="792" xr:uid="{00000000-0005-0000-0000-000002020000}"/>
    <cellStyle name="Normal 2 4 2 5 3 10" xfId="9091" xr:uid="{7BCDD678-1FA9-4C8D-B1C5-7BDFA3845F98}"/>
    <cellStyle name="Normal 2 4 2 5 3 10 2" xfId="19039" xr:uid="{CD5F3580-28D3-4811-8256-D44175BE134A}"/>
    <cellStyle name="Normal 2 4 2 5 3 11" xfId="9920" xr:uid="{54DF1666-BEC2-4F35-A220-430573D10647}"/>
    <cellStyle name="Normal 2 4 2 5 3 11 2" xfId="19868" xr:uid="{5465604D-A783-4FE7-8A26-18BAE73AD080}"/>
    <cellStyle name="Normal 2 4 2 5 3 12" xfId="10749" xr:uid="{A6010894-F243-4CCF-9D87-AF7F89AAAD68}"/>
    <cellStyle name="Normal 2 4 2 5 3 12 2" xfId="20697" xr:uid="{1DE38A0D-6065-40BB-912A-0B5204C3666E}"/>
    <cellStyle name="Normal 2 4 2 5 3 13" xfId="1630" xr:uid="{F8473707-2EBA-4AC2-BDFC-6952B6998E73}"/>
    <cellStyle name="Normal 2 4 2 5 3 14" xfId="11578" xr:uid="{87668A43-9E9F-436D-A3EC-0070D54FB63E}"/>
    <cellStyle name="Normal 2 4 2 5 3 2" xfId="2459" xr:uid="{C5743B41-C2F2-4C0E-BD20-DAE776A01F0D}"/>
    <cellStyle name="Normal 2 4 2 5 3 2 2" xfId="12407" xr:uid="{6709DCDC-1483-45B7-B21F-429FDC8FADA9}"/>
    <cellStyle name="Normal 2 4 2 5 3 3" xfId="3288" xr:uid="{90B44B64-2598-4794-A235-4A4BD9948AD7}"/>
    <cellStyle name="Normal 2 4 2 5 3 3 2" xfId="13236" xr:uid="{34A02A86-E643-450B-A181-7A597F0E8BE7}"/>
    <cellStyle name="Normal 2 4 2 5 3 4" xfId="4117" xr:uid="{AF0A5F0E-110B-4017-B5C8-7D5344839967}"/>
    <cellStyle name="Normal 2 4 2 5 3 4 2" xfId="14065" xr:uid="{58C261F1-C6AB-4A17-AAE5-1BEE4AF6C1EC}"/>
    <cellStyle name="Normal 2 4 2 5 3 5" xfId="4946" xr:uid="{3FB1C69B-A45A-4081-A503-3863DEC1D5D2}"/>
    <cellStyle name="Normal 2 4 2 5 3 5 2" xfId="14894" xr:uid="{6522745F-FE3D-4F7B-B2D0-BB839D946E86}"/>
    <cellStyle name="Normal 2 4 2 5 3 6" xfId="5775" xr:uid="{5A561DB2-91D2-4335-829A-C432FC8BCF22}"/>
    <cellStyle name="Normal 2 4 2 5 3 6 2" xfId="15723" xr:uid="{3A0E6C2D-27A0-45A9-BC02-78A8D5EEA22C}"/>
    <cellStyle name="Normal 2 4 2 5 3 7" xfId="6604" xr:uid="{D2B24D97-428A-4D55-98F7-DF7C505A2295}"/>
    <cellStyle name="Normal 2 4 2 5 3 7 2" xfId="16552" xr:uid="{5D573ED8-C664-407A-9B7A-A53A5949E231}"/>
    <cellStyle name="Normal 2 4 2 5 3 8" xfId="7433" xr:uid="{F6505F82-28AA-4248-B5B9-A45429440993}"/>
    <cellStyle name="Normal 2 4 2 5 3 8 2" xfId="17381" xr:uid="{39EBE87B-D1ED-447D-887D-E8B397687520}"/>
    <cellStyle name="Normal 2 4 2 5 3 9" xfId="8262" xr:uid="{11FA25FF-F190-4936-9A9C-27AE909FCF7C}"/>
    <cellStyle name="Normal 2 4 2 5 3 9 2" xfId="18210" xr:uid="{F82EB0F4-1167-4E71-8CD0-0420AF55975E}"/>
    <cellStyle name="Normal 2 4 2 5 4" xfId="2043" xr:uid="{0D900540-5933-4154-9BAE-B45BFCA9F714}"/>
    <cellStyle name="Normal 2 4 2 5 4 2" xfId="11991" xr:uid="{F466FCF6-CE85-42D6-A3D4-73F4C1418BE8}"/>
    <cellStyle name="Normal 2 4 2 5 5" xfId="2872" xr:uid="{48EC6A4E-083B-4568-9B12-140145122F56}"/>
    <cellStyle name="Normal 2 4 2 5 5 2" xfId="12820" xr:uid="{D7E9D373-15A8-4C3C-979E-7A7CFDE0D7B0}"/>
    <cellStyle name="Normal 2 4 2 5 6" xfId="3701" xr:uid="{B5DA622A-D05E-46BC-BB43-A452CC49B035}"/>
    <cellStyle name="Normal 2 4 2 5 6 2" xfId="13649" xr:uid="{E4008C9C-C2EA-418F-A0DA-70524956EB35}"/>
    <cellStyle name="Normal 2 4 2 5 7" xfId="4530" xr:uid="{73EDEC9E-723B-4F79-9D45-6F41C49C23BC}"/>
    <cellStyle name="Normal 2 4 2 5 7 2" xfId="14478" xr:uid="{37B9F2C0-707C-4245-B2FC-B9B7FD2FF8F9}"/>
    <cellStyle name="Normal 2 4 2 5 8" xfId="5359" xr:uid="{1A6ED61C-C8C1-47CF-8D11-186C9543BA9F}"/>
    <cellStyle name="Normal 2 4 2 5 8 2" xfId="15307" xr:uid="{01B1C56C-A5C8-4886-8B36-3D8D4CA024EC}"/>
    <cellStyle name="Normal 2 4 2 5 9" xfId="6188" xr:uid="{DE2B6BC0-FF12-46D6-99C4-605203805B78}"/>
    <cellStyle name="Normal 2 4 2 5 9 2" xfId="16136" xr:uid="{012319D4-2050-41A8-99E4-923E8FC90FA3}"/>
    <cellStyle name="Normal 2 4 2 6" xfId="298" xr:uid="{00000000-0005-0000-0000-000003020000}"/>
    <cellStyle name="Normal 2 4 2 6 10" xfId="7848" xr:uid="{358A8673-D81D-4C95-9F49-A13159949B02}"/>
    <cellStyle name="Normal 2 4 2 6 10 2" xfId="17796" xr:uid="{AFEEAB08-08D1-4778-80E0-34B968F40944}"/>
    <cellStyle name="Normal 2 4 2 6 11" xfId="8677" xr:uid="{A2D91843-22A0-4683-ACE1-0B3FCAEA6E41}"/>
    <cellStyle name="Normal 2 4 2 6 11 2" xfId="18625" xr:uid="{A30DDF53-7416-40EB-A45A-0A61EFDEE9DD}"/>
    <cellStyle name="Normal 2 4 2 6 12" xfId="9506" xr:uid="{BE3920D6-E7EB-4796-B7F6-3CD3799FF99A}"/>
    <cellStyle name="Normal 2 4 2 6 12 2" xfId="19454" xr:uid="{A2C9A345-4DAD-4A68-A104-CABBC751F122}"/>
    <cellStyle name="Normal 2 4 2 6 13" xfId="10335" xr:uid="{9FE0FA6F-3DE6-4337-B882-AF992DB445E9}"/>
    <cellStyle name="Normal 2 4 2 6 13 2" xfId="20283" xr:uid="{C2183D7E-8888-4C97-AE07-E2123DB8FC9D}"/>
    <cellStyle name="Normal 2 4 2 6 14" xfId="1216" xr:uid="{75D73AFE-7F8F-468D-8930-A6665BAF9835}"/>
    <cellStyle name="Normal 2 4 2 6 15" xfId="11164" xr:uid="{296BBA4F-B511-4A62-A30C-C439207541D4}"/>
    <cellStyle name="Normal 2 4 2 6 2" xfId="794" xr:uid="{00000000-0005-0000-0000-000004020000}"/>
    <cellStyle name="Normal 2 4 2 6 2 10" xfId="9093" xr:uid="{38477216-0BC0-4FF1-8B53-65267006C37C}"/>
    <cellStyle name="Normal 2 4 2 6 2 10 2" xfId="19041" xr:uid="{6886676E-034B-4760-9459-3804FA51D94C}"/>
    <cellStyle name="Normal 2 4 2 6 2 11" xfId="9922" xr:uid="{52800FCE-CBBF-4635-90AA-7930A5093BD0}"/>
    <cellStyle name="Normal 2 4 2 6 2 11 2" xfId="19870" xr:uid="{35821397-9B7A-43F0-A7ED-87B0A49E59B1}"/>
    <cellStyle name="Normal 2 4 2 6 2 12" xfId="10751" xr:uid="{43BE5CD0-5780-4997-9F1D-41B775E7D8F7}"/>
    <cellStyle name="Normal 2 4 2 6 2 12 2" xfId="20699" xr:uid="{D07FD951-FCC2-4FEC-AFBE-EB18016925E8}"/>
    <cellStyle name="Normal 2 4 2 6 2 13" xfId="1632" xr:uid="{CF51F313-0A13-46F1-B1D7-66CBC4551AE8}"/>
    <cellStyle name="Normal 2 4 2 6 2 14" xfId="11580" xr:uid="{5D950D9D-E5D5-44F7-96AF-47B07FEFEF94}"/>
    <cellStyle name="Normal 2 4 2 6 2 2" xfId="2461" xr:uid="{D5312DC6-F0E6-4CA9-9828-A4E4CF636768}"/>
    <cellStyle name="Normal 2 4 2 6 2 2 2" xfId="12409" xr:uid="{1B8B59DC-A307-4B04-9916-6D906B50689C}"/>
    <cellStyle name="Normal 2 4 2 6 2 3" xfId="3290" xr:uid="{05E1ACF4-3353-40B4-AE70-3D68ECCCE852}"/>
    <cellStyle name="Normal 2 4 2 6 2 3 2" xfId="13238" xr:uid="{6E105FD4-6AD6-4439-B09F-034C11A73EA1}"/>
    <cellStyle name="Normal 2 4 2 6 2 4" xfId="4119" xr:uid="{9DDB0803-D76A-408E-81D8-8221811361FF}"/>
    <cellStyle name="Normal 2 4 2 6 2 4 2" xfId="14067" xr:uid="{477BA26E-BBD9-4535-B6FC-009FA4D504AF}"/>
    <cellStyle name="Normal 2 4 2 6 2 5" xfId="4948" xr:uid="{75219284-1455-4A0A-AF7A-980F07C69756}"/>
    <cellStyle name="Normal 2 4 2 6 2 5 2" xfId="14896" xr:uid="{C1EB4C0E-29EC-4EFD-AEA5-EE597EDD7E2F}"/>
    <cellStyle name="Normal 2 4 2 6 2 6" xfId="5777" xr:uid="{88DC971E-A0D4-493F-B322-D0F470F59F09}"/>
    <cellStyle name="Normal 2 4 2 6 2 6 2" xfId="15725" xr:uid="{9953E183-6ACC-491E-A329-D74ABBCEFD42}"/>
    <cellStyle name="Normal 2 4 2 6 2 7" xfId="6606" xr:uid="{9FE355F5-56C1-4BC3-A6D5-72612A50142A}"/>
    <cellStyle name="Normal 2 4 2 6 2 7 2" xfId="16554" xr:uid="{D14652A0-28B6-4CED-989C-3B7B805563C4}"/>
    <cellStyle name="Normal 2 4 2 6 2 8" xfId="7435" xr:uid="{E8D98BDA-8BAD-48AD-B7CC-958090CDE036}"/>
    <cellStyle name="Normal 2 4 2 6 2 8 2" xfId="17383" xr:uid="{4532A083-F81E-45E6-8504-5E5DA2867C2F}"/>
    <cellStyle name="Normal 2 4 2 6 2 9" xfId="8264" xr:uid="{4909F10C-DDFF-4B74-8FE5-73777C429C77}"/>
    <cellStyle name="Normal 2 4 2 6 2 9 2" xfId="18212" xr:uid="{EDABDEEE-589C-47DC-927A-D8DA1CAC0A00}"/>
    <cellStyle name="Normal 2 4 2 6 3" xfId="2045" xr:uid="{5414E3DC-0FE4-4C24-8092-08B1DEDAF62C}"/>
    <cellStyle name="Normal 2 4 2 6 3 2" xfId="11993" xr:uid="{3466FE0A-09EF-4404-89A7-635ABB650ABA}"/>
    <cellStyle name="Normal 2 4 2 6 4" xfId="2874" xr:uid="{873EA1C8-19DC-42AC-BBEA-F99AF599C0D3}"/>
    <cellStyle name="Normal 2 4 2 6 4 2" xfId="12822" xr:uid="{A5772180-7C55-41F5-81ED-1C65899DCE5A}"/>
    <cellStyle name="Normal 2 4 2 6 5" xfId="3703" xr:uid="{8FFBF62E-3D12-4AE7-81FD-AC3DF1EF4B18}"/>
    <cellStyle name="Normal 2 4 2 6 5 2" xfId="13651" xr:uid="{D4C5C4C3-9AEF-4E62-A8DC-5EE835CDDC5F}"/>
    <cellStyle name="Normal 2 4 2 6 6" xfId="4532" xr:uid="{DD1E810E-D070-4C59-8217-805762B11AEC}"/>
    <cellStyle name="Normal 2 4 2 6 6 2" xfId="14480" xr:uid="{962AFBCA-7E55-42F5-89AD-1F2B5DFB0688}"/>
    <cellStyle name="Normal 2 4 2 6 7" xfId="5361" xr:uid="{2078D848-73AA-4DE0-A6AC-5BFFDD2515BA}"/>
    <cellStyle name="Normal 2 4 2 6 7 2" xfId="15309" xr:uid="{B3D689B3-4822-42FC-8261-3F7A662122A2}"/>
    <cellStyle name="Normal 2 4 2 6 8" xfId="6190" xr:uid="{3F0F381C-6E3B-4826-86BE-62B62615AA00}"/>
    <cellStyle name="Normal 2 4 2 6 8 2" xfId="16138" xr:uid="{72A2F169-D1A9-4574-A93F-5A78338C8FC2}"/>
    <cellStyle name="Normal 2 4 2 6 9" xfId="7019" xr:uid="{40752C53-45B3-4439-9425-A35DC001F638}"/>
    <cellStyle name="Normal 2 4 2 6 9 2" xfId="16967" xr:uid="{C07DDE23-D239-45D3-9DE8-7D5093190F47}"/>
    <cellStyle name="Normal 2 4 2 7" xfId="779" xr:uid="{00000000-0005-0000-0000-000005020000}"/>
    <cellStyle name="Normal 2 4 2 7 10" xfId="9078" xr:uid="{E6526350-07FB-413C-93DE-A639BA771410}"/>
    <cellStyle name="Normal 2 4 2 7 10 2" xfId="19026" xr:uid="{AB572A43-9266-4FB8-B8E3-F8EC64D1E1A1}"/>
    <cellStyle name="Normal 2 4 2 7 11" xfId="9907" xr:uid="{C7040EB9-61E0-46DF-8609-1255B618EBD7}"/>
    <cellStyle name="Normal 2 4 2 7 11 2" xfId="19855" xr:uid="{DCD650FC-0F0A-4A02-93E2-35CEDDFC8862}"/>
    <cellStyle name="Normal 2 4 2 7 12" xfId="10736" xr:uid="{DA9E9561-B643-4D8C-97C9-57EA537E8E19}"/>
    <cellStyle name="Normal 2 4 2 7 12 2" xfId="20684" xr:uid="{26CC2E98-C165-41DC-A0F6-B351FA664CC2}"/>
    <cellStyle name="Normal 2 4 2 7 13" xfId="1617" xr:uid="{7A7FED7B-7423-442D-8ED7-21F254A8AE2E}"/>
    <cellStyle name="Normal 2 4 2 7 14" xfId="11565" xr:uid="{AEF2E70D-BB1E-4B22-BAD4-5BDE737C5995}"/>
    <cellStyle name="Normal 2 4 2 7 2" xfId="2446" xr:uid="{7F5F9974-EFDE-4474-9424-0402880DB1DC}"/>
    <cellStyle name="Normal 2 4 2 7 2 2" xfId="12394" xr:uid="{4BDAB240-260D-4550-8844-1A14828CC485}"/>
    <cellStyle name="Normal 2 4 2 7 3" xfId="3275" xr:uid="{124774C8-51D4-47B8-B33E-EC95A89389E3}"/>
    <cellStyle name="Normal 2 4 2 7 3 2" xfId="13223" xr:uid="{AB89BF86-9303-45E9-82D4-FCB710199A11}"/>
    <cellStyle name="Normal 2 4 2 7 4" xfId="4104" xr:uid="{200D46D1-2874-4BF4-A426-002607496695}"/>
    <cellStyle name="Normal 2 4 2 7 4 2" xfId="14052" xr:uid="{C918C520-AD94-4A87-BB7A-95093304AFB4}"/>
    <cellStyle name="Normal 2 4 2 7 5" xfId="4933" xr:uid="{377D4F0D-22ED-47DD-8CE5-65D4D817F463}"/>
    <cellStyle name="Normal 2 4 2 7 5 2" xfId="14881" xr:uid="{78C755DC-A39B-4A39-8D55-4003ABE999E6}"/>
    <cellStyle name="Normal 2 4 2 7 6" xfId="5762" xr:uid="{0CF12C1B-93EF-475D-90B0-239B0FACB902}"/>
    <cellStyle name="Normal 2 4 2 7 6 2" xfId="15710" xr:uid="{01A64964-5158-4141-B020-139248220DAC}"/>
    <cellStyle name="Normal 2 4 2 7 7" xfId="6591" xr:uid="{F527734C-EA91-4DD4-9DBF-C232CA03CB7F}"/>
    <cellStyle name="Normal 2 4 2 7 7 2" xfId="16539" xr:uid="{1C3CC262-0A63-425C-96DD-D1FFF26A86EC}"/>
    <cellStyle name="Normal 2 4 2 7 8" xfId="7420" xr:uid="{2C68A2E9-37A0-429B-8F8C-F1AD3341FF1B}"/>
    <cellStyle name="Normal 2 4 2 7 8 2" xfId="17368" xr:uid="{8ECCFC68-A9F3-4D87-875A-129083DFFFBB}"/>
    <cellStyle name="Normal 2 4 2 7 9" xfId="8249" xr:uid="{25F5CE47-55B3-443B-A620-7683BC40C576}"/>
    <cellStyle name="Normal 2 4 2 7 9 2" xfId="18197" xr:uid="{10EBA00E-3B5B-4F81-B5EE-52D1D82B999F}"/>
    <cellStyle name="Normal 2 4 2 8" xfId="2030" xr:uid="{A15DC76D-09C1-4444-9AEB-15F2990A14CF}"/>
    <cellStyle name="Normal 2 4 2 8 2" xfId="11978" xr:uid="{64280823-4190-45B4-80A9-6C646814A5E1}"/>
    <cellStyle name="Normal 2 4 2 9" xfId="2859" xr:uid="{921AAA9A-B296-4C05-AD0D-338903C42522}"/>
    <cellStyle name="Normal 2 4 2 9 2" xfId="12807" xr:uid="{9B41FE3C-F200-4F2B-9D80-F54C346D84A8}"/>
    <cellStyle name="Normal 2 4 3" xfId="299" xr:uid="{00000000-0005-0000-0000-000006020000}"/>
    <cellStyle name="Normal 2 4 3 10" xfId="6191" xr:uid="{A0FA7341-2CEC-4B27-B6C0-4D6FDFD18007}"/>
    <cellStyle name="Normal 2 4 3 10 2" xfId="16139" xr:uid="{46A3EF26-1440-42B9-A9B3-47E7A21CC778}"/>
    <cellStyle name="Normal 2 4 3 11" xfId="7020" xr:uid="{242A3089-6A92-4676-ADF3-107658089097}"/>
    <cellStyle name="Normal 2 4 3 11 2" xfId="16968" xr:uid="{8B222927-0A7A-41C9-AD10-B86876318CD5}"/>
    <cellStyle name="Normal 2 4 3 12" xfId="7849" xr:uid="{765713D9-63E5-48B3-8660-04DBB3BB9870}"/>
    <cellStyle name="Normal 2 4 3 12 2" xfId="17797" xr:uid="{EFD5008F-60F7-4308-ABEA-A3D79A44F85B}"/>
    <cellStyle name="Normal 2 4 3 13" xfId="8678" xr:uid="{3B8E2D10-60A4-43D0-BDC4-F0C850CD4B31}"/>
    <cellStyle name="Normal 2 4 3 13 2" xfId="18626" xr:uid="{0EE36395-4614-49AC-8D50-0CD13AA9F027}"/>
    <cellStyle name="Normal 2 4 3 14" xfId="9507" xr:uid="{74273415-77D4-4740-889A-122C2D77AD27}"/>
    <cellStyle name="Normal 2 4 3 14 2" xfId="19455" xr:uid="{C04361FF-4A9D-4C0D-B5ED-F9310868C906}"/>
    <cellStyle name="Normal 2 4 3 15" xfId="10336" xr:uid="{7A119BD1-C998-478C-BC51-A3E075F7E074}"/>
    <cellStyle name="Normal 2 4 3 15 2" xfId="20284" xr:uid="{0C265736-E873-4902-8332-FCAD2F0480EE}"/>
    <cellStyle name="Normal 2 4 3 16" xfId="1217" xr:uid="{90DB8CC5-E70D-43F4-8E1A-AD5A983000FB}"/>
    <cellStyle name="Normal 2 4 3 17" xfId="11165" xr:uid="{C0D52A49-BE3B-4B90-AC0F-819212ECF9FB}"/>
    <cellStyle name="Normal 2 4 3 2" xfId="300" xr:uid="{00000000-0005-0000-0000-000007020000}"/>
    <cellStyle name="Normal 2 4 3 3" xfId="301" xr:uid="{00000000-0005-0000-0000-000008020000}"/>
    <cellStyle name="Normal 2 4 3 3 10" xfId="6192" xr:uid="{9CEBEE9F-44CF-42D3-A822-64C6AF21E3F3}"/>
    <cellStyle name="Normal 2 4 3 3 10 2" xfId="16140" xr:uid="{CEEA68D0-9A13-43ED-A269-E189FB4F45B9}"/>
    <cellStyle name="Normal 2 4 3 3 11" xfId="7021" xr:uid="{0DF44D7C-4E28-4E97-BB93-77936DB3D349}"/>
    <cellStyle name="Normal 2 4 3 3 11 2" xfId="16969" xr:uid="{8EEFC1AB-97B0-42CF-B369-13F37B567D02}"/>
    <cellStyle name="Normal 2 4 3 3 12" xfId="7850" xr:uid="{1AAED2CA-755E-464A-AAAA-9205FBA34948}"/>
    <cellStyle name="Normal 2 4 3 3 12 2" xfId="17798" xr:uid="{3E155489-1CFC-41B3-9CE9-7D823337CFC6}"/>
    <cellStyle name="Normal 2 4 3 3 13" xfId="8679" xr:uid="{6431E8DD-0728-4B0E-B7B8-F865D1F865E2}"/>
    <cellStyle name="Normal 2 4 3 3 13 2" xfId="18627" xr:uid="{82346795-C920-445D-BA4E-D33162EE790E}"/>
    <cellStyle name="Normal 2 4 3 3 14" xfId="9508" xr:uid="{FFE07CDC-7379-40E9-ADB8-A4552ACCAB2B}"/>
    <cellStyle name="Normal 2 4 3 3 14 2" xfId="19456" xr:uid="{26B44F0A-8EC8-4289-A86F-EF62D3F8037E}"/>
    <cellStyle name="Normal 2 4 3 3 15" xfId="10337" xr:uid="{DAE0FBB2-A23F-44AF-8FBB-2E56A7B6C28B}"/>
    <cellStyle name="Normal 2 4 3 3 15 2" xfId="20285" xr:uid="{46C6DC1D-0310-4BDD-B927-F0CBFF16D53D}"/>
    <cellStyle name="Normal 2 4 3 3 16" xfId="1218" xr:uid="{69B86DDF-FD11-4341-9FD9-D0D035C29034}"/>
    <cellStyle name="Normal 2 4 3 3 17" xfId="11166" xr:uid="{F75C9BE4-720D-4D12-90CB-2155DDBEE373}"/>
    <cellStyle name="Normal 2 4 3 3 2" xfId="302" xr:uid="{00000000-0005-0000-0000-000009020000}"/>
    <cellStyle name="Normal 2 4 3 3 2 10" xfId="7022" xr:uid="{7D15FC29-F0DD-4621-AEE8-3A277662B4C3}"/>
    <cellStyle name="Normal 2 4 3 3 2 10 2" xfId="16970" xr:uid="{5F575765-1B42-410D-AEE4-8BF97CA67C77}"/>
    <cellStyle name="Normal 2 4 3 3 2 11" xfId="7851" xr:uid="{5BA56673-BDD1-434A-9413-D29DC9F3A38C}"/>
    <cellStyle name="Normal 2 4 3 3 2 11 2" xfId="17799" xr:uid="{106B2FAA-0B81-4A1D-9059-9F74DB55D0A4}"/>
    <cellStyle name="Normal 2 4 3 3 2 12" xfId="8680" xr:uid="{0E43DF24-DE6B-4089-8EA7-66AE230560C9}"/>
    <cellStyle name="Normal 2 4 3 3 2 12 2" xfId="18628" xr:uid="{F520C795-9AF3-41C0-A520-507E79288D9A}"/>
    <cellStyle name="Normal 2 4 3 3 2 13" xfId="9509" xr:uid="{505BDD28-FB20-4603-BADC-700189B935EE}"/>
    <cellStyle name="Normal 2 4 3 3 2 13 2" xfId="19457" xr:uid="{F6749B80-FA6A-44A2-84A2-62DA83C19025}"/>
    <cellStyle name="Normal 2 4 3 3 2 14" xfId="10338" xr:uid="{D6D9A99F-C06E-47B4-9AB3-B1F390CD8E8B}"/>
    <cellStyle name="Normal 2 4 3 3 2 14 2" xfId="20286" xr:uid="{C65ADB0B-75AC-450B-9D87-78A91F6D4C6A}"/>
    <cellStyle name="Normal 2 4 3 3 2 15" xfId="1219" xr:uid="{12FEAD5E-BE02-48CE-9B22-459A93899CA5}"/>
    <cellStyle name="Normal 2 4 3 3 2 16" xfId="11167" xr:uid="{9F0B3D92-A0EC-46BC-90F5-2F8E4C6D945A}"/>
    <cellStyle name="Normal 2 4 3 3 2 2" xfId="303" xr:uid="{00000000-0005-0000-0000-00000A020000}"/>
    <cellStyle name="Normal 2 4 3 3 2 2 10" xfId="7852" xr:uid="{EC915C40-5997-448E-ACAA-9F04AAF16BFE}"/>
    <cellStyle name="Normal 2 4 3 3 2 2 10 2" xfId="17800" xr:uid="{DDBA9266-FA6E-4944-95C6-9CA6699369FF}"/>
    <cellStyle name="Normal 2 4 3 3 2 2 11" xfId="8681" xr:uid="{0E58F499-7127-4F24-9095-FF1DD0D990DC}"/>
    <cellStyle name="Normal 2 4 3 3 2 2 11 2" xfId="18629" xr:uid="{59FAD4FB-732F-4FB6-A028-90A608BB6FC9}"/>
    <cellStyle name="Normal 2 4 3 3 2 2 12" xfId="9510" xr:uid="{144992BA-99B3-4765-87AF-239496819789}"/>
    <cellStyle name="Normal 2 4 3 3 2 2 12 2" xfId="19458" xr:uid="{AE58F164-566B-459B-B86C-8B41FDBE3B98}"/>
    <cellStyle name="Normal 2 4 3 3 2 2 13" xfId="10339" xr:uid="{48FAB603-BFE5-4ECF-8195-411E5CFEAE31}"/>
    <cellStyle name="Normal 2 4 3 3 2 2 13 2" xfId="20287" xr:uid="{E512616E-DC5A-4F5C-BDC8-8B6796611D32}"/>
    <cellStyle name="Normal 2 4 3 3 2 2 14" xfId="1220" xr:uid="{6BB3A26A-63BD-4EE3-8EA7-53C785C297CC}"/>
    <cellStyle name="Normal 2 4 3 3 2 2 15" xfId="11168" xr:uid="{82530947-DB96-4BA8-8CF7-A42051CAC0D5}"/>
    <cellStyle name="Normal 2 4 3 3 2 2 2" xfId="798" xr:uid="{00000000-0005-0000-0000-00000B020000}"/>
    <cellStyle name="Normal 2 4 3 3 2 2 2 10" xfId="9097" xr:uid="{05D73A12-7B82-42F0-AD30-4F59CC0AF57C}"/>
    <cellStyle name="Normal 2 4 3 3 2 2 2 10 2" xfId="19045" xr:uid="{E595F1A0-1C49-496D-B6A6-C22BB3F58947}"/>
    <cellStyle name="Normal 2 4 3 3 2 2 2 11" xfId="9926" xr:uid="{88BB82FE-7F6E-4276-96B5-EA3C9CB5B768}"/>
    <cellStyle name="Normal 2 4 3 3 2 2 2 11 2" xfId="19874" xr:uid="{AA70534A-BA49-4517-A47A-BA2D758DBD97}"/>
    <cellStyle name="Normal 2 4 3 3 2 2 2 12" xfId="10755" xr:uid="{375CF7FF-85B1-427F-A4E9-A5251C52E5BF}"/>
    <cellStyle name="Normal 2 4 3 3 2 2 2 12 2" xfId="20703" xr:uid="{1D89AA9B-036E-4FD0-916D-D8F01C378292}"/>
    <cellStyle name="Normal 2 4 3 3 2 2 2 13" xfId="1636" xr:uid="{ED164D5E-8117-4D26-9ED6-C1773A19D43D}"/>
    <cellStyle name="Normal 2 4 3 3 2 2 2 14" xfId="11584" xr:uid="{6CF51372-44A4-453B-B21E-A1BD5E800C1D}"/>
    <cellStyle name="Normal 2 4 3 3 2 2 2 2" xfId="2465" xr:uid="{74452028-17CC-43AF-B3E6-B20B1984C248}"/>
    <cellStyle name="Normal 2 4 3 3 2 2 2 2 2" xfId="12413" xr:uid="{58F56FEC-F223-4E71-9A7D-711164F767E9}"/>
    <cellStyle name="Normal 2 4 3 3 2 2 2 3" xfId="3294" xr:uid="{6F581C66-5CD0-498B-B67C-7E41BA1412F4}"/>
    <cellStyle name="Normal 2 4 3 3 2 2 2 3 2" xfId="13242" xr:uid="{2F21FCEE-EAC4-4D05-9F23-E3D388E82D6C}"/>
    <cellStyle name="Normal 2 4 3 3 2 2 2 4" xfId="4123" xr:uid="{F76BF440-107F-4683-B5F7-17EADF6C6274}"/>
    <cellStyle name="Normal 2 4 3 3 2 2 2 4 2" xfId="14071" xr:uid="{F9BBCC6F-5315-41F2-9412-76734C4DD169}"/>
    <cellStyle name="Normal 2 4 3 3 2 2 2 5" xfId="4952" xr:uid="{7018364B-8489-4ADF-A2C3-7BD63649DF4A}"/>
    <cellStyle name="Normal 2 4 3 3 2 2 2 5 2" xfId="14900" xr:uid="{29E31808-3D52-4596-8E77-47B943CAD74D}"/>
    <cellStyle name="Normal 2 4 3 3 2 2 2 6" xfId="5781" xr:uid="{6CE11F4F-1DD3-4388-95FF-A1B2C202A6B7}"/>
    <cellStyle name="Normal 2 4 3 3 2 2 2 6 2" xfId="15729" xr:uid="{80EE6ACE-9E9C-4339-9699-BCB837A4BAA2}"/>
    <cellStyle name="Normal 2 4 3 3 2 2 2 7" xfId="6610" xr:uid="{FBB135E0-2AC0-472A-9D5B-C52788905CE6}"/>
    <cellStyle name="Normal 2 4 3 3 2 2 2 7 2" xfId="16558" xr:uid="{96D7140A-5D4B-43B0-83E3-ADD0813E079E}"/>
    <cellStyle name="Normal 2 4 3 3 2 2 2 8" xfId="7439" xr:uid="{82CFB17A-2DD0-4BD7-8BEC-F1B5BA6F6E89}"/>
    <cellStyle name="Normal 2 4 3 3 2 2 2 8 2" xfId="17387" xr:uid="{48A75A84-DB0C-4685-BD0A-A9F172B4EB1A}"/>
    <cellStyle name="Normal 2 4 3 3 2 2 2 9" xfId="8268" xr:uid="{014B709A-6099-4B39-B88D-1CA26AAD8C1A}"/>
    <cellStyle name="Normal 2 4 3 3 2 2 2 9 2" xfId="18216" xr:uid="{3DB69FCD-E793-4573-B7A0-E0B27F2BCF72}"/>
    <cellStyle name="Normal 2 4 3 3 2 2 3" xfId="2049" xr:uid="{DC6F237F-59A6-4F86-BEBE-2B9C26942FD3}"/>
    <cellStyle name="Normal 2 4 3 3 2 2 3 2" xfId="11997" xr:uid="{34ABB519-04BD-45C6-BC82-C36786959262}"/>
    <cellStyle name="Normal 2 4 3 3 2 2 4" xfId="2878" xr:uid="{1276ECF3-19FB-48B6-BE23-46A76D27EC53}"/>
    <cellStyle name="Normal 2 4 3 3 2 2 4 2" xfId="12826" xr:uid="{E51211CE-C439-46ED-8234-2B113D1E7FF1}"/>
    <cellStyle name="Normal 2 4 3 3 2 2 5" xfId="3707" xr:uid="{21BDDFF3-20D8-4E29-AFC9-1A883549903A}"/>
    <cellStyle name="Normal 2 4 3 3 2 2 5 2" xfId="13655" xr:uid="{C1435445-3BA2-4685-B94D-105FAA8FBF48}"/>
    <cellStyle name="Normal 2 4 3 3 2 2 6" xfId="4536" xr:uid="{4C6D7D67-2B30-4309-83B3-E5DEB3C80B4B}"/>
    <cellStyle name="Normal 2 4 3 3 2 2 6 2" xfId="14484" xr:uid="{4FCFE180-7448-4C40-AD96-AD4429791BF5}"/>
    <cellStyle name="Normal 2 4 3 3 2 2 7" xfId="5365" xr:uid="{0C29EDF1-6353-4DD7-A939-035F97967E4D}"/>
    <cellStyle name="Normal 2 4 3 3 2 2 7 2" xfId="15313" xr:uid="{1E82E606-4FB4-46CA-917D-A545DD334312}"/>
    <cellStyle name="Normal 2 4 3 3 2 2 8" xfId="6194" xr:uid="{9FB50CD7-99A0-44AD-9C7A-A3FC14ACA73D}"/>
    <cellStyle name="Normal 2 4 3 3 2 2 8 2" xfId="16142" xr:uid="{A7183A68-1627-4D14-83F8-1D1E36170124}"/>
    <cellStyle name="Normal 2 4 3 3 2 2 9" xfId="7023" xr:uid="{EEC9DD84-DE07-425C-B5D4-E2F4E45AE94E}"/>
    <cellStyle name="Normal 2 4 3 3 2 2 9 2" xfId="16971" xr:uid="{C04C64F7-73C7-4A7D-8A4F-CA8E4A927897}"/>
    <cellStyle name="Normal 2 4 3 3 2 3" xfId="797" xr:uid="{00000000-0005-0000-0000-00000C020000}"/>
    <cellStyle name="Normal 2 4 3 3 2 3 10" xfId="9096" xr:uid="{D9B8A952-3C47-4E43-88DB-268E83854B6E}"/>
    <cellStyle name="Normal 2 4 3 3 2 3 10 2" xfId="19044" xr:uid="{E29C9085-77BE-4E70-B9DE-44F593F2273D}"/>
    <cellStyle name="Normal 2 4 3 3 2 3 11" xfId="9925" xr:uid="{FA0A515F-F694-4274-A2F0-1A3A70CEAAD1}"/>
    <cellStyle name="Normal 2 4 3 3 2 3 11 2" xfId="19873" xr:uid="{B2A1F2D5-5F52-4BDD-A45D-60E31468D4B6}"/>
    <cellStyle name="Normal 2 4 3 3 2 3 12" xfId="10754" xr:uid="{6210450A-C7C2-4583-A858-CE69FD9FA8DD}"/>
    <cellStyle name="Normal 2 4 3 3 2 3 12 2" xfId="20702" xr:uid="{BB46A316-5DF9-4794-AD01-3312671A7EC9}"/>
    <cellStyle name="Normal 2 4 3 3 2 3 13" xfId="1635" xr:uid="{20B6CFF1-BC5B-4D03-BF15-AA2ABA5FD8CC}"/>
    <cellStyle name="Normal 2 4 3 3 2 3 14" xfId="11583" xr:uid="{98353A7A-20B2-45F3-8B83-B4041160DE17}"/>
    <cellStyle name="Normal 2 4 3 3 2 3 2" xfId="2464" xr:uid="{EFD5B81B-E769-4BC8-9A49-AEAA252F8D2A}"/>
    <cellStyle name="Normal 2 4 3 3 2 3 2 2" xfId="12412" xr:uid="{A3015B23-2BCD-4A81-9189-8132AE899909}"/>
    <cellStyle name="Normal 2 4 3 3 2 3 3" xfId="3293" xr:uid="{3E3DFA45-948D-4CA6-8E2A-EA967C30A43E}"/>
    <cellStyle name="Normal 2 4 3 3 2 3 3 2" xfId="13241" xr:uid="{E8DAF6FE-3338-4D36-8BDF-B1789C1CE465}"/>
    <cellStyle name="Normal 2 4 3 3 2 3 4" xfId="4122" xr:uid="{37A2AF7C-2DC1-488D-83C9-A99345A245B9}"/>
    <cellStyle name="Normal 2 4 3 3 2 3 4 2" xfId="14070" xr:uid="{6CB959C6-AAE6-41AA-B4EF-1594EE594521}"/>
    <cellStyle name="Normal 2 4 3 3 2 3 5" xfId="4951" xr:uid="{61C3C8A6-85AD-41D5-9AED-EBF7931DEC7F}"/>
    <cellStyle name="Normal 2 4 3 3 2 3 5 2" xfId="14899" xr:uid="{6EED8E76-08B0-4492-A862-D937AED0A5B2}"/>
    <cellStyle name="Normal 2 4 3 3 2 3 6" xfId="5780" xr:uid="{490FF684-1B88-4752-B3A4-64C7F6F99C0A}"/>
    <cellStyle name="Normal 2 4 3 3 2 3 6 2" xfId="15728" xr:uid="{C1D91430-77A9-45F7-A0F8-FB0D6748C6E3}"/>
    <cellStyle name="Normal 2 4 3 3 2 3 7" xfId="6609" xr:uid="{3963A0AB-9D0B-4DB6-BBC2-97DC1A9BEBAB}"/>
    <cellStyle name="Normal 2 4 3 3 2 3 7 2" xfId="16557" xr:uid="{07E0D3FC-D95B-40DA-A788-D932CC4AE98E}"/>
    <cellStyle name="Normal 2 4 3 3 2 3 8" xfId="7438" xr:uid="{319E0532-9AD7-499E-8B83-9D53098844F6}"/>
    <cellStyle name="Normal 2 4 3 3 2 3 8 2" xfId="17386" xr:uid="{D0D24DE5-D04A-477C-9547-3D9029355707}"/>
    <cellStyle name="Normal 2 4 3 3 2 3 9" xfId="8267" xr:uid="{356A5542-D854-481D-BC60-492E5C12ADBE}"/>
    <cellStyle name="Normal 2 4 3 3 2 3 9 2" xfId="18215" xr:uid="{1CCD8A1A-1DEC-496E-A2E7-71CDA97A3061}"/>
    <cellStyle name="Normal 2 4 3 3 2 4" xfId="2048" xr:uid="{FE9BACFD-BF76-483A-8DDB-23B6DD4B3400}"/>
    <cellStyle name="Normal 2 4 3 3 2 4 2" xfId="11996" xr:uid="{6696A4D5-017E-4E51-A83F-4A70F8A86D67}"/>
    <cellStyle name="Normal 2 4 3 3 2 5" xfId="2877" xr:uid="{B986BAA2-3516-4260-A820-CB1763829436}"/>
    <cellStyle name="Normal 2 4 3 3 2 5 2" xfId="12825" xr:uid="{BC78EF67-AA1A-43BF-A487-56CD9E16F6B4}"/>
    <cellStyle name="Normal 2 4 3 3 2 6" xfId="3706" xr:uid="{4FC5FC0A-B1DC-4A2D-8452-186C97A3ED71}"/>
    <cellStyle name="Normal 2 4 3 3 2 6 2" xfId="13654" xr:uid="{A65D2D7C-477C-416E-8969-2D474EC3B18E}"/>
    <cellStyle name="Normal 2 4 3 3 2 7" xfId="4535" xr:uid="{679A205F-8F99-4E75-90FE-C06F354BC9DB}"/>
    <cellStyle name="Normal 2 4 3 3 2 7 2" xfId="14483" xr:uid="{99336BD6-3952-48E2-B29A-8FB862957A07}"/>
    <cellStyle name="Normal 2 4 3 3 2 8" xfId="5364" xr:uid="{A1488962-A1E2-44EB-9E2D-21ACBC5D800A}"/>
    <cellStyle name="Normal 2 4 3 3 2 8 2" xfId="15312" xr:uid="{684D1DF0-F875-4FD7-B057-6A1B47BD43C3}"/>
    <cellStyle name="Normal 2 4 3 3 2 9" xfId="6193" xr:uid="{5E073CA6-378C-47E4-9D97-CA777EE61B12}"/>
    <cellStyle name="Normal 2 4 3 3 2 9 2" xfId="16141" xr:uid="{A398F044-76FF-45DF-95C6-7037522CFCEC}"/>
    <cellStyle name="Normal 2 4 3 3 3" xfId="304" xr:uid="{00000000-0005-0000-0000-00000D020000}"/>
    <cellStyle name="Normal 2 4 3 3 3 10" xfId="7853" xr:uid="{9072F6B0-76E7-48AF-9CCB-3328D77DAF57}"/>
    <cellStyle name="Normal 2 4 3 3 3 10 2" xfId="17801" xr:uid="{8673779D-B09F-4E13-93A2-BBA4517D59EA}"/>
    <cellStyle name="Normal 2 4 3 3 3 11" xfId="8682" xr:uid="{F664EE83-FC0F-4CC9-9C10-EDC88BE19E1F}"/>
    <cellStyle name="Normal 2 4 3 3 3 11 2" xfId="18630" xr:uid="{CDB29996-D25A-41E0-B23A-B008CAC92D40}"/>
    <cellStyle name="Normal 2 4 3 3 3 12" xfId="9511" xr:uid="{1525C69E-9D41-47D2-9491-7B4A96CD33CF}"/>
    <cellStyle name="Normal 2 4 3 3 3 12 2" xfId="19459" xr:uid="{BAFA705F-6FFF-4007-B2F2-2EB2BD3ACA3C}"/>
    <cellStyle name="Normal 2 4 3 3 3 13" xfId="10340" xr:uid="{26DD3713-39DA-4738-B97B-0566EAE02918}"/>
    <cellStyle name="Normal 2 4 3 3 3 13 2" xfId="20288" xr:uid="{318EC14B-4F49-44D6-AA66-B82708C64460}"/>
    <cellStyle name="Normal 2 4 3 3 3 14" xfId="1221" xr:uid="{59A73928-53B0-4842-BE79-10A9AF72F7C2}"/>
    <cellStyle name="Normal 2 4 3 3 3 15" xfId="11169" xr:uid="{9FCD7E50-7BBD-4D54-B8D2-F92B9C69F773}"/>
    <cellStyle name="Normal 2 4 3 3 3 2" xfId="799" xr:uid="{00000000-0005-0000-0000-00000E020000}"/>
    <cellStyle name="Normal 2 4 3 3 3 2 10" xfId="9098" xr:uid="{EC15F230-7172-4AFC-AA01-FBC2497791F3}"/>
    <cellStyle name="Normal 2 4 3 3 3 2 10 2" xfId="19046" xr:uid="{5DA95DEE-DEEA-4ECB-AFAA-AF495D9B8C86}"/>
    <cellStyle name="Normal 2 4 3 3 3 2 11" xfId="9927" xr:uid="{5D2BF1BA-CE97-4A86-9E9E-7DA95AC77E87}"/>
    <cellStyle name="Normal 2 4 3 3 3 2 11 2" xfId="19875" xr:uid="{571EE81E-5DB8-4B06-98E4-9A8380A554A5}"/>
    <cellStyle name="Normal 2 4 3 3 3 2 12" xfId="10756" xr:uid="{F34AE1D0-F8C3-40DA-B18C-600977969F63}"/>
    <cellStyle name="Normal 2 4 3 3 3 2 12 2" xfId="20704" xr:uid="{BA2969C0-B402-4DD3-9D4E-51A01C220FD4}"/>
    <cellStyle name="Normal 2 4 3 3 3 2 13" xfId="1637" xr:uid="{D2D8EECB-69AD-47B9-BF5A-7774A82F8250}"/>
    <cellStyle name="Normal 2 4 3 3 3 2 14" xfId="11585" xr:uid="{7F966279-DA2A-4B24-9C35-309C62BDDD41}"/>
    <cellStyle name="Normal 2 4 3 3 3 2 2" xfId="2466" xr:uid="{3051F9B2-D55D-4B29-8F4D-DDFC497FBFA0}"/>
    <cellStyle name="Normal 2 4 3 3 3 2 2 2" xfId="12414" xr:uid="{43E53128-2501-480B-9195-E689DA961FF0}"/>
    <cellStyle name="Normal 2 4 3 3 3 2 3" xfId="3295" xr:uid="{505D8BB5-C56C-4E4D-87CF-CD6F714A0478}"/>
    <cellStyle name="Normal 2 4 3 3 3 2 3 2" xfId="13243" xr:uid="{1D431D0A-332A-4209-BCFA-70BF169719D5}"/>
    <cellStyle name="Normal 2 4 3 3 3 2 4" xfId="4124" xr:uid="{43E65A35-0D8E-4D2C-B6B5-ADAEE07BE8FC}"/>
    <cellStyle name="Normal 2 4 3 3 3 2 4 2" xfId="14072" xr:uid="{0979261A-7F07-4E31-80A7-AF049841B839}"/>
    <cellStyle name="Normal 2 4 3 3 3 2 5" xfId="4953" xr:uid="{8B606763-ECC1-44B2-9DCB-DEC41BD4E3D7}"/>
    <cellStyle name="Normal 2 4 3 3 3 2 5 2" xfId="14901" xr:uid="{6AE0C37B-FC33-4B5F-A4F8-9B526128F9E6}"/>
    <cellStyle name="Normal 2 4 3 3 3 2 6" xfId="5782" xr:uid="{F8B4B7B8-7042-44F0-A8BB-258324B032B5}"/>
    <cellStyle name="Normal 2 4 3 3 3 2 6 2" xfId="15730" xr:uid="{C0E36F62-815A-4A5F-9D70-C83F095118CF}"/>
    <cellStyle name="Normal 2 4 3 3 3 2 7" xfId="6611" xr:uid="{F15FCB5E-1F69-46DC-BDFD-699D96A1A233}"/>
    <cellStyle name="Normal 2 4 3 3 3 2 7 2" xfId="16559" xr:uid="{1040DC60-55CA-4D78-9FA5-C0DFC401837C}"/>
    <cellStyle name="Normal 2 4 3 3 3 2 8" xfId="7440" xr:uid="{77E4E48D-A31F-44F7-A41E-00E985CD50AD}"/>
    <cellStyle name="Normal 2 4 3 3 3 2 8 2" xfId="17388" xr:uid="{A9136F56-FD65-4F63-A849-BD1AB714A476}"/>
    <cellStyle name="Normal 2 4 3 3 3 2 9" xfId="8269" xr:uid="{13305331-55DD-40AA-AF4A-17143280A426}"/>
    <cellStyle name="Normal 2 4 3 3 3 2 9 2" xfId="18217" xr:uid="{831E7420-26F2-478A-A275-1BBA43362797}"/>
    <cellStyle name="Normal 2 4 3 3 3 3" xfId="2050" xr:uid="{EF888DFA-C5D3-473C-AAAB-79E87F6BDCFE}"/>
    <cellStyle name="Normal 2 4 3 3 3 3 2" xfId="11998" xr:uid="{D9D13492-FFBE-4FEC-B3EF-50A210CCBA1F}"/>
    <cellStyle name="Normal 2 4 3 3 3 4" xfId="2879" xr:uid="{E4CB0545-EF7B-4836-9770-B122CC1EDE25}"/>
    <cellStyle name="Normal 2 4 3 3 3 4 2" xfId="12827" xr:uid="{43D02676-28CD-4C22-AF46-B48D4139EC32}"/>
    <cellStyle name="Normal 2 4 3 3 3 5" xfId="3708" xr:uid="{EA7B8902-6645-4EC2-8632-896489426847}"/>
    <cellStyle name="Normal 2 4 3 3 3 5 2" xfId="13656" xr:uid="{932778CC-3B5B-49D6-97F2-D10A045EE10D}"/>
    <cellStyle name="Normal 2 4 3 3 3 6" xfId="4537" xr:uid="{83FF9B8B-926F-469B-BEBF-79915D57C027}"/>
    <cellStyle name="Normal 2 4 3 3 3 6 2" xfId="14485" xr:uid="{298EA6E9-9C90-43C1-884A-E4C339AF4502}"/>
    <cellStyle name="Normal 2 4 3 3 3 7" xfId="5366" xr:uid="{02A10ACD-EBDD-448B-8B28-04DEAB7BD8E3}"/>
    <cellStyle name="Normal 2 4 3 3 3 7 2" xfId="15314" xr:uid="{D184AF5A-BA9D-464E-B065-2EFFA8556733}"/>
    <cellStyle name="Normal 2 4 3 3 3 8" xfId="6195" xr:uid="{EF9E8677-FD2A-4792-88D5-367DBA5E35C5}"/>
    <cellStyle name="Normal 2 4 3 3 3 8 2" xfId="16143" xr:uid="{B9C52E53-7A2A-4F00-A7B2-230DB8B71672}"/>
    <cellStyle name="Normal 2 4 3 3 3 9" xfId="7024" xr:uid="{51F2DA30-F5DC-461D-BDB5-51B0DF0CD3D9}"/>
    <cellStyle name="Normal 2 4 3 3 3 9 2" xfId="16972" xr:uid="{00D00FFB-F635-43DF-A762-DD6F34B4319B}"/>
    <cellStyle name="Normal 2 4 3 3 4" xfId="796" xr:uid="{00000000-0005-0000-0000-00000F020000}"/>
    <cellStyle name="Normal 2 4 3 3 4 10" xfId="9095" xr:uid="{4CF1A98B-DAF6-4776-9A3C-0DB2D7663A72}"/>
    <cellStyle name="Normal 2 4 3 3 4 10 2" xfId="19043" xr:uid="{44A0D6A3-07B4-4CF2-962E-77C5A2030976}"/>
    <cellStyle name="Normal 2 4 3 3 4 11" xfId="9924" xr:uid="{9906F8B6-5940-4347-A9D4-061F4AD093D8}"/>
    <cellStyle name="Normal 2 4 3 3 4 11 2" xfId="19872" xr:uid="{E9D31212-CA20-41E3-B4BD-4D9ADF5F3760}"/>
    <cellStyle name="Normal 2 4 3 3 4 12" xfId="10753" xr:uid="{DCDF876B-2957-4B47-A99D-A1F144330FD6}"/>
    <cellStyle name="Normal 2 4 3 3 4 12 2" xfId="20701" xr:uid="{F6F64B00-CA66-4EA3-9EC7-FE864579C099}"/>
    <cellStyle name="Normal 2 4 3 3 4 13" xfId="1634" xr:uid="{C781F67F-F8F6-4378-BC07-F4EF211D2960}"/>
    <cellStyle name="Normal 2 4 3 3 4 14" xfId="11582" xr:uid="{91ABF9F8-682E-4167-965F-AA4E8C38F8E6}"/>
    <cellStyle name="Normal 2 4 3 3 4 2" xfId="2463" xr:uid="{CC4F0AF3-0F52-47F2-9372-50149401139C}"/>
    <cellStyle name="Normal 2 4 3 3 4 2 2" xfId="12411" xr:uid="{A18F4802-AECA-4226-9B40-5B97580C17D3}"/>
    <cellStyle name="Normal 2 4 3 3 4 3" xfId="3292" xr:uid="{35556E46-981C-445A-8986-5413BBFC10AC}"/>
    <cellStyle name="Normal 2 4 3 3 4 3 2" xfId="13240" xr:uid="{EF4476CE-2EA3-4F71-848C-4B9E3ABA5561}"/>
    <cellStyle name="Normal 2 4 3 3 4 4" xfId="4121" xr:uid="{DB377ECB-9981-4EF7-AA48-0E067338C533}"/>
    <cellStyle name="Normal 2 4 3 3 4 4 2" xfId="14069" xr:uid="{36DE0FB3-131A-4236-8156-353DE0EEA957}"/>
    <cellStyle name="Normal 2 4 3 3 4 5" xfId="4950" xr:uid="{8D69D0FA-B910-419F-A72B-CDD6C3D54C1F}"/>
    <cellStyle name="Normal 2 4 3 3 4 5 2" xfId="14898" xr:uid="{3CC684CC-99AA-4102-859F-2A3DCE333174}"/>
    <cellStyle name="Normal 2 4 3 3 4 6" xfId="5779" xr:uid="{75D930C3-37CE-4F44-99F6-2863621E4216}"/>
    <cellStyle name="Normal 2 4 3 3 4 6 2" xfId="15727" xr:uid="{2F5A8FAE-8D7E-43ED-BA86-FF4003BC8D90}"/>
    <cellStyle name="Normal 2 4 3 3 4 7" xfId="6608" xr:uid="{B4EAB298-013F-4AE3-A531-A3EB30269956}"/>
    <cellStyle name="Normal 2 4 3 3 4 7 2" xfId="16556" xr:uid="{06DD9F5F-9271-4EFC-901F-8DFA1C5A9EB5}"/>
    <cellStyle name="Normal 2 4 3 3 4 8" xfId="7437" xr:uid="{7502B35F-BB77-481E-8A0C-EC361FAC9362}"/>
    <cellStyle name="Normal 2 4 3 3 4 8 2" xfId="17385" xr:uid="{CDE3D686-2999-410E-9D71-A94D73397387}"/>
    <cellStyle name="Normal 2 4 3 3 4 9" xfId="8266" xr:uid="{A1736EA9-7A64-4549-94B2-39C84EAE3CD4}"/>
    <cellStyle name="Normal 2 4 3 3 4 9 2" xfId="18214" xr:uid="{89CF63DC-034E-4880-B609-518FBBFE3059}"/>
    <cellStyle name="Normal 2 4 3 3 5" xfId="2047" xr:uid="{7806C052-2AE5-41E4-A4A9-25AE7E7B4A27}"/>
    <cellStyle name="Normal 2 4 3 3 5 2" xfId="11995" xr:uid="{61ED2B81-D618-4D5F-AA4C-285F7434F056}"/>
    <cellStyle name="Normal 2 4 3 3 6" xfId="2876" xr:uid="{7EF18AD3-3EE1-4728-8B33-C091FFFF1253}"/>
    <cellStyle name="Normal 2 4 3 3 6 2" xfId="12824" xr:uid="{6D7B5552-0623-4C88-88FF-9EA3A4ECDA80}"/>
    <cellStyle name="Normal 2 4 3 3 7" xfId="3705" xr:uid="{8F172E60-7504-4065-A368-B24BD8F24D6E}"/>
    <cellStyle name="Normal 2 4 3 3 7 2" xfId="13653" xr:uid="{A7C91A98-20CC-4F05-B2BB-DB7712646205}"/>
    <cellStyle name="Normal 2 4 3 3 8" xfId="4534" xr:uid="{77FDEAB5-4829-4F80-B098-205DBEBD90E6}"/>
    <cellStyle name="Normal 2 4 3 3 8 2" xfId="14482" xr:uid="{D2763761-4788-48FB-9828-69E5CAA7B1E9}"/>
    <cellStyle name="Normal 2 4 3 3 9" xfId="5363" xr:uid="{59186427-D411-4B11-85DF-F8257B4282F0}"/>
    <cellStyle name="Normal 2 4 3 3 9 2" xfId="15311" xr:uid="{00C15883-15D6-4F0A-BCDC-3E8D3A812D11}"/>
    <cellStyle name="Normal 2 4 3 4" xfId="795" xr:uid="{00000000-0005-0000-0000-000010020000}"/>
    <cellStyle name="Normal 2 4 3 4 10" xfId="9094" xr:uid="{570D0D07-E13E-4AD2-A8AE-6149D47EBAD6}"/>
    <cellStyle name="Normal 2 4 3 4 10 2" xfId="19042" xr:uid="{AEEA76D4-7D84-4A05-A212-E140FCC6BC88}"/>
    <cellStyle name="Normal 2 4 3 4 11" xfId="9923" xr:uid="{0F0F526C-116C-4A65-806B-9A607B72C431}"/>
    <cellStyle name="Normal 2 4 3 4 11 2" xfId="19871" xr:uid="{3CE1A780-29AF-4485-A06E-D68BDBCA543D}"/>
    <cellStyle name="Normal 2 4 3 4 12" xfId="10752" xr:uid="{E559D7ED-5CA0-4928-82F7-57D4D1DFF4B8}"/>
    <cellStyle name="Normal 2 4 3 4 12 2" xfId="20700" xr:uid="{B74817C2-DD08-4BBE-A197-BEB3AF641713}"/>
    <cellStyle name="Normal 2 4 3 4 13" xfId="1633" xr:uid="{0D9E07C4-A2F6-434A-BC70-7EF53CCB0140}"/>
    <cellStyle name="Normal 2 4 3 4 14" xfId="11581" xr:uid="{9FC9069E-1790-436D-9C00-117A300A69D7}"/>
    <cellStyle name="Normal 2 4 3 4 2" xfId="2462" xr:uid="{6D612351-47EF-4289-9052-4DACEAFDBD1C}"/>
    <cellStyle name="Normal 2 4 3 4 2 2" xfId="12410" xr:uid="{9692EF9B-8098-4ADF-BA8C-6B7DC50FE006}"/>
    <cellStyle name="Normal 2 4 3 4 3" xfId="3291" xr:uid="{EDF200E9-A786-471A-9AF0-2D0825921AEC}"/>
    <cellStyle name="Normal 2 4 3 4 3 2" xfId="13239" xr:uid="{F7275523-1365-421B-AE99-0BE208D7F165}"/>
    <cellStyle name="Normal 2 4 3 4 4" xfId="4120" xr:uid="{BEF68234-BC2F-4BD4-A5D7-A26CA5F35BC8}"/>
    <cellStyle name="Normal 2 4 3 4 4 2" xfId="14068" xr:uid="{CDD9727A-D4F7-4B5A-B932-1E9BD55CF4A6}"/>
    <cellStyle name="Normal 2 4 3 4 5" xfId="4949" xr:uid="{86DBFD58-CD9C-418D-912A-7A78DD4A735C}"/>
    <cellStyle name="Normal 2 4 3 4 5 2" xfId="14897" xr:uid="{3399A001-041F-452C-A110-DB2483114802}"/>
    <cellStyle name="Normal 2 4 3 4 6" xfId="5778" xr:uid="{52F3687B-D3AC-4F2C-B736-CDCC980C44F7}"/>
    <cellStyle name="Normal 2 4 3 4 6 2" xfId="15726" xr:uid="{AC17B1DE-A2E6-44C6-9825-8DAA918ECBC4}"/>
    <cellStyle name="Normal 2 4 3 4 7" xfId="6607" xr:uid="{01331D95-9A5B-4BB4-A5C2-9689602B6E60}"/>
    <cellStyle name="Normal 2 4 3 4 7 2" xfId="16555" xr:uid="{7A36999A-364A-4D4D-AB91-07CA8D137D79}"/>
    <cellStyle name="Normal 2 4 3 4 8" xfId="7436" xr:uid="{3E9975E6-CF00-41D6-B120-51245480A8E7}"/>
    <cellStyle name="Normal 2 4 3 4 8 2" xfId="17384" xr:uid="{6168F8EF-8B60-44F6-B5EE-6BB39D7A4E49}"/>
    <cellStyle name="Normal 2 4 3 4 9" xfId="8265" xr:uid="{CECCB164-9E2C-4876-9833-1D91129883F8}"/>
    <cellStyle name="Normal 2 4 3 4 9 2" xfId="18213" xr:uid="{BEC99CDF-F835-4BB5-BB46-989B6084EC4B}"/>
    <cellStyle name="Normal 2 4 3 5" xfId="2046" xr:uid="{E0B7CAA9-410F-4400-90E3-630CB8A7D023}"/>
    <cellStyle name="Normal 2 4 3 5 2" xfId="11994" xr:uid="{8C9E2C7E-971D-460D-9E9A-6D0A5544F6D7}"/>
    <cellStyle name="Normal 2 4 3 6" xfId="2875" xr:uid="{898848B3-5929-4E6E-8F04-687765E775EA}"/>
    <cellStyle name="Normal 2 4 3 6 2" xfId="12823" xr:uid="{1DDFB6AE-428C-4CA3-870C-ABCD367BCB10}"/>
    <cellStyle name="Normal 2 4 3 7" xfId="3704" xr:uid="{1C638017-44D5-4BFD-956F-9B3BB822610D}"/>
    <cellStyle name="Normal 2 4 3 7 2" xfId="13652" xr:uid="{14A0A209-D571-4C38-9446-EC8DC4EA3268}"/>
    <cellStyle name="Normal 2 4 3 8" xfId="4533" xr:uid="{30EC689D-D2B7-49EE-9733-318A796AD42C}"/>
    <cellStyle name="Normal 2 4 3 8 2" xfId="14481" xr:uid="{D9A07232-36EC-4C15-9C39-606614B0E85F}"/>
    <cellStyle name="Normal 2 4 3 9" xfId="5362" xr:uid="{FC0EEEB4-670A-4DD8-8957-CAE0272F06AF}"/>
    <cellStyle name="Normal 2 4 3 9 2" xfId="15310" xr:uid="{101571B0-7C4C-4750-B798-97F9F00E0B10}"/>
    <cellStyle name="Normal 2 4 4" xfId="305" xr:uid="{00000000-0005-0000-0000-000011020000}"/>
    <cellStyle name="Normal 2 4 5" xfId="306" xr:uid="{00000000-0005-0000-0000-000012020000}"/>
    <cellStyle name="Normal 2 4 5 10" xfId="5367" xr:uid="{25C3C828-5525-41A8-9503-BF042F79317D}"/>
    <cellStyle name="Normal 2 4 5 10 2" xfId="15315" xr:uid="{D918C14A-BDAD-4793-8F95-1B53A7B6D5C5}"/>
    <cellStyle name="Normal 2 4 5 11" xfId="6196" xr:uid="{4BD18AA0-CC91-4A71-8AB8-4001EC49D153}"/>
    <cellStyle name="Normal 2 4 5 11 2" xfId="16144" xr:uid="{7ABBD5F9-6B36-4A20-ACF7-75D5A0FD1401}"/>
    <cellStyle name="Normal 2 4 5 12" xfId="7025" xr:uid="{16A6A4FB-1A47-45E9-8BAA-AF9BE09E4B21}"/>
    <cellStyle name="Normal 2 4 5 12 2" xfId="16973" xr:uid="{1F07353F-4B8C-47E5-B887-37FD56268F0A}"/>
    <cellStyle name="Normal 2 4 5 13" xfId="7854" xr:uid="{AC29A391-8607-4C45-BB05-C15C5F2D3802}"/>
    <cellStyle name="Normal 2 4 5 13 2" xfId="17802" xr:uid="{43428BDB-E19F-4F1B-B563-A918947B725E}"/>
    <cellStyle name="Normal 2 4 5 14" xfId="8683" xr:uid="{B6446718-BEAF-4796-A686-BDDCC062ADA9}"/>
    <cellStyle name="Normal 2 4 5 14 2" xfId="18631" xr:uid="{B82C31ED-7CE9-4A74-BAD4-311A30CF7258}"/>
    <cellStyle name="Normal 2 4 5 15" xfId="9512" xr:uid="{720449EA-33CA-446B-924F-E735E5FC7245}"/>
    <cellStyle name="Normal 2 4 5 15 2" xfId="19460" xr:uid="{95D78454-2AFC-45D9-BA06-A934AC59BB17}"/>
    <cellStyle name="Normal 2 4 5 16" xfId="10341" xr:uid="{91D1DC9A-0CC2-4120-B0D0-90C1245A0A97}"/>
    <cellStyle name="Normal 2 4 5 16 2" xfId="20289" xr:uid="{89F25A9C-F757-446A-9761-78EF409D1418}"/>
    <cellStyle name="Normal 2 4 5 17" xfId="1222" xr:uid="{74D7E8F7-989A-4005-80A8-481CAA5F56A8}"/>
    <cellStyle name="Normal 2 4 5 18" xfId="11170" xr:uid="{44E09C7E-8567-49DE-B969-A3771979567F}"/>
    <cellStyle name="Normal 2 4 5 2" xfId="307" xr:uid="{00000000-0005-0000-0000-000013020000}"/>
    <cellStyle name="Normal 2 4 5 2 10" xfId="6197" xr:uid="{2FAFF505-C713-4836-880B-57C7A15DEBE8}"/>
    <cellStyle name="Normal 2 4 5 2 10 2" xfId="16145" xr:uid="{78569AF3-B889-402B-9FF7-72161CC55E12}"/>
    <cellStyle name="Normal 2 4 5 2 11" xfId="7026" xr:uid="{696F05EE-0126-4BA2-818D-7DFDFDE0C8B2}"/>
    <cellStyle name="Normal 2 4 5 2 11 2" xfId="16974" xr:uid="{96533264-3D6D-4665-A637-C59B145606DB}"/>
    <cellStyle name="Normal 2 4 5 2 12" xfId="7855" xr:uid="{FBE4FE9D-CA48-4DFB-871F-B6D3F920031A}"/>
    <cellStyle name="Normal 2 4 5 2 12 2" xfId="17803" xr:uid="{1483CF6C-5479-4222-8990-C158ED1FFD10}"/>
    <cellStyle name="Normal 2 4 5 2 13" xfId="8684" xr:uid="{24651783-A679-47F1-BFEA-9D257135C4D1}"/>
    <cellStyle name="Normal 2 4 5 2 13 2" xfId="18632" xr:uid="{BA05B1DC-38FB-44BF-8AFD-632496CFB036}"/>
    <cellStyle name="Normal 2 4 5 2 14" xfId="9513" xr:uid="{2DFC960F-3B80-4B62-B182-E1EEDC5DDA72}"/>
    <cellStyle name="Normal 2 4 5 2 14 2" xfId="19461" xr:uid="{DE8E7327-E5C6-4914-953C-69BCDD14236C}"/>
    <cellStyle name="Normal 2 4 5 2 15" xfId="10342" xr:uid="{B900D893-EE09-436E-94F0-84510065AE91}"/>
    <cellStyle name="Normal 2 4 5 2 15 2" xfId="20290" xr:uid="{5893B3E3-A433-4458-93BC-DA6FE6CCC1F7}"/>
    <cellStyle name="Normal 2 4 5 2 16" xfId="1223" xr:uid="{8443010A-021F-41D1-AD9A-4863AD8C9CDB}"/>
    <cellStyle name="Normal 2 4 5 2 17" xfId="11171" xr:uid="{03BB7C28-0173-4C88-991F-0B5744500BBA}"/>
    <cellStyle name="Normal 2 4 5 2 2" xfId="308" xr:uid="{00000000-0005-0000-0000-000014020000}"/>
    <cellStyle name="Normal 2 4 5 2 2 10" xfId="7027" xr:uid="{2D03F66C-5947-4780-BD28-D3AFD2768008}"/>
    <cellStyle name="Normal 2 4 5 2 2 10 2" xfId="16975" xr:uid="{C688D5D9-F61C-43ED-B341-694F12896A50}"/>
    <cellStyle name="Normal 2 4 5 2 2 11" xfId="7856" xr:uid="{A62406F3-C0F4-45E9-B6A2-F35D3BF38D47}"/>
    <cellStyle name="Normal 2 4 5 2 2 11 2" xfId="17804" xr:uid="{EC041896-2643-408E-B5DA-C9EC5A51045D}"/>
    <cellStyle name="Normal 2 4 5 2 2 12" xfId="8685" xr:uid="{57D13B08-1466-46FE-8A91-8ED2D39E87AC}"/>
    <cellStyle name="Normal 2 4 5 2 2 12 2" xfId="18633" xr:uid="{1E39624D-3D4C-46A6-A706-EBF313750987}"/>
    <cellStyle name="Normal 2 4 5 2 2 13" xfId="9514" xr:uid="{0BC11D66-7EBF-42F1-9F9D-FA4D229A3A62}"/>
    <cellStyle name="Normal 2 4 5 2 2 13 2" xfId="19462" xr:uid="{502F7081-D828-440D-9582-6DC14B348E2F}"/>
    <cellStyle name="Normal 2 4 5 2 2 14" xfId="10343" xr:uid="{176C82E0-522B-4BFE-A597-8EF69AB328D5}"/>
    <cellStyle name="Normal 2 4 5 2 2 14 2" xfId="20291" xr:uid="{894CE02E-F0F2-47F8-8CDB-B2420A1CE8B8}"/>
    <cellStyle name="Normal 2 4 5 2 2 15" xfId="1224" xr:uid="{34EBFCFD-45A8-4309-9360-E30684FBB8B5}"/>
    <cellStyle name="Normal 2 4 5 2 2 16" xfId="11172" xr:uid="{3E40326D-FE31-4076-B7A3-763E820D3A53}"/>
    <cellStyle name="Normal 2 4 5 2 2 2" xfId="309" xr:uid="{00000000-0005-0000-0000-000015020000}"/>
    <cellStyle name="Normal 2 4 5 2 2 2 10" xfId="7857" xr:uid="{2B14851D-70B3-4FFC-AC61-DC29CA206877}"/>
    <cellStyle name="Normal 2 4 5 2 2 2 10 2" xfId="17805" xr:uid="{2D7C1C33-0F59-4451-A206-6A79335D2547}"/>
    <cellStyle name="Normal 2 4 5 2 2 2 11" xfId="8686" xr:uid="{C51AE8E8-505D-43A5-91F5-38BFB454FC1A}"/>
    <cellStyle name="Normal 2 4 5 2 2 2 11 2" xfId="18634" xr:uid="{1357613B-5940-41A9-9A2A-51AAAB2709FC}"/>
    <cellStyle name="Normal 2 4 5 2 2 2 12" xfId="9515" xr:uid="{811C59E2-D392-43CB-9FEB-CC2AE6C7D743}"/>
    <cellStyle name="Normal 2 4 5 2 2 2 12 2" xfId="19463" xr:uid="{17CAC06F-24E5-4046-994C-45BBBCECBB5B}"/>
    <cellStyle name="Normal 2 4 5 2 2 2 13" xfId="10344" xr:uid="{1D23B22D-9D56-428E-ABEC-B1A19AD8F16E}"/>
    <cellStyle name="Normal 2 4 5 2 2 2 13 2" xfId="20292" xr:uid="{29EB6F03-285A-450F-A37B-7AEBC43812C4}"/>
    <cellStyle name="Normal 2 4 5 2 2 2 14" xfId="1225" xr:uid="{5271E341-4A92-421D-8304-E0162AED0522}"/>
    <cellStyle name="Normal 2 4 5 2 2 2 15" xfId="11173" xr:uid="{3578CFE0-68D4-428A-97C3-4475C0A034F0}"/>
    <cellStyle name="Normal 2 4 5 2 2 2 2" xfId="803" xr:uid="{00000000-0005-0000-0000-000016020000}"/>
    <cellStyle name="Normal 2 4 5 2 2 2 2 10" xfId="9102" xr:uid="{CA699795-A6A2-4FF9-97F5-F56A2F34810D}"/>
    <cellStyle name="Normal 2 4 5 2 2 2 2 10 2" xfId="19050" xr:uid="{8C528B2A-8F25-4A16-B9FC-62E3B0CACA88}"/>
    <cellStyle name="Normal 2 4 5 2 2 2 2 11" xfId="9931" xr:uid="{3693948D-1DD5-48B7-9761-9CB4C1B2131A}"/>
    <cellStyle name="Normal 2 4 5 2 2 2 2 11 2" xfId="19879" xr:uid="{670BB78F-8716-41F7-9A39-504A45D5E6ED}"/>
    <cellStyle name="Normal 2 4 5 2 2 2 2 12" xfId="10760" xr:uid="{0CC66467-D41D-45AA-AE48-C561C297B685}"/>
    <cellStyle name="Normal 2 4 5 2 2 2 2 12 2" xfId="20708" xr:uid="{FDA9AAFA-6545-4CC3-8C16-8B47512DC646}"/>
    <cellStyle name="Normal 2 4 5 2 2 2 2 13" xfId="1641" xr:uid="{521109EC-181D-4CC3-B25A-7A9809F7FC02}"/>
    <cellStyle name="Normal 2 4 5 2 2 2 2 14" xfId="11589" xr:uid="{312F6553-F176-475D-A8E3-D1276F3B249A}"/>
    <cellStyle name="Normal 2 4 5 2 2 2 2 2" xfId="2470" xr:uid="{EB47B29C-EC3D-4BE0-9BAB-823F94CE6BFD}"/>
    <cellStyle name="Normal 2 4 5 2 2 2 2 2 2" xfId="12418" xr:uid="{B388073B-7FED-4AFD-B525-54BCFD08FB4D}"/>
    <cellStyle name="Normal 2 4 5 2 2 2 2 3" xfId="3299" xr:uid="{CCCFFCCB-95A8-4822-838B-61DB87101D43}"/>
    <cellStyle name="Normal 2 4 5 2 2 2 2 3 2" xfId="13247" xr:uid="{5197D74C-E7CE-467B-ACB7-640A59181437}"/>
    <cellStyle name="Normal 2 4 5 2 2 2 2 4" xfId="4128" xr:uid="{F18D6B14-1344-4DBA-A33C-686661A19986}"/>
    <cellStyle name="Normal 2 4 5 2 2 2 2 4 2" xfId="14076" xr:uid="{CFA6A530-FBB0-4FD4-B0B9-39F22A6D286A}"/>
    <cellStyle name="Normal 2 4 5 2 2 2 2 5" xfId="4957" xr:uid="{397E9DBB-BDC4-4A61-A371-3B194002F34D}"/>
    <cellStyle name="Normal 2 4 5 2 2 2 2 5 2" xfId="14905" xr:uid="{169BCD3B-5CF2-4C1C-9D96-68D41836084E}"/>
    <cellStyle name="Normal 2 4 5 2 2 2 2 6" xfId="5786" xr:uid="{992C3DD7-A73B-4B37-B0D9-8093D63BB44F}"/>
    <cellStyle name="Normal 2 4 5 2 2 2 2 6 2" xfId="15734" xr:uid="{98E4E21A-F349-4AAE-AD29-508F4D1A6056}"/>
    <cellStyle name="Normal 2 4 5 2 2 2 2 7" xfId="6615" xr:uid="{01AD4258-1914-4DE0-9902-07789B608659}"/>
    <cellStyle name="Normal 2 4 5 2 2 2 2 7 2" xfId="16563" xr:uid="{F6E21AC0-CE1C-43A8-807E-37A5AB29EA90}"/>
    <cellStyle name="Normal 2 4 5 2 2 2 2 8" xfId="7444" xr:uid="{45BAB8F0-F344-4721-BE16-EA20AD49BDAF}"/>
    <cellStyle name="Normal 2 4 5 2 2 2 2 8 2" xfId="17392" xr:uid="{46D0C031-052E-4012-8BC7-D3342696DAD6}"/>
    <cellStyle name="Normal 2 4 5 2 2 2 2 9" xfId="8273" xr:uid="{24A29A87-E19F-405F-BFED-E7D4EBC28DFC}"/>
    <cellStyle name="Normal 2 4 5 2 2 2 2 9 2" xfId="18221" xr:uid="{D2B94B05-A54E-43C2-8E9B-9B1786E0140D}"/>
    <cellStyle name="Normal 2 4 5 2 2 2 3" xfId="2054" xr:uid="{7FF7D77F-B39E-47CD-B2E0-6F8C7C04AAD1}"/>
    <cellStyle name="Normal 2 4 5 2 2 2 3 2" xfId="12002" xr:uid="{8D8F37A3-84FE-41E5-908B-9862DC611832}"/>
    <cellStyle name="Normal 2 4 5 2 2 2 4" xfId="2883" xr:uid="{A198BC4F-1520-41A5-A010-5ABE9E88D2B1}"/>
    <cellStyle name="Normal 2 4 5 2 2 2 4 2" xfId="12831" xr:uid="{D1C691F6-097C-478C-B1A1-6D77FDBEC31D}"/>
    <cellStyle name="Normal 2 4 5 2 2 2 5" xfId="3712" xr:uid="{35353872-8CCB-4C11-BBAE-4665BCD6F259}"/>
    <cellStyle name="Normal 2 4 5 2 2 2 5 2" xfId="13660" xr:uid="{65BA04F8-D545-40A2-9EB9-828EC27D99CB}"/>
    <cellStyle name="Normal 2 4 5 2 2 2 6" xfId="4541" xr:uid="{0D18FFA6-D88E-41BA-8992-62B520A8BDAB}"/>
    <cellStyle name="Normal 2 4 5 2 2 2 6 2" xfId="14489" xr:uid="{E87A73FE-275A-4DEB-B760-57CD34D0D865}"/>
    <cellStyle name="Normal 2 4 5 2 2 2 7" xfId="5370" xr:uid="{2593EE44-D366-41F7-B4B2-ABA7459A8A2A}"/>
    <cellStyle name="Normal 2 4 5 2 2 2 7 2" xfId="15318" xr:uid="{12007C24-8293-452C-B2E5-4197586ECD50}"/>
    <cellStyle name="Normal 2 4 5 2 2 2 8" xfId="6199" xr:uid="{0A824FB3-2F7C-4CBF-ABEC-680F4A5A8DF9}"/>
    <cellStyle name="Normal 2 4 5 2 2 2 8 2" xfId="16147" xr:uid="{37361C15-6B57-4C87-B43B-0E74D495F0B7}"/>
    <cellStyle name="Normal 2 4 5 2 2 2 9" xfId="7028" xr:uid="{441744DA-61B0-4EC8-94D1-EE5F379B2042}"/>
    <cellStyle name="Normal 2 4 5 2 2 2 9 2" xfId="16976" xr:uid="{475CB6DE-733B-476A-851D-AEB8BC67036A}"/>
    <cellStyle name="Normal 2 4 5 2 2 3" xfId="802" xr:uid="{00000000-0005-0000-0000-000017020000}"/>
    <cellStyle name="Normal 2 4 5 2 2 3 10" xfId="9101" xr:uid="{F637B68E-BB0C-4F77-B69C-A401330FA341}"/>
    <cellStyle name="Normal 2 4 5 2 2 3 10 2" xfId="19049" xr:uid="{AE99416C-A51D-4752-9759-7F6F95E8CD07}"/>
    <cellStyle name="Normal 2 4 5 2 2 3 11" xfId="9930" xr:uid="{35BADA77-029C-4CD6-BB24-5C854F18FC34}"/>
    <cellStyle name="Normal 2 4 5 2 2 3 11 2" xfId="19878" xr:uid="{586E36BD-C27A-4D25-8B59-4DAC035A2E68}"/>
    <cellStyle name="Normal 2 4 5 2 2 3 12" xfId="10759" xr:uid="{70372DA4-B4E7-4280-B433-D262B674EA5D}"/>
    <cellStyle name="Normal 2 4 5 2 2 3 12 2" xfId="20707" xr:uid="{18851275-C14C-43EC-946E-C77D86EB6489}"/>
    <cellStyle name="Normal 2 4 5 2 2 3 13" xfId="1640" xr:uid="{5302D36B-9BD0-42DF-9706-F5A92BFE8339}"/>
    <cellStyle name="Normal 2 4 5 2 2 3 14" xfId="11588" xr:uid="{7D59289F-2CD9-4DB6-AC6F-CB9B000896FE}"/>
    <cellStyle name="Normal 2 4 5 2 2 3 2" xfId="2469" xr:uid="{46D50AC1-E9F3-4DBE-A014-8F5C2B04DBE6}"/>
    <cellStyle name="Normal 2 4 5 2 2 3 2 2" xfId="12417" xr:uid="{5946A803-0A84-4113-9190-DE006873C35E}"/>
    <cellStyle name="Normal 2 4 5 2 2 3 3" xfId="3298" xr:uid="{80B3418B-373A-400C-9F00-ED14476F5115}"/>
    <cellStyle name="Normal 2 4 5 2 2 3 3 2" xfId="13246" xr:uid="{89A94EED-4156-46AC-8AD7-325147BFA89B}"/>
    <cellStyle name="Normal 2 4 5 2 2 3 4" xfId="4127" xr:uid="{7CA3BCE6-7494-440A-93C7-C1D1272C6728}"/>
    <cellStyle name="Normal 2 4 5 2 2 3 4 2" xfId="14075" xr:uid="{BD33A609-55EE-4BC9-B0F9-1123421E4D80}"/>
    <cellStyle name="Normal 2 4 5 2 2 3 5" xfId="4956" xr:uid="{CC60A5A6-5423-4383-A697-40FA75923B0E}"/>
    <cellStyle name="Normal 2 4 5 2 2 3 5 2" xfId="14904" xr:uid="{20815964-0C1A-4474-9F61-EC8E1FC58785}"/>
    <cellStyle name="Normal 2 4 5 2 2 3 6" xfId="5785" xr:uid="{AC48B60B-4923-462E-9F20-710E2013FF6C}"/>
    <cellStyle name="Normal 2 4 5 2 2 3 6 2" xfId="15733" xr:uid="{6432DADE-2EDB-4E3E-8179-11721486D810}"/>
    <cellStyle name="Normal 2 4 5 2 2 3 7" xfId="6614" xr:uid="{F6E60DB8-EBFB-4A4C-AC2C-FDD4B062DD77}"/>
    <cellStyle name="Normal 2 4 5 2 2 3 7 2" xfId="16562" xr:uid="{75EFCF9D-E89D-4EC7-928F-17B1948551EE}"/>
    <cellStyle name="Normal 2 4 5 2 2 3 8" xfId="7443" xr:uid="{AAE80109-8CD8-41E1-8F5F-DACF8BC830D8}"/>
    <cellStyle name="Normal 2 4 5 2 2 3 8 2" xfId="17391" xr:uid="{2968C17D-8809-4270-95A7-14E1428B117C}"/>
    <cellStyle name="Normal 2 4 5 2 2 3 9" xfId="8272" xr:uid="{37046A96-5721-428F-9D53-8575577E25A4}"/>
    <cellStyle name="Normal 2 4 5 2 2 3 9 2" xfId="18220" xr:uid="{99F36A14-26C5-45D1-BA0B-E523384ECD1D}"/>
    <cellStyle name="Normal 2 4 5 2 2 4" xfId="2053" xr:uid="{838EC69E-BF72-4E09-A898-042447DB5BC0}"/>
    <cellStyle name="Normal 2 4 5 2 2 4 2" xfId="12001" xr:uid="{1EFB9145-570A-489C-A043-B1C0E38B5487}"/>
    <cellStyle name="Normal 2 4 5 2 2 5" xfId="2882" xr:uid="{EAB8AAB0-B9BB-48D2-AFD4-C397E14CEDCA}"/>
    <cellStyle name="Normal 2 4 5 2 2 5 2" xfId="12830" xr:uid="{55D9DFA1-3990-4736-8EA1-82BE9586CED2}"/>
    <cellStyle name="Normal 2 4 5 2 2 6" xfId="3711" xr:uid="{AE8F7ABC-E28A-4235-886D-4738350ECCB9}"/>
    <cellStyle name="Normal 2 4 5 2 2 6 2" xfId="13659" xr:uid="{D4F3BFC8-DE50-48A1-B046-323BC6772D43}"/>
    <cellStyle name="Normal 2 4 5 2 2 7" xfId="4540" xr:uid="{E01803B3-2BDA-4F1C-9BF2-30E041AAA304}"/>
    <cellStyle name="Normal 2 4 5 2 2 7 2" xfId="14488" xr:uid="{98BF66F1-1AB3-42FE-A435-401ADCE672DA}"/>
    <cellStyle name="Normal 2 4 5 2 2 8" xfId="5369" xr:uid="{C92F60A4-DACA-41F5-9F6F-CC36A33441B9}"/>
    <cellStyle name="Normal 2 4 5 2 2 8 2" xfId="15317" xr:uid="{C77B6127-DCC4-49F9-8136-FEBBC6B2047E}"/>
    <cellStyle name="Normal 2 4 5 2 2 9" xfId="6198" xr:uid="{4EE90E20-826A-4EBA-A3CD-B968FC62A3E3}"/>
    <cellStyle name="Normal 2 4 5 2 2 9 2" xfId="16146" xr:uid="{8598CB35-09D9-48A2-AFCD-D918C04E6BF4}"/>
    <cellStyle name="Normal 2 4 5 2 3" xfId="310" xr:uid="{00000000-0005-0000-0000-000018020000}"/>
    <cellStyle name="Normal 2 4 5 2 3 10" xfId="7858" xr:uid="{0E0E6FF0-F5D5-4835-A3EC-62626A06279A}"/>
    <cellStyle name="Normal 2 4 5 2 3 10 2" xfId="17806" xr:uid="{66A614AD-1143-450C-B439-737E5B74E83E}"/>
    <cellStyle name="Normal 2 4 5 2 3 11" xfId="8687" xr:uid="{3869A61C-E895-41C7-83B9-5ABB57B63941}"/>
    <cellStyle name="Normal 2 4 5 2 3 11 2" xfId="18635" xr:uid="{6354CBB5-29BF-44EC-9E2B-616E4770B802}"/>
    <cellStyle name="Normal 2 4 5 2 3 12" xfId="9516" xr:uid="{0D7C6A72-489B-470E-869C-1D64FC4828F0}"/>
    <cellStyle name="Normal 2 4 5 2 3 12 2" xfId="19464" xr:uid="{D7CCBF69-C672-49C2-B978-0AF24BF91329}"/>
    <cellStyle name="Normal 2 4 5 2 3 13" xfId="10345" xr:uid="{D1D5EB67-6463-491E-8052-DB6498DF0723}"/>
    <cellStyle name="Normal 2 4 5 2 3 13 2" xfId="20293" xr:uid="{C32872D2-1B03-468C-B1CB-24819A28112F}"/>
    <cellStyle name="Normal 2 4 5 2 3 14" xfId="1226" xr:uid="{EA87F970-79A9-4A09-B06C-2680BC8C490A}"/>
    <cellStyle name="Normal 2 4 5 2 3 15" xfId="11174" xr:uid="{D871596A-E7B6-4B8F-AD4E-FD38A66179B4}"/>
    <cellStyle name="Normal 2 4 5 2 3 2" xfId="804" xr:uid="{00000000-0005-0000-0000-000019020000}"/>
    <cellStyle name="Normal 2 4 5 2 3 2 10" xfId="9103" xr:uid="{EA84CAA4-FB85-4811-89C7-26AE60637ADC}"/>
    <cellStyle name="Normal 2 4 5 2 3 2 10 2" xfId="19051" xr:uid="{DFCD944A-380C-40D6-8B88-3500D074A0EB}"/>
    <cellStyle name="Normal 2 4 5 2 3 2 11" xfId="9932" xr:uid="{3CB03A2F-CDE5-4BF2-ACD0-ED6B244A35FA}"/>
    <cellStyle name="Normal 2 4 5 2 3 2 11 2" xfId="19880" xr:uid="{ECD75217-CCE8-40B6-A12E-227CD8640706}"/>
    <cellStyle name="Normal 2 4 5 2 3 2 12" xfId="10761" xr:uid="{3317A9F9-97DE-4312-8ED1-F3314DEE5339}"/>
    <cellStyle name="Normal 2 4 5 2 3 2 12 2" xfId="20709" xr:uid="{6A4A0D31-BCCC-4107-BBB6-BBD4B027D236}"/>
    <cellStyle name="Normal 2 4 5 2 3 2 13" xfId="1642" xr:uid="{226970A9-E77A-4ED1-A650-6ACE29BA2F4B}"/>
    <cellStyle name="Normal 2 4 5 2 3 2 14" xfId="11590" xr:uid="{ED694406-2F6B-4E34-BBF8-A0E552E4D99A}"/>
    <cellStyle name="Normal 2 4 5 2 3 2 2" xfId="2471" xr:uid="{ADACF67F-F27A-40D3-9A51-B2A4A400FBDB}"/>
    <cellStyle name="Normal 2 4 5 2 3 2 2 2" xfId="12419" xr:uid="{DFA79642-D96B-4A56-8503-62B718A6298C}"/>
    <cellStyle name="Normal 2 4 5 2 3 2 3" xfId="3300" xr:uid="{9987BE59-1DB6-4178-ACC3-FA5E6732E26D}"/>
    <cellStyle name="Normal 2 4 5 2 3 2 3 2" xfId="13248" xr:uid="{AEE2FFD7-C124-4F3C-A047-490B864102FD}"/>
    <cellStyle name="Normal 2 4 5 2 3 2 4" xfId="4129" xr:uid="{654B705D-22D3-4321-BDF8-6E42157D5227}"/>
    <cellStyle name="Normal 2 4 5 2 3 2 4 2" xfId="14077" xr:uid="{BF463E16-1951-4CCF-82B3-D477BE9C7B25}"/>
    <cellStyle name="Normal 2 4 5 2 3 2 5" xfId="4958" xr:uid="{2CEBB914-72B7-4370-A21D-D5BB6963803B}"/>
    <cellStyle name="Normal 2 4 5 2 3 2 5 2" xfId="14906" xr:uid="{FEEE3535-EB5E-45A0-9F76-1D44CD922BEE}"/>
    <cellStyle name="Normal 2 4 5 2 3 2 6" xfId="5787" xr:uid="{FD551160-2E6A-4A8F-887F-AFB4B4E69F33}"/>
    <cellStyle name="Normal 2 4 5 2 3 2 6 2" xfId="15735" xr:uid="{36155A2B-12DE-4DB7-9C34-36F83A98D35F}"/>
    <cellStyle name="Normal 2 4 5 2 3 2 7" xfId="6616" xr:uid="{9AD4E5EE-081C-4505-8752-5012A35FE528}"/>
    <cellStyle name="Normal 2 4 5 2 3 2 7 2" xfId="16564" xr:uid="{23E15B80-16FF-4143-AF5A-1C2E55780FCB}"/>
    <cellStyle name="Normal 2 4 5 2 3 2 8" xfId="7445" xr:uid="{3BFF0255-4DCA-47D8-B52C-A6EB5E485550}"/>
    <cellStyle name="Normal 2 4 5 2 3 2 8 2" xfId="17393" xr:uid="{4EA8503E-3CBF-407F-96D6-E38C1008B37F}"/>
    <cellStyle name="Normal 2 4 5 2 3 2 9" xfId="8274" xr:uid="{7663158D-017C-4E1A-A39B-18A74857E6B0}"/>
    <cellStyle name="Normal 2 4 5 2 3 2 9 2" xfId="18222" xr:uid="{AD074464-D6E3-4810-858C-3E41310DEAC6}"/>
    <cellStyle name="Normal 2 4 5 2 3 3" xfId="2055" xr:uid="{56DC6B1C-AD3B-4673-85D2-8799E0AA442E}"/>
    <cellStyle name="Normal 2 4 5 2 3 3 2" xfId="12003" xr:uid="{CF3F43EF-3A31-4E96-9EA2-63E942D75495}"/>
    <cellStyle name="Normal 2 4 5 2 3 4" xfId="2884" xr:uid="{CB7BC7CD-13B9-4898-88F3-CF44EC2131C2}"/>
    <cellStyle name="Normal 2 4 5 2 3 4 2" xfId="12832" xr:uid="{0D1B5D19-AA22-437A-8DC6-3D5D21DCADDA}"/>
    <cellStyle name="Normal 2 4 5 2 3 5" xfId="3713" xr:uid="{A67F1382-CEFE-4496-9588-51B3C1D94E7A}"/>
    <cellStyle name="Normal 2 4 5 2 3 5 2" xfId="13661" xr:uid="{A3778633-3C02-4544-A3B2-F21A0E468B55}"/>
    <cellStyle name="Normal 2 4 5 2 3 6" xfId="4542" xr:uid="{41EF5E14-2A97-497D-878C-44960CAE9568}"/>
    <cellStyle name="Normal 2 4 5 2 3 6 2" xfId="14490" xr:uid="{B9EA2FD6-0270-4C1A-A2B1-8B9271BC764A}"/>
    <cellStyle name="Normal 2 4 5 2 3 7" xfId="5371" xr:uid="{A5740C2A-8149-4A7E-A071-9CD3A3E53F48}"/>
    <cellStyle name="Normal 2 4 5 2 3 7 2" xfId="15319" xr:uid="{0190ECC1-E3D0-4811-8D2E-98F16C108BF2}"/>
    <cellStyle name="Normal 2 4 5 2 3 8" xfId="6200" xr:uid="{1C2F0FC1-352D-41A8-94DC-ABCACD48F22D}"/>
    <cellStyle name="Normal 2 4 5 2 3 8 2" xfId="16148" xr:uid="{87C758E5-0DE1-49B1-A510-6BA10FBB05D1}"/>
    <cellStyle name="Normal 2 4 5 2 3 9" xfId="7029" xr:uid="{6224025D-4377-4F05-AA7C-5D04CFC886DC}"/>
    <cellStyle name="Normal 2 4 5 2 3 9 2" xfId="16977" xr:uid="{D73E8CC5-DF09-4727-96CD-09A1275831EE}"/>
    <cellStyle name="Normal 2 4 5 2 4" xfId="801" xr:uid="{00000000-0005-0000-0000-00001A020000}"/>
    <cellStyle name="Normal 2 4 5 2 4 10" xfId="9100" xr:uid="{774AE577-9582-42A8-ACCC-3B67FC3AC313}"/>
    <cellStyle name="Normal 2 4 5 2 4 10 2" xfId="19048" xr:uid="{AE0E7F92-855B-4F48-98E1-C7A4888E1DCE}"/>
    <cellStyle name="Normal 2 4 5 2 4 11" xfId="9929" xr:uid="{450CFBD4-0FD7-420F-9BE9-845897ACA105}"/>
    <cellStyle name="Normal 2 4 5 2 4 11 2" xfId="19877" xr:uid="{A52CC075-7CB5-4CB7-88AA-8642B44E5F07}"/>
    <cellStyle name="Normal 2 4 5 2 4 12" xfId="10758" xr:uid="{C40A87C2-DEB8-4638-8C24-73EE18EE5523}"/>
    <cellStyle name="Normal 2 4 5 2 4 12 2" xfId="20706" xr:uid="{CC0E9CB4-E3B5-447B-B3E6-435A67D5E399}"/>
    <cellStyle name="Normal 2 4 5 2 4 13" xfId="1639" xr:uid="{903ED271-1803-4F0A-BEDB-430AA88F3DF2}"/>
    <cellStyle name="Normal 2 4 5 2 4 14" xfId="11587" xr:uid="{CE8078E1-3A1D-4253-9997-16A2946CB74B}"/>
    <cellStyle name="Normal 2 4 5 2 4 2" xfId="2468" xr:uid="{09A07BAB-2E1B-4FCB-9325-A11A1845E175}"/>
    <cellStyle name="Normal 2 4 5 2 4 2 2" xfId="12416" xr:uid="{E3B988B6-3BAD-4E80-92EB-D2DD2CF042F8}"/>
    <cellStyle name="Normal 2 4 5 2 4 3" xfId="3297" xr:uid="{319DF6FA-D95B-4BE5-B758-18F7E23EAE1E}"/>
    <cellStyle name="Normal 2 4 5 2 4 3 2" xfId="13245" xr:uid="{8E79CBBC-3DB3-4995-A444-AC422CD16C60}"/>
    <cellStyle name="Normal 2 4 5 2 4 4" xfId="4126" xr:uid="{5E805569-415A-4A04-9681-A38F68E488DD}"/>
    <cellStyle name="Normal 2 4 5 2 4 4 2" xfId="14074" xr:uid="{47C90508-7E4C-488B-95B0-D505742A0E70}"/>
    <cellStyle name="Normal 2 4 5 2 4 5" xfId="4955" xr:uid="{3D9F800B-A9FD-420E-8CDB-6E8869495F3C}"/>
    <cellStyle name="Normal 2 4 5 2 4 5 2" xfId="14903" xr:uid="{B10AA583-A56F-4365-A175-DB1CC176200A}"/>
    <cellStyle name="Normal 2 4 5 2 4 6" xfId="5784" xr:uid="{27A7BBB3-3061-40BC-8374-71EC8E2FDF30}"/>
    <cellStyle name="Normal 2 4 5 2 4 6 2" xfId="15732" xr:uid="{E614FD4C-0B7E-4586-91C3-4D07B4DB0B37}"/>
    <cellStyle name="Normal 2 4 5 2 4 7" xfId="6613" xr:uid="{14140871-2850-41AA-A6E8-EFD64E4482D6}"/>
    <cellStyle name="Normal 2 4 5 2 4 7 2" xfId="16561" xr:uid="{5798CC41-2422-4D50-ADA9-3A38B66C471A}"/>
    <cellStyle name="Normal 2 4 5 2 4 8" xfId="7442" xr:uid="{E57DE2A0-F760-49BF-B7A3-AB2B3B34AA28}"/>
    <cellStyle name="Normal 2 4 5 2 4 8 2" xfId="17390" xr:uid="{F0D532C1-67C4-47D2-A5ED-85B2669CD76B}"/>
    <cellStyle name="Normal 2 4 5 2 4 9" xfId="8271" xr:uid="{9CF84FF0-D738-49E2-82D5-195BF22296DF}"/>
    <cellStyle name="Normal 2 4 5 2 4 9 2" xfId="18219" xr:uid="{196BAB43-EC51-4A84-AD75-7D45475F987A}"/>
    <cellStyle name="Normal 2 4 5 2 5" xfId="2052" xr:uid="{148C9B98-0292-458C-B4F1-1FA9315BC8FA}"/>
    <cellStyle name="Normal 2 4 5 2 5 2" xfId="12000" xr:uid="{85096356-CF2E-4FC6-84AD-769E5FD634FC}"/>
    <cellStyle name="Normal 2 4 5 2 6" xfId="2881" xr:uid="{15465EB5-5649-47F5-9BAE-FD39CE3FCAA5}"/>
    <cellStyle name="Normal 2 4 5 2 6 2" xfId="12829" xr:uid="{EDC642B3-D06E-4F2F-BB80-FFBCE8CC18A7}"/>
    <cellStyle name="Normal 2 4 5 2 7" xfId="3710" xr:uid="{33770695-9853-4EDE-806F-2A6237C5C186}"/>
    <cellStyle name="Normal 2 4 5 2 7 2" xfId="13658" xr:uid="{946D6B4B-F57A-4EFD-8737-C5D947F2E554}"/>
    <cellStyle name="Normal 2 4 5 2 8" xfId="4539" xr:uid="{87A42602-9F89-4F0B-8EF6-CCA6BC666718}"/>
    <cellStyle name="Normal 2 4 5 2 8 2" xfId="14487" xr:uid="{B79A7056-2183-4815-9C95-2A25265FA315}"/>
    <cellStyle name="Normal 2 4 5 2 9" xfId="5368" xr:uid="{8041877C-8A1E-43A8-9699-D58A7CD49C8F}"/>
    <cellStyle name="Normal 2 4 5 2 9 2" xfId="15316" xr:uid="{C253B7C6-9F97-43B0-B0F1-F8FF0C36853E}"/>
    <cellStyle name="Normal 2 4 5 3" xfId="311" xr:uid="{00000000-0005-0000-0000-00001B020000}"/>
    <cellStyle name="Normal 2 4 5 3 10" xfId="7030" xr:uid="{8A931875-B52E-42B2-8805-C30B74E452E3}"/>
    <cellStyle name="Normal 2 4 5 3 10 2" xfId="16978" xr:uid="{7E743C0E-E5A0-4D5B-85AF-DBFF325F0F00}"/>
    <cellStyle name="Normal 2 4 5 3 11" xfId="7859" xr:uid="{732B6375-9FDC-4DFF-BDFF-AD60B85389C1}"/>
    <cellStyle name="Normal 2 4 5 3 11 2" xfId="17807" xr:uid="{743B5C9E-1B29-458E-89B8-2FEFB511786A}"/>
    <cellStyle name="Normal 2 4 5 3 12" xfId="8688" xr:uid="{D00F4B41-3C7C-4251-A5BB-232DF22A0179}"/>
    <cellStyle name="Normal 2 4 5 3 12 2" xfId="18636" xr:uid="{18108CF0-C072-412F-AAD5-08074B2BCEC3}"/>
    <cellStyle name="Normal 2 4 5 3 13" xfId="9517" xr:uid="{8C0D32DE-CB53-47FE-B053-44DC0A2DAD34}"/>
    <cellStyle name="Normal 2 4 5 3 13 2" xfId="19465" xr:uid="{DEBCE525-BE35-488C-BD06-FC9B86CB0A06}"/>
    <cellStyle name="Normal 2 4 5 3 14" xfId="10346" xr:uid="{A2D2B645-9AA2-4EDF-A560-B65EFAD71665}"/>
    <cellStyle name="Normal 2 4 5 3 14 2" xfId="20294" xr:uid="{8626E3B2-6FD4-4686-92CA-BC8B7BA4B515}"/>
    <cellStyle name="Normal 2 4 5 3 15" xfId="1227" xr:uid="{F8186800-2AC6-4363-9C0C-C07F169C117A}"/>
    <cellStyle name="Normal 2 4 5 3 16" xfId="11175" xr:uid="{EA45817B-6336-4388-9A6E-0560939AA229}"/>
    <cellStyle name="Normal 2 4 5 3 2" xfId="312" xr:uid="{00000000-0005-0000-0000-00001C020000}"/>
    <cellStyle name="Normal 2 4 5 3 2 10" xfId="7860" xr:uid="{039E65CA-A52A-4309-8AB1-954FADA34DAD}"/>
    <cellStyle name="Normal 2 4 5 3 2 10 2" xfId="17808" xr:uid="{CA3C953A-1F34-4576-8031-1A94C0CDAD32}"/>
    <cellStyle name="Normal 2 4 5 3 2 11" xfId="8689" xr:uid="{FF3834F6-EDB6-4233-AB91-548C50BFFA8F}"/>
    <cellStyle name="Normal 2 4 5 3 2 11 2" xfId="18637" xr:uid="{18E3D815-3A5E-4BF6-B774-E3D5EA725E4B}"/>
    <cellStyle name="Normal 2 4 5 3 2 12" xfId="9518" xr:uid="{9852AF7C-83C9-4EB8-813C-056F67F55FB4}"/>
    <cellStyle name="Normal 2 4 5 3 2 12 2" xfId="19466" xr:uid="{C6D7D503-A171-49F1-9F2F-D0D1057D4DDD}"/>
    <cellStyle name="Normal 2 4 5 3 2 13" xfId="10347" xr:uid="{C9439B0A-2259-4EA8-A97C-FC51FCA8BF9A}"/>
    <cellStyle name="Normal 2 4 5 3 2 13 2" xfId="20295" xr:uid="{3B5B338E-C4C8-4FCB-A116-558C13EB2439}"/>
    <cellStyle name="Normal 2 4 5 3 2 14" xfId="1228" xr:uid="{31510808-3D32-463D-961A-4405928874B3}"/>
    <cellStyle name="Normal 2 4 5 3 2 15" xfId="11176" xr:uid="{0D3B50D1-8C19-4FB7-A14D-7C84ADB9CE73}"/>
    <cellStyle name="Normal 2 4 5 3 2 2" xfId="806" xr:uid="{00000000-0005-0000-0000-00001D020000}"/>
    <cellStyle name="Normal 2 4 5 3 2 2 10" xfId="9105" xr:uid="{3F211F86-4809-4AED-83CE-2CDFBF159CAC}"/>
    <cellStyle name="Normal 2 4 5 3 2 2 10 2" xfId="19053" xr:uid="{CDA2508C-376E-4946-BA39-FF259CD4E4C8}"/>
    <cellStyle name="Normal 2 4 5 3 2 2 11" xfId="9934" xr:uid="{A25D6603-0A3C-4410-932B-8FAEB4FA1048}"/>
    <cellStyle name="Normal 2 4 5 3 2 2 11 2" xfId="19882" xr:uid="{D91DF090-CD66-4001-8F7B-B710E93D3B45}"/>
    <cellStyle name="Normal 2 4 5 3 2 2 12" xfId="10763" xr:uid="{2FCC932E-C176-431F-9BF1-1224ECF100DA}"/>
    <cellStyle name="Normal 2 4 5 3 2 2 12 2" xfId="20711" xr:uid="{78AC75F5-EB5C-4526-AEC0-90FB3BD9A1C5}"/>
    <cellStyle name="Normal 2 4 5 3 2 2 13" xfId="1644" xr:uid="{F4684EE7-EA5D-40C0-904E-C0852FD4BDAF}"/>
    <cellStyle name="Normal 2 4 5 3 2 2 14" xfId="11592" xr:uid="{E96DC304-27FF-4C1C-A372-BF96004A3A98}"/>
    <cellStyle name="Normal 2 4 5 3 2 2 2" xfId="2473" xr:uid="{F45B1256-FE07-47F7-B5BE-B7B47EA3C197}"/>
    <cellStyle name="Normal 2 4 5 3 2 2 2 2" xfId="12421" xr:uid="{06F0E320-A2B3-4F20-915A-8D6D1BB2ACF4}"/>
    <cellStyle name="Normal 2 4 5 3 2 2 3" xfId="3302" xr:uid="{31CF04B2-F2FE-4D23-A01D-1866866B0C7E}"/>
    <cellStyle name="Normal 2 4 5 3 2 2 3 2" xfId="13250" xr:uid="{093902B3-8CAD-4F6F-A847-0A31AF0B7FE1}"/>
    <cellStyle name="Normal 2 4 5 3 2 2 4" xfId="4131" xr:uid="{6BDC7BE4-0911-47C8-A022-90FEE94DCFD1}"/>
    <cellStyle name="Normal 2 4 5 3 2 2 4 2" xfId="14079" xr:uid="{7BF2A74B-B328-4455-B297-650B64F3C84A}"/>
    <cellStyle name="Normal 2 4 5 3 2 2 5" xfId="4960" xr:uid="{196C9FA3-D32E-4E26-929D-90FB0F9886C9}"/>
    <cellStyle name="Normal 2 4 5 3 2 2 5 2" xfId="14908" xr:uid="{33F8CE8A-3AA0-475F-A8AB-56051C2A8680}"/>
    <cellStyle name="Normal 2 4 5 3 2 2 6" xfId="5789" xr:uid="{4B448E1B-0658-47F7-8D20-61F299126C0B}"/>
    <cellStyle name="Normal 2 4 5 3 2 2 6 2" xfId="15737" xr:uid="{E31CE701-0EC2-4991-99FB-A1D2BBAF710F}"/>
    <cellStyle name="Normal 2 4 5 3 2 2 7" xfId="6618" xr:uid="{A6F75282-5447-4F53-9CD0-7AADF67F6950}"/>
    <cellStyle name="Normal 2 4 5 3 2 2 7 2" xfId="16566" xr:uid="{FC9341E1-C601-47D4-8DEB-7CCE016A83FA}"/>
    <cellStyle name="Normal 2 4 5 3 2 2 8" xfId="7447" xr:uid="{3E758AB7-874F-41C8-B061-12EF11CCCE38}"/>
    <cellStyle name="Normal 2 4 5 3 2 2 8 2" xfId="17395" xr:uid="{AA5E4B25-31AB-41FE-8489-B1ADC3B44DA2}"/>
    <cellStyle name="Normal 2 4 5 3 2 2 9" xfId="8276" xr:uid="{C3392C83-2CD3-49F7-8C63-A2F653175CD0}"/>
    <cellStyle name="Normal 2 4 5 3 2 2 9 2" xfId="18224" xr:uid="{957FB155-9CDA-44BA-B0AA-40E2EC7AAB18}"/>
    <cellStyle name="Normal 2 4 5 3 2 3" xfId="2057" xr:uid="{27F7A024-926A-404A-8587-DA9AEF78CC5B}"/>
    <cellStyle name="Normal 2 4 5 3 2 3 2" xfId="12005" xr:uid="{577EE08B-9A51-492B-9EAD-6F48B946C166}"/>
    <cellStyle name="Normal 2 4 5 3 2 4" xfId="2886" xr:uid="{0E8276C5-23E8-4988-A848-523B17360845}"/>
    <cellStyle name="Normal 2 4 5 3 2 4 2" xfId="12834" xr:uid="{2198E1D7-D72D-490B-B37A-33440F642A16}"/>
    <cellStyle name="Normal 2 4 5 3 2 5" xfId="3715" xr:uid="{89F24F33-92A2-496D-8F07-BBFFE92C4241}"/>
    <cellStyle name="Normal 2 4 5 3 2 5 2" xfId="13663" xr:uid="{5A8419C9-37F8-4659-BFA1-186BADF0A3DE}"/>
    <cellStyle name="Normal 2 4 5 3 2 6" xfId="4544" xr:uid="{1A6E3A39-88F3-41BB-870B-8B24E87EC115}"/>
    <cellStyle name="Normal 2 4 5 3 2 6 2" xfId="14492" xr:uid="{C57ACDE1-4F23-46E0-9696-10DD6502E8BD}"/>
    <cellStyle name="Normal 2 4 5 3 2 7" xfId="5373" xr:uid="{026FF880-0503-469E-98FF-792DE159EF84}"/>
    <cellStyle name="Normal 2 4 5 3 2 7 2" xfId="15321" xr:uid="{08340C0C-C7CA-4889-AAE4-D41393262FAA}"/>
    <cellStyle name="Normal 2 4 5 3 2 8" xfId="6202" xr:uid="{FDBBF6DE-9E97-44C0-91A8-68DB486056D4}"/>
    <cellStyle name="Normal 2 4 5 3 2 8 2" xfId="16150" xr:uid="{81658DAA-A835-4957-B618-F77857F86A2F}"/>
    <cellStyle name="Normal 2 4 5 3 2 9" xfId="7031" xr:uid="{86734F44-D6D5-416A-AB00-56C0F3F646FE}"/>
    <cellStyle name="Normal 2 4 5 3 2 9 2" xfId="16979" xr:uid="{1C450DAC-44BA-4665-A1B2-5C6D25F6CF69}"/>
    <cellStyle name="Normal 2 4 5 3 3" xfId="805" xr:uid="{00000000-0005-0000-0000-00001E020000}"/>
    <cellStyle name="Normal 2 4 5 3 3 10" xfId="9104" xr:uid="{4649D620-FC9C-4F34-B44C-3922B659480C}"/>
    <cellStyle name="Normal 2 4 5 3 3 10 2" xfId="19052" xr:uid="{3D113581-F347-430F-9FEF-292D66E6AFE4}"/>
    <cellStyle name="Normal 2 4 5 3 3 11" xfId="9933" xr:uid="{0893D702-85EE-431A-855A-3BBE5FC6DCD9}"/>
    <cellStyle name="Normal 2 4 5 3 3 11 2" xfId="19881" xr:uid="{6318B7F0-1EC4-4C20-9223-993D79E242C5}"/>
    <cellStyle name="Normal 2 4 5 3 3 12" xfId="10762" xr:uid="{0EE8BC59-42AC-4CAE-BF38-657B76FF3E19}"/>
    <cellStyle name="Normal 2 4 5 3 3 12 2" xfId="20710" xr:uid="{C9CE0613-91CE-4329-8D5C-DF6B741FF445}"/>
    <cellStyle name="Normal 2 4 5 3 3 13" xfId="1643" xr:uid="{780E7BF6-C605-4280-ACF1-B6F76429D7DB}"/>
    <cellStyle name="Normal 2 4 5 3 3 14" xfId="11591" xr:uid="{109F52D2-3690-407A-88B2-A974F40DD878}"/>
    <cellStyle name="Normal 2 4 5 3 3 2" xfId="2472" xr:uid="{28A77DB4-5F39-442E-B54F-92E26B2EACC5}"/>
    <cellStyle name="Normal 2 4 5 3 3 2 2" xfId="12420" xr:uid="{C8C1B69D-3256-4853-9848-4A633BE7CA6E}"/>
    <cellStyle name="Normal 2 4 5 3 3 3" xfId="3301" xr:uid="{47EA9D83-056B-482C-9B13-A542BF713DB4}"/>
    <cellStyle name="Normal 2 4 5 3 3 3 2" xfId="13249" xr:uid="{6B0BF193-7C9A-490B-9605-3CED1BAE1DB5}"/>
    <cellStyle name="Normal 2 4 5 3 3 4" xfId="4130" xr:uid="{7D0BA327-3ADC-4A83-8FD5-8325A29F0813}"/>
    <cellStyle name="Normal 2 4 5 3 3 4 2" xfId="14078" xr:uid="{6118BAA7-0501-4F53-855A-2246B73ED3B6}"/>
    <cellStyle name="Normal 2 4 5 3 3 5" xfId="4959" xr:uid="{09A4B933-D520-4B15-89B6-2160BC4DA344}"/>
    <cellStyle name="Normal 2 4 5 3 3 5 2" xfId="14907" xr:uid="{BA5D1285-1FF1-49A9-A7A3-24686EBEC76F}"/>
    <cellStyle name="Normal 2 4 5 3 3 6" xfId="5788" xr:uid="{6D8CF5A1-40DF-44D3-9BEA-CE65E48689A2}"/>
    <cellStyle name="Normal 2 4 5 3 3 6 2" xfId="15736" xr:uid="{CDEDE374-FB36-4947-8C26-4CC74E7DE343}"/>
    <cellStyle name="Normal 2 4 5 3 3 7" xfId="6617" xr:uid="{3A58A2B3-A01E-466C-9B81-207810CB1438}"/>
    <cellStyle name="Normal 2 4 5 3 3 7 2" xfId="16565" xr:uid="{80811016-DB48-4B3E-B9EA-780FFE7C5D74}"/>
    <cellStyle name="Normal 2 4 5 3 3 8" xfId="7446" xr:uid="{14F36F5C-52F0-4B39-8D8B-E4BD0C1AD240}"/>
    <cellStyle name="Normal 2 4 5 3 3 8 2" xfId="17394" xr:uid="{042E7C14-D39C-483F-97B4-3342EE4D279B}"/>
    <cellStyle name="Normal 2 4 5 3 3 9" xfId="8275" xr:uid="{CB72BD54-006E-41E8-87F7-DB81DCFE45EE}"/>
    <cellStyle name="Normal 2 4 5 3 3 9 2" xfId="18223" xr:uid="{9B7C05FC-1DBD-4EE5-B416-4E8C0E801C66}"/>
    <cellStyle name="Normal 2 4 5 3 4" xfId="2056" xr:uid="{7428EF6E-C88A-462F-A6BA-064BA0FCFF01}"/>
    <cellStyle name="Normal 2 4 5 3 4 2" xfId="12004" xr:uid="{2E74E81C-9A4D-4227-B725-B35B418529DE}"/>
    <cellStyle name="Normal 2 4 5 3 5" xfId="2885" xr:uid="{63F8F11F-8196-4F45-AB7C-9A21C7511277}"/>
    <cellStyle name="Normal 2 4 5 3 5 2" xfId="12833" xr:uid="{9295E33A-6B7E-40C0-8B84-B1CD61C9F567}"/>
    <cellStyle name="Normal 2 4 5 3 6" xfId="3714" xr:uid="{B7BB4376-39D4-4CCE-8417-24A3F82170FD}"/>
    <cellStyle name="Normal 2 4 5 3 6 2" xfId="13662" xr:uid="{5C14AB03-8D90-4682-8F4D-8443B664A57C}"/>
    <cellStyle name="Normal 2 4 5 3 7" xfId="4543" xr:uid="{DC6C45CC-22E0-4FBE-8F26-71298B426976}"/>
    <cellStyle name="Normal 2 4 5 3 7 2" xfId="14491" xr:uid="{68A63005-1AB8-4522-A27A-F51EF3D988B3}"/>
    <cellStyle name="Normal 2 4 5 3 8" xfId="5372" xr:uid="{1E62F82C-0AB6-4B9F-B4E1-43DA9EC9A290}"/>
    <cellStyle name="Normal 2 4 5 3 8 2" xfId="15320" xr:uid="{139D6688-D635-4F44-9A7D-BA23B595B663}"/>
    <cellStyle name="Normal 2 4 5 3 9" xfId="6201" xr:uid="{841AF877-B0C4-41D0-99E6-28A379307A7C}"/>
    <cellStyle name="Normal 2 4 5 3 9 2" xfId="16149" xr:uid="{A1891EA0-83F7-4F43-851A-1CDE5C0AD775}"/>
    <cellStyle name="Normal 2 4 5 4" xfId="313" xr:uid="{00000000-0005-0000-0000-00001F020000}"/>
    <cellStyle name="Normal 2 4 5 4 10" xfId="7861" xr:uid="{05F82842-5D8D-4FDA-B530-710091398B56}"/>
    <cellStyle name="Normal 2 4 5 4 10 2" xfId="17809" xr:uid="{DD83A766-A149-47DC-B16C-413F7A442FAA}"/>
    <cellStyle name="Normal 2 4 5 4 11" xfId="8690" xr:uid="{2BA91A63-E1A3-496E-928D-D3DEE08E5948}"/>
    <cellStyle name="Normal 2 4 5 4 11 2" xfId="18638" xr:uid="{A78F005A-6D9F-4F85-95AE-47ECE2C352D3}"/>
    <cellStyle name="Normal 2 4 5 4 12" xfId="9519" xr:uid="{D53C5253-CF60-4328-A159-C98AA4FB399F}"/>
    <cellStyle name="Normal 2 4 5 4 12 2" xfId="19467" xr:uid="{426F6EA1-7E0E-4934-9208-77A1B46FDAAF}"/>
    <cellStyle name="Normal 2 4 5 4 13" xfId="10348" xr:uid="{EF5AB1A7-2E84-482D-86D2-0995A7245D1D}"/>
    <cellStyle name="Normal 2 4 5 4 13 2" xfId="20296" xr:uid="{58C8CE38-5F1F-4201-8679-5FCBE3300332}"/>
    <cellStyle name="Normal 2 4 5 4 14" xfId="1229" xr:uid="{6B331ECF-E866-4E9B-BF0D-103B1A2CABCE}"/>
    <cellStyle name="Normal 2 4 5 4 15" xfId="11177" xr:uid="{B8446144-5C25-4018-B716-5DBCA910A0CC}"/>
    <cellStyle name="Normal 2 4 5 4 2" xfId="807" xr:uid="{00000000-0005-0000-0000-000020020000}"/>
    <cellStyle name="Normal 2 4 5 4 2 10" xfId="9106" xr:uid="{3ED27E60-EC62-4307-86A3-DF672B8ED6BD}"/>
    <cellStyle name="Normal 2 4 5 4 2 10 2" xfId="19054" xr:uid="{E32CDEC6-6958-4A98-B5E4-64F9512B1CD7}"/>
    <cellStyle name="Normal 2 4 5 4 2 11" xfId="9935" xr:uid="{70560277-F540-4908-BD40-CD294DACF539}"/>
    <cellStyle name="Normal 2 4 5 4 2 11 2" xfId="19883" xr:uid="{F17ED42E-644B-4609-BDF9-FAC592B5266A}"/>
    <cellStyle name="Normal 2 4 5 4 2 12" xfId="10764" xr:uid="{DC72CE2B-CE58-4F9B-96B1-7AFE77CDE903}"/>
    <cellStyle name="Normal 2 4 5 4 2 12 2" xfId="20712" xr:uid="{69B6E085-40F8-40B5-95BD-68E893729E76}"/>
    <cellStyle name="Normal 2 4 5 4 2 13" xfId="1645" xr:uid="{CD042576-E9CC-4494-947B-CE02F25EAD30}"/>
    <cellStyle name="Normal 2 4 5 4 2 14" xfId="11593" xr:uid="{652DFAE0-A2F3-473A-8497-00E7E7A95D7F}"/>
    <cellStyle name="Normal 2 4 5 4 2 2" xfId="2474" xr:uid="{8DFC74B1-6A46-429B-9EF6-DA114C3964A4}"/>
    <cellStyle name="Normal 2 4 5 4 2 2 2" xfId="12422" xr:uid="{71FDC0A6-DABB-41BB-9E07-BE2B1AC63AE8}"/>
    <cellStyle name="Normal 2 4 5 4 2 3" xfId="3303" xr:uid="{2FA61D91-C149-41B9-A55F-AB6EAF916F2C}"/>
    <cellStyle name="Normal 2 4 5 4 2 3 2" xfId="13251" xr:uid="{022C0D2E-A41E-4842-B9D6-614DD4CCDF42}"/>
    <cellStyle name="Normal 2 4 5 4 2 4" xfId="4132" xr:uid="{74613943-8EE3-447C-9A48-D7294BB00A18}"/>
    <cellStyle name="Normal 2 4 5 4 2 4 2" xfId="14080" xr:uid="{1FEBCBD8-B146-4643-887F-B9FBAE1656DD}"/>
    <cellStyle name="Normal 2 4 5 4 2 5" xfId="4961" xr:uid="{78C2E5B3-52A4-4EFE-89E4-2EB234E6AA1F}"/>
    <cellStyle name="Normal 2 4 5 4 2 5 2" xfId="14909" xr:uid="{23DAFDA5-4E8D-400E-A2B4-2E39AD13F6DB}"/>
    <cellStyle name="Normal 2 4 5 4 2 6" xfId="5790" xr:uid="{7E0340D6-5FE1-49E5-9DE8-7C130DDB188A}"/>
    <cellStyle name="Normal 2 4 5 4 2 6 2" xfId="15738" xr:uid="{AD73CA61-9A87-4921-ADB7-30812AF449FF}"/>
    <cellStyle name="Normal 2 4 5 4 2 7" xfId="6619" xr:uid="{9F2D74BE-562D-46A2-9948-C41C333E0113}"/>
    <cellStyle name="Normal 2 4 5 4 2 7 2" xfId="16567" xr:uid="{664F4BDC-59C7-4F16-8BDB-9C8A0D0548BD}"/>
    <cellStyle name="Normal 2 4 5 4 2 8" xfId="7448" xr:uid="{6C998FBE-67CE-4531-BA41-8F66682C9F15}"/>
    <cellStyle name="Normal 2 4 5 4 2 8 2" xfId="17396" xr:uid="{31A23EAA-F55C-4B85-80FF-980FE47D0F04}"/>
    <cellStyle name="Normal 2 4 5 4 2 9" xfId="8277" xr:uid="{3BB1436A-A5A5-46AB-9646-A471847E9577}"/>
    <cellStyle name="Normal 2 4 5 4 2 9 2" xfId="18225" xr:uid="{AE8BAF6F-53E9-4909-8F2C-E56143AF4CAC}"/>
    <cellStyle name="Normal 2 4 5 4 3" xfId="2058" xr:uid="{3A2C21D2-827C-4027-B6D7-4ACC917FABCF}"/>
    <cellStyle name="Normal 2 4 5 4 3 2" xfId="12006" xr:uid="{C79F9959-6D22-4262-A921-AEB47DD821BA}"/>
    <cellStyle name="Normal 2 4 5 4 4" xfId="2887" xr:uid="{51934A99-E25F-4D94-818B-48049A9D482F}"/>
    <cellStyle name="Normal 2 4 5 4 4 2" xfId="12835" xr:uid="{93FB4008-8B6C-4EDF-B999-52E73C25BE74}"/>
    <cellStyle name="Normal 2 4 5 4 5" xfId="3716" xr:uid="{DDE58E30-E922-4B59-B7C0-2EF5FE18492A}"/>
    <cellStyle name="Normal 2 4 5 4 5 2" xfId="13664" xr:uid="{F7CF479E-F08D-4C66-B2B5-A353E2F7F6BD}"/>
    <cellStyle name="Normal 2 4 5 4 6" xfId="4545" xr:uid="{496F5306-AB88-4968-8518-B86FD5FBA298}"/>
    <cellStyle name="Normal 2 4 5 4 6 2" xfId="14493" xr:uid="{56D30DE1-2223-4047-B03A-85AB67DFB9F3}"/>
    <cellStyle name="Normal 2 4 5 4 7" xfId="5374" xr:uid="{39907672-E27D-4945-BA5B-2363917C1C8E}"/>
    <cellStyle name="Normal 2 4 5 4 7 2" xfId="15322" xr:uid="{53E79602-751B-47E4-A9B5-E98C2B5454A3}"/>
    <cellStyle name="Normal 2 4 5 4 8" xfId="6203" xr:uid="{179D0972-EB9F-46F2-9046-981BAD34B904}"/>
    <cellStyle name="Normal 2 4 5 4 8 2" xfId="16151" xr:uid="{73C7CC48-6393-468C-8C0F-271299FD337A}"/>
    <cellStyle name="Normal 2 4 5 4 9" xfId="7032" xr:uid="{E79977A9-E18D-4890-99FA-9AD5E4F0634C}"/>
    <cellStyle name="Normal 2 4 5 4 9 2" xfId="16980" xr:uid="{A4344C6B-C2E7-4A09-B8A5-82D73FF9615B}"/>
    <cellStyle name="Normal 2 4 5 5" xfId="800" xr:uid="{00000000-0005-0000-0000-000021020000}"/>
    <cellStyle name="Normal 2 4 5 5 10" xfId="9099" xr:uid="{46B86423-57E8-4FC5-9C64-DCAB21D0F9D8}"/>
    <cellStyle name="Normal 2 4 5 5 10 2" xfId="19047" xr:uid="{734E06A7-9668-446F-AC79-1A81619C8414}"/>
    <cellStyle name="Normal 2 4 5 5 11" xfId="9928" xr:uid="{196888C9-CA99-4752-82FC-626D22D72AB2}"/>
    <cellStyle name="Normal 2 4 5 5 11 2" xfId="19876" xr:uid="{F819A965-6C45-4901-9175-504A7BBBAADF}"/>
    <cellStyle name="Normal 2 4 5 5 12" xfId="10757" xr:uid="{B70ED6BD-0235-4E21-A299-3DE8A75B3A75}"/>
    <cellStyle name="Normal 2 4 5 5 12 2" xfId="20705" xr:uid="{C030D904-8DAB-438B-88F0-BA79E7ECBEE4}"/>
    <cellStyle name="Normal 2 4 5 5 13" xfId="1638" xr:uid="{708831E3-E273-483D-B286-DCA0853E996D}"/>
    <cellStyle name="Normal 2 4 5 5 14" xfId="11586" xr:uid="{DA317D38-CBEA-4AD2-AFFA-DA229EAB092B}"/>
    <cellStyle name="Normal 2 4 5 5 2" xfId="2467" xr:uid="{076B7359-9E36-4085-BF54-739AD96AE886}"/>
    <cellStyle name="Normal 2 4 5 5 2 2" xfId="12415" xr:uid="{7700018A-CEC4-4C18-A166-CD207D2C624F}"/>
    <cellStyle name="Normal 2 4 5 5 3" xfId="3296" xr:uid="{4D90D0D6-D4AD-4162-90A4-2F635E7E42DB}"/>
    <cellStyle name="Normal 2 4 5 5 3 2" xfId="13244" xr:uid="{0CF20352-FA01-44E9-96E9-2E4D82600AB8}"/>
    <cellStyle name="Normal 2 4 5 5 4" xfId="4125" xr:uid="{B9BF5966-70DC-4E57-B47A-D8D03B37E748}"/>
    <cellStyle name="Normal 2 4 5 5 4 2" xfId="14073" xr:uid="{C3D72A16-FE42-4974-9492-4AD805B9AAB2}"/>
    <cellStyle name="Normal 2 4 5 5 5" xfId="4954" xr:uid="{9951D657-A9C3-4F2D-B417-21748744A525}"/>
    <cellStyle name="Normal 2 4 5 5 5 2" xfId="14902" xr:uid="{8004B4A8-0989-484C-9E00-2821AAD238B9}"/>
    <cellStyle name="Normal 2 4 5 5 6" xfId="5783" xr:uid="{11A02F5C-6258-4881-84F2-BCB8D01666F2}"/>
    <cellStyle name="Normal 2 4 5 5 6 2" xfId="15731" xr:uid="{6CD215E1-798C-4B3F-A54D-0F5FDFD4F251}"/>
    <cellStyle name="Normal 2 4 5 5 7" xfId="6612" xr:uid="{4E3D70CB-3AE7-4050-85D2-4B619A71F063}"/>
    <cellStyle name="Normal 2 4 5 5 7 2" xfId="16560" xr:uid="{600E41DF-4CF9-4FA6-A6C3-2D4E6B052C1D}"/>
    <cellStyle name="Normal 2 4 5 5 8" xfId="7441" xr:uid="{76091190-37AA-423B-870A-607F7E497D91}"/>
    <cellStyle name="Normal 2 4 5 5 8 2" xfId="17389" xr:uid="{890629E9-EE83-48DE-9C92-D0935089A7B8}"/>
    <cellStyle name="Normal 2 4 5 5 9" xfId="8270" xr:uid="{3B5D8566-8C9C-4342-BD64-E0CBBF806B5F}"/>
    <cellStyle name="Normal 2 4 5 5 9 2" xfId="18218" xr:uid="{BB08E6B1-ADAE-45CF-B0C4-700626C5EFD6}"/>
    <cellStyle name="Normal 2 4 5 6" xfId="2051" xr:uid="{CE336F9E-00EB-4599-BAE2-702F7BEDC632}"/>
    <cellStyle name="Normal 2 4 5 6 2" xfId="11999" xr:uid="{7E40715C-6D50-49BC-A465-E0778F8B2A32}"/>
    <cellStyle name="Normal 2 4 5 7" xfId="2880" xr:uid="{914884E9-15F7-40C7-9EC9-3A244BABE74C}"/>
    <cellStyle name="Normal 2 4 5 7 2" xfId="12828" xr:uid="{FCCD2586-B017-4ED6-A8B0-00146602C274}"/>
    <cellStyle name="Normal 2 4 5 8" xfId="3709" xr:uid="{F6EFEBD7-831F-4D74-A379-0C794577D93E}"/>
    <cellStyle name="Normal 2 4 5 8 2" xfId="13657" xr:uid="{C634F041-AB06-491B-B047-EBAEFEB9F7E4}"/>
    <cellStyle name="Normal 2 4 5 9" xfId="4538" xr:uid="{7DF8CFB2-1F76-4A19-82F2-0B9CE806056A}"/>
    <cellStyle name="Normal 2 4 5 9 2" xfId="14486" xr:uid="{FE00A1A7-C574-4EDF-B7FA-BF87E30F510E}"/>
    <cellStyle name="Normal 2 4 6" xfId="314" xr:uid="{00000000-0005-0000-0000-000022020000}"/>
    <cellStyle name="Normal 2 4 7" xfId="315" xr:uid="{00000000-0005-0000-0000-000023020000}"/>
    <cellStyle name="Normal 2 4 7 10" xfId="7033" xr:uid="{DC419397-96AF-4148-9696-6F5FF5BEE5C8}"/>
    <cellStyle name="Normal 2 4 7 10 2" xfId="16981" xr:uid="{A4C2ADAB-3830-4375-ABD5-DB77E7495587}"/>
    <cellStyle name="Normal 2 4 7 11" xfId="7862" xr:uid="{B72F046B-464A-4845-9881-AB34E1EF6E5E}"/>
    <cellStyle name="Normal 2 4 7 11 2" xfId="17810" xr:uid="{57F210DF-2D6C-4273-8959-14BFBEA3120D}"/>
    <cellStyle name="Normal 2 4 7 12" xfId="8691" xr:uid="{5ADF0779-8755-4551-8FE1-000DBDBFE944}"/>
    <cellStyle name="Normal 2 4 7 12 2" xfId="18639" xr:uid="{292830C8-E0C4-4225-84A1-21A0AE4C9E95}"/>
    <cellStyle name="Normal 2 4 7 13" xfId="9520" xr:uid="{313C20FD-F524-4A15-8576-B820861C81B0}"/>
    <cellStyle name="Normal 2 4 7 13 2" xfId="19468" xr:uid="{708984BF-4483-4ED1-87F1-72F2A86959D3}"/>
    <cellStyle name="Normal 2 4 7 14" xfId="10349" xr:uid="{D237EDCB-0D8C-41EB-81F7-88ED068FF197}"/>
    <cellStyle name="Normal 2 4 7 14 2" xfId="20297" xr:uid="{A11B0C84-2ED5-44C0-A744-986F9879A259}"/>
    <cellStyle name="Normal 2 4 7 15" xfId="1230" xr:uid="{3D47B387-1524-4907-ACA6-7A2BDF095548}"/>
    <cellStyle name="Normal 2 4 7 16" xfId="11178" xr:uid="{F0B2E274-EE88-483F-8500-567F6C81AB52}"/>
    <cellStyle name="Normal 2 4 7 2" xfId="316" xr:uid="{00000000-0005-0000-0000-000024020000}"/>
    <cellStyle name="Normal 2 4 7 2 10" xfId="7863" xr:uid="{FA6BEC90-5CCF-4A05-965A-11A00C6358FB}"/>
    <cellStyle name="Normal 2 4 7 2 10 2" xfId="17811" xr:uid="{52044EBF-BB6A-4224-BD16-24059655268D}"/>
    <cellStyle name="Normal 2 4 7 2 11" xfId="8692" xr:uid="{C085C5A8-3CA0-4E5E-81A2-66061890F0F6}"/>
    <cellStyle name="Normal 2 4 7 2 11 2" xfId="18640" xr:uid="{93D14C75-7F44-47E5-8F51-7D07BCF768CA}"/>
    <cellStyle name="Normal 2 4 7 2 12" xfId="9521" xr:uid="{1120970D-2F2D-4728-BE47-34E3C7BC9150}"/>
    <cellStyle name="Normal 2 4 7 2 12 2" xfId="19469" xr:uid="{054CC29B-04C4-44CF-AD43-FBD6D725508E}"/>
    <cellStyle name="Normal 2 4 7 2 13" xfId="10350" xr:uid="{643CEF60-AB10-4ABC-898B-75EA47BB2384}"/>
    <cellStyle name="Normal 2 4 7 2 13 2" xfId="20298" xr:uid="{A92069EE-4D0F-47FE-AE39-5CFF888276A6}"/>
    <cellStyle name="Normal 2 4 7 2 14" xfId="1231" xr:uid="{C9BD0890-80EE-43C1-8D2F-BE6F36AE7501}"/>
    <cellStyle name="Normal 2 4 7 2 15" xfId="11179" xr:uid="{C656C049-2A9A-49E8-BFE7-6FDE07BCBEED}"/>
    <cellStyle name="Normal 2 4 7 2 2" xfId="809" xr:uid="{00000000-0005-0000-0000-000025020000}"/>
    <cellStyle name="Normal 2 4 7 2 2 10" xfId="9108" xr:uid="{0660AF1A-0138-4EE7-B85F-F597F4B63665}"/>
    <cellStyle name="Normal 2 4 7 2 2 10 2" xfId="19056" xr:uid="{AC89FDE8-36AA-438E-9F27-540771CFFDFB}"/>
    <cellStyle name="Normal 2 4 7 2 2 11" xfId="9937" xr:uid="{27C34D48-2DCE-42FC-A5BD-D242B7E2F23B}"/>
    <cellStyle name="Normal 2 4 7 2 2 11 2" xfId="19885" xr:uid="{39198937-3B03-411D-9FE8-69F515E345FF}"/>
    <cellStyle name="Normal 2 4 7 2 2 12" xfId="10766" xr:uid="{03A8CA22-C68E-43DF-B48E-834CB447248C}"/>
    <cellStyle name="Normal 2 4 7 2 2 12 2" xfId="20714" xr:uid="{6DA59AC1-AC31-4CC3-ABF2-9B7D3121794E}"/>
    <cellStyle name="Normal 2 4 7 2 2 13" xfId="1647" xr:uid="{B663668C-7807-4CE5-A14E-F99555B176CC}"/>
    <cellStyle name="Normal 2 4 7 2 2 14" xfId="11595" xr:uid="{0F9DCBAF-A458-4780-A675-3D012562D380}"/>
    <cellStyle name="Normal 2 4 7 2 2 2" xfId="2476" xr:uid="{5C481788-02C1-485A-96A0-25CCED666084}"/>
    <cellStyle name="Normal 2 4 7 2 2 2 2" xfId="12424" xr:uid="{CFECF78B-87D4-464A-A1EF-E8E68EF282F4}"/>
    <cellStyle name="Normal 2 4 7 2 2 3" xfId="3305" xr:uid="{A43CB477-3937-4A9E-997A-24E8A4A911D4}"/>
    <cellStyle name="Normal 2 4 7 2 2 3 2" xfId="13253" xr:uid="{ED19F038-9A95-4181-A030-6E03E4C26811}"/>
    <cellStyle name="Normal 2 4 7 2 2 4" xfId="4134" xr:uid="{76EE9270-8FFE-4322-A664-EA705CE4ABBF}"/>
    <cellStyle name="Normal 2 4 7 2 2 4 2" xfId="14082" xr:uid="{8CAEF1D5-99F0-48FF-A838-1FA4AC2089F4}"/>
    <cellStyle name="Normal 2 4 7 2 2 5" xfId="4963" xr:uid="{535A61C8-833D-4F23-ADFB-07EEC12A7B81}"/>
    <cellStyle name="Normal 2 4 7 2 2 5 2" xfId="14911" xr:uid="{06DF03A0-CDC4-4A6A-9E72-D986AEB6F162}"/>
    <cellStyle name="Normal 2 4 7 2 2 6" xfId="5792" xr:uid="{C613408D-5953-4C7F-AEE3-A701F6A4E3BF}"/>
    <cellStyle name="Normal 2 4 7 2 2 6 2" xfId="15740" xr:uid="{7E478A0F-C500-4E43-B58F-D359F2054B83}"/>
    <cellStyle name="Normal 2 4 7 2 2 7" xfId="6621" xr:uid="{7CF56DDF-444B-4714-B8B9-2B49475804F2}"/>
    <cellStyle name="Normal 2 4 7 2 2 7 2" xfId="16569" xr:uid="{6EF5865D-C5E1-4FAE-9DB9-83DBE7DE0EC9}"/>
    <cellStyle name="Normal 2 4 7 2 2 8" xfId="7450" xr:uid="{3FF13969-B86A-4D88-9C91-41FDBE3B93A2}"/>
    <cellStyle name="Normal 2 4 7 2 2 8 2" xfId="17398" xr:uid="{9A0ED62E-3B14-4B2F-9C54-DD8CB595F248}"/>
    <cellStyle name="Normal 2 4 7 2 2 9" xfId="8279" xr:uid="{AEE820A2-B4B7-430C-834B-5BB3A8047BAA}"/>
    <cellStyle name="Normal 2 4 7 2 2 9 2" xfId="18227" xr:uid="{DC5F1B6B-0E31-4A04-98C7-972EC4BE67B7}"/>
    <cellStyle name="Normal 2 4 7 2 3" xfId="2060" xr:uid="{9E0CF0A9-E7A9-4F73-B654-FE9241BA10E1}"/>
    <cellStyle name="Normal 2 4 7 2 3 2" xfId="12008" xr:uid="{2C007183-0BB0-470B-9A31-FCFAEC876297}"/>
    <cellStyle name="Normal 2 4 7 2 4" xfId="2889" xr:uid="{BB8D1ED3-C337-495B-B2E8-011A47766E9C}"/>
    <cellStyle name="Normal 2 4 7 2 4 2" xfId="12837" xr:uid="{5FCA60BF-06E2-402F-9D96-0706B15FDB4D}"/>
    <cellStyle name="Normal 2 4 7 2 5" xfId="3718" xr:uid="{DE003FD7-DF10-45F6-A325-65CE360A379C}"/>
    <cellStyle name="Normal 2 4 7 2 5 2" xfId="13666" xr:uid="{03D9580F-B8C8-4226-948A-EE71E13930D5}"/>
    <cellStyle name="Normal 2 4 7 2 6" xfId="4547" xr:uid="{32537E61-ADDC-42B8-9F0E-73CC2C0482DE}"/>
    <cellStyle name="Normal 2 4 7 2 6 2" xfId="14495" xr:uid="{D23933A9-0B48-4110-9707-751AFAD261F5}"/>
    <cellStyle name="Normal 2 4 7 2 7" xfId="5376" xr:uid="{5D1F345B-300A-4102-9006-D0859E1071AE}"/>
    <cellStyle name="Normal 2 4 7 2 7 2" xfId="15324" xr:uid="{E20B1F64-57AF-478F-8B7D-8012D1FCDB71}"/>
    <cellStyle name="Normal 2 4 7 2 8" xfId="6205" xr:uid="{EEE97D8E-D60C-48AF-8656-7C8513F63AE6}"/>
    <cellStyle name="Normal 2 4 7 2 8 2" xfId="16153" xr:uid="{5CE3DE42-4878-4FCE-8047-CE09A1906C9F}"/>
    <cellStyle name="Normal 2 4 7 2 9" xfId="7034" xr:uid="{5A7F2E44-FF55-4D9B-88B4-559045CA98DC}"/>
    <cellStyle name="Normal 2 4 7 2 9 2" xfId="16982" xr:uid="{D0371964-7C09-4606-9B99-20E20A79777C}"/>
    <cellStyle name="Normal 2 4 7 3" xfId="808" xr:uid="{00000000-0005-0000-0000-000026020000}"/>
    <cellStyle name="Normal 2 4 7 3 10" xfId="9107" xr:uid="{74CDF686-2711-4859-9D58-E39EAD4ACC57}"/>
    <cellStyle name="Normal 2 4 7 3 10 2" xfId="19055" xr:uid="{1088DD5C-33BD-4F0F-AB3A-9D522E3C9FC1}"/>
    <cellStyle name="Normal 2 4 7 3 11" xfId="9936" xr:uid="{7DD7A0B4-8118-44F5-9A0E-3996B2995D41}"/>
    <cellStyle name="Normal 2 4 7 3 11 2" xfId="19884" xr:uid="{CF044E45-6531-4A57-97EA-E4B1CD69375D}"/>
    <cellStyle name="Normal 2 4 7 3 12" xfId="10765" xr:uid="{C1D61AA6-CB6C-46C9-AC94-67B94F95EA2C}"/>
    <cellStyle name="Normal 2 4 7 3 12 2" xfId="20713" xr:uid="{6A759F3E-A5D6-4823-9EF4-2763E66146B3}"/>
    <cellStyle name="Normal 2 4 7 3 13" xfId="1646" xr:uid="{08E2C153-DC71-4358-9CED-A027AC04B012}"/>
    <cellStyle name="Normal 2 4 7 3 14" xfId="11594" xr:uid="{81367F07-5919-426A-9587-AF4774070804}"/>
    <cellStyle name="Normal 2 4 7 3 2" xfId="2475" xr:uid="{51BCBA96-D75A-4199-8623-CC84F29A2EF3}"/>
    <cellStyle name="Normal 2 4 7 3 2 2" xfId="12423" xr:uid="{BCA7AD31-C79A-4ADD-87BF-6182ABBE0914}"/>
    <cellStyle name="Normal 2 4 7 3 3" xfId="3304" xr:uid="{46F7062B-A08C-4FBF-A84C-8EFE3B355690}"/>
    <cellStyle name="Normal 2 4 7 3 3 2" xfId="13252" xr:uid="{0AA94DD8-08EF-4E64-9981-D7ABE2F17E8E}"/>
    <cellStyle name="Normal 2 4 7 3 4" xfId="4133" xr:uid="{BCCC2F29-9159-4093-96CB-C35A1C1383B4}"/>
    <cellStyle name="Normal 2 4 7 3 4 2" xfId="14081" xr:uid="{339F1464-072D-44A5-9EC9-5C1C14C19110}"/>
    <cellStyle name="Normal 2 4 7 3 5" xfId="4962" xr:uid="{5F9E8854-FC85-4552-8FDE-21CF8075596A}"/>
    <cellStyle name="Normal 2 4 7 3 5 2" xfId="14910" xr:uid="{31FB63AD-391E-4143-85A3-23F02421B1D2}"/>
    <cellStyle name="Normal 2 4 7 3 6" xfId="5791" xr:uid="{B3C8F71C-EA52-4C26-97EA-DACCCE9B7CC3}"/>
    <cellStyle name="Normal 2 4 7 3 6 2" xfId="15739" xr:uid="{2A5BA0BE-1CDC-4266-AF9C-1A842E453F60}"/>
    <cellStyle name="Normal 2 4 7 3 7" xfId="6620" xr:uid="{1F02A0F4-F64B-4460-A875-7D986689D3EA}"/>
    <cellStyle name="Normal 2 4 7 3 7 2" xfId="16568" xr:uid="{B585EB00-708B-4127-9785-6E31953BCE57}"/>
    <cellStyle name="Normal 2 4 7 3 8" xfId="7449" xr:uid="{A9991667-91EE-4B97-8D43-21F36539CA9D}"/>
    <cellStyle name="Normal 2 4 7 3 8 2" xfId="17397" xr:uid="{DA5F7EA8-4156-41CF-ABE3-A1F295CF38B0}"/>
    <cellStyle name="Normal 2 4 7 3 9" xfId="8278" xr:uid="{CC13B641-BFDA-43CE-B150-CC4ADC516151}"/>
    <cellStyle name="Normal 2 4 7 3 9 2" xfId="18226" xr:uid="{F647F348-9126-4248-A167-6566D935EED4}"/>
    <cellStyle name="Normal 2 4 7 4" xfId="2059" xr:uid="{4A971DC9-6144-46C9-8E74-E07D126BE333}"/>
    <cellStyle name="Normal 2 4 7 4 2" xfId="12007" xr:uid="{3D377288-C473-4BCC-A90F-E795F911B488}"/>
    <cellStyle name="Normal 2 4 7 5" xfId="2888" xr:uid="{B05BAAC4-D4DB-49A1-A1D3-E093CEB4BFF7}"/>
    <cellStyle name="Normal 2 4 7 5 2" xfId="12836" xr:uid="{13F5FC3F-3295-4D68-8514-3ABA021AA92D}"/>
    <cellStyle name="Normal 2 4 7 6" xfId="3717" xr:uid="{E8D109E7-73EE-451D-9E5B-00C4AD549CA4}"/>
    <cellStyle name="Normal 2 4 7 6 2" xfId="13665" xr:uid="{C637CECF-D3A1-40C7-93FF-2F18CDF073EF}"/>
    <cellStyle name="Normal 2 4 7 7" xfId="4546" xr:uid="{E89D3228-4D65-4FFA-883A-177EB59CDBD2}"/>
    <cellStyle name="Normal 2 4 7 7 2" xfId="14494" xr:uid="{5C977FA3-85F0-4A19-8DF9-9C053AE70953}"/>
    <cellStyle name="Normal 2 4 7 8" xfId="5375" xr:uid="{FE0387DC-DD50-41C1-B092-8629D75CD9F5}"/>
    <cellStyle name="Normal 2 4 7 8 2" xfId="15323" xr:uid="{02D4CEA2-3D88-4964-9C9E-0C7417877B25}"/>
    <cellStyle name="Normal 2 4 7 9" xfId="6204" xr:uid="{37F6CDC7-8E27-4E62-BC1B-E070EE7FDBD9}"/>
    <cellStyle name="Normal 2 4 7 9 2" xfId="16152" xr:uid="{C3560777-4DA0-4258-B95C-294BD5391DA3}"/>
    <cellStyle name="Normal 2 4 8" xfId="317" xr:uid="{00000000-0005-0000-0000-000027020000}"/>
    <cellStyle name="Normal 2 4 8 10" xfId="7864" xr:uid="{1DEC0B21-1241-4A1E-9D2A-6250715E6A10}"/>
    <cellStyle name="Normal 2 4 8 10 2" xfId="17812" xr:uid="{434050D8-65A2-444E-8B85-75DEDDE58C49}"/>
    <cellStyle name="Normal 2 4 8 11" xfId="8693" xr:uid="{812147FF-DE1D-4EC1-AC1B-D60A40B8F2AB}"/>
    <cellStyle name="Normal 2 4 8 11 2" xfId="18641" xr:uid="{4955EBD0-B052-4FE5-9CE1-16A1FC10C007}"/>
    <cellStyle name="Normal 2 4 8 12" xfId="9522" xr:uid="{13C58234-5E9D-4C8C-BCD1-3B5E1835ED30}"/>
    <cellStyle name="Normal 2 4 8 12 2" xfId="19470" xr:uid="{F271351A-51D6-464B-BE39-3331944C5648}"/>
    <cellStyle name="Normal 2 4 8 13" xfId="10351" xr:uid="{370DD2C4-B60E-44D5-8759-431A6E1371E6}"/>
    <cellStyle name="Normal 2 4 8 13 2" xfId="20299" xr:uid="{A0209226-66F0-4F3D-B05B-FAAC34FC2FB3}"/>
    <cellStyle name="Normal 2 4 8 14" xfId="1232" xr:uid="{ECF8DD91-46B9-492E-8474-B344BE6C8BAA}"/>
    <cellStyle name="Normal 2 4 8 15" xfId="11180" xr:uid="{0C73BF00-5514-4D17-B8E2-AD811DE659C3}"/>
    <cellStyle name="Normal 2 4 8 2" xfId="810" xr:uid="{00000000-0005-0000-0000-000028020000}"/>
    <cellStyle name="Normal 2 4 8 2 10" xfId="9109" xr:uid="{E00C4326-C1C9-445E-8501-644234191A6D}"/>
    <cellStyle name="Normal 2 4 8 2 10 2" xfId="19057" xr:uid="{2378AF82-A63F-4C31-9E3F-8393FDF2E9F9}"/>
    <cellStyle name="Normal 2 4 8 2 11" xfId="9938" xr:uid="{8E2F96E9-DE82-4CF0-BBA8-FC45976DF8B9}"/>
    <cellStyle name="Normal 2 4 8 2 11 2" xfId="19886" xr:uid="{DF33988C-D80F-4609-9BE3-CC6D6C9006D7}"/>
    <cellStyle name="Normal 2 4 8 2 12" xfId="10767" xr:uid="{7EE52D26-555B-4BB5-B63B-71016147F3FF}"/>
    <cellStyle name="Normal 2 4 8 2 12 2" xfId="20715" xr:uid="{9534B674-7B37-4125-AD75-7BD266E68808}"/>
    <cellStyle name="Normal 2 4 8 2 13" xfId="1648" xr:uid="{C443FE26-42A9-4804-A03B-3A44A0E996A5}"/>
    <cellStyle name="Normal 2 4 8 2 14" xfId="11596" xr:uid="{930B3625-7C16-401D-9C6D-A8F0E85EA475}"/>
    <cellStyle name="Normal 2 4 8 2 2" xfId="2477" xr:uid="{4D10ECC4-8025-474A-9C7F-ED4E44084182}"/>
    <cellStyle name="Normal 2 4 8 2 2 2" xfId="12425" xr:uid="{4A4C3CF1-52A0-4D3C-8B05-6C4184BC7F50}"/>
    <cellStyle name="Normal 2 4 8 2 3" xfId="3306" xr:uid="{8FF386F5-1A68-4DD5-AB75-3C5F8251603F}"/>
    <cellStyle name="Normal 2 4 8 2 3 2" xfId="13254" xr:uid="{7038B087-7EDB-4B36-9219-F42A78F0697B}"/>
    <cellStyle name="Normal 2 4 8 2 4" xfId="4135" xr:uid="{6FD34532-7F99-4719-8172-D63F40BDEF60}"/>
    <cellStyle name="Normal 2 4 8 2 4 2" xfId="14083" xr:uid="{1D2C5249-2AB1-48CF-854B-12E23B550A32}"/>
    <cellStyle name="Normal 2 4 8 2 5" xfId="4964" xr:uid="{B49CEEED-1738-429E-A76B-85DAD87F0A2C}"/>
    <cellStyle name="Normal 2 4 8 2 5 2" xfId="14912" xr:uid="{BEAA9C11-D06F-4A69-A13C-409ABF57CF23}"/>
    <cellStyle name="Normal 2 4 8 2 6" xfId="5793" xr:uid="{E1660FFF-A942-4FA5-8AA8-CB761E28483C}"/>
    <cellStyle name="Normal 2 4 8 2 6 2" xfId="15741" xr:uid="{5D1D0D96-2B2C-4295-B774-CFDCDB2D1432}"/>
    <cellStyle name="Normal 2 4 8 2 7" xfId="6622" xr:uid="{471276CC-8E75-41E9-B522-7B6AD9DA798E}"/>
    <cellStyle name="Normal 2 4 8 2 7 2" xfId="16570" xr:uid="{0A105E42-D3E8-4B34-8842-3D2445E6AA27}"/>
    <cellStyle name="Normal 2 4 8 2 8" xfId="7451" xr:uid="{B94320A2-A001-48C1-9B7B-68E1F589B2C3}"/>
    <cellStyle name="Normal 2 4 8 2 8 2" xfId="17399" xr:uid="{BF3BBAE3-EB7B-4A52-9048-B260658D1BB1}"/>
    <cellStyle name="Normal 2 4 8 2 9" xfId="8280" xr:uid="{7B1ABCF5-6FA0-46F8-8701-67E7AE978D11}"/>
    <cellStyle name="Normal 2 4 8 2 9 2" xfId="18228" xr:uid="{D5AADF68-710C-4BB5-BE43-AD15D81EE760}"/>
    <cellStyle name="Normal 2 4 8 3" xfId="2061" xr:uid="{573EDCCA-3F0E-483E-90ED-AEC47A2B3355}"/>
    <cellStyle name="Normal 2 4 8 3 2" xfId="12009" xr:uid="{EDA9BE59-DBA0-442F-A060-8672E44020E4}"/>
    <cellStyle name="Normal 2 4 8 4" xfId="2890" xr:uid="{8E76A9BF-1A25-4E65-92FF-FDBFF4BBA9C8}"/>
    <cellStyle name="Normal 2 4 8 4 2" xfId="12838" xr:uid="{6441F8B6-CAE2-4862-954B-D9A41908D489}"/>
    <cellStyle name="Normal 2 4 8 5" xfId="3719" xr:uid="{4B14F000-5ED1-4875-84B2-E99271CFD133}"/>
    <cellStyle name="Normal 2 4 8 5 2" xfId="13667" xr:uid="{4CB5C1A3-DE3F-4008-987D-625DB23A2ADA}"/>
    <cellStyle name="Normal 2 4 8 6" xfId="4548" xr:uid="{A30A86D9-73CD-41FF-9D31-B4F4DBC93070}"/>
    <cellStyle name="Normal 2 4 8 6 2" xfId="14496" xr:uid="{71EEBACD-A1DF-4C2D-8B48-A8FAE7F8765A}"/>
    <cellStyle name="Normal 2 4 8 7" xfId="5377" xr:uid="{0AA10606-10A6-48B9-85DF-B7624F4AC0DE}"/>
    <cellStyle name="Normal 2 4 8 7 2" xfId="15325" xr:uid="{48248033-BA74-4EAC-A01F-A703CAB12258}"/>
    <cellStyle name="Normal 2 4 8 8" xfId="6206" xr:uid="{1803D9D3-80E0-4A95-A1BB-3221334F1082}"/>
    <cellStyle name="Normal 2 4 8 8 2" xfId="16154" xr:uid="{B5021B1C-FACB-4CA6-A5DF-17BCB0536A02}"/>
    <cellStyle name="Normal 2 4 8 9" xfId="7035" xr:uid="{DF1CB94B-257F-4912-B9F5-B44E8EEEBC97}"/>
    <cellStyle name="Normal 2 4 8 9 2" xfId="16983" xr:uid="{2F690A7F-420E-41BD-AE1D-F8F76222F102}"/>
    <cellStyle name="Normal 2 5" xfId="318" xr:uid="{00000000-0005-0000-0000-000029020000}"/>
    <cellStyle name="Normal 2 5 10" xfId="5378" xr:uid="{327D01D0-ACFC-4CE7-82DB-4B8ACE87BA25}"/>
    <cellStyle name="Normal 2 5 10 2" xfId="15326" xr:uid="{45D49D95-4045-4E79-8A4E-99A9B42FF9FF}"/>
    <cellStyle name="Normal 2 5 11" xfId="6207" xr:uid="{21D9A31D-F306-470E-9709-41031A4D3FFC}"/>
    <cellStyle name="Normal 2 5 11 2" xfId="16155" xr:uid="{4633E771-1C9D-4641-8D79-1D7C53AB10FC}"/>
    <cellStyle name="Normal 2 5 12" xfId="7036" xr:uid="{15877705-E28C-47C9-92C4-C35709994B6F}"/>
    <cellStyle name="Normal 2 5 12 2" xfId="16984" xr:uid="{7FFB8DCB-9FBE-4F00-9803-08066ED5B1CF}"/>
    <cellStyle name="Normal 2 5 13" xfId="7865" xr:uid="{B8926017-8B42-453F-B3E3-8B9561A47DBF}"/>
    <cellStyle name="Normal 2 5 13 2" xfId="17813" xr:uid="{202E2E6F-605B-42AF-89F2-4F3D11607F32}"/>
    <cellStyle name="Normal 2 5 14" xfId="8694" xr:uid="{E909125B-3DE4-4108-981D-BEE5B6B7273A}"/>
    <cellStyle name="Normal 2 5 14 2" xfId="18642" xr:uid="{F261C00E-22EB-4F72-88AF-B1720EB4B8BF}"/>
    <cellStyle name="Normal 2 5 15" xfId="9523" xr:uid="{EAA19BAA-AC4F-4C1E-A640-7252E8166825}"/>
    <cellStyle name="Normal 2 5 15 2" xfId="19471" xr:uid="{31204F44-0E2E-4FAC-8161-3D817C5437D9}"/>
    <cellStyle name="Normal 2 5 16" xfId="10352" xr:uid="{596021DE-F2DF-4144-B7B7-4413D028E5B0}"/>
    <cellStyle name="Normal 2 5 16 2" xfId="20300" xr:uid="{5327B723-0560-4796-A6B6-428A9CF802B5}"/>
    <cellStyle name="Normal 2 5 17" xfId="1233" xr:uid="{BB8A0C53-FE39-4CA2-97F2-7B6B5270A684}"/>
    <cellStyle name="Normal 2 5 18" xfId="11181" xr:uid="{915537BA-B53F-45AF-802B-DE4690FF3B4A}"/>
    <cellStyle name="Normal 2 5 2" xfId="319" xr:uid="{00000000-0005-0000-0000-00002A020000}"/>
    <cellStyle name="Normal 2 5 3" xfId="320" xr:uid="{00000000-0005-0000-0000-00002B020000}"/>
    <cellStyle name="Normal 2 5 4" xfId="321" xr:uid="{00000000-0005-0000-0000-00002C020000}"/>
    <cellStyle name="Normal 2 5 4 10" xfId="6208" xr:uid="{A09C8C5A-2535-426C-8455-95A34EDC4CBB}"/>
    <cellStyle name="Normal 2 5 4 10 2" xfId="16156" xr:uid="{6C672CA9-FA7D-4B5C-9FA5-C531411FF0ED}"/>
    <cellStyle name="Normal 2 5 4 11" xfId="7037" xr:uid="{9AF98583-90EB-4283-88F9-5881B731E287}"/>
    <cellStyle name="Normal 2 5 4 11 2" xfId="16985" xr:uid="{DF11212F-8BFC-45B8-AD4B-CF7403B92767}"/>
    <cellStyle name="Normal 2 5 4 12" xfId="7866" xr:uid="{8C4A2A15-C5D9-4795-B57B-5A772E113AE4}"/>
    <cellStyle name="Normal 2 5 4 12 2" xfId="17814" xr:uid="{7B2E78E7-48A6-45DF-8882-C7BCB2FDE5F1}"/>
    <cellStyle name="Normal 2 5 4 13" xfId="8695" xr:uid="{9BE2B9E7-228F-472D-9CD8-FD8F79366DF9}"/>
    <cellStyle name="Normal 2 5 4 13 2" xfId="18643" xr:uid="{3B1251E1-6E8D-43B4-AF37-ACFE4BAFED9C}"/>
    <cellStyle name="Normal 2 5 4 14" xfId="9524" xr:uid="{15426FAE-4785-4DD9-A835-FE91CFB7799D}"/>
    <cellStyle name="Normal 2 5 4 14 2" xfId="19472" xr:uid="{D8DAF5D1-9A9A-4A31-A07F-A05B3C7B8E55}"/>
    <cellStyle name="Normal 2 5 4 15" xfId="10353" xr:uid="{CB4F3977-5C86-4085-8113-A2B72824694D}"/>
    <cellStyle name="Normal 2 5 4 15 2" xfId="20301" xr:uid="{E8E5672B-1F73-4F7B-9C0B-FB17E6C367D1}"/>
    <cellStyle name="Normal 2 5 4 16" xfId="1234" xr:uid="{35788532-07B4-4D08-B88C-44C74A9B19FA}"/>
    <cellStyle name="Normal 2 5 4 17" xfId="11182" xr:uid="{948DB69C-9798-4269-86A5-F072600AA70A}"/>
    <cellStyle name="Normal 2 5 4 2" xfId="322" xr:uid="{00000000-0005-0000-0000-00002D020000}"/>
    <cellStyle name="Normal 2 5 4 2 10" xfId="7038" xr:uid="{F2B1733A-BD9C-46F6-93D0-9603C0E44AE0}"/>
    <cellStyle name="Normal 2 5 4 2 10 2" xfId="16986" xr:uid="{E5174C91-7CEB-433C-A956-7D960B1B55CF}"/>
    <cellStyle name="Normal 2 5 4 2 11" xfId="7867" xr:uid="{28CE0A06-F309-4FDF-9A1D-C45732E9FFE5}"/>
    <cellStyle name="Normal 2 5 4 2 11 2" xfId="17815" xr:uid="{E5746734-16B7-4877-ACF0-70D4FFE3526A}"/>
    <cellStyle name="Normal 2 5 4 2 12" xfId="8696" xr:uid="{89C30BD3-9EB4-4C13-9984-49DA2A35A697}"/>
    <cellStyle name="Normal 2 5 4 2 12 2" xfId="18644" xr:uid="{9ECC1A8B-4E64-48AF-91FA-7398D47FD64E}"/>
    <cellStyle name="Normal 2 5 4 2 13" xfId="9525" xr:uid="{26BB2868-252A-4843-A5B8-9EBAF745BF90}"/>
    <cellStyle name="Normal 2 5 4 2 13 2" xfId="19473" xr:uid="{F38A8CD1-7483-4422-B857-436E1723C34E}"/>
    <cellStyle name="Normal 2 5 4 2 14" xfId="10354" xr:uid="{7D5E9AC8-D5E0-4F15-B26F-DCBDDA1FE4A9}"/>
    <cellStyle name="Normal 2 5 4 2 14 2" xfId="20302" xr:uid="{AB11B65E-7C36-4FE1-A854-1D1A730AF5FB}"/>
    <cellStyle name="Normal 2 5 4 2 15" xfId="1235" xr:uid="{144A9E3C-9177-4DBE-8F37-4136383F42D8}"/>
    <cellStyle name="Normal 2 5 4 2 16" xfId="11183" xr:uid="{DC3545D0-D61F-4E5B-A7F6-50E2697CDB46}"/>
    <cellStyle name="Normal 2 5 4 2 2" xfId="323" xr:uid="{00000000-0005-0000-0000-00002E020000}"/>
    <cellStyle name="Normal 2 5 4 2 2 10" xfId="7868" xr:uid="{E564FCF7-0EC0-4DC9-BFBE-BD890BF8E294}"/>
    <cellStyle name="Normal 2 5 4 2 2 10 2" xfId="17816" xr:uid="{DB2A9C8F-F892-4EA1-8E43-EA02A96277FD}"/>
    <cellStyle name="Normal 2 5 4 2 2 11" xfId="8697" xr:uid="{DE408D85-F160-43BE-9855-D53F0B18C5BA}"/>
    <cellStyle name="Normal 2 5 4 2 2 11 2" xfId="18645" xr:uid="{89B02639-FC46-4489-8D6B-CDA8A288399B}"/>
    <cellStyle name="Normal 2 5 4 2 2 12" xfId="9526" xr:uid="{1813A1CD-CCC3-4474-914F-7BC91D2A1CBE}"/>
    <cellStyle name="Normal 2 5 4 2 2 12 2" xfId="19474" xr:uid="{D802A49F-8AA2-402A-B3D7-793F0AF48941}"/>
    <cellStyle name="Normal 2 5 4 2 2 13" xfId="10355" xr:uid="{A544EAD3-862F-43F9-B45A-12BFBC058235}"/>
    <cellStyle name="Normal 2 5 4 2 2 13 2" xfId="20303" xr:uid="{0708F800-5989-49CD-8921-7A57726B6E2B}"/>
    <cellStyle name="Normal 2 5 4 2 2 14" xfId="1236" xr:uid="{DC549DB1-4219-41F8-B23C-EA3FFD7ECD6D}"/>
    <cellStyle name="Normal 2 5 4 2 2 15" xfId="11184" xr:uid="{B9ADA477-0B87-4344-B8A3-A34580D11D42}"/>
    <cellStyle name="Normal 2 5 4 2 2 2" xfId="814" xr:uid="{00000000-0005-0000-0000-00002F020000}"/>
    <cellStyle name="Normal 2 5 4 2 2 2 10" xfId="9113" xr:uid="{56BE7DE1-98CF-466A-BD23-1B70238D31AC}"/>
    <cellStyle name="Normal 2 5 4 2 2 2 10 2" xfId="19061" xr:uid="{E586D6DF-92D0-4DFA-8053-117E2C6D0C34}"/>
    <cellStyle name="Normal 2 5 4 2 2 2 11" xfId="9942" xr:uid="{11FDCB3F-F21D-469A-A92E-EBC48E636271}"/>
    <cellStyle name="Normal 2 5 4 2 2 2 11 2" xfId="19890" xr:uid="{0ADEB205-9972-420C-B077-A9E80F0B2AC1}"/>
    <cellStyle name="Normal 2 5 4 2 2 2 12" xfId="10771" xr:uid="{487E185C-3CA1-48EB-8BA7-987ADBE107F1}"/>
    <cellStyle name="Normal 2 5 4 2 2 2 12 2" xfId="20719" xr:uid="{227E1ADF-CDE1-41CD-935D-1B3A153C1518}"/>
    <cellStyle name="Normal 2 5 4 2 2 2 13" xfId="1652" xr:uid="{EDE14753-9FEC-4AB7-A1AC-6D4368A0090F}"/>
    <cellStyle name="Normal 2 5 4 2 2 2 14" xfId="11600" xr:uid="{44A0C4C1-18CB-468D-BF2A-11568375EDAF}"/>
    <cellStyle name="Normal 2 5 4 2 2 2 2" xfId="2481" xr:uid="{91FA3930-D2A0-417A-955E-CAA36FACC220}"/>
    <cellStyle name="Normal 2 5 4 2 2 2 2 2" xfId="12429" xr:uid="{13863F52-2217-4160-BDD0-BA96777981B1}"/>
    <cellStyle name="Normal 2 5 4 2 2 2 3" xfId="3310" xr:uid="{8699C31E-9219-4A8A-9EC4-AC7BF2750DF5}"/>
    <cellStyle name="Normal 2 5 4 2 2 2 3 2" xfId="13258" xr:uid="{457A4A8D-7A78-496E-9655-9E5154163CC5}"/>
    <cellStyle name="Normal 2 5 4 2 2 2 4" xfId="4139" xr:uid="{34360213-A0C2-4BAC-A039-C3E2BAD0C370}"/>
    <cellStyle name="Normal 2 5 4 2 2 2 4 2" xfId="14087" xr:uid="{BE18FDC5-1486-42C4-B48F-6DBA84130A9B}"/>
    <cellStyle name="Normal 2 5 4 2 2 2 5" xfId="4968" xr:uid="{63230D5F-66F9-4217-9FCF-FD38A778106F}"/>
    <cellStyle name="Normal 2 5 4 2 2 2 5 2" xfId="14916" xr:uid="{D6B4669F-C70F-4F3C-8F45-0E19C19F3584}"/>
    <cellStyle name="Normal 2 5 4 2 2 2 6" xfId="5797" xr:uid="{6A58A471-8ED6-4C46-9801-998E921C8799}"/>
    <cellStyle name="Normal 2 5 4 2 2 2 6 2" xfId="15745" xr:uid="{4455B49D-6FF6-40EC-A4BB-8D5AE4094414}"/>
    <cellStyle name="Normal 2 5 4 2 2 2 7" xfId="6626" xr:uid="{583CD903-5D76-4808-9737-7C0DF7D46B80}"/>
    <cellStyle name="Normal 2 5 4 2 2 2 7 2" xfId="16574" xr:uid="{832AC8E2-54BA-4561-B078-F1B7FF45A2ED}"/>
    <cellStyle name="Normal 2 5 4 2 2 2 8" xfId="7455" xr:uid="{F1731474-4186-4DB8-A55D-D386478CF725}"/>
    <cellStyle name="Normal 2 5 4 2 2 2 8 2" xfId="17403" xr:uid="{E5D59019-046F-4AAA-9E23-BF5D64ACFEF5}"/>
    <cellStyle name="Normal 2 5 4 2 2 2 9" xfId="8284" xr:uid="{8049103F-94F5-4E69-BD33-CC71A36B98D8}"/>
    <cellStyle name="Normal 2 5 4 2 2 2 9 2" xfId="18232" xr:uid="{1AE70C13-D042-4EF5-A351-28F63070D003}"/>
    <cellStyle name="Normal 2 5 4 2 2 3" xfId="2065" xr:uid="{4801F03A-9D96-4692-BD0A-DB53CEF05D6F}"/>
    <cellStyle name="Normal 2 5 4 2 2 3 2" xfId="12013" xr:uid="{62D42C67-7CAF-4941-9A84-81D9CBD77033}"/>
    <cellStyle name="Normal 2 5 4 2 2 4" xfId="2894" xr:uid="{535F667F-022B-4FF9-81C3-0AB28BFE6E25}"/>
    <cellStyle name="Normal 2 5 4 2 2 4 2" xfId="12842" xr:uid="{585406F8-3E18-4D0D-A9D8-C09E19F4096E}"/>
    <cellStyle name="Normal 2 5 4 2 2 5" xfId="3723" xr:uid="{19DE03C5-A899-49C1-979F-D87F66CBB6C3}"/>
    <cellStyle name="Normal 2 5 4 2 2 5 2" xfId="13671" xr:uid="{542E1C4D-CEE9-479E-AF5A-8433AEDEDC5E}"/>
    <cellStyle name="Normal 2 5 4 2 2 6" xfId="4552" xr:uid="{BD20ED15-3937-4010-A499-ED92486EB221}"/>
    <cellStyle name="Normal 2 5 4 2 2 6 2" xfId="14500" xr:uid="{77508933-6CF2-4F7F-B602-6BEC407F3D16}"/>
    <cellStyle name="Normal 2 5 4 2 2 7" xfId="5381" xr:uid="{06D440EB-D73C-4A58-8498-91BEF4D775ED}"/>
    <cellStyle name="Normal 2 5 4 2 2 7 2" xfId="15329" xr:uid="{517D8810-97C9-4DE2-BEBB-5CA543674ACC}"/>
    <cellStyle name="Normal 2 5 4 2 2 8" xfId="6210" xr:uid="{B4C292AA-BDF3-4FFA-8501-346D50B132DC}"/>
    <cellStyle name="Normal 2 5 4 2 2 8 2" xfId="16158" xr:uid="{3619AC09-EAED-4ACB-AFEE-E01EC690562E}"/>
    <cellStyle name="Normal 2 5 4 2 2 9" xfId="7039" xr:uid="{1F5776CD-EB83-4A2A-A48B-E402160BEF06}"/>
    <cellStyle name="Normal 2 5 4 2 2 9 2" xfId="16987" xr:uid="{B189CE46-0B91-4F8D-8F8D-EB63D9ED398B}"/>
    <cellStyle name="Normal 2 5 4 2 3" xfId="813" xr:uid="{00000000-0005-0000-0000-000030020000}"/>
    <cellStyle name="Normal 2 5 4 2 3 10" xfId="9112" xr:uid="{77C3B6BF-829F-442F-8FDA-4DE82A60C976}"/>
    <cellStyle name="Normal 2 5 4 2 3 10 2" xfId="19060" xr:uid="{CD7A76C9-E9DC-43BC-A42B-3B36A96A1089}"/>
    <cellStyle name="Normal 2 5 4 2 3 11" xfId="9941" xr:uid="{D9430FB5-189F-49AA-B669-726FC567CCFC}"/>
    <cellStyle name="Normal 2 5 4 2 3 11 2" xfId="19889" xr:uid="{16542E6E-FA12-4956-B699-3473AC3FBD38}"/>
    <cellStyle name="Normal 2 5 4 2 3 12" xfId="10770" xr:uid="{38670054-16CA-494A-9D48-455BED1A3BBC}"/>
    <cellStyle name="Normal 2 5 4 2 3 12 2" xfId="20718" xr:uid="{1B0CC8C0-3771-43BF-96A0-88C0656E8A3B}"/>
    <cellStyle name="Normal 2 5 4 2 3 13" xfId="1651" xr:uid="{3BC80DC7-4E9D-4BB4-9F00-B5874F037AB3}"/>
    <cellStyle name="Normal 2 5 4 2 3 14" xfId="11599" xr:uid="{F1CBDF03-5DE7-4FEB-83C0-3A849A0FE162}"/>
    <cellStyle name="Normal 2 5 4 2 3 2" xfId="2480" xr:uid="{F9A8BD88-A21D-4C7C-8CDE-33B80A8EF733}"/>
    <cellStyle name="Normal 2 5 4 2 3 2 2" xfId="12428" xr:uid="{52C807F2-A9AA-41D5-9698-918B840CA59E}"/>
    <cellStyle name="Normal 2 5 4 2 3 3" xfId="3309" xr:uid="{AD1C5862-5D57-42B2-BC76-9543051AF27A}"/>
    <cellStyle name="Normal 2 5 4 2 3 3 2" xfId="13257" xr:uid="{40DBC892-9653-4867-A295-0FEEFCFDB98A}"/>
    <cellStyle name="Normal 2 5 4 2 3 4" xfId="4138" xr:uid="{74D53946-6DEE-4C8E-8174-80630D06A0D4}"/>
    <cellStyle name="Normal 2 5 4 2 3 4 2" xfId="14086" xr:uid="{B601286B-BEB5-4076-9BC4-2EDA4258653A}"/>
    <cellStyle name="Normal 2 5 4 2 3 5" xfId="4967" xr:uid="{4E016C26-E8D1-4EAA-9125-B869D30B9DE8}"/>
    <cellStyle name="Normal 2 5 4 2 3 5 2" xfId="14915" xr:uid="{F20359CF-59E8-49E3-8384-74ADECFF7099}"/>
    <cellStyle name="Normal 2 5 4 2 3 6" xfId="5796" xr:uid="{6DABB62B-F93A-45D3-998F-B629C874E1BD}"/>
    <cellStyle name="Normal 2 5 4 2 3 6 2" xfId="15744" xr:uid="{1A23B91A-49AE-4CF1-9E79-D843DA4D3C6E}"/>
    <cellStyle name="Normal 2 5 4 2 3 7" xfId="6625" xr:uid="{BDBFDAF5-0A25-4075-B92B-F6D0EAA9D967}"/>
    <cellStyle name="Normal 2 5 4 2 3 7 2" xfId="16573" xr:uid="{9CDA5B4F-26C4-45F3-BE66-4B59A7C2EA78}"/>
    <cellStyle name="Normal 2 5 4 2 3 8" xfId="7454" xr:uid="{9A33EBAC-EBDB-4DBF-9795-7C71B3255DF0}"/>
    <cellStyle name="Normal 2 5 4 2 3 8 2" xfId="17402" xr:uid="{42FD79CF-6440-4BC4-B0A8-097243F17A6A}"/>
    <cellStyle name="Normal 2 5 4 2 3 9" xfId="8283" xr:uid="{6A4E9412-9D2B-4C26-9626-1D5FB211516D}"/>
    <cellStyle name="Normal 2 5 4 2 3 9 2" xfId="18231" xr:uid="{846D39A1-1988-4181-BE2A-BC6214B65F6F}"/>
    <cellStyle name="Normal 2 5 4 2 4" xfId="2064" xr:uid="{AEBA0920-5AAE-495B-B71D-736BBFE05593}"/>
    <cellStyle name="Normal 2 5 4 2 4 2" xfId="12012" xr:uid="{F7A24849-6A08-4F3C-863A-520D54CA8AD1}"/>
    <cellStyle name="Normal 2 5 4 2 5" xfId="2893" xr:uid="{34B3779C-8DB5-4DBB-92CF-B3840800D77B}"/>
    <cellStyle name="Normal 2 5 4 2 5 2" xfId="12841" xr:uid="{B45DDE7F-8226-4403-A75A-5281B36C364B}"/>
    <cellStyle name="Normal 2 5 4 2 6" xfId="3722" xr:uid="{56131153-F273-4BF0-8B4A-B822A9E165C3}"/>
    <cellStyle name="Normal 2 5 4 2 6 2" xfId="13670" xr:uid="{D4C30A50-8180-45F3-9FC6-6ACDE29B11F5}"/>
    <cellStyle name="Normal 2 5 4 2 7" xfId="4551" xr:uid="{EF5BE72A-FBC0-477E-B0E7-6E42D54A0A74}"/>
    <cellStyle name="Normal 2 5 4 2 7 2" xfId="14499" xr:uid="{0B2D0DD1-99C8-4320-A729-3EB994CF763A}"/>
    <cellStyle name="Normal 2 5 4 2 8" xfId="5380" xr:uid="{D8285BB2-E76A-4AEA-8C76-7276A3A481B3}"/>
    <cellStyle name="Normal 2 5 4 2 8 2" xfId="15328" xr:uid="{7162E4FB-79A7-4399-924C-D2B3CF548C2B}"/>
    <cellStyle name="Normal 2 5 4 2 9" xfId="6209" xr:uid="{2D9D9A6B-CE8C-4F1F-B5B2-69532A2A935D}"/>
    <cellStyle name="Normal 2 5 4 2 9 2" xfId="16157" xr:uid="{32363F7B-AA09-40B7-A513-B80984BC257A}"/>
    <cellStyle name="Normal 2 5 4 3" xfId="324" xr:uid="{00000000-0005-0000-0000-000031020000}"/>
    <cellStyle name="Normal 2 5 4 3 10" xfId="7869" xr:uid="{98A7AC7F-71A8-487D-A2E5-27D5802D6067}"/>
    <cellStyle name="Normal 2 5 4 3 10 2" xfId="17817" xr:uid="{4F20E24D-CF21-4F0F-86B0-1394B237B588}"/>
    <cellStyle name="Normal 2 5 4 3 11" xfId="8698" xr:uid="{D5ABB7CD-A1A2-49DF-8D83-E122B77DC507}"/>
    <cellStyle name="Normal 2 5 4 3 11 2" xfId="18646" xr:uid="{C3A6A0AA-0BBF-4715-8F29-CEBA95670F89}"/>
    <cellStyle name="Normal 2 5 4 3 12" xfId="9527" xr:uid="{EF1C797A-DE2F-4BAC-812E-79097965306B}"/>
    <cellStyle name="Normal 2 5 4 3 12 2" xfId="19475" xr:uid="{A997F253-3B56-4CB3-A5EC-306BF470F812}"/>
    <cellStyle name="Normal 2 5 4 3 13" xfId="10356" xr:uid="{7ED90F25-79B5-4C9F-B270-475A57C78524}"/>
    <cellStyle name="Normal 2 5 4 3 13 2" xfId="20304" xr:uid="{C6AE624E-9FDE-4DD3-9E31-604823930E83}"/>
    <cellStyle name="Normal 2 5 4 3 14" xfId="1237" xr:uid="{1A17A32B-FAF8-4D56-A87E-36F8BB552221}"/>
    <cellStyle name="Normal 2 5 4 3 15" xfId="11185" xr:uid="{81E9CE26-B43D-4328-B574-7D3523822D0F}"/>
    <cellStyle name="Normal 2 5 4 3 2" xfId="815" xr:uid="{00000000-0005-0000-0000-000032020000}"/>
    <cellStyle name="Normal 2 5 4 3 2 10" xfId="9114" xr:uid="{1ECF7ADC-5F00-4D40-ABBC-888F5E59B3BC}"/>
    <cellStyle name="Normal 2 5 4 3 2 10 2" xfId="19062" xr:uid="{B5076120-BD51-41E4-A908-8EB2BC781374}"/>
    <cellStyle name="Normal 2 5 4 3 2 11" xfId="9943" xr:uid="{F83B93AC-9C61-439B-AB84-2BCE69AB59DB}"/>
    <cellStyle name="Normal 2 5 4 3 2 11 2" xfId="19891" xr:uid="{DED00DEC-C4ED-4B13-8750-980A8E1F7863}"/>
    <cellStyle name="Normal 2 5 4 3 2 12" xfId="10772" xr:uid="{0CC5170D-E5F5-4E1E-A220-099990C43336}"/>
    <cellStyle name="Normal 2 5 4 3 2 12 2" xfId="20720" xr:uid="{31483F05-9DFE-40B9-9AD5-275578547069}"/>
    <cellStyle name="Normal 2 5 4 3 2 13" xfId="1653" xr:uid="{ECA849FF-1D03-49C0-8564-32E720F66972}"/>
    <cellStyle name="Normal 2 5 4 3 2 14" xfId="11601" xr:uid="{48CC3F10-E740-42A8-92C7-11EB837D9E93}"/>
    <cellStyle name="Normal 2 5 4 3 2 2" xfId="2482" xr:uid="{B2727C91-F7BC-4522-B82E-DD2A01B4662D}"/>
    <cellStyle name="Normal 2 5 4 3 2 2 2" xfId="12430" xr:uid="{37419A97-8E85-4C92-AEEB-CF7494084321}"/>
    <cellStyle name="Normal 2 5 4 3 2 3" xfId="3311" xr:uid="{631FA361-B5BD-42CF-A81B-C47C0FF15B66}"/>
    <cellStyle name="Normal 2 5 4 3 2 3 2" xfId="13259" xr:uid="{CA6B14A2-BAAF-497D-8EB8-32B55F695182}"/>
    <cellStyle name="Normal 2 5 4 3 2 4" xfId="4140" xr:uid="{C31EA4B8-5702-4BA2-A92C-8C556A05DCE1}"/>
    <cellStyle name="Normal 2 5 4 3 2 4 2" xfId="14088" xr:uid="{2551CED1-8536-4118-A2FC-5E96C2992E15}"/>
    <cellStyle name="Normal 2 5 4 3 2 5" xfId="4969" xr:uid="{2AC25F99-AC2C-494C-8BB0-2BAC07395ED0}"/>
    <cellStyle name="Normal 2 5 4 3 2 5 2" xfId="14917" xr:uid="{B36FA419-729E-4076-9767-AA6D89850BA2}"/>
    <cellStyle name="Normal 2 5 4 3 2 6" xfId="5798" xr:uid="{8B419796-B5B3-4391-B9E7-0CA9839E9A10}"/>
    <cellStyle name="Normal 2 5 4 3 2 6 2" xfId="15746" xr:uid="{1C8BAEE5-A7F5-4133-9F76-31D8E28AD8C3}"/>
    <cellStyle name="Normal 2 5 4 3 2 7" xfId="6627" xr:uid="{0514EE3D-87E9-4268-B30B-98211181B2C4}"/>
    <cellStyle name="Normal 2 5 4 3 2 7 2" xfId="16575" xr:uid="{0F2AF472-9420-48EF-B2C6-F8C1045A858E}"/>
    <cellStyle name="Normal 2 5 4 3 2 8" xfId="7456" xr:uid="{D3EEACA5-9F74-42A0-9BAF-4D284E8D2F56}"/>
    <cellStyle name="Normal 2 5 4 3 2 8 2" xfId="17404" xr:uid="{C9192D63-79D6-49C9-A1EA-847CE1663ACC}"/>
    <cellStyle name="Normal 2 5 4 3 2 9" xfId="8285" xr:uid="{3CE4E555-E2B1-4671-A8E5-51316A711F8F}"/>
    <cellStyle name="Normal 2 5 4 3 2 9 2" xfId="18233" xr:uid="{2ED329D3-C7FB-41BF-890E-55AC05071C6B}"/>
    <cellStyle name="Normal 2 5 4 3 3" xfId="2066" xr:uid="{E1E19394-0AE7-4E02-8E0A-B880BC9BCD3C}"/>
    <cellStyle name="Normal 2 5 4 3 3 2" xfId="12014" xr:uid="{132808B8-A379-4B28-86D6-286D00668A4F}"/>
    <cellStyle name="Normal 2 5 4 3 4" xfId="2895" xr:uid="{353F1132-1D0B-4192-BF07-C3BF179491F3}"/>
    <cellStyle name="Normal 2 5 4 3 4 2" xfId="12843" xr:uid="{88DD5FD1-D4EF-436B-BF9F-594D4641FB87}"/>
    <cellStyle name="Normal 2 5 4 3 5" xfId="3724" xr:uid="{E98148DD-6F5B-4E6D-B127-2CAF9EA3E072}"/>
    <cellStyle name="Normal 2 5 4 3 5 2" xfId="13672" xr:uid="{E96D8FE8-C4E5-4E13-B700-B23E5372A498}"/>
    <cellStyle name="Normal 2 5 4 3 6" xfId="4553" xr:uid="{3804AC4B-33B4-45CD-BD69-17A026ADAA7C}"/>
    <cellStyle name="Normal 2 5 4 3 6 2" xfId="14501" xr:uid="{A7F1204A-83A6-409F-B0EA-8E4482175100}"/>
    <cellStyle name="Normal 2 5 4 3 7" xfId="5382" xr:uid="{204A3035-76C1-435C-90FF-F9ECDF6C1A9B}"/>
    <cellStyle name="Normal 2 5 4 3 7 2" xfId="15330" xr:uid="{A37E62E0-6BA2-40B8-B15F-11C84386ECC5}"/>
    <cellStyle name="Normal 2 5 4 3 8" xfId="6211" xr:uid="{44879A34-31B0-4A1E-BF16-DDA8F2B5E6E6}"/>
    <cellStyle name="Normal 2 5 4 3 8 2" xfId="16159" xr:uid="{A0155713-6927-44EE-972C-127C09D36905}"/>
    <cellStyle name="Normal 2 5 4 3 9" xfId="7040" xr:uid="{2A82ADAC-9341-470F-A7FE-ED5DC8DCAC3A}"/>
    <cellStyle name="Normal 2 5 4 3 9 2" xfId="16988" xr:uid="{C0B32C24-900E-40F7-A881-9FB3D0DA2DFA}"/>
    <cellStyle name="Normal 2 5 4 4" xfId="812" xr:uid="{00000000-0005-0000-0000-000033020000}"/>
    <cellStyle name="Normal 2 5 4 4 10" xfId="9111" xr:uid="{3E04F875-4104-4D8E-BD84-F4930E69C9F2}"/>
    <cellStyle name="Normal 2 5 4 4 10 2" xfId="19059" xr:uid="{6C5374E8-92D8-44CE-A210-52FFCBD10564}"/>
    <cellStyle name="Normal 2 5 4 4 11" xfId="9940" xr:uid="{5F89380D-F51B-4AFC-8F38-27554D66C053}"/>
    <cellStyle name="Normal 2 5 4 4 11 2" xfId="19888" xr:uid="{22ADF867-E6D1-413D-BDF5-92D347E69F68}"/>
    <cellStyle name="Normal 2 5 4 4 12" xfId="10769" xr:uid="{3F99D105-EC78-4F09-8F03-86A1B34F8186}"/>
    <cellStyle name="Normal 2 5 4 4 12 2" xfId="20717" xr:uid="{C5FDB01B-5549-4807-8573-043859775E37}"/>
    <cellStyle name="Normal 2 5 4 4 13" xfId="1650" xr:uid="{5A86DA95-F7A1-488B-9B34-54F413347F5E}"/>
    <cellStyle name="Normal 2 5 4 4 14" xfId="11598" xr:uid="{4B6183C1-95AD-49F3-8D23-5D121066B910}"/>
    <cellStyle name="Normal 2 5 4 4 2" xfId="2479" xr:uid="{9BF85B92-2F04-4648-B9B9-FC398238831B}"/>
    <cellStyle name="Normal 2 5 4 4 2 2" xfId="12427" xr:uid="{02B446C2-D802-4601-AC6A-E4C4E88B9D01}"/>
    <cellStyle name="Normal 2 5 4 4 3" xfId="3308" xr:uid="{CEFD6015-28DA-42C8-B713-6E03A00F4DBB}"/>
    <cellStyle name="Normal 2 5 4 4 3 2" xfId="13256" xr:uid="{65CA0073-7CDA-4DD6-BD94-1A3635E3C6A5}"/>
    <cellStyle name="Normal 2 5 4 4 4" xfId="4137" xr:uid="{0EEA01E2-1299-43B9-8477-4E6F6A1DDD2A}"/>
    <cellStyle name="Normal 2 5 4 4 4 2" xfId="14085" xr:uid="{0F88D069-AAF8-4239-82A0-1E96C8C05C9C}"/>
    <cellStyle name="Normal 2 5 4 4 5" xfId="4966" xr:uid="{5C71B693-6953-46E7-BE5D-97AAB441069A}"/>
    <cellStyle name="Normal 2 5 4 4 5 2" xfId="14914" xr:uid="{CC73361C-773C-4DE7-9E7A-CE932DF2B39D}"/>
    <cellStyle name="Normal 2 5 4 4 6" xfId="5795" xr:uid="{AFBF34F7-F61D-4FA6-BF2C-5791AF43E42A}"/>
    <cellStyle name="Normal 2 5 4 4 6 2" xfId="15743" xr:uid="{00ECECEE-0E99-4918-A0FE-9D779585900A}"/>
    <cellStyle name="Normal 2 5 4 4 7" xfId="6624" xr:uid="{D40A9037-AA20-4956-A9D1-FF8414D047CD}"/>
    <cellStyle name="Normal 2 5 4 4 7 2" xfId="16572" xr:uid="{AF9ACE0C-93AF-4C1F-BC45-EEDDA2914396}"/>
    <cellStyle name="Normal 2 5 4 4 8" xfId="7453" xr:uid="{20AC3E42-45C1-4C8A-9651-EDC38AF59BA6}"/>
    <cellStyle name="Normal 2 5 4 4 8 2" xfId="17401" xr:uid="{C58FE637-BABA-4416-AFE7-3134653E533F}"/>
    <cellStyle name="Normal 2 5 4 4 9" xfId="8282" xr:uid="{A220ED70-B5C8-4AE0-B5B2-CB5E94DFBC3B}"/>
    <cellStyle name="Normal 2 5 4 4 9 2" xfId="18230" xr:uid="{3DF06B29-7B7D-4078-B50D-777DFF4BD4D4}"/>
    <cellStyle name="Normal 2 5 4 5" xfId="2063" xr:uid="{653A48E6-F3D8-419C-983D-944107CFCF90}"/>
    <cellStyle name="Normal 2 5 4 5 2" xfId="12011" xr:uid="{DB20BBDC-9108-455E-97A4-4484E12200F6}"/>
    <cellStyle name="Normal 2 5 4 6" xfId="2892" xr:uid="{C6076B34-7D40-46BF-A196-A9E5408204C1}"/>
    <cellStyle name="Normal 2 5 4 6 2" xfId="12840" xr:uid="{634D5E19-8838-4898-8BA8-3BD5C28A7955}"/>
    <cellStyle name="Normal 2 5 4 7" xfId="3721" xr:uid="{4ADD2920-A196-49A6-B50C-A9CAA37E3387}"/>
    <cellStyle name="Normal 2 5 4 7 2" xfId="13669" xr:uid="{3FCCC5A8-B0E4-4B59-85BB-63A31AD8B316}"/>
    <cellStyle name="Normal 2 5 4 8" xfId="4550" xr:uid="{7846996D-2AB7-41F9-BBFB-577979A4F185}"/>
    <cellStyle name="Normal 2 5 4 8 2" xfId="14498" xr:uid="{50FBD42C-D739-44AC-B517-3D5F81C53B31}"/>
    <cellStyle name="Normal 2 5 4 9" xfId="5379" xr:uid="{09F4B38B-E184-4C24-AD53-76F029AC4A30}"/>
    <cellStyle name="Normal 2 5 4 9 2" xfId="15327" xr:uid="{A6DC679B-DB09-4DAB-93C4-A0B335103EB9}"/>
    <cellStyle name="Normal 2 5 5" xfId="811" xr:uid="{00000000-0005-0000-0000-000034020000}"/>
    <cellStyle name="Normal 2 5 5 10" xfId="9110" xr:uid="{49FA59BB-2023-4114-9449-1F233BB0E8E7}"/>
    <cellStyle name="Normal 2 5 5 10 2" xfId="19058" xr:uid="{C0B99D7C-E401-4E6C-9A5A-7E63E4991A3D}"/>
    <cellStyle name="Normal 2 5 5 11" xfId="9939" xr:uid="{20C85A7B-6F3B-441B-BC14-D530CD52FA35}"/>
    <cellStyle name="Normal 2 5 5 11 2" xfId="19887" xr:uid="{46DC2FBF-F350-4772-BAF6-B37172C6AF77}"/>
    <cellStyle name="Normal 2 5 5 12" xfId="10768" xr:uid="{DC2485D7-3DEA-4971-85C6-C05CC4DD25EC}"/>
    <cellStyle name="Normal 2 5 5 12 2" xfId="20716" xr:uid="{423260A2-8426-4B3E-AEAB-6E448528F66C}"/>
    <cellStyle name="Normal 2 5 5 13" xfId="1649" xr:uid="{80BE90B3-CE69-4BA4-8989-522946A08FBF}"/>
    <cellStyle name="Normal 2 5 5 14" xfId="11597" xr:uid="{51DCFB3B-5CD6-44DB-B055-E1A3900B93BD}"/>
    <cellStyle name="Normal 2 5 5 2" xfId="2478" xr:uid="{BAA9EA28-7463-48D2-B600-ECDE2F4505A5}"/>
    <cellStyle name="Normal 2 5 5 2 2" xfId="12426" xr:uid="{A1A3BCE8-7BEC-43FF-A122-F9EBF50134B6}"/>
    <cellStyle name="Normal 2 5 5 3" xfId="3307" xr:uid="{9C994BC0-F3AD-4F0F-8F94-45ED90EED9E6}"/>
    <cellStyle name="Normal 2 5 5 3 2" xfId="13255" xr:uid="{D310F4FA-A8C8-461E-A894-4AA6C006EBD1}"/>
    <cellStyle name="Normal 2 5 5 4" xfId="4136" xr:uid="{C1A416F6-C8AF-4E14-B2D6-67C14F7B2F44}"/>
    <cellStyle name="Normal 2 5 5 4 2" xfId="14084" xr:uid="{746DD7DD-D69B-428A-A319-FA645671DCDE}"/>
    <cellStyle name="Normal 2 5 5 5" xfId="4965" xr:uid="{380E4083-37E3-4505-9AC7-A405398440C4}"/>
    <cellStyle name="Normal 2 5 5 5 2" xfId="14913" xr:uid="{122440C0-725D-4D8F-B44C-C062908B0BD9}"/>
    <cellStyle name="Normal 2 5 5 6" xfId="5794" xr:uid="{C871B538-9940-4395-B3EE-A5489372FB4D}"/>
    <cellStyle name="Normal 2 5 5 6 2" xfId="15742" xr:uid="{E191B29B-A83C-4769-87EB-2D6943022106}"/>
    <cellStyle name="Normal 2 5 5 7" xfId="6623" xr:uid="{B002440C-C039-4859-A073-36FFDC832BDE}"/>
    <cellStyle name="Normal 2 5 5 7 2" xfId="16571" xr:uid="{C55DBD0C-2BB3-4158-9589-33DA5DAA7B49}"/>
    <cellStyle name="Normal 2 5 5 8" xfId="7452" xr:uid="{F1C72903-21F4-4A01-A5CD-AAC01B3B3577}"/>
    <cellStyle name="Normal 2 5 5 8 2" xfId="17400" xr:uid="{8EC15890-07CD-4532-91BC-293E3675DDC8}"/>
    <cellStyle name="Normal 2 5 5 9" xfId="8281" xr:uid="{983B1447-0B44-4FD7-8B9F-2064021AA6C2}"/>
    <cellStyle name="Normal 2 5 5 9 2" xfId="18229" xr:uid="{3149A838-9A33-46D9-B0C0-B5E801284DFC}"/>
    <cellStyle name="Normal 2 5 6" xfId="2062" xr:uid="{CC66E6D7-978E-42FF-9DD7-E5B9E5D77D3C}"/>
    <cellStyle name="Normal 2 5 6 2" xfId="12010" xr:uid="{AAC5DCAF-323C-4D9A-B20F-C1A5E4AC1C6A}"/>
    <cellStyle name="Normal 2 5 7" xfId="2891" xr:uid="{A0F202C8-051B-424E-9DE1-D72901A2D5EF}"/>
    <cellStyle name="Normal 2 5 7 2" xfId="12839" xr:uid="{4B43CA9D-A1F4-4E85-9F82-FBC0C1D99BDE}"/>
    <cellStyle name="Normal 2 5 8" xfId="3720" xr:uid="{3ABC58B8-0089-427B-969F-5A83A4DEEBE5}"/>
    <cellStyle name="Normal 2 5 8 2" xfId="13668" xr:uid="{5DE2DE36-C707-4682-9290-90BFC35CA59C}"/>
    <cellStyle name="Normal 2 5 9" xfId="4549" xr:uid="{8C0DA00C-4456-4C34-BBD3-283A6DFAEF99}"/>
    <cellStyle name="Normal 2 5 9 2" xfId="14497" xr:uid="{210ECF7F-CDEF-4B7D-A1A1-F4D7D185A211}"/>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10" xfId="6212" xr:uid="{6E0C69BD-0567-4102-BDFA-E42431C0A73D}"/>
    <cellStyle name="Normal 3 2 10 2" xfId="16160" xr:uid="{651B456F-8981-4DA9-982B-92F84E7ED308}"/>
    <cellStyle name="Normal 3 2 11" xfId="7041" xr:uid="{E70B77E0-4485-4A02-883B-ECD1B6C05D33}"/>
    <cellStyle name="Normal 3 2 11 2" xfId="16989" xr:uid="{D94931FF-62E1-44F3-A532-4C5DD8AB43AF}"/>
    <cellStyle name="Normal 3 2 12" xfId="7870" xr:uid="{D52814C1-C8E9-4D4E-BD72-AEA68B213ECD}"/>
    <cellStyle name="Normal 3 2 12 2" xfId="17818" xr:uid="{475C23FD-3C17-4039-B293-FD0885671A91}"/>
    <cellStyle name="Normal 3 2 13" xfId="8699" xr:uid="{68300B4E-915A-4631-B26D-8761A4945E65}"/>
    <cellStyle name="Normal 3 2 13 2" xfId="18647" xr:uid="{D9BD8F2A-58B0-45FB-B2C6-895789A02D3C}"/>
    <cellStyle name="Normal 3 2 14" xfId="9528" xr:uid="{8C4AFCC4-F027-4473-837B-0ED01CD42AFB}"/>
    <cellStyle name="Normal 3 2 14 2" xfId="19476" xr:uid="{A1E000E8-736F-4000-A55C-C03A3D2BBAF2}"/>
    <cellStyle name="Normal 3 2 15" xfId="10357" xr:uid="{E9F69556-6DDF-49DF-854B-7DE6C391D27B}"/>
    <cellStyle name="Normal 3 2 15 2" xfId="20305" xr:uid="{2867FB34-C79F-41D2-BDBD-227F0E096544}"/>
    <cellStyle name="Normal 3 2 16" xfId="1238" xr:uid="{ECE0AF9C-D85A-4173-807F-5BE0AF9B530D}"/>
    <cellStyle name="Normal 3 2 17" xfId="11186" xr:uid="{5D302F3F-3C17-4E71-BBAD-00A5C23E0E7B}"/>
    <cellStyle name="Normal 3 2 2" xfId="328" xr:uid="{00000000-0005-0000-0000-000039020000}"/>
    <cellStyle name="Normal 3 2 2 2" xfId="818" xr:uid="{00000000-0005-0000-0000-00003A020000}"/>
    <cellStyle name="Normal 3 2 3" xfId="329" xr:uid="{00000000-0005-0000-0000-00003B020000}"/>
    <cellStyle name="Normal 3 2 3 10" xfId="6213" xr:uid="{94138021-7D0F-4986-8411-FB87250E7C0A}"/>
    <cellStyle name="Normal 3 2 3 10 2" xfId="16161" xr:uid="{487283AB-A02D-4845-B741-005C498531A0}"/>
    <cellStyle name="Normal 3 2 3 11" xfId="7042" xr:uid="{31AA1491-2C11-480C-83DF-200211815537}"/>
    <cellStyle name="Normal 3 2 3 11 2" xfId="16990" xr:uid="{DAB4A47C-28FD-4D36-8E59-1B94CA36D056}"/>
    <cellStyle name="Normal 3 2 3 12" xfId="7871" xr:uid="{F3B61354-203F-466A-98BE-DB979A979AB8}"/>
    <cellStyle name="Normal 3 2 3 12 2" xfId="17819" xr:uid="{C367D618-44CB-447A-8420-CDE833B5768F}"/>
    <cellStyle name="Normal 3 2 3 13" xfId="8700" xr:uid="{F21464D8-473A-447F-8C7E-87B900B8224D}"/>
    <cellStyle name="Normal 3 2 3 13 2" xfId="18648" xr:uid="{C89FA01F-43BA-4F28-8C3C-1D133F31D1AB}"/>
    <cellStyle name="Normal 3 2 3 14" xfId="9529" xr:uid="{70CF9991-7568-4A05-BB60-4EB593D098B1}"/>
    <cellStyle name="Normal 3 2 3 14 2" xfId="19477" xr:uid="{C684ECDD-F3B9-4F4E-965A-E721A8F4EE28}"/>
    <cellStyle name="Normal 3 2 3 15" xfId="10358" xr:uid="{1DB7014D-60D7-4F41-AE8B-0F27F8F3725B}"/>
    <cellStyle name="Normal 3 2 3 15 2" xfId="20306" xr:uid="{A028ADA3-4BB2-443F-8EA5-F85096895A23}"/>
    <cellStyle name="Normal 3 2 3 16" xfId="1239" xr:uid="{B0547B75-7D4C-496E-8BEB-9797DD798D70}"/>
    <cellStyle name="Normal 3 2 3 17" xfId="11187" xr:uid="{5E95A76A-DCEA-48D3-A1C9-AD2FCEC06E21}"/>
    <cellStyle name="Normal 3 2 3 2" xfId="330" xr:uid="{00000000-0005-0000-0000-00003C020000}"/>
    <cellStyle name="Normal 3 2 3 2 10" xfId="7043" xr:uid="{7AC893BC-C7DF-4B89-A87F-6014C4EF7078}"/>
    <cellStyle name="Normal 3 2 3 2 10 2" xfId="16991" xr:uid="{E99CEF48-C7C0-40D4-95C9-E2EA63FB43FC}"/>
    <cellStyle name="Normal 3 2 3 2 11" xfId="7872" xr:uid="{CBA13B7C-6D88-420B-8579-068BA53CD9BD}"/>
    <cellStyle name="Normal 3 2 3 2 11 2" xfId="17820" xr:uid="{8D111C49-3DA6-437B-960F-4B243EFAA3F2}"/>
    <cellStyle name="Normal 3 2 3 2 12" xfId="8701" xr:uid="{D6C70FDB-8CCD-41C8-9D6D-B6CBBC523ADF}"/>
    <cellStyle name="Normal 3 2 3 2 12 2" xfId="18649" xr:uid="{09E59A13-F8C7-4776-8D2A-94ABC1349FB2}"/>
    <cellStyle name="Normal 3 2 3 2 13" xfId="9530" xr:uid="{5808E5AA-1A0A-4558-9022-41DEE7425295}"/>
    <cellStyle name="Normal 3 2 3 2 13 2" xfId="19478" xr:uid="{E67D4D1F-DA1D-4A9C-B694-F0EC0EDC0ED3}"/>
    <cellStyle name="Normal 3 2 3 2 14" xfId="10359" xr:uid="{2A98773C-499D-4DF4-9527-CE87B227C74A}"/>
    <cellStyle name="Normal 3 2 3 2 14 2" xfId="20307" xr:uid="{6213F2D1-6E7F-41B7-8DAB-B56564D8B238}"/>
    <cellStyle name="Normal 3 2 3 2 15" xfId="1240" xr:uid="{028EF09B-B619-4760-8216-5D45591C086D}"/>
    <cellStyle name="Normal 3 2 3 2 16" xfId="11188" xr:uid="{4A6CD9A3-0122-4AE2-A792-93A863CF3AE7}"/>
    <cellStyle name="Normal 3 2 3 2 2" xfId="331" xr:uid="{00000000-0005-0000-0000-00003D020000}"/>
    <cellStyle name="Normal 3 2 3 2 2 10" xfId="7873" xr:uid="{C7871E8E-AAE1-4C72-BE49-2D97E444C783}"/>
    <cellStyle name="Normal 3 2 3 2 2 10 2" xfId="17821" xr:uid="{4D3E3FB5-C697-4020-B10F-86034667293F}"/>
    <cellStyle name="Normal 3 2 3 2 2 11" xfId="8702" xr:uid="{6DA61B5E-A916-4BC8-8686-81945BBE65BF}"/>
    <cellStyle name="Normal 3 2 3 2 2 11 2" xfId="18650" xr:uid="{CB1D167F-CD2C-42BA-B7B5-6DA3DCFA1E00}"/>
    <cellStyle name="Normal 3 2 3 2 2 12" xfId="9531" xr:uid="{467257BA-D567-4001-BD6F-D1173A9F87BA}"/>
    <cellStyle name="Normal 3 2 3 2 2 12 2" xfId="19479" xr:uid="{853DD41B-2448-48EB-B16C-80BE921C794B}"/>
    <cellStyle name="Normal 3 2 3 2 2 13" xfId="10360" xr:uid="{414BB828-292D-4A95-B85D-CB7EBF55171B}"/>
    <cellStyle name="Normal 3 2 3 2 2 13 2" xfId="20308" xr:uid="{91994C44-956C-4562-BC40-5EDBF4B0CDD5}"/>
    <cellStyle name="Normal 3 2 3 2 2 14" xfId="1241" xr:uid="{95AA14EE-98D3-426E-998A-B8DC7C990691}"/>
    <cellStyle name="Normal 3 2 3 2 2 15" xfId="11189" xr:uid="{21CA29BF-D57F-4C32-BE08-1B8A94AD444E}"/>
    <cellStyle name="Normal 3 2 3 2 2 2" xfId="821" xr:uid="{00000000-0005-0000-0000-00003E020000}"/>
    <cellStyle name="Normal 3 2 3 2 2 2 10" xfId="9118" xr:uid="{EB8B59EF-2C9C-4DDD-A648-3537F8A3051A}"/>
    <cellStyle name="Normal 3 2 3 2 2 2 10 2" xfId="19066" xr:uid="{D525FF64-698E-4466-B654-66C16781F788}"/>
    <cellStyle name="Normal 3 2 3 2 2 2 11" xfId="9947" xr:uid="{9FD85FFA-D43C-47E9-B4AB-BA6D6D00A127}"/>
    <cellStyle name="Normal 3 2 3 2 2 2 11 2" xfId="19895" xr:uid="{6A0F8CD0-8B52-4FF0-9B0B-F200F316627B}"/>
    <cellStyle name="Normal 3 2 3 2 2 2 12" xfId="10776" xr:uid="{D3FD9947-6E80-4A07-B965-797F7429AE83}"/>
    <cellStyle name="Normal 3 2 3 2 2 2 12 2" xfId="20724" xr:uid="{69E6FCEA-925A-464E-9C47-994C218CFB47}"/>
    <cellStyle name="Normal 3 2 3 2 2 2 13" xfId="1657" xr:uid="{797EF81D-D3D1-4AFD-9E3E-BB7DAD17D165}"/>
    <cellStyle name="Normal 3 2 3 2 2 2 14" xfId="11605" xr:uid="{AB8E14AC-BB3D-472F-8576-0CE3FA9B98A1}"/>
    <cellStyle name="Normal 3 2 3 2 2 2 2" xfId="2486" xr:uid="{53C97EB7-4BAD-43FB-840A-F783DB0F3DCE}"/>
    <cellStyle name="Normal 3 2 3 2 2 2 2 2" xfId="12434" xr:uid="{456DC160-9DF0-425A-A02F-FA0086FF2278}"/>
    <cellStyle name="Normal 3 2 3 2 2 2 3" xfId="3315" xr:uid="{5AF575FA-3A48-4151-A319-04F5CBE56DB1}"/>
    <cellStyle name="Normal 3 2 3 2 2 2 3 2" xfId="13263" xr:uid="{ED417C3D-FBD4-465A-A4BD-5DFE36B34D31}"/>
    <cellStyle name="Normal 3 2 3 2 2 2 4" xfId="4144" xr:uid="{AF17AE62-0782-43C0-86CD-993B819B55AC}"/>
    <cellStyle name="Normal 3 2 3 2 2 2 4 2" xfId="14092" xr:uid="{B60F9D7E-C6F1-4FAA-B42B-D4F3202DBA85}"/>
    <cellStyle name="Normal 3 2 3 2 2 2 5" xfId="4973" xr:uid="{8D491528-5C55-4C59-8ECB-53F9A7E5DF95}"/>
    <cellStyle name="Normal 3 2 3 2 2 2 5 2" xfId="14921" xr:uid="{B00CAB61-ED09-4E08-996E-D9313AF65314}"/>
    <cellStyle name="Normal 3 2 3 2 2 2 6" xfId="5802" xr:uid="{B0AD5475-3AD2-4333-9658-372B7E351DD5}"/>
    <cellStyle name="Normal 3 2 3 2 2 2 6 2" xfId="15750" xr:uid="{9F92499D-CD64-400F-AF99-3698CF280DCA}"/>
    <cellStyle name="Normal 3 2 3 2 2 2 7" xfId="6631" xr:uid="{BB8B38C7-97C5-4C18-8B6E-42CD71870CBA}"/>
    <cellStyle name="Normal 3 2 3 2 2 2 7 2" xfId="16579" xr:uid="{9498427B-E97E-430C-A846-7AA25AAB17D3}"/>
    <cellStyle name="Normal 3 2 3 2 2 2 8" xfId="7460" xr:uid="{E389DAC7-8149-4007-BAE3-A15AF531BD07}"/>
    <cellStyle name="Normal 3 2 3 2 2 2 8 2" xfId="17408" xr:uid="{375011EA-8BF2-4EB4-A8CC-36B3F32F9146}"/>
    <cellStyle name="Normal 3 2 3 2 2 2 9" xfId="8289" xr:uid="{2AE230C1-8CCE-43AE-B427-041B29B3B99D}"/>
    <cellStyle name="Normal 3 2 3 2 2 2 9 2" xfId="18237" xr:uid="{51DA1F1B-BF1E-42B5-927A-4AE4503E62F2}"/>
    <cellStyle name="Normal 3 2 3 2 2 3" xfId="2070" xr:uid="{191AB013-D8CF-4578-8B98-04F20767FA42}"/>
    <cellStyle name="Normal 3 2 3 2 2 3 2" xfId="12018" xr:uid="{B2E5A6B7-C3C1-4B6A-9ABD-CFC8441CC94E}"/>
    <cellStyle name="Normal 3 2 3 2 2 4" xfId="2899" xr:uid="{B534E40D-DF4F-4F1F-8C9D-C0C2672E3063}"/>
    <cellStyle name="Normal 3 2 3 2 2 4 2" xfId="12847" xr:uid="{3B734F9A-9877-4410-8AB6-E6FCBF3405D1}"/>
    <cellStyle name="Normal 3 2 3 2 2 5" xfId="3728" xr:uid="{E4D83E0F-19AA-402C-8880-37B8D3C56227}"/>
    <cellStyle name="Normal 3 2 3 2 2 5 2" xfId="13676" xr:uid="{E4203F2A-70EC-4A20-AE9B-AEAAB64D2727}"/>
    <cellStyle name="Normal 3 2 3 2 2 6" xfId="4557" xr:uid="{40C32781-08AE-4D12-A68A-40462AC7D0DF}"/>
    <cellStyle name="Normal 3 2 3 2 2 6 2" xfId="14505" xr:uid="{330B0312-6B83-4B31-BECA-5FCA339CDA13}"/>
    <cellStyle name="Normal 3 2 3 2 2 7" xfId="5386" xr:uid="{FAE42023-7A04-4310-95D5-BBA6AF9DDC77}"/>
    <cellStyle name="Normal 3 2 3 2 2 7 2" xfId="15334" xr:uid="{9F414B6E-5F47-46BA-B0BD-7F786E5AEA55}"/>
    <cellStyle name="Normal 3 2 3 2 2 8" xfId="6215" xr:uid="{81B9C664-7566-4DBB-A979-5171861A199B}"/>
    <cellStyle name="Normal 3 2 3 2 2 8 2" xfId="16163" xr:uid="{493637FE-3373-44C3-B83E-141DC4260186}"/>
    <cellStyle name="Normal 3 2 3 2 2 9" xfId="7044" xr:uid="{2855DC05-B723-49E2-8698-4B6BA5720D0F}"/>
    <cellStyle name="Normal 3 2 3 2 2 9 2" xfId="16992" xr:uid="{F4EF61DC-3B65-42E0-939B-3C6534F893EE}"/>
    <cellStyle name="Normal 3 2 3 2 3" xfId="820" xr:uid="{00000000-0005-0000-0000-00003F020000}"/>
    <cellStyle name="Normal 3 2 3 2 3 10" xfId="9117" xr:uid="{630548D3-683D-4CA6-AB1C-AEF06A0B4A43}"/>
    <cellStyle name="Normal 3 2 3 2 3 10 2" xfId="19065" xr:uid="{4239FD0B-5AFD-47FB-87F4-AF5E29955EA9}"/>
    <cellStyle name="Normal 3 2 3 2 3 11" xfId="9946" xr:uid="{1A43EF86-E40E-41DB-A7E7-B0306B1B5175}"/>
    <cellStyle name="Normal 3 2 3 2 3 11 2" xfId="19894" xr:uid="{BCDFE6AF-6811-451E-B374-74B9C2444888}"/>
    <cellStyle name="Normal 3 2 3 2 3 12" xfId="10775" xr:uid="{1DD51945-6CCB-463F-9DDF-94860AFF2E34}"/>
    <cellStyle name="Normal 3 2 3 2 3 12 2" xfId="20723" xr:uid="{32A1E331-AAA9-41A1-A7E3-A00402959E02}"/>
    <cellStyle name="Normal 3 2 3 2 3 13" xfId="1656" xr:uid="{2A7A555E-51F9-41E2-A932-D9C31CBCD221}"/>
    <cellStyle name="Normal 3 2 3 2 3 14" xfId="11604" xr:uid="{B06319C1-B20C-404D-9304-B0C9EFDD327D}"/>
    <cellStyle name="Normal 3 2 3 2 3 2" xfId="2485" xr:uid="{A3F6DEDA-CBE3-4929-B161-2E3E7FFE7EAF}"/>
    <cellStyle name="Normal 3 2 3 2 3 2 2" xfId="12433" xr:uid="{4811EC76-A370-46FE-825B-353173640233}"/>
    <cellStyle name="Normal 3 2 3 2 3 3" xfId="3314" xr:uid="{E81996D5-1C17-450D-B9D6-E3A18E7444C0}"/>
    <cellStyle name="Normal 3 2 3 2 3 3 2" xfId="13262" xr:uid="{40FADDFF-7CDC-4A18-850D-8229E9954B2E}"/>
    <cellStyle name="Normal 3 2 3 2 3 4" xfId="4143" xr:uid="{824CD3AF-8740-4690-8450-508D3837ECB1}"/>
    <cellStyle name="Normal 3 2 3 2 3 4 2" xfId="14091" xr:uid="{EEB2D14F-CC99-49A0-955B-61ADE469F4E1}"/>
    <cellStyle name="Normal 3 2 3 2 3 5" xfId="4972" xr:uid="{B366FFBF-68F9-4F3E-A9E2-9297E73D0477}"/>
    <cellStyle name="Normal 3 2 3 2 3 5 2" xfId="14920" xr:uid="{16CC2D57-D2CE-4D35-8C5F-640F5430B9A7}"/>
    <cellStyle name="Normal 3 2 3 2 3 6" xfId="5801" xr:uid="{ACD4BC40-BA56-461C-883A-EAF483BCD105}"/>
    <cellStyle name="Normal 3 2 3 2 3 6 2" xfId="15749" xr:uid="{48E47805-A3D5-46FE-921C-4F0D3070BCC7}"/>
    <cellStyle name="Normal 3 2 3 2 3 7" xfId="6630" xr:uid="{2B06C6BE-A2AE-406A-8B0C-322936D02332}"/>
    <cellStyle name="Normal 3 2 3 2 3 7 2" xfId="16578" xr:uid="{C9666534-C0C8-4D79-994A-98443CD38EEC}"/>
    <cellStyle name="Normal 3 2 3 2 3 8" xfId="7459" xr:uid="{1843C803-9D57-4000-AD38-AC8D4786C6DE}"/>
    <cellStyle name="Normal 3 2 3 2 3 8 2" xfId="17407" xr:uid="{CC1E663B-2E26-46FA-B587-8547D8F9B149}"/>
    <cellStyle name="Normal 3 2 3 2 3 9" xfId="8288" xr:uid="{FD487A64-2A74-4048-87E4-47D7E018D1F1}"/>
    <cellStyle name="Normal 3 2 3 2 3 9 2" xfId="18236" xr:uid="{1C622972-606A-4F86-A5FB-1CDC4B930246}"/>
    <cellStyle name="Normal 3 2 3 2 4" xfId="2069" xr:uid="{ADB56425-1CEE-4150-B05A-5C1981BF6E3B}"/>
    <cellStyle name="Normal 3 2 3 2 4 2" xfId="12017" xr:uid="{65CFB004-0B25-44C5-A223-10DBFDD5107F}"/>
    <cellStyle name="Normal 3 2 3 2 5" xfId="2898" xr:uid="{208A64F4-562C-4C60-881B-9899317C8372}"/>
    <cellStyle name="Normal 3 2 3 2 5 2" xfId="12846" xr:uid="{8C76EF29-356A-4AB0-B710-E9BC385FDBC4}"/>
    <cellStyle name="Normal 3 2 3 2 6" xfId="3727" xr:uid="{3190614A-35DB-41D6-A856-5D4ED4495365}"/>
    <cellStyle name="Normal 3 2 3 2 6 2" xfId="13675" xr:uid="{D4CE575D-EF01-433E-87C9-65F9E6520710}"/>
    <cellStyle name="Normal 3 2 3 2 7" xfId="4556" xr:uid="{893B7C6F-7742-4B17-92C5-9BAB3E746EEE}"/>
    <cellStyle name="Normal 3 2 3 2 7 2" xfId="14504" xr:uid="{0E09F797-3FF8-436F-B335-C12DC52D5BAA}"/>
    <cellStyle name="Normal 3 2 3 2 8" xfId="5385" xr:uid="{BE224AD5-0238-4D35-9A4D-2A33E25912AE}"/>
    <cellStyle name="Normal 3 2 3 2 8 2" xfId="15333" xr:uid="{14AAB41D-EBB0-4F40-8100-924D6B27B393}"/>
    <cellStyle name="Normal 3 2 3 2 9" xfId="6214" xr:uid="{C4A8F70B-C4E9-422F-9908-3A603B7ABAF8}"/>
    <cellStyle name="Normal 3 2 3 2 9 2" xfId="16162" xr:uid="{2052D4A0-5821-4AD6-9754-129B98330B90}"/>
    <cellStyle name="Normal 3 2 3 3" xfId="332" xr:uid="{00000000-0005-0000-0000-000040020000}"/>
    <cellStyle name="Normal 3 2 3 3 10" xfId="7874" xr:uid="{FDC4E996-98A8-4B9E-9953-DC0A1D3F45E2}"/>
    <cellStyle name="Normal 3 2 3 3 10 2" xfId="17822" xr:uid="{26D528DC-3945-4E19-AF16-4450CAB31928}"/>
    <cellStyle name="Normal 3 2 3 3 11" xfId="8703" xr:uid="{0A639507-783E-4DFA-B559-6E5BBC54AE20}"/>
    <cellStyle name="Normal 3 2 3 3 11 2" xfId="18651" xr:uid="{61321259-F82E-4006-9B52-FA188084D1C8}"/>
    <cellStyle name="Normal 3 2 3 3 12" xfId="9532" xr:uid="{C7EAB5F2-738E-486D-AA55-A78DBAA9D621}"/>
    <cellStyle name="Normal 3 2 3 3 12 2" xfId="19480" xr:uid="{634CB6DE-0D5B-4113-8FB9-BE7C87F782AE}"/>
    <cellStyle name="Normal 3 2 3 3 13" xfId="10361" xr:uid="{6F0FC4C2-B1BA-4A42-805B-4434F9512BAD}"/>
    <cellStyle name="Normal 3 2 3 3 13 2" xfId="20309" xr:uid="{89BAC656-35A9-452A-9021-1BC0EE2205B0}"/>
    <cellStyle name="Normal 3 2 3 3 14" xfId="1242" xr:uid="{E2FE693F-61F6-43B4-95FC-30D8D8F39DE4}"/>
    <cellStyle name="Normal 3 2 3 3 15" xfId="11190" xr:uid="{0D5645E8-16C2-4B0F-90DD-1B9E3025FF5C}"/>
    <cellStyle name="Normal 3 2 3 3 2" xfId="822" xr:uid="{00000000-0005-0000-0000-000041020000}"/>
    <cellStyle name="Normal 3 2 3 3 2 10" xfId="9119" xr:uid="{714C9E9D-59CA-4D2D-AF75-3776B134B271}"/>
    <cellStyle name="Normal 3 2 3 3 2 10 2" xfId="19067" xr:uid="{78CA530B-1019-41B1-A5F3-6AB210892762}"/>
    <cellStyle name="Normal 3 2 3 3 2 11" xfId="9948" xr:uid="{1C845E77-4C5F-4E3D-BE61-7D8AC8E12043}"/>
    <cellStyle name="Normal 3 2 3 3 2 11 2" xfId="19896" xr:uid="{49C11C3A-FCCF-4088-96E8-5F508D2AE8CC}"/>
    <cellStyle name="Normal 3 2 3 3 2 12" xfId="10777" xr:uid="{A6C2E3A4-154F-4B92-9C4B-7C48234C548B}"/>
    <cellStyle name="Normal 3 2 3 3 2 12 2" xfId="20725" xr:uid="{E3A351F3-4655-4A98-B210-1695138FFF36}"/>
    <cellStyle name="Normal 3 2 3 3 2 13" xfId="1658" xr:uid="{399CADDD-A74E-4E30-ABDD-EB926B724AEA}"/>
    <cellStyle name="Normal 3 2 3 3 2 14" xfId="11606" xr:uid="{4A1525A8-3040-4428-A57A-602B0E06C23C}"/>
    <cellStyle name="Normal 3 2 3 3 2 2" xfId="2487" xr:uid="{9BC37EEB-8CDD-4E52-83DE-49C6F171D110}"/>
    <cellStyle name="Normal 3 2 3 3 2 2 2" xfId="12435" xr:uid="{802F2D3E-CC8F-4CE6-B200-15BE4A14B6B0}"/>
    <cellStyle name="Normal 3 2 3 3 2 3" xfId="3316" xr:uid="{EF697BCD-456D-4737-B458-D46D6B0EA9CB}"/>
    <cellStyle name="Normal 3 2 3 3 2 3 2" xfId="13264" xr:uid="{57BBA4C5-AAE1-4657-BD7C-3E226E5A370C}"/>
    <cellStyle name="Normal 3 2 3 3 2 4" xfId="4145" xr:uid="{80066B9E-8C8F-4522-9FD7-0FF8E84FC761}"/>
    <cellStyle name="Normal 3 2 3 3 2 4 2" xfId="14093" xr:uid="{945D06C3-0689-443A-9591-C87E1F3D32FA}"/>
    <cellStyle name="Normal 3 2 3 3 2 5" xfId="4974" xr:uid="{5D2F30D5-1E89-4A06-9459-FA6EAB593D40}"/>
    <cellStyle name="Normal 3 2 3 3 2 5 2" xfId="14922" xr:uid="{E74A79C6-0E6C-44E5-B83B-47EB08048489}"/>
    <cellStyle name="Normal 3 2 3 3 2 6" xfId="5803" xr:uid="{BFD75AA4-8E07-4DDB-8B02-4A913B6C76A7}"/>
    <cellStyle name="Normal 3 2 3 3 2 6 2" xfId="15751" xr:uid="{30398349-D6ED-405F-9F68-BF7701E177B6}"/>
    <cellStyle name="Normal 3 2 3 3 2 7" xfId="6632" xr:uid="{D3933EB7-670D-4120-8EAF-508354844E1B}"/>
    <cellStyle name="Normal 3 2 3 3 2 7 2" xfId="16580" xr:uid="{A8F07183-577E-4FBC-972F-F8E8B724891A}"/>
    <cellStyle name="Normal 3 2 3 3 2 8" xfId="7461" xr:uid="{687746DD-DE80-4D6B-8095-ADD5076AB5A0}"/>
    <cellStyle name="Normal 3 2 3 3 2 8 2" xfId="17409" xr:uid="{B9AB147D-447D-4C5C-A43D-90B99D55BBD0}"/>
    <cellStyle name="Normal 3 2 3 3 2 9" xfId="8290" xr:uid="{02F93F73-343D-4720-8887-5395C0B654E4}"/>
    <cellStyle name="Normal 3 2 3 3 2 9 2" xfId="18238" xr:uid="{A1E3D113-6059-41D1-B70D-750A2A3401F0}"/>
    <cellStyle name="Normal 3 2 3 3 3" xfId="2071" xr:uid="{31A68692-9D65-4491-ADE2-2700F41DFAAC}"/>
    <cellStyle name="Normal 3 2 3 3 3 2" xfId="12019" xr:uid="{05DC2A7F-4359-4F3D-8D1E-BB1A5E007EDB}"/>
    <cellStyle name="Normal 3 2 3 3 4" xfId="2900" xr:uid="{21DFEEED-1562-48EB-BAE7-C3591D40DD30}"/>
    <cellStyle name="Normal 3 2 3 3 4 2" xfId="12848" xr:uid="{BEC0A6A1-A45B-46E3-A257-B7DA219240CF}"/>
    <cellStyle name="Normal 3 2 3 3 5" xfId="3729" xr:uid="{72BB1070-0302-43D4-B984-FEDF76CEC20B}"/>
    <cellStyle name="Normal 3 2 3 3 5 2" xfId="13677" xr:uid="{10ED41D5-6189-47CD-9E7F-2952B67C077D}"/>
    <cellStyle name="Normal 3 2 3 3 6" xfId="4558" xr:uid="{27EED350-F33C-4939-AD8C-C2840368F11B}"/>
    <cellStyle name="Normal 3 2 3 3 6 2" xfId="14506" xr:uid="{CE5F52F5-F4F0-4D14-8395-E0EF88E60C54}"/>
    <cellStyle name="Normal 3 2 3 3 7" xfId="5387" xr:uid="{A78B8933-FFAC-4F9E-903A-71D7A085C9B1}"/>
    <cellStyle name="Normal 3 2 3 3 7 2" xfId="15335" xr:uid="{F74D895B-BFDE-4B77-A69D-DDB2703197B4}"/>
    <cellStyle name="Normal 3 2 3 3 8" xfId="6216" xr:uid="{27D8C677-9404-4FF6-A4A2-FACBDEC0BA2B}"/>
    <cellStyle name="Normal 3 2 3 3 8 2" xfId="16164" xr:uid="{8E2BC8F6-B2CD-4127-A6BD-E0FEDC8F5B3F}"/>
    <cellStyle name="Normal 3 2 3 3 9" xfId="7045" xr:uid="{9A2CE0AB-6DAC-4D73-92FA-251A5BDDA577}"/>
    <cellStyle name="Normal 3 2 3 3 9 2" xfId="16993" xr:uid="{30E48552-0DE0-4FE2-8B94-3C20BFADF294}"/>
    <cellStyle name="Normal 3 2 3 4" xfId="819" xr:uid="{00000000-0005-0000-0000-000042020000}"/>
    <cellStyle name="Normal 3 2 3 4 10" xfId="9116" xr:uid="{A1CBE3CE-A20D-4F49-9342-808CAEBF5CFA}"/>
    <cellStyle name="Normal 3 2 3 4 10 2" xfId="19064" xr:uid="{1D783E1F-79EF-442C-A523-05C10C3956BB}"/>
    <cellStyle name="Normal 3 2 3 4 11" xfId="9945" xr:uid="{CCF41BBE-D0EB-4340-8010-B7AD3625B3A5}"/>
    <cellStyle name="Normal 3 2 3 4 11 2" xfId="19893" xr:uid="{2744B779-519A-4B2E-9619-84C3D331EFE9}"/>
    <cellStyle name="Normal 3 2 3 4 12" xfId="10774" xr:uid="{E57B783A-914D-487A-B2A5-C081F295AC5C}"/>
    <cellStyle name="Normal 3 2 3 4 12 2" xfId="20722" xr:uid="{A3EC267F-7AB4-4658-87BF-5E1904E5DFDC}"/>
    <cellStyle name="Normal 3 2 3 4 13" xfId="1655" xr:uid="{0D60D277-9C4D-4B31-B3E1-A14893942FF6}"/>
    <cellStyle name="Normal 3 2 3 4 14" xfId="11603" xr:uid="{8562B8F0-F767-4B10-ADBC-EF9DB0C163B2}"/>
    <cellStyle name="Normal 3 2 3 4 2" xfId="2484" xr:uid="{1E5157C1-435D-49AC-802E-35AA7A353619}"/>
    <cellStyle name="Normal 3 2 3 4 2 2" xfId="12432" xr:uid="{DCF8AC65-B140-4814-9D42-F5ECD84DE67D}"/>
    <cellStyle name="Normal 3 2 3 4 3" xfId="3313" xr:uid="{2225D962-71ED-46B0-995D-F8B4F3EB8E51}"/>
    <cellStyle name="Normal 3 2 3 4 3 2" xfId="13261" xr:uid="{AA368192-C65C-4561-B883-2943DE854DD4}"/>
    <cellStyle name="Normal 3 2 3 4 4" xfId="4142" xr:uid="{5B26A731-DAE4-45B4-8736-790E8BB07EBB}"/>
    <cellStyle name="Normal 3 2 3 4 4 2" xfId="14090" xr:uid="{E863D29D-94A1-49F2-870F-A4336985E4E4}"/>
    <cellStyle name="Normal 3 2 3 4 5" xfId="4971" xr:uid="{E0910A20-D882-4C88-ACE4-94FEE71F1934}"/>
    <cellStyle name="Normal 3 2 3 4 5 2" xfId="14919" xr:uid="{B2A93D7D-7AA8-4C91-A863-1DBA3A24BB86}"/>
    <cellStyle name="Normal 3 2 3 4 6" xfId="5800" xr:uid="{C635315B-B74F-47DC-864B-E01B815D247E}"/>
    <cellStyle name="Normal 3 2 3 4 6 2" xfId="15748" xr:uid="{DCC9F839-61E1-4E85-9D09-8DF99BAB2CA4}"/>
    <cellStyle name="Normal 3 2 3 4 7" xfId="6629" xr:uid="{01E2FC53-5C6E-4211-B8CD-D65624D69BC3}"/>
    <cellStyle name="Normal 3 2 3 4 7 2" xfId="16577" xr:uid="{7C3CB50E-FF3A-4D6A-B6F3-7F4CC529F85A}"/>
    <cellStyle name="Normal 3 2 3 4 8" xfId="7458" xr:uid="{2A872770-AAED-4F2A-9455-97758BD38311}"/>
    <cellStyle name="Normal 3 2 3 4 8 2" xfId="17406" xr:uid="{39863E0B-7AF7-4CBD-88F8-5AC8C50AD2E1}"/>
    <cellStyle name="Normal 3 2 3 4 9" xfId="8287" xr:uid="{8F8E979F-C083-4AC6-82AB-A5B5B7BB961A}"/>
    <cellStyle name="Normal 3 2 3 4 9 2" xfId="18235" xr:uid="{302A069B-75AC-405A-B68F-9DFFC21386A7}"/>
    <cellStyle name="Normal 3 2 3 5" xfId="2068" xr:uid="{B1A3389E-317E-4DE2-ABC8-5FEA687417C7}"/>
    <cellStyle name="Normal 3 2 3 5 2" xfId="12016" xr:uid="{D6929755-2603-4106-9894-4CFC8EB47B05}"/>
    <cellStyle name="Normal 3 2 3 6" xfId="2897" xr:uid="{604DEC5A-2883-4C54-A83D-31938F4F2486}"/>
    <cellStyle name="Normal 3 2 3 6 2" xfId="12845" xr:uid="{9BC23395-800A-4BD3-AF00-3AD5F1F2CE75}"/>
    <cellStyle name="Normal 3 2 3 7" xfId="3726" xr:uid="{6845E5B2-A8C2-4419-B7C5-A789F50836A7}"/>
    <cellStyle name="Normal 3 2 3 7 2" xfId="13674" xr:uid="{5EA5F131-ECDA-4B99-BF28-829C9F4DB833}"/>
    <cellStyle name="Normal 3 2 3 8" xfId="4555" xr:uid="{1ADFA0E8-3B30-422D-B6B8-8B96A1D2AC0D}"/>
    <cellStyle name="Normal 3 2 3 8 2" xfId="14503" xr:uid="{A12AD89B-0D04-4CDB-B7C8-59E8942268F6}"/>
    <cellStyle name="Normal 3 2 3 9" xfId="5384" xr:uid="{4AA38B32-7960-41B4-B187-83D41D6C5907}"/>
    <cellStyle name="Normal 3 2 3 9 2" xfId="15332" xr:uid="{FBE5AEA6-E9CA-416E-9B08-5B23961A43E1}"/>
    <cellStyle name="Normal 3 2 4" xfId="817" xr:uid="{00000000-0005-0000-0000-000043020000}"/>
    <cellStyle name="Normal 3 2 4 10" xfId="9115" xr:uid="{E5CB824F-9F7D-449B-98ED-3CFB1360CFE8}"/>
    <cellStyle name="Normal 3 2 4 10 2" xfId="19063" xr:uid="{E14C7378-5913-481F-A32D-B9907740C331}"/>
    <cellStyle name="Normal 3 2 4 11" xfId="9944" xr:uid="{DB4A7E55-A5B1-42C1-9B5F-7D30F11DD594}"/>
    <cellStyle name="Normal 3 2 4 11 2" xfId="19892" xr:uid="{67A1C792-A037-40B4-B27B-E17A9817783A}"/>
    <cellStyle name="Normal 3 2 4 12" xfId="10773" xr:uid="{01FE2567-6208-49C7-AC9D-ABBF3961C4B5}"/>
    <cellStyle name="Normal 3 2 4 12 2" xfId="20721" xr:uid="{86D2E3DC-E7A1-46CE-9D8E-DE99CED597B0}"/>
    <cellStyle name="Normal 3 2 4 13" xfId="1654" xr:uid="{56B73A5B-4718-4A07-8FFC-F2E9A2DAB1EC}"/>
    <cellStyle name="Normal 3 2 4 14" xfId="11602" xr:uid="{E2C9A271-0DBD-4A0C-9167-DCFF8B362AE5}"/>
    <cellStyle name="Normal 3 2 4 2" xfId="2483" xr:uid="{0BBEF5C6-E60D-40A8-B0A1-5A092221302A}"/>
    <cellStyle name="Normal 3 2 4 2 2" xfId="12431" xr:uid="{3DA37E63-0D06-47CB-A896-7587302F5A19}"/>
    <cellStyle name="Normal 3 2 4 3" xfId="3312" xr:uid="{15A332EF-F008-46D7-8DAC-5CE1006C3A4C}"/>
    <cellStyle name="Normal 3 2 4 3 2" xfId="13260" xr:uid="{FB98D592-B3D0-448B-8217-8F887B629FA3}"/>
    <cellStyle name="Normal 3 2 4 4" xfId="4141" xr:uid="{60AF363C-954F-4E04-A386-14115279CDD3}"/>
    <cellStyle name="Normal 3 2 4 4 2" xfId="14089" xr:uid="{67DD65A4-44AE-4FFB-B94A-B1A2F2E08C08}"/>
    <cellStyle name="Normal 3 2 4 5" xfId="4970" xr:uid="{6B3F8D12-5EE0-41FC-BE9E-DC43A61AE6B2}"/>
    <cellStyle name="Normal 3 2 4 5 2" xfId="14918" xr:uid="{BFE71E29-BC7B-49A9-8590-90E1D08DB8B9}"/>
    <cellStyle name="Normal 3 2 4 6" xfId="5799" xr:uid="{BE8B37A8-E44A-4A48-8E19-E59E3DD80C80}"/>
    <cellStyle name="Normal 3 2 4 6 2" xfId="15747" xr:uid="{BDF81506-F052-4786-B3EB-C687DA48ED98}"/>
    <cellStyle name="Normal 3 2 4 7" xfId="6628" xr:uid="{1ED1B554-DE8C-41CB-925B-5D29C4804785}"/>
    <cellStyle name="Normal 3 2 4 7 2" xfId="16576" xr:uid="{A6091452-3E26-431E-9374-05F3FBD59299}"/>
    <cellStyle name="Normal 3 2 4 8" xfId="7457" xr:uid="{934461F8-5E2D-4AAB-9782-4ACB76DD260F}"/>
    <cellStyle name="Normal 3 2 4 8 2" xfId="17405" xr:uid="{3A05C688-0CFF-4ABE-8CA3-0B679FD3534D}"/>
    <cellStyle name="Normal 3 2 4 9" xfId="8286" xr:uid="{865F7654-B079-4ECE-9D68-E6C04CD9CA88}"/>
    <cellStyle name="Normal 3 2 4 9 2" xfId="18234" xr:uid="{5581CC1E-8ABF-414D-AA2E-8B18AE8EEB67}"/>
    <cellStyle name="Normal 3 2 5" xfId="2067" xr:uid="{AF557686-371A-4DD8-B01D-BBF1639C497F}"/>
    <cellStyle name="Normal 3 2 5 2" xfId="12015" xr:uid="{46184DEB-57C7-4B39-991C-91916E1D9866}"/>
    <cellStyle name="Normal 3 2 6" xfId="2896" xr:uid="{C018422F-547F-44AA-981F-66B9670143AF}"/>
    <cellStyle name="Normal 3 2 6 2" xfId="12844" xr:uid="{E9094B3F-1175-460F-8F14-76BF9991FE56}"/>
    <cellStyle name="Normal 3 2 7" xfId="3725" xr:uid="{9687D0B1-30C4-4882-B9CD-6C7D7F47C949}"/>
    <cellStyle name="Normal 3 2 7 2" xfId="13673" xr:uid="{8C743D72-F737-4D1D-9E84-3A724C5B2C75}"/>
    <cellStyle name="Normal 3 2 8" xfId="4554" xr:uid="{755A1164-06CD-483E-8BD3-1E63E8A6F2DD}"/>
    <cellStyle name="Normal 3 2 8 2" xfId="14502" xr:uid="{8BE16E75-E581-43F6-B00C-C81BD4771A5A}"/>
    <cellStyle name="Normal 3 2 9" xfId="5383" xr:uid="{94C15180-14C5-4BC3-BD82-518C8538161D}"/>
    <cellStyle name="Normal 3 2 9 2" xfId="15331" xr:uid="{A89BA639-EA1F-4B71-8FE3-FBD5FB14CD34}"/>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10" xfId="3730" xr:uid="{E932E9B4-97EB-4FA9-AAFF-E7FF8AEED0EB}"/>
    <cellStyle name="Normal 4 2 2 10 2" xfId="13678" xr:uid="{CE530845-DB3F-41D9-A49B-0951CDFC6306}"/>
    <cellStyle name="Normal 4 2 2 11" xfId="4559" xr:uid="{1D762AC5-1A47-49F1-A36B-87AF1CC7159A}"/>
    <cellStyle name="Normal 4 2 2 11 2" xfId="14507" xr:uid="{9B39A630-727A-410C-BD56-9643FE4CDA67}"/>
    <cellStyle name="Normal 4 2 2 12" xfId="5388" xr:uid="{998BA9C6-6C5C-4FB9-AEC2-D7E7FA1D9BD1}"/>
    <cellStyle name="Normal 4 2 2 12 2" xfId="15336" xr:uid="{E89764EB-5F48-472D-BBD1-EDA79133304D}"/>
    <cellStyle name="Normal 4 2 2 13" xfId="6217" xr:uid="{54F3C769-9495-4E03-8975-F9A7512FE648}"/>
    <cellStyle name="Normal 4 2 2 13 2" xfId="16165" xr:uid="{0FE75D3B-AB0C-4423-AEFC-C17001296300}"/>
    <cellStyle name="Normal 4 2 2 14" xfId="7046" xr:uid="{E1FA7CC7-DA57-41B7-8866-BBD0F0569F74}"/>
    <cellStyle name="Normal 4 2 2 14 2" xfId="16994" xr:uid="{E273A721-81EF-410C-98DC-C64F292F3E43}"/>
    <cellStyle name="Normal 4 2 2 15" xfId="7875" xr:uid="{9C35A043-DCE1-4712-AB6E-6D3F67215607}"/>
    <cellStyle name="Normal 4 2 2 15 2" xfId="17823" xr:uid="{5B1778B3-5F63-4F76-B1AE-2B9404EA8A40}"/>
    <cellStyle name="Normal 4 2 2 16" xfId="8704" xr:uid="{A3E9F984-AB03-4FA8-A33F-78D3F154523B}"/>
    <cellStyle name="Normal 4 2 2 16 2" xfId="18652" xr:uid="{3BBFBEFF-9A82-45A3-836F-0F3DDF55C625}"/>
    <cellStyle name="Normal 4 2 2 17" xfId="9533" xr:uid="{CD8CA53A-5DC0-42DA-8B8B-ED5D17FD0212}"/>
    <cellStyle name="Normal 4 2 2 17 2" xfId="19481" xr:uid="{3E60C459-0361-417E-8FF1-22042BC1107F}"/>
    <cellStyle name="Normal 4 2 2 18" xfId="10362" xr:uid="{C3512A48-4ECD-4015-BDC8-856ABFB446F0}"/>
    <cellStyle name="Normal 4 2 2 18 2" xfId="20310" xr:uid="{A8565FC8-1068-4ECD-8D83-DE6A5F6AA3BF}"/>
    <cellStyle name="Normal 4 2 2 19" xfId="1243" xr:uid="{A59D0508-0119-466C-A4AF-BC93E216F68D}"/>
    <cellStyle name="Normal 4 2 2 2" xfId="341" xr:uid="{00000000-0005-0000-0000-00004D020000}"/>
    <cellStyle name="Normal 4 2 2 20" xfId="11191" xr:uid="{E08E1ADF-3E7F-4A93-A5D9-731A9D1242CE}"/>
    <cellStyle name="Normal 4 2 2 3" xfId="342" xr:uid="{00000000-0005-0000-0000-00004E020000}"/>
    <cellStyle name="Normal 4 2 2 3 10" xfId="5389" xr:uid="{E8213DB1-7A37-47CB-A508-454E07E12309}"/>
    <cellStyle name="Normal 4 2 2 3 10 2" xfId="15337" xr:uid="{C6763557-FCD6-44DD-AFA2-D456B1D3C9C6}"/>
    <cellStyle name="Normal 4 2 2 3 11" xfId="6218" xr:uid="{1271AB36-1ADA-467E-9920-32AC174FBF34}"/>
    <cellStyle name="Normal 4 2 2 3 11 2" xfId="16166" xr:uid="{C76ED1D8-20D8-45BE-AE97-D78D90D447E1}"/>
    <cellStyle name="Normal 4 2 2 3 12" xfId="7047" xr:uid="{09CF720E-FAE8-4AFB-9BC7-D8CD3182AD64}"/>
    <cellStyle name="Normal 4 2 2 3 12 2" xfId="16995" xr:uid="{40443184-016E-4EAF-AED1-A20364D5ECD0}"/>
    <cellStyle name="Normal 4 2 2 3 13" xfId="7876" xr:uid="{DC166B06-1A80-47FE-835C-EE4C9CBCC50D}"/>
    <cellStyle name="Normal 4 2 2 3 13 2" xfId="17824" xr:uid="{8AD0BFA1-7EE3-48CA-8284-5D0542003CA0}"/>
    <cellStyle name="Normal 4 2 2 3 14" xfId="8705" xr:uid="{106D2196-863C-4B21-8A89-44B203FD9744}"/>
    <cellStyle name="Normal 4 2 2 3 14 2" xfId="18653" xr:uid="{670AB13E-1E4A-499F-AA4F-6E1D566BE9D7}"/>
    <cellStyle name="Normal 4 2 2 3 15" xfId="9534" xr:uid="{21483001-BE76-4E13-B97E-F7168196CA8D}"/>
    <cellStyle name="Normal 4 2 2 3 15 2" xfId="19482" xr:uid="{FFC36AF7-BED5-46CA-BBE6-80724DD8BFBC}"/>
    <cellStyle name="Normal 4 2 2 3 16" xfId="10363" xr:uid="{A23438D8-666C-438A-810A-48C1ED5DC902}"/>
    <cellStyle name="Normal 4 2 2 3 16 2" xfId="20311" xr:uid="{E44D60D7-3C01-4E2B-BAEE-2CEA78CB0566}"/>
    <cellStyle name="Normal 4 2 2 3 17" xfId="1244" xr:uid="{D49446FD-1433-4683-A991-321031DF50E9}"/>
    <cellStyle name="Normal 4 2 2 3 18" xfId="11192" xr:uid="{DDA09878-D3F3-4FD5-8AA0-E3ADE046EA6B}"/>
    <cellStyle name="Normal 4 2 2 3 2" xfId="343" xr:uid="{00000000-0005-0000-0000-00004F020000}"/>
    <cellStyle name="Normal 4 2 2 3 2 10" xfId="6219" xr:uid="{423C1135-06E7-4521-B670-B97AE8F456A7}"/>
    <cellStyle name="Normal 4 2 2 3 2 10 2" xfId="16167" xr:uid="{6E42EA66-99C3-4B53-8044-72D88419F2E5}"/>
    <cellStyle name="Normal 4 2 2 3 2 11" xfId="7048" xr:uid="{708D08C4-E6CF-4901-B8CE-705DB4BBAAED}"/>
    <cellStyle name="Normal 4 2 2 3 2 11 2" xfId="16996" xr:uid="{883421FC-5F59-47D8-A4EA-96A007DE6661}"/>
    <cellStyle name="Normal 4 2 2 3 2 12" xfId="7877" xr:uid="{23BF6B46-F549-4912-85A4-260A0CD16DB1}"/>
    <cellStyle name="Normal 4 2 2 3 2 12 2" xfId="17825" xr:uid="{7BC71D71-6E09-4C74-8CEF-90F928461E68}"/>
    <cellStyle name="Normal 4 2 2 3 2 13" xfId="8706" xr:uid="{D60B50D2-DD4F-412F-9A78-64CAFA3D686A}"/>
    <cellStyle name="Normal 4 2 2 3 2 13 2" xfId="18654" xr:uid="{86A4DA10-8E03-4A65-A06D-FD5435BF4E49}"/>
    <cellStyle name="Normal 4 2 2 3 2 14" xfId="9535" xr:uid="{BF0302A8-957C-4A80-8F3A-68D35D3475E0}"/>
    <cellStyle name="Normal 4 2 2 3 2 14 2" xfId="19483" xr:uid="{A9A7BEB6-8EDF-4A2D-9AE1-53A12BBE9F03}"/>
    <cellStyle name="Normal 4 2 2 3 2 15" xfId="10364" xr:uid="{439D87F8-86D4-449F-9F14-6D3002D450A5}"/>
    <cellStyle name="Normal 4 2 2 3 2 15 2" xfId="20312" xr:uid="{97E870DD-1438-494D-BE65-522200484FF5}"/>
    <cellStyle name="Normal 4 2 2 3 2 16" xfId="1245" xr:uid="{67FDC3FC-FB97-4E3D-8606-EE9690861878}"/>
    <cellStyle name="Normal 4 2 2 3 2 17" xfId="11193" xr:uid="{D970F42F-C40A-4F6F-96DF-7E59790CC608}"/>
    <cellStyle name="Normal 4 2 2 3 2 2" xfId="344" xr:uid="{00000000-0005-0000-0000-000050020000}"/>
    <cellStyle name="Normal 4 2 2 3 2 2 10" xfId="7049" xr:uid="{5C51EA89-80CF-4575-9C2E-EB4EC5D5A002}"/>
    <cellStyle name="Normal 4 2 2 3 2 2 10 2" xfId="16997" xr:uid="{7245DB17-DC85-4DDA-8E5B-E21182E5CB93}"/>
    <cellStyle name="Normal 4 2 2 3 2 2 11" xfId="7878" xr:uid="{035E31C6-E919-4F17-A324-9CFF6E4A2883}"/>
    <cellStyle name="Normal 4 2 2 3 2 2 11 2" xfId="17826" xr:uid="{FFC1FE55-1641-45C2-A7FE-4486A70E4E8B}"/>
    <cellStyle name="Normal 4 2 2 3 2 2 12" xfId="8707" xr:uid="{878441F1-A5EF-48AC-A5F6-4E72DC4A75A7}"/>
    <cellStyle name="Normal 4 2 2 3 2 2 12 2" xfId="18655" xr:uid="{93D38D06-DF83-43DE-9F50-286BB5C76D80}"/>
    <cellStyle name="Normal 4 2 2 3 2 2 13" xfId="9536" xr:uid="{67236F92-69C6-487C-BA1E-B95BACDA92C2}"/>
    <cellStyle name="Normal 4 2 2 3 2 2 13 2" xfId="19484" xr:uid="{7E20AFE7-4789-4207-9E65-43F3E424A4ED}"/>
    <cellStyle name="Normal 4 2 2 3 2 2 14" xfId="10365" xr:uid="{703479DD-A9DB-42DB-BB91-7DA64DA5FEA9}"/>
    <cellStyle name="Normal 4 2 2 3 2 2 14 2" xfId="20313" xr:uid="{6E2BEB8E-7631-44CA-ABC8-233ECADE7F04}"/>
    <cellStyle name="Normal 4 2 2 3 2 2 15" xfId="1246" xr:uid="{5BD99CB1-675F-47D5-8AAE-4A32C54892F7}"/>
    <cellStyle name="Normal 4 2 2 3 2 2 16" xfId="11194" xr:uid="{A917B1B1-F3CB-4AF1-AEF4-5957C5F77BCB}"/>
    <cellStyle name="Normal 4 2 2 3 2 2 2" xfId="345" xr:uid="{00000000-0005-0000-0000-000051020000}"/>
    <cellStyle name="Normal 4 2 2 3 2 2 2 10" xfId="7879" xr:uid="{371CA724-3239-44A6-9BE2-13CFBE72730E}"/>
    <cellStyle name="Normal 4 2 2 3 2 2 2 10 2" xfId="17827" xr:uid="{FE493134-790E-48C6-BDC7-D2016CC4A5B7}"/>
    <cellStyle name="Normal 4 2 2 3 2 2 2 11" xfId="8708" xr:uid="{DFE6F9BB-EEF8-40B5-BB1D-91CC48F035DB}"/>
    <cellStyle name="Normal 4 2 2 3 2 2 2 11 2" xfId="18656" xr:uid="{83E20225-B90C-4945-AEE7-9F031DC21D9C}"/>
    <cellStyle name="Normal 4 2 2 3 2 2 2 12" xfId="9537" xr:uid="{95936257-9A71-4BA3-98B7-30C98E1F79BE}"/>
    <cellStyle name="Normal 4 2 2 3 2 2 2 12 2" xfId="19485" xr:uid="{6FCBB147-58FF-4BF3-A777-9601079DAA7B}"/>
    <cellStyle name="Normal 4 2 2 3 2 2 2 13" xfId="10366" xr:uid="{0674A324-9965-49D3-872E-A226C393C4FF}"/>
    <cellStyle name="Normal 4 2 2 3 2 2 2 13 2" xfId="20314" xr:uid="{9BA13BA9-92CC-4062-992E-B108E29A4C55}"/>
    <cellStyle name="Normal 4 2 2 3 2 2 2 14" xfId="1247" xr:uid="{8DD7F052-261E-4CE1-823C-90EA8734ABAC}"/>
    <cellStyle name="Normal 4 2 2 3 2 2 2 15" xfId="11195" xr:uid="{D530A4C7-2A8A-4ABA-844C-A6C10E5D374F}"/>
    <cellStyle name="Normal 4 2 2 3 2 2 2 2" xfId="827" xr:uid="{00000000-0005-0000-0000-000052020000}"/>
    <cellStyle name="Normal 4 2 2 3 2 2 2 2 10" xfId="9124" xr:uid="{F054E4CB-C0B6-44A2-ACA8-105F1D097DAF}"/>
    <cellStyle name="Normal 4 2 2 3 2 2 2 2 10 2" xfId="19072" xr:uid="{F9F2FFD9-5348-4E48-AE5A-080DEAF570AC}"/>
    <cellStyle name="Normal 4 2 2 3 2 2 2 2 11" xfId="9953" xr:uid="{EB3D31C9-294C-4E3C-BE96-B8F5AB07483A}"/>
    <cellStyle name="Normal 4 2 2 3 2 2 2 2 11 2" xfId="19901" xr:uid="{5000B1F4-81A1-4E36-918E-E2997170DB7D}"/>
    <cellStyle name="Normal 4 2 2 3 2 2 2 2 12" xfId="10782" xr:uid="{CD9616EB-1D9A-4B9D-8365-58423583084E}"/>
    <cellStyle name="Normal 4 2 2 3 2 2 2 2 12 2" xfId="20730" xr:uid="{B8A1F6AE-7D9A-4A6D-941B-F7807B0F5BA3}"/>
    <cellStyle name="Normal 4 2 2 3 2 2 2 2 13" xfId="1663" xr:uid="{AE44C882-E780-4E5C-A16B-25B207AFA18C}"/>
    <cellStyle name="Normal 4 2 2 3 2 2 2 2 14" xfId="11611" xr:uid="{F1428867-0E07-4051-8369-FFAB445867D7}"/>
    <cellStyle name="Normal 4 2 2 3 2 2 2 2 2" xfId="2492" xr:uid="{054A4B98-9A83-4ADF-83CA-6B5BB18EFF29}"/>
    <cellStyle name="Normal 4 2 2 3 2 2 2 2 2 2" xfId="12440" xr:uid="{F03012FC-42F5-434A-9973-59D8772667A4}"/>
    <cellStyle name="Normal 4 2 2 3 2 2 2 2 3" xfId="3321" xr:uid="{0F260726-F417-4143-96BF-5522A1042641}"/>
    <cellStyle name="Normal 4 2 2 3 2 2 2 2 3 2" xfId="13269" xr:uid="{94E8DFE2-7C73-483F-9468-86DDA2406964}"/>
    <cellStyle name="Normal 4 2 2 3 2 2 2 2 4" xfId="4150" xr:uid="{C9618D35-CAF7-43D3-B58F-4A6A3AD84645}"/>
    <cellStyle name="Normal 4 2 2 3 2 2 2 2 4 2" xfId="14098" xr:uid="{DDDADE46-0C8C-4520-8403-F86C96DD24CF}"/>
    <cellStyle name="Normal 4 2 2 3 2 2 2 2 5" xfId="4979" xr:uid="{D4432CF9-1679-4FB4-BDA4-9DCF1D00C569}"/>
    <cellStyle name="Normal 4 2 2 3 2 2 2 2 5 2" xfId="14927" xr:uid="{82A0F0B9-6783-4019-A8D0-40A17D2B780F}"/>
    <cellStyle name="Normal 4 2 2 3 2 2 2 2 6" xfId="5808" xr:uid="{90A7D77F-A568-49FA-8B64-EF9CAD64EA61}"/>
    <cellStyle name="Normal 4 2 2 3 2 2 2 2 6 2" xfId="15756" xr:uid="{4149AF9F-0C29-415B-AF45-EE52A830F72F}"/>
    <cellStyle name="Normal 4 2 2 3 2 2 2 2 7" xfId="6637" xr:uid="{0589F1DC-FE79-47DB-9B3E-08A1086691B6}"/>
    <cellStyle name="Normal 4 2 2 3 2 2 2 2 7 2" xfId="16585" xr:uid="{6FDA5EA7-5293-4A61-82EA-1ADA4DD8D641}"/>
    <cellStyle name="Normal 4 2 2 3 2 2 2 2 8" xfId="7466" xr:uid="{1C4E2189-B2D5-4AC9-AF3B-7D1243C693AB}"/>
    <cellStyle name="Normal 4 2 2 3 2 2 2 2 8 2" xfId="17414" xr:uid="{6F8EA768-0AB1-4E6B-9235-3C656FB4534D}"/>
    <cellStyle name="Normal 4 2 2 3 2 2 2 2 9" xfId="8295" xr:uid="{20E1D1ED-77EF-44E3-B01C-F30C6D33BAB0}"/>
    <cellStyle name="Normal 4 2 2 3 2 2 2 2 9 2" xfId="18243" xr:uid="{D6DE2F51-96F2-4563-A133-396C31E16A0A}"/>
    <cellStyle name="Normal 4 2 2 3 2 2 2 3" xfId="2076" xr:uid="{ED0762AB-6B5D-476F-AD4A-AE1C881A8BF4}"/>
    <cellStyle name="Normal 4 2 2 3 2 2 2 3 2" xfId="12024" xr:uid="{A21AD48C-226E-49AE-900A-44E5E85377D8}"/>
    <cellStyle name="Normal 4 2 2 3 2 2 2 4" xfId="2905" xr:uid="{799C897D-06FC-4805-97C3-039C100F425D}"/>
    <cellStyle name="Normal 4 2 2 3 2 2 2 4 2" xfId="12853" xr:uid="{29D7BA1E-C3BE-4EA3-9DD5-E884151E0D4A}"/>
    <cellStyle name="Normal 4 2 2 3 2 2 2 5" xfId="3734" xr:uid="{5EC2EDD3-C53B-44AA-92F5-4579410E28C6}"/>
    <cellStyle name="Normal 4 2 2 3 2 2 2 5 2" xfId="13682" xr:uid="{A65AF837-5D45-4D82-B985-40DB27E03F5D}"/>
    <cellStyle name="Normal 4 2 2 3 2 2 2 6" xfId="4563" xr:uid="{40CA32AF-04CE-46BB-B16B-7E5E419AE7F2}"/>
    <cellStyle name="Normal 4 2 2 3 2 2 2 6 2" xfId="14511" xr:uid="{8BE98B8E-4C6C-407B-B2D6-F7223B87C613}"/>
    <cellStyle name="Normal 4 2 2 3 2 2 2 7" xfId="5392" xr:uid="{B0D7DB09-4D1C-43FF-9287-4443AC4F537E}"/>
    <cellStyle name="Normal 4 2 2 3 2 2 2 7 2" xfId="15340" xr:uid="{4DF84FC5-5F4B-4C1D-8CAB-595251C0ABC8}"/>
    <cellStyle name="Normal 4 2 2 3 2 2 2 8" xfId="6221" xr:uid="{200DF3B0-9DAE-4C66-8AEA-EF7B1CACCDED}"/>
    <cellStyle name="Normal 4 2 2 3 2 2 2 8 2" xfId="16169" xr:uid="{F43B7AEB-0B9A-4B88-B75A-4376CD0972B5}"/>
    <cellStyle name="Normal 4 2 2 3 2 2 2 9" xfId="7050" xr:uid="{5510F57B-F483-4DB3-8861-91BA99AC1474}"/>
    <cellStyle name="Normal 4 2 2 3 2 2 2 9 2" xfId="16998" xr:uid="{8C239E09-20DA-481F-BE7B-B24F74CB2099}"/>
    <cellStyle name="Normal 4 2 2 3 2 2 3" xfId="826" xr:uid="{00000000-0005-0000-0000-000053020000}"/>
    <cellStyle name="Normal 4 2 2 3 2 2 3 10" xfId="9123" xr:uid="{4302C484-2655-4362-8838-BB730D58D15C}"/>
    <cellStyle name="Normal 4 2 2 3 2 2 3 10 2" xfId="19071" xr:uid="{3058F9A1-14CD-423D-85D5-EAA3966EA324}"/>
    <cellStyle name="Normal 4 2 2 3 2 2 3 11" xfId="9952" xr:uid="{1DF8064F-33F4-41B1-91AD-20F7E65EC894}"/>
    <cellStyle name="Normal 4 2 2 3 2 2 3 11 2" xfId="19900" xr:uid="{99E971E5-FABA-4C4F-ADAB-5DC83493B6CE}"/>
    <cellStyle name="Normal 4 2 2 3 2 2 3 12" xfId="10781" xr:uid="{53647D97-62AA-4738-9ECB-BA88168C4C9F}"/>
    <cellStyle name="Normal 4 2 2 3 2 2 3 12 2" xfId="20729" xr:uid="{EE09690F-E038-4EBD-811A-2595C27D4220}"/>
    <cellStyle name="Normal 4 2 2 3 2 2 3 13" xfId="1662" xr:uid="{FAD004DF-CA0C-448C-8F4F-4B45BBBAEF6C}"/>
    <cellStyle name="Normal 4 2 2 3 2 2 3 14" xfId="11610" xr:uid="{DF5C52A7-D8F8-4F22-87D9-A46EF182F824}"/>
    <cellStyle name="Normal 4 2 2 3 2 2 3 2" xfId="2491" xr:uid="{B63BBB9E-38DD-4908-B79F-D2E933D81B30}"/>
    <cellStyle name="Normal 4 2 2 3 2 2 3 2 2" xfId="12439" xr:uid="{67A1225B-BB26-4F97-9366-726E2C910CE3}"/>
    <cellStyle name="Normal 4 2 2 3 2 2 3 3" xfId="3320" xr:uid="{786B817E-FD5B-497C-B480-483E9B408676}"/>
    <cellStyle name="Normal 4 2 2 3 2 2 3 3 2" xfId="13268" xr:uid="{A1C01AA7-8C8E-455F-BB8E-2A4D7DFC4321}"/>
    <cellStyle name="Normal 4 2 2 3 2 2 3 4" xfId="4149" xr:uid="{7F146927-6F3E-4912-BCDB-9186FD90E78A}"/>
    <cellStyle name="Normal 4 2 2 3 2 2 3 4 2" xfId="14097" xr:uid="{FCCB31C7-4539-4F8A-89F8-8387F76EBAC5}"/>
    <cellStyle name="Normal 4 2 2 3 2 2 3 5" xfId="4978" xr:uid="{5D930D3E-5B0C-4724-8BB2-226D698C86A4}"/>
    <cellStyle name="Normal 4 2 2 3 2 2 3 5 2" xfId="14926" xr:uid="{E71BF2AA-0D20-497D-BDC4-DA208AE6B7EC}"/>
    <cellStyle name="Normal 4 2 2 3 2 2 3 6" xfId="5807" xr:uid="{DB66776B-CAA9-4B32-9717-1B54D92BCBA8}"/>
    <cellStyle name="Normal 4 2 2 3 2 2 3 6 2" xfId="15755" xr:uid="{6936CC89-9799-4615-AD16-E936D103AF45}"/>
    <cellStyle name="Normal 4 2 2 3 2 2 3 7" xfId="6636" xr:uid="{A4F956B8-DC9A-4B12-AF54-B7EE7286DEF5}"/>
    <cellStyle name="Normal 4 2 2 3 2 2 3 7 2" xfId="16584" xr:uid="{0E54A825-13CD-4E44-85ED-E6E186DE3C40}"/>
    <cellStyle name="Normal 4 2 2 3 2 2 3 8" xfId="7465" xr:uid="{78A1F65B-2DDD-4DF9-BD52-4230126FD355}"/>
    <cellStyle name="Normal 4 2 2 3 2 2 3 8 2" xfId="17413" xr:uid="{75828774-4D88-438D-929C-1A8736C74ADE}"/>
    <cellStyle name="Normal 4 2 2 3 2 2 3 9" xfId="8294" xr:uid="{E0D8647B-0BFE-46DD-8C07-D0ACE42BF900}"/>
    <cellStyle name="Normal 4 2 2 3 2 2 3 9 2" xfId="18242" xr:uid="{BF7B0B42-6C06-4660-A5BF-6282002E27C6}"/>
    <cellStyle name="Normal 4 2 2 3 2 2 4" xfId="2075" xr:uid="{D13AFD4F-AC23-46D6-9662-30E773432B95}"/>
    <cellStyle name="Normal 4 2 2 3 2 2 4 2" xfId="12023" xr:uid="{5EA00D37-44E8-40ED-BBFF-AED8304C35F4}"/>
    <cellStyle name="Normal 4 2 2 3 2 2 5" xfId="2904" xr:uid="{EF02B7A0-FB00-4D8D-9D1F-0C53668514C5}"/>
    <cellStyle name="Normal 4 2 2 3 2 2 5 2" xfId="12852" xr:uid="{368AB0D7-FAAE-458C-94CA-A504479F10A5}"/>
    <cellStyle name="Normal 4 2 2 3 2 2 6" xfId="3733" xr:uid="{6855161B-898E-4C7D-B409-D2045ED1CD05}"/>
    <cellStyle name="Normal 4 2 2 3 2 2 6 2" xfId="13681" xr:uid="{7001BED4-87EE-4A6E-B03B-C9F324ED1CC5}"/>
    <cellStyle name="Normal 4 2 2 3 2 2 7" xfId="4562" xr:uid="{030C9B93-5254-449A-9FB9-4D29558C3A37}"/>
    <cellStyle name="Normal 4 2 2 3 2 2 7 2" xfId="14510" xr:uid="{07E7BF27-5363-4BD2-9E12-0D69ADFDB7E6}"/>
    <cellStyle name="Normal 4 2 2 3 2 2 8" xfId="5391" xr:uid="{871EE9F9-D5FC-478D-837C-87775B850078}"/>
    <cellStyle name="Normal 4 2 2 3 2 2 8 2" xfId="15339" xr:uid="{0C6F8F05-05B0-4DCF-8CB1-1E497DE269F1}"/>
    <cellStyle name="Normal 4 2 2 3 2 2 9" xfId="6220" xr:uid="{7FB2239D-5C89-4C3D-813D-9B09BA14DFF6}"/>
    <cellStyle name="Normal 4 2 2 3 2 2 9 2" xfId="16168" xr:uid="{3FEA9D60-E8A9-4475-B828-D8F884119F3C}"/>
    <cellStyle name="Normal 4 2 2 3 2 3" xfId="346" xr:uid="{00000000-0005-0000-0000-000054020000}"/>
    <cellStyle name="Normal 4 2 2 3 2 3 10" xfId="7880" xr:uid="{CF886B14-912A-45AC-BE07-86FDFFEE8CA9}"/>
    <cellStyle name="Normal 4 2 2 3 2 3 10 2" xfId="17828" xr:uid="{1D9D0798-923A-418B-828D-0E1BAE3A82F9}"/>
    <cellStyle name="Normal 4 2 2 3 2 3 11" xfId="8709" xr:uid="{1B2C6F7D-5CD3-465E-9BEB-DB5E70297B90}"/>
    <cellStyle name="Normal 4 2 2 3 2 3 11 2" xfId="18657" xr:uid="{A9A0DC0D-1C83-454F-A39D-9EB03C65F67C}"/>
    <cellStyle name="Normal 4 2 2 3 2 3 12" xfId="9538" xr:uid="{417503BF-1474-406D-A635-F5E82593D5FE}"/>
    <cellStyle name="Normal 4 2 2 3 2 3 12 2" xfId="19486" xr:uid="{EBF1BA71-EE99-47A3-A152-EA16F9E9CA9A}"/>
    <cellStyle name="Normal 4 2 2 3 2 3 13" xfId="10367" xr:uid="{E6F558D2-BC6E-4D43-9ACF-A03D75710E09}"/>
    <cellStyle name="Normal 4 2 2 3 2 3 13 2" xfId="20315" xr:uid="{33CA02FC-979B-40BC-9C2A-A3C6E614A5E8}"/>
    <cellStyle name="Normal 4 2 2 3 2 3 14" xfId="1248" xr:uid="{98A67DD5-D7DE-4822-BF7B-ABF4BF17FAA7}"/>
    <cellStyle name="Normal 4 2 2 3 2 3 15" xfId="11196" xr:uid="{FE0094A8-BDC5-4ED2-9148-A3A98792E080}"/>
    <cellStyle name="Normal 4 2 2 3 2 3 2" xfId="828" xr:uid="{00000000-0005-0000-0000-000055020000}"/>
    <cellStyle name="Normal 4 2 2 3 2 3 2 10" xfId="9125" xr:uid="{56A9204C-83FE-4B6E-B548-D38FB9DD740B}"/>
    <cellStyle name="Normal 4 2 2 3 2 3 2 10 2" xfId="19073" xr:uid="{F4BFED5B-0B7F-40DC-8B61-F3081E22B903}"/>
    <cellStyle name="Normal 4 2 2 3 2 3 2 11" xfId="9954" xr:uid="{EA516489-7A4C-4469-8A81-962D5E715A00}"/>
    <cellStyle name="Normal 4 2 2 3 2 3 2 11 2" xfId="19902" xr:uid="{CF841A16-2F21-47B9-BDCE-4A670345A0A0}"/>
    <cellStyle name="Normal 4 2 2 3 2 3 2 12" xfId="10783" xr:uid="{9AB42A26-7793-4130-8648-6A659BB273F9}"/>
    <cellStyle name="Normal 4 2 2 3 2 3 2 12 2" xfId="20731" xr:uid="{F24661FB-7179-438F-8491-57C815DEAC25}"/>
    <cellStyle name="Normal 4 2 2 3 2 3 2 13" xfId="1664" xr:uid="{EC018539-B09D-438E-BA4B-D5CDE192D090}"/>
    <cellStyle name="Normal 4 2 2 3 2 3 2 14" xfId="11612" xr:uid="{0C89DFD9-C723-4705-9C6A-5765FA9C8BA1}"/>
    <cellStyle name="Normal 4 2 2 3 2 3 2 2" xfId="2493" xr:uid="{0A0405BD-1948-4629-98B0-24BC66A38F93}"/>
    <cellStyle name="Normal 4 2 2 3 2 3 2 2 2" xfId="12441" xr:uid="{51C8C24D-B539-4F3D-901F-B29D2084566F}"/>
    <cellStyle name="Normal 4 2 2 3 2 3 2 3" xfId="3322" xr:uid="{A080C344-7C3F-40EE-949B-A425959A4372}"/>
    <cellStyle name="Normal 4 2 2 3 2 3 2 3 2" xfId="13270" xr:uid="{A00BC73C-1D96-4712-A277-C1E69CFD9D10}"/>
    <cellStyle name="Normal 4 2 2 3 2 3 2 4" xfId="4151" xr:uid="{8A686D5B-5BCD-43C7-8BB4-312A0F0C4009}"/>
    <cellStyle name="Normal 4 2 2 3 2 3 2 4 2" xfId="14099" xr:uid="{6D790CD5-940C-4E5A-889E-89230950F1F3}"/>
    <cellStyle name="Normal 4 2 2 3 2 3 2 5" xfId="4980" xr:uid="{D6B7235F-7E62-4A34-A876-6CF8495CB3B9}"/>
    <cellStyle name="Normal 4 2 2 3 2 3 2 5 2" xfId="14928" xr:uid="{A2E93DFE-EA85-4E39-9DA6-5CF5C19158AD}"/>
    <cellStyle name="Normal 4 2 2 3 2 3 2 6" xfId="5809" xr:uid="{7FCA006B-6F66-4618-8AA2-30370CDE87D7}"/>
    <cellStyle name="Normal 4 2 2 3 2 3 2 6 2" xfId="15757" xr:uid="{CE7492A1-D4B8-4EB3-872F-BCE552C5510E}"/>
    <cellStyle name="Normal 4 2 2 3 2 3 2 7" xfId="6638" xr:uid="{40D2D4C5-8386-4971-8E22-010D8DE50752}"/>
    <cellStyle name="Normal 4 2 2 3 2 3 2 7 2" xfId="16586" xr:uid="{3320B496-6014-495B-A2D5-B929BD14C49E}"/>
    <cellStyle name="Normal 4 2 2 3 2 3 2 8" xfId="7467" xr:uid="{B91A1271-CFB4-4758-BE3C-CA76A15CF9E7}"/>
    <cellStyle name="Normal 4 2 2 3 2 3 2 8 2" xfId="17415" xr:uid="{38538368-1711-4DF2-87E3-5D7EC9755A7E}"/>
    <cellStyle name="Normal 4 2 2 3 2 3 2 9" xfId="8296" xr:uid="{BBA1275A-6691-4ACB-8CD1-1904AC481626}"/>
    <cellStyle name="Normal 4 2 2 3 2 3 2 9 2" xfId="18244" xr:uid="{24AA8530-8C82-4FFE-85A8-40D4AE5BEA5E}"/>
    <cellStyle name="Normal 4 2 2 3 2 3 3" xfId="2077" xr:uid="{64C67424-67C2-4DA4-ABDD-93A6A4050C43}"/>
    <cellStyle name="Normal 4 2 2 3 2 3 3 2" xfId="12025" xr:uid="{7A973299-68BF-4252-AB00-9CE2037CDFE5}"/>
    <cellStyle name="Normal 4 2 2 3 2 3 4" xfId="2906" xr:uid="{32E5D73F-85CA-45D5-9484-87CC708861EE}"/>
    <cellStyle name="Normal 4 2 2 3 2 3 4 2" xfId="12854" xr:uid="{5DF0D55E-2E8C-4FE7-B39B-0CA0B73F0ECE}"/>
    <cellStyle name="Normal 4 2 2 3 2 3 5" xfId="3735" xr:uid="{FE2810C9-A9A3-4BBA-94E7-FB3CB1481FCD}"/>
    <cellStyle name="Normal 4 2 2 3 2 3 5 2" xfId="13683" xr:uid="{E2DEBD49-A39A-439E-9C5E-EDB9CF536FE0}"/>
    <cellStyle name="Normal 4 2 2 3 2 3 6" xfId="4564" xr:uid="{052EED3A-6541-47C8-BB2C-69049F7D6C80}"/>
    <cellStyle name="Normal 4 2 2 3 2 3 6 2" xfId="14512" xr:uid="{C8B344B4-4501-4785-B533-52D512CC6147}"/>
    <cellStyle name="Normal 4 2 2 3 2 3 7" xfId="5393" xr:uid="{E5D61E38-3712-4E93-97DA-C2D645E29181}"/>
    <cellStyle name="Normal 4 2 2 3 2 3 7 2" xfId="15341" xr:uid="{005ABEF8-0898-48F7-A7A0-48DC7F0A4E55}"/>
    <cellStyle name="Normal 4 2 2 3 2 3 8" xfId="6222" xr:uid="{1F5AF55A-FEAF-4B8C-86A7-9394A13E25E4}"/>
    <cellStyle name="Normal 4 2 2 3 2 3 8 2" xfId="16170" xr:uid="{B53FBB58-57A9-43C8-8D0E-FA53F3D2CF6B}"/>
    <cellStyle name="Normal 4 2 2 3 2 3 9" xfId="7051" xr:uid="{AD907114-E7B0-45FB-8D83-64CEFCF3A4F1}"/>
    <cellStyle name="Normal 4 2 2 3 2 3 9 2" xfId="16999" xr:uid="{0ECB667A-4F74-430E-BA2A-0522E2F30152}"/>
    <cellStyle name="Normal 4 2 2 3 2 4" xfId="825" xr:uid="{00000000-0005-0000-0000-000056020000}"/>
    <cellStyle name="Normal 4 2 2 3 2 4 10" xfId="9122" xr:uid="{A4282FD4-1CA5-463B-BCCD-1C4C3BAAE32A}"/>
    <cellStyle name="Normal 4 2 2 3 2 4 10 2" xfId="19070" xr:uid="{740896FB-F8F9-425B-A5E0-A6B11F6384B9}"/>
    <cellStyle name="Normal 4 2 2 3 2 4 11" xfId="9951" xr:uid="{5BB8E189-9351-4EA0-8430-40AF771A5DA4}"/>
    <cellStyle name="Normal 4 2 2 3 2 4 11 2" xfId="19899" xr:uid="{45F5F0D1-6898-407C-8F28-EC1478D2EDDC}"/>
    <cellStyle name="Normal 4 2 2 3 2 4 12" xfId="10780" xr:uid="{CD5225F6-42F8-49BD-8859-5DE70CED7E77}"/>
    <cellStyle name="Normal 4 2 2 3 2 4 12 2" xfId="20728" xr:uid="{16CE81F8-EFBE-4DFF-A5F3-D5C1B8DA80A5}"/>
    <cellStyle name="Normal 4 2 2 3 2 4 13" xfId="1661" xr:uid="{31E85FA6-E11E-4746-95EC-767BEA98CED0}"/>
    <cellStyle name="Normal 4 2 2 3 2 4 14" xfId="11609" xr:uid="{EBFBE938-87E3-4769-A8CE-4AF5EC4F3285}"/>
    <cellStyle name="Normal 4 2 2 3 2 4 2" xfId="2490" xr:uid="{490FD6AF-1A3D-4D30-BA84-55FD98C614EA}"/>
    <cellStyle name="Normal 4 2 2 3 2 4 2 2" xfId="12438" xr:uid="{F542FE78-2A6E-4856-9820-8BFD304468F4}"/>
    <cellStyle name="Normal 4 2 2 3 2 4 3" xfId="3319" xr:uid="{BEE41BBC-FB98-4675-8081-BF7477729C61}"/>
    <cellStyle name="Normal 4 2 2 3 2 4 3 2" xfId="13267" xr:uid="{90689681-F9B4-48F4-8601-FD76D198A2F0}"/>
    <cellStyle name="Normal 4 2 2 3 2 4 4" xfId="4148" xr:uid="{64607B60-131C-4148-99BE-7A2CB3857B7B}"/>
    <cellStyle name="Normal 4 2 2 3 2 4 4 2" xfId="14096" xr:uid="{6A052974-2B91-4701-80C9-B0B4E2A7B6B3}"/>
    <cellStyle name="Normal 4 2 2 3 2 4 5" xfId="4977" xr:uid="{DD97799D-13A3-49E0-8DC6-79D569E19748}"/>
    <cellStyle name="Normal 4 2 2 3 2 4 5 2" xfId="14925" xr:uid="{005BAB0E-5BF9-48A3-8B39-D64243902C4E}"/>
    <cellStyle name="Normal 4 2 2 3 2 4 6" xfId="5806" xr:uid="{36BEF09A-C688-4AF7-B1AF-017A536F36B1}"/>
    <cellStyle name="Normal 4 2 2 3 2 4 6 2" xfId="15754" xr:uid="{5B5566A3-B358-4A93-9754-5800A77B6CDD}"/>
    <cellStyle name="Normal 4 2 2 3 2 4 7" xfId="6635" xr:uid="{3B76E07C-7101-49FD-B8C1-B42EBB1E1041}"/>
    <cellStyle name="Normal 4 2 2 3 2 4 7 2" xfId="16583" xr:uid="{16AC6BDB-30E0-4898-B49E-55FD578E8D80}"/>
    <cellStyle name="Normal 4 2 2 3 2 4 8" xfId="7464" xr:uid="{7F159252-DEEB-47C9-B764-8E8621EE8E30}"/>
    <cellStyle name="Normal 4 2 2 3 2 4 8 2" xfId="17412" xr:uid="{BD25D2CE-97DB-4C61-AA52-7D481C10BF19}"/>
    <cellStyle name="Normal 4 2 2 3 2 4 9" xfId="8293" xr:uid="{682B040F-EBCA-42E1-8B02-4690E932597D}"/>
    <cellStyle name="Normal 4 2 2 3 2 4 9 2" xfId="18241" xr:uid="{931129C2-F00E-4E48-9ABE-A4B48C98A005}"/>
    <cellStyle name="Normal 4 2 2 3 2 5" xfId="2074" xr:uid="{FA15B04C-6918-4965-AEB2-4B2452B5AD0E}"/>
    <cellStyle name="Normal 4 2 2 3 2 5 2" xfId="12022" xr:uid="{ADBD7EB7-7185-492B-8E41-D5996DB5B162}"/>
    <cellStyle name="Normal 4 2 2 3 2 6" xfId="2903" xr:uid="{D55A34D6-2840-4035-BC66-003BC20CFF87}"/>
    <cellStyle name="Normal 4 2 2 3 2 6 2" xfId="12851" xr:uid="{D276B99C-F567-4631-B03A-D882C5677EB4}"/>
    <cellStyle name="Normal 4 2 2 3 2 7" xfId="3732" xr:uid="{6249C341-37E5-4421-839E-DDB1D19910A8}"/>
    <cellStyle name="Normal 4 2 2 3 2 7 2" xfId="13680" xr:uid="{AE4C0797-FE23-460C-9D22-8354A2D594F0}"/>
    <cellStyle name="Normal 4 2 2 3 2 8" xfId="4561" xr:uid="{6A2B22A4-18C7-4340-BF47-8640295E75A9}"/>
    <cellStyle name="Normal 4 2 2 3 2 8 2" xfId="14509" xr:uid="{7BE66BC9-EB19-4FC4-9807-50CCDDBC716B}"/>
    <cellStyle name="Normal 4 2 2 3 2 9" xfId="5390" xr:uid="{F5E6B7A9-2CF3-4017-8BCA-B436944F3DB2}"/>
    <cellStyle name="Normal 4 2 2 3 2 9 2" xfId="15338" xr:uid="{6DD7767E-9B0B-473D-8162-B1EEA1ECA443}"/>
    <cellStyle name="Normal 4 2 2 3 3" xfId="347" xr:uid="{00000000-0005-0000-0000-000057020000}"/>
    <cellStyle name="Normal 4 2 2 3 3 10" xfId="7052" xr:uid="{4F5F19FA-5E5F-4853-BDAF-3AE8038414EE}"/>
    <cellStyle name="Normal 4 2 2 3 3 10 2" xfId="17000" xr:uid="{1E9B9B15-FD91-4951-A3E1-DD76CB403F89}"/>
    <cellStyle name="Normal 4 2 2 3 3 11" xfId="7881" xr:uid="{9321A788-61E1-4D4B-B080-753A75756E6E}"/>
    <cellStyle name="Normal 4 2 2 3 3 11 2" xfId="17829" xr:uid="{E7CB5C41-2412-4FB6-8FCD-DA9AAD63A699}"/>
    <cellStyle name="Normal 4 2 2 3 3 12" xfId="8710" xr:uid="{30E9948D-01F1-4907-B17C-E8367F670CB8}"/>
    <cellStyle name="Normal 4 2 2 3 3 12 2" xfId="18658" xr:uid="{C89160C0-C786-46F9-A9C1-CB2E9A632315}"/>
    <cellStyle name="Normal 4 2 2 3 3 13" xfId="9539" xr:uid="{39F31D76-0C8F-4693-8211-C5D81837D57D}"/>
    <cellStyle name="Normal 4 2 2 3 3 13 2" xfId="19487" xr:uid="{95879A57-81EA-460D-98F9-15569A749B03}"/>
    <cellStyle name="Normal 4 2 2 3 3 14" xfId="10368" xr:uid="{C9678EAF-0480-4FCB-98BD-1A80C5A389DE}"/>
    <cellStyle name="Normal 4 2 2 3 3 14 2" xfId="20316" xr:uid="{10D95A9F-8FFE-43D8-AD89-74F8C8363B7D}"/>
    <cellStyle name="Normal 4 2 2 3 3 15" xfId="1249" xr:uid="{391628C9-B55A-4B63-9232-B00E306B3669}"/>
    <cellStyle name="Normal 4 2 2 3 3 16" xfId="11197" xr:uid="{457EFAD3-9046-413F-8823-E6C563148F0E}"/>
    <cellStyle name="Normal 4 2 2 3 3 2" xfId="348" xr:uid="{00000000-0005-0000-0000-000058020000}"/>
    <cellStyle name="Normal 4 2 2 3 3 2 10" xfId="7882" xr:uid="{5E7C9586-AA64-476E-A5B2-BD6ADFB9C82D}"/>
    <cellStyle name="Normal 4 2 2 3 3 2 10 2" xfId="17830" xr:uid="{ABBBE995-B5BD-4E27-BAE4-383D784D7575}"/>
    <cellStyle name="Normal 4 2 2 3 3 2 11" xfId="8711" xr:uid="{571C292D-8F70-43DB-B2E4-1D8428A9FB96}"/>
    <cellStyle name="Normal 4 2 2 3 3 2 11 2" xfId="18659" xr:uid="{6DB03251-F529-42D2-A141-8A88FC107B4F}"/>
    <cellStyle name="Normal 4 2 2 3 3 2 12" xfId="9540" xr:uid="{09D26E59-B68E-4AA6-B201-F7BA1AA4CF20}"/>
    <cellStyle name="Normal 4 2 2 3 3 2 12 2" xfId="19488" xr:uid="{80AD2BC0-ECDA-4A53-9E41-8598EC4E7EEC}"/>
    <cellStyle name="Normal 4 2 2 3 3 2 13" xfId="10369" xr:uid="{5D3203F7-9DBA-46A7-99B6-5A3B644F5CFB}"/>
    <cellStyle name="Normal 4 2 2 3 3 2 13 2" xfId="20317" xr:uid="{A0B859CF-7B54-4E7B-9114-9CC9B2F53692}"/>
    <cellStyle name="Normal 4 2 2 3 3 2 14" xfId="1250" xr:uid="{F5D3CB45-C802-466C-BB0D-DFA26802872D}"/>
    <cellStyle name="Normal 4 2 2 3 3 2 15" xfId="11198" xr:uid="{F22BA835-67EF-4B9B-A365-10D37CE82F5F}"/>
    <cellStyle name="Normal 4 2 2 3 3 2 2" xfId="830" xr:uid="{00000000-0005-0000-0000-000059020000}"/>
    <cellStyle name="Normal 4 2 2 3 3 2 2 10" xfId="9127" xr:uid="{81C442CD-9740-486F-9E90-488D1DF3910D}"/>
    <cellStyle name="Normal 4 2 2 3 3 2 2 10 2" xfId="19075" xr:uid="{ADC46069-7E68-47E6-B12C-3E14AE1A61C6}"/>
    <cellStyle name="Normal 4 2 2 3 3 2 2 11" xfId="9956" xr:uid="{448485C2-A56F-4D73-9F0D-878E85328680}"/>
    <cellStyle name="Normal 4 2 2 3 3 2 2 11 2" xfId="19904" xr:uid="{D8DF8D99-435D-4846-ACD0-AA774E6CCFC8}"/>
    <cellStyle name="Normal 4 2 2 3 3 2 2 12" xfId="10785" xr:uid="{AA5F272D-CB2E-4468-A5DE-E5ED3A951D5F}"/>
    <cellStyle name="Normal 4 2 2 3 3 2 2 12 2" xfId="20733" xr:uid="{A0153369-6BC6-4B87-932B-79B4BD2F8D7F}"/>
    <cellStyle name="Normal 4 2 2 3 3 2 2 13" xfId="1666" xr:uid="{E588AEF4-500F-437D-8A26-CC46A46EA5B5}"/>
    <cellStyle name="Normal 4 2 2 3 3 2 2 14" xfId="11614" xr:uid="{57B85893-248A-43F0-9C8A-D2475358CB32}"/>
    <cellStyle name="Normal 4 2 2 3 3 2 2 2" xfId="2495" xr:uid="{6CE0B044-7EED-4C14-80DC-75F299B4039A}"/>
    <cellStyle name="Normal 4 2 2 3 3 2 2 2 2" xfId="12443" xr:uid="{D5D4F3E1-3A9D-43EF-A36F-17EFB1182DC2}"/>
    <cellStyle name="Normal 4 2 2 3 3 2 2 3" xfId="3324" xr:uid="{ED9BD2B0-3011-4FE2-9F74-297906A155CC}"/>
    <cellStyle name="Normal 4 2 2 3 3 2 2 3 2" xfId="13272" xr:uid="{E42B6FE6-275F-4C79-BA31-C8728DFC014A}"/>
    <cellStyle name="Normal 4 2 2 3 3 2 2 4" xfId="4153" xr:uid="{7E52EAC0-EBDA-4817-97C2-2FFA6ECAE7BA}"/>
    <cellStyle name="Normal 4 2 2 3 3 2 2 4 2" xfId="14101" xr:uid="{B98FDAAE-56D4-45C6-A767-114427C218E5}"/>
    <cellStyle name="Normal 4 2 2 3 3 2 2 5" xfId="4982" xr:uid="{4C1BAA72-231C-4F50-AED8-509E36E3E768}"/>
    <cellStyle name="Normal 4 2 2 3 3 2 2 5 2" xfId="14930" xr:uid="{843902D4-BDDC-4E20-9DE3-0538D4914CC4}"/>
    <cellStyle name="Normal 4 2 2 3 3 2 2 6" xfId="5811" xr:uid="{295319BB-53BE-4CEB-B9B9-65666CB395DA}"/>
    <cellStyle name="Normal 4 2 2 3 3 2 2 6 2" xfId="15759" xr:uid="{AAD2C03C-16B8-4247-9F68-8C28B4492DE1}"/>
    <cellStyle name="Normal 4 2 2 3 3 2 2 7" xfId="6640" xr:uid="{72890249-C5A9-4DAC-84D1-BEAB24535A44}"/>
    <cellStyle name="Normal 4 2 2 3 3 2 2 7 2" xfId="16588" xr:uid="{FDB454A2-4AA2-469A-B2DB-3A51025ECFE9}"/>
    <cellStyle name="Normal 4 2 2 3 3 2 2 8" xfId="7469" xr:uid="{9E2BE0C1-B046-4BA3-B659-DEC1CBD3C2EC}"/>
    <cellStyle name="Normal 4 2 2 3 3 2 2 8 2" xfId="17417" xr:uid="{88A374AB-BEFD-49E4-B197-F3FB35C1E67B}"/>
    <cellStyle name="Normal 4 2 2 3 3 2 2 9" xfId="8298" xr:uid="{F027A007-B509-4B9A-AA79-8A55439E3769}"/>
    <cellStyle name="Normal 4 2 2 3 3 2 2 9 2" xfId="18246" xr:uid="{066C1BF6-86D2-442F-BE55-A05321C7C33A}"/>
    <cellStyle name="Normal 4 2 2 3 3 2 3" xfId="2079" xr:uid="{62C8CCB2-0249-4065-A6FC-5E7FB5A99C79}"/>
    <cellStyle name="Normal 4 2 2 3 3 2 3 2" xfId="12027" xr:uid="{0B54B6F2-8386-49A7-99E4-E012CE711737}"/>
    <cellStyle name="Normal 4 2 2 3 3 2 4" xfId="2908" xr:uid="{24F84A9D-4B8F-40F3-B0B0-174BD215756F}"/>
    <cellStyle name="Normal 4 2 2 3 3 2 4 2" xfId="12856" xr:uid="{D7A3AE37-817E-4F30-A2BA-5605C626D61D}"/>
    <cellStyle name="Normal 4 2 2 3 3 2 5" xfId="3737" xr:uid="{1BA78C96-77C3-40F9-A523-8005D0FA5F15}"/>
    <cellStyle name="Normal 4 2 2 3 3 2 5 2" xfId="13685" xr:uid="{A0E7A0D0-BA1A-4FD8-90FC-CCDB48BE291B}"/>
    <cellStyle name="Normal 4 2 2 3 3 2 6" xfId="4566" xr:uid="{913CDDFA-5B39-4478-A3BB-EEA81BAD29B8}"/>
    <cellStyle name="Normal 4 2 2 3 3 2 6 2" xfId="14514" xr:uid="{1E446EC0-DF6D-4A87-9DB8-4EF14C818CA7}"/>
    <cellStyle name="Normal 4 2 2 3 3 2 7" xfId="5395" xr:uid="{F2B7216F-36D9-4085-83AF-F3B6C1D14AA6}"/>
    <cellStyle name="Normal 4 2 2 3 3 2 7 2" xfId="15343" xr:uid="{E26F7DA1-964D-4947-AD6C-438BBA8035B6}"/>
    <cellStyle name="Normal 4 2 2 3 3 2 8" xfId="6224" xr:uid="{5BD0C4E4-4675-40DB-8268-5FF7828CE10A}"/>
    <cellStyle name="Normal 4 2 2 3 3 2 8 2" xfId="16172" xr:uid="{C936B70D-BA6E-4C00-8B9A-EC9138B681CB}"/>
    <cellStyle name="Normal 4 2 2 3 3 2 9" xfId="7053" xr:uid="{091F3F9A-8BC6-44E8-A257-4D206F2115FE}"/>
    <cellStyle name="Normal 4 2 2 3 3 2 9 2" xfId="17001" xr:uid="{7332CE43-91D4-4B73-AD28-2160EF7A04AD}"/>
    <cellStyle name="Normal 4 2 2 3 3 3" xfId="829" xr:uid="{00000000-0005-0000-0000-00005A020000}"/>
    <cellStyle name="Normal 4 2 2 3 3 3 10" xfId="9126" xr:uid="{A3356D53-08D8-49B2-8A5E-526E3BB324FB}"/>
    <cellStyle name="Normal 4 2 2 3 3 3 10 2" xfId="19074" xr:uid="{5EBD9738-BE25-409F-8BA8-D37BD79788FD}"/>
    <cellStyle name="Normal 4 2 2 3 3 3 11" xfId="9955" xr:uid="{AA48DB53-57AF-4731-8536-850DDDCD8D1B}"/>
    <cellStyle name="Normal 4 2 2 3 3 3 11 2" xfId="19903" xr:uid="{922F60C0-993E-438A-AAA3-9A36E334EB0C}"/>
    <cellStyle name="Normal 4 2 2 3 3 3 12" xfId="10784" xr:uid="{0EB93896-543D-4B21-A687-3BF874F2F90A}"/>
    <cellStyle name="Normal 4 2 2 3 3 3 12 2" xfId="20732" xr:uid="{7CEFF782-D629-4C08-958C-315B818CACDC}"/>
    <cellStyle name="Normal 4 2 2 3 3 3 13" xfId="1665" xr:uid="{33762D55-ED3A-491E-A958-0E9C4A2AA7FE}"/>
    <cellStyle name="Normal 4 2 2 3 3 3 14" xfId="11613" xr:uid="{7C6BF4CC-540C-4298-848C-F3ABC9A78C94}"/>
    <cellStyle name="Normal 4 2 2 3 3 3 2" xfId="2494" xr:uid="{66D8CA2C-5C65-40BB-A82F-851DBBD304A4}"/>
    <cellStyle name="Normal 4 2 2 3 3 3 2 2" xfId="12442" xr:uid="{65D3447A-4492-4AEC-9C35-65E1750FB025}"/>
    <cellStyle name="Normal 4 2 2 3 3 3 3" xfId="3323" xr:uid="{23AF296A-39B8-4405-9133-5B0D900FAAB0}"/>
    <cellStyle name="Normal 4 2 2 3 3 3 3 2" xfId="13271" xr:uid="{D1E9F2AA-C0F5-4750-A866-C7A4D204990F}"/>
    <cellStyle name="Normal 4 2 2 3 3 3 4" xfId="4152" xr:uid="{9AAC3D0B-DE76-4356-A27C-E8502B6BA3A2}"/>
    <cellStyle name="Normal 4 2 2 3 3 3 4 2" xfId="14100" xr:uid="{30914FC4-5C05-4B1F-8D05-CC640A7B1FD0}"/>
    <cellStyle name="Normal 4 2 2 3 3 3 5" xfId="4981" xr:uid="{425B3592-6D8B-4060-83C5-015301445B77}"/>
    <cellStyle name="Normal 4 2 2 3 3 3 5 2" xfId="14929" xr:uid="{D294C2C2-F1E6-44AD-AD6C-231356198ADE}"/>
    <cellStyle name="Normal 4 2 2 3 3 3 6" xfId="5810" xr:uid="{BF295E18-E215-4DF3-90E4-D5923E1B8308}"/>
    <cellStyle name="Normal 4 2 2 3 3 3 6 2" xfId="15758" xr:uid="{29AB9A13-5BE2-479F-A3C8-284F7C02FE8D}"/>
    <cellStyle name="Normal 4 2 2 3 3 3 7" xfId="6639" xr:uid="{68CD72DD-0DA0-4A93-B9BC-0C4A446041D9}"/>
    <cellStyle name="Normal 4 2 2 3 3 3 7 2" xfId="16587" xr:uid="{99096A1D-1C73-4E3B-B2FB-018C27B76592}"/>
    <cellStyle name="Normal 4 2 2 3 3 3 8" xfId="7468" xr:uid="{9047FEA8-94AB-46B1-B0C4-5EF0D397004B}"/>
    <cellStyle name="Normal 4 2 2 3 3 3 8 2" xfId="17416" xr:uid="{87B932E5-DA3B-469E-A484-38C3BD1D1E0F}"/>
    <cellStyle name="Normal 4 2 2 3 3 3 9" xfId="8297" xr:uid="{388C9CBF-4FA8-44A9-8359-FC852C324274}"/>
    <cellStyle name="Normal 4 2 2 3 3 3 9 2" xfId="18245" xr:uid="{720B11D2-735D-4503-BFCD-0FFBC0788AF0}"/>
    <cellStyle name="Normal 4 2 2 3 3 4" xfId="2078" xr:uid="{97590645-6363-4BDC-B79D-DC0F53A8DBE6}"/>
    <cellStyle name="Normal 4 2 2 3 3 4 2" xfId="12026" xr:uid="{EDCF284D-95F1-4162-8A88-CD77EFAD45E6}"/>
    <cellStyle name="Normal 4 2 2 3 3 5" xfId="2907" xr:uid="{8EBF5487-31D9-4F0E-A09F-4AE26B85A697}"/>
    <cellStyle name="Normal 4 2 2 3 3 5 2" xfId="12855" xr:uid="{9C37221A-367B-40B9-B863-14156AC603DC}"/>
    <cellStyle name="Normal 4 2 2 3 3 6" xfId="3736" xr:uid="{EFCCA172-0193-49E7-9343-22A4EB1698F8}"/>
    <cellStyle name="Normal 4 2 2 3 3 6 2" xfId="13684" xr:uid="{C89E608F-1E2E-45AA-8891-3205B2D8D2B4}"/>
    <cellStyle name="Normal 4 2 2 3 3 7" xfId="4565" xr:uid="{03968C08-3129-4F8C-8E14-0213FE7465D5}"/>
    <cellStyle name="Normal 4 2 2 3 3 7 2" xfId="14513" xr:uid="{80189907-6CAD-4E95-901B-BEA5B2A70E6D}"/>
    <cellStyle name="Normal 4 2 2 3 3 8" xfId="5394" xr:uid="{402982D1-CCDC-4D09-A507-2F8610E47A5B}"/>
    <cellStyle name="Normal 4 2 2 3 3 8 2" xfId="15342" xr:uid="{7CCBD873-C92D-4E9D-AA9B-5D6F3DB04C23}"/>
    <cellStyle name="Normal 4 2 2 3 3 9" xfId="6223" xr:uid="{7BA7F118-E909-4E4C-BD47-50162C51A7BA}"/>
    <cellStyle name="Normal 4 2 2 3 3 9 2" xfId="16171" xr:uid="{65D94ED8-63A9-4C1E-9CA2-8C64DC78CC72}"/>
    <cellStyle name="Normal 4 2 2 3 4" xfId="349" xr:uid="{00000000-0005-0000-0000-00005B020000}"/>
    <cellStyle name="Normal 4 2 2 3 4 10" xfId="7883" xr:uid="{4A3E94AF-499B-407A-8693-B8B5CF5F6C67}"/>
    <cellStyle name="Normal 4 2 2 3 4 10 2" xfId="17831" xr:uid="{FE2616EC-F413-4869-8A09-53F95EC76DA6}"/>
    <cellStyle name="Normal 4 2 2 3 4 11" xfId="8712" xr:uid="{148B75C7-C8F6-4162-AAE4-B6D4276479B2}"/>
    <cellStyle name="Normal 4 2 2 3 4 11 2" xfId="18660" xr:uid="{39DD3B6E-9203-4E7A-AC7C-7ED35760378E}"/>
    <cellStyle name="Normal 4 2 2 3 4 12" xfId="9541" xr:uid="{59239AE7-E9D2-422E-A4D6-A94E1A7981E8}"/>
    <cellStyle name="Normal 4 2 2 3 4 12 2" xfId="19489" xr:uid="{0D52D64D-FCB3-48C1-8916-8C0866C62FC7}"/>
    <cellStyle name="Normal 4 2 2 3 4 13" xfId="10370" xr:uid="{B7D29FD0-8A75-40B8-8F47-6E05A32D6685}"/>
    <cellStyle name="Normal 4 2 2 3 4 13 2" xfId="20318" xr:uid="{4D786FE9-AF1B-470E-A0B6-3BD64F825EAA}"/>
    <cellStyle name="Normal 4 2 2 3 4 14" xfId="1251" xr:uid="{B04760B1-92BC-4B77-AAC1-5F7DF8B7A4EF}"/>
    <cellStyle name="Normal 4 2 2 3 4 15" xfId="11199" xr:uid="{2B1CEBB8-F746-4D3F-B491-6B6E820B242F}"/>
    <cellStyle name="Normal 4 2 2 3 4 2" xfId="831" xr:uid="{00000000-0005-0000-0000-00005C020000}"/>
    <cellStyle name="Normal 4 2 2 3 4 2 10" xfId="9128" xr:uid="{075EA791-E9BD-499D-8650-FDB0B9A0E1EF}"/>
    <cellStyle name="Normal 4 2 2 3 4 2 10 2" xfId="19076" xr:uid="{3BDF3A7C-4174-4982-B013-870E91967457}"/>
    <cellStyle name="Normal 4 2 2 3 4 2 11" xfId="9957" xr:uid="{2D97EB77-2296-4E55-A384-CA39C53EC842}"/>
    <cellStyle name="Normal 4 2 2 3 4 2 11 2" xfId="19905" xr:uid="{3D170008-13CF-448B-A914-D04CA3A94E86}"/>
    <cellStyle name="Normal 4 2 2 3 4 2 12" xfId="10786" xr:uid="{69AE6DF4-0B0E-4B42-A9B3-D1420B0E74F6}"/>
    <cellStyle name="Normal 4 2 2 3 4 2 12 2" xfId="20734" xr:uid="{B1A1D137-160F-42F7-8FE3-6889CD2237B2}"/>
    <cellStyle name="Normal 4 2 2 3 4 2 13" xfId="1667" xr:uid="{FB1F3DD7-0E27-4BEF-A1D4-B04849101883}"/>
    <cellStyle name="Normal 4 2 2 3 4 2 14" xfId="11615" xr:uid="{67924FFA-F62B-4ECB-8270-6C8CE927493C}"/>
    <cellStyle name="Normal 4 2 2 3 4 2 2" xfId="2496" xr:uid="{2AA7951C-FA0A-4745-9F55-38FECD5AF902}"/>
    <cellStyle name="Normal 4 2 2 3 4 2 2 2" xfId="12444" xr:uid="{D682B284-F362-4275-BD76-651E5B3222D6}"/>
    <cellStyle name="Normal 4 2 2 3 4 2 3" xfId="3325" xr:uid="{333D4EE9-4D74-4485-98BF-91DE2FB9B4B9}"/>
    <cellStyle name="Normal 4 2 2 3 4 2 3 2" xfId="13273" xr:uid="{7C3337AA-8D9B-4F08-8D56-1E3CBFA6256A}"/>
    <cellStyle name="Normal 4 2 2 3 4 2 4" xfId="4154" xr:uid="{ED9A7111-DEE9-4894-947E-5F00070E7CCE}"/>
    <cellStyle name="Normal 4 2 2 3 4 2 4 2" xfId="14102" xr:uid="{76DE9024-19DF-4D22-B0CD-3EDE2D3FCC90}"/>
    <cellStyle name="Normal 4 2 2 3 4 2 5" xfId="4983" xr:uid="{8980A9A5-F2DF-4C34-BE8C-0630B387CF32}"/>
    <cellStyle name="Normal 4 2 2 3 4 2 5 2" xfId="14931" xr:uid="{A98CA2D4-810E-4EFA-95D2-BC21101DAFBF}"/>
    <cellStyle name="Normal 4 2 2 3 4 2 6" xfId="5812" xr:uid="{2D2D0A9E-AFFB-4AE8-920F-0BFE7BEA2129}"/>
    <cellStyle name="Normal 4 2 2 3 4 2 6 2" xfId="15760" xr:uid="{080E6E19-8148-4E39-9748-3970B5D8D099}"/>
    <cellStyle name="Normal 4 2 2 3 4 2 7" xfId="6641" xr:uid="{1A75F984-C8DF-4CF0-B415-EF95B73098E0}"/>
    <cellStyle name="Normal 4 2 2 3 4 2 7 2" xfId="16589" xr:uid="{5A10F973-B5AB-4985-8C16-0A210913CE27}"/>
    <cellStyle name="Normal 4 2 2 3 4 2 8" xfId="7470" xr:uid="{2EC5AB7F-9C6E-4CDD-97E8-BB09CB51F852}"/>
    <cellStyle name="Normal 4 2 2 3 4 2 8 2" xfId="17418" xr:uid="{86A57C73-E748-4E12-8926-7A9E9F2CA70A}"/>
    <cellStyle name="Normal 4 2 2 3 4 2 9" xfId="8299" xr:uid="{F67F6708-855C-4819-A016-1D434B7C7B23}"/>
    <cellStyle name="Normal 4 2 2 3 4 2 9 2" xfId="18247" xr:uid="{E484BF5B-9FC6-4DD6-A3A6-EC3E17A1B0F6}"/>
    <cellStyle name="Normal 4 2 2 3 4 3" xfId="2080" xr:uid="{A44CDD6F-3CAE-4DB1-8C61-2C712E145E34}"/>
    <cellStyle name="Normal 4 2 2 3 4 3 2" xfId="12028" xr:uid="{67ABA30C-968B-49D5-BB4B-AE7BD95282FB}"/>
    <cellStyle name="Normal 4 2 2 3 4 4" xfId="2909" xr:uid="{B6140985-7DB1-4588-ADEA-4A43A3CD65A4}"/>
    <cellStyle name="Normal 4 2 2 3 4 4 2" xfId="12857" xr:uid="{1D18F10E-43FD-4147-B974-7FC5A511460E}"/>
    <cellStyle name="Normal 4 2 2 3 4 5" xfId="3738" xr:uid="{2EE5A4E9-B420-4856-8571-A64351C1F4F1}"/>
    <cellStyle name="Normal 4 2 2 3 4 5 2" xfId="13686" xr:uid="{11501FF3-63EF-4F99-9FF9-BE9CB5AB5BBA}"/>
    <cellStyle name="Normal 4 2 2 3 4 6" xfId="4567" xr:uid="{559FE2F4-359A-4DCE-A041-715BBC119661}"/>
    <cellStyle name="Normal 4 2 2 3 4 6 2" xfId="14515" xr:uid="{38373509-FF12-47F5-A9B6-F79FE2285AD1}"/>
    <cellStyle name="Normal 4 2 2 3 4 7" xfId="5396" xr:uid="{61AE5DE5-0D3D-4890-91C8-E04F21143850}"/>
    <cellStyle name="Normal 4 2 2 3 4 7 2" xfId="15344" xr:uid="{06C6779A-EEF4-4685-94D6-3289EC6FB0AC}"/>
    <cellStyle name="Normal 4 2 2 3 4 8" xfId="6225" xr:uid="{5A7E14F7-9AB0-4490-9F42-170DD05B4972}"/>
    <cellStyle name="Normal 4 2 2 3 4 8 2" xfId="16173" xr:uid="{DDF010BB-4EDF-41F9-81C4-EA0274D01F0E}"/>
    <cellStyle name="Normal 4 2 2 3 4 9" xfId="7054" xr:uid="{18C4892E-35CF-41B7-A08A-8D9FCBD1DA1F}"/>
    <cellStyle name="Normal 4 2 2 3 4 9 2" xfId="17002" xr:uid="{845A4974-7185-4ABB-A361-05024B56B457}"/>
    <cellStyle name="Normal 4 2 2 3 5" xfId="824" xr:uid="{00000000-0005-0000-0000-00005D020000}"/>
    <cellStyle name="Normal 4 2 2 3 5 10" xfId="9121" xr:uid="{9AFBD99E-2B77-4F64-807A-672AB51FCC8A}"/>
    <cellStyle name="Normal 4 2 2 3 5 10 2" xfId="19069" xr:uid="{7AA63490-5513-495C-8AB5-60A301E478DC}"/>
    <cellStyle name="Normal 4 2 2 3 5 11" xfId="9950" xr:uid="{DB2B820C-1660-4FF0-93DB-3F9D9711E066}"/>
    <cellStyle name="Normal 4 2 2 3 5 11 2" xfId="19898" xr:uid="{8E26B8BB-7898-48F5-B943-E942B09BDC8F}"/>
    <cellStyle name="Normal 4 2 2 3 5 12" xfId="10779" xr:uid="{9938A399-1590-490D-A3D9-086BA1FF0D95}"/>
    <cellStyle name="Normal 4 2 2 3 5 12 2" xfId="20727" xr:uid="{52F46A5A-4E7C-4AEF-B196-2BF56078DFD8}"/>
    <cellStyle name="Normal 4 2 2 3 5 13" xfId="1660" xr:uid="{B97363A6-3AD3-43F4-845D-3674A01FFB7D}"/>
    <cellStyle name="Normal 4 2 2 3 5 14" xfId="11608" xr:uid="{8635FE00-5D70-45FE-A7D9-AD2839E474CA}"/>
    <cellStyle name="Normal 4 2 2 3 5 2" xfId="2489" xr:uid="{25AE0452-CD64-4C67-8244-03F9347E0324}"/>
    <cellStyle name="Normal 4 2 2 3 5 2 2" xfId="12437" xr:uid="{E28DC2AF-1D20-4BC6-9751-8D3D6DD42599}"/>
    <cellStyle name="Normal 4 2 2 3 5 3" xfId="3318" xr:uid="{E58EC843-4A1B-4257-B90F-B57424E8631F}"/>
    <cellStyle name="Normal 4 2 2 3 5 3 2" xfId="13266" xr:uid="{B2F2A24E-281D-4266-A7B5-BB9A2D5266BB}"/>
    <cellStyle name="Normal 4 2 2 3 5 4" xfId="4147" xr:uid="{1ADDB2D7-C737-4578-A9E1-CE5058898522}"/>
    <cellStyle name="Normal 4 2 2 3 5 4 2" xfId="14095" xr:uid="{EFF74DF0-F4F2-4BF5-9572-D4267303FD85}"/>
    <cellStyle name="Normal 4 2 2 3 5 5" xfId="4976" xr:uid="{1BFB0D7C-1A3A-4E7C-AB7B-F8427C517619}"/>
    <cellStyle name="Normal 4 2 2 3 5 5 2" xfId="14924" xr:uid="{9E024397-F80B-4090-9651-4197AF378104}"/>
    <cellStyle name="Normal 4 2 2 3 5 6" xfId="5805" xr:uid="{5630AAE2-658F-4F15-BF3C-8C8B3E0B92CD}"/>
    <cellStyle name="Normal 4 2 2 3 5 6 2" xfId="15753" xr:uid="{2E15F7E7-3BD8-4E72-9306-DB5ADDAA4F4C}"/>
    <cellStyle name="Normal 4 2 2 3 5 7" xfId="6634" xr:uid="{12AC5D0A-C436-4B73-BA6D-B0DE2666E209}"/>
    <cellStyle name="Normal 4 2 2 3 5 7 2" xfId="16582" xr:uid="{67426834-D6E8-46E8-B1D9-C8F20A320E48}"/>
    <cellStyle name="Normal 4 2 2 3 5 8" xfId="7463" xr:uid="{3BBA2369-1C9C-4A76-A05E-F724B2B7C841}"/>
    <cellStyle name="Normal 4 2 2 3 5 8 2" xfId="17411" xr:uid="{88B45828-37AB-433A-9219-D4B7D94726C6}"/>
    <cellStyle name="Normal 4 2 2 3 5 9" xfId="8292" xr:uid="{50ABBB20-D3E8-4CCB-9ED8-8C9600EAFD77}"/>
    <cellStyle name="Normal 4 2 2 3 5 9 2" xfId="18240" xr:uid="{25932653-D1E6-47F3-8799-5069939956A1}"/>
    <cellStyle name="Normal 4 2 2 3 6" xfId="2073" xr:uid="{7A73E1C8-4916-43FB-8681-27CDAF4185B7}"/>
    <cellStyle name="Normal 4 2 2 3 6 2" xfId="12021" xr:uid="{6C6417D5-642A-4D95-81E1-177DF729F861}"/>
    <cellStyle name="Normal 4 2 2 3 7" xfId="2902" xr:uid="{AD934BE4-F26D-4821-90A6-0AD22A2DC1D7}"/>
    <cellStyle name="Normal 4 2 2 3 7 2" xfId="12850" xr:uid="{52807A19-555D-4E90-B4F7-284CADB1248A}"/>
    <cellStyle name="Normal 4 2 2 3 8" xfId="3731" xr:uid="{6A042499-6CF7-4ACF-A95C-69092C3BCD3E}"/>
    <cellStyle name="Normal 4 2 2 3 8 2" xfId="13679" xr:uid="{391B3EE9-FA25-45EE-AA3A-BC0D4DEDF250}"/>
    <cellStyle name="Normal 4 2 2 3 9" xfId="4560" xr:uid="{D93AA5C9-7038-4273-BD6F-200E8B9C3B45}"/>
    <cellStyle name="Normal 4 2 2 3 9 2" xfId="14508" xr:uid="{FF60C1EC-9091-4C45-B08D-7F93133BE5C9}"/>
    <cellStyle name="Normal 4 2 2 4" xfId="350" xr:uid="{00000000-0005-0000-0000-00005E020000}"/>
    <cellStyle name="Normal 4 2 2 4 10" xfId="6226" xr:uid="{DCAF31F1-963A-4572-AB51-210F96F16375}"/>
    <cellStyle name="Normal 4 2 2 4 10 2" xfId="16174" xr:uid="{1747A7FA-9FD1-4259-A5E2-3F0B024CAB33}"/>
    <cellStyle name="Normal 4 2 2 4 11" xfId="7055" xr:uid="{E6E412F7-6A30-4531-A29D-ADE48A57375B}"/>
    <cellStyle name="Normal 4 2 2 4 11 2" xfId="17003" xr:uid="{DEC853FC-3356-4B97-8327-C4AB710C8070}"/>
    <cellStyle name="Normal 4 2 2 4 12" xfId="7884" xr:uid="{5452A8EC-953E-457D-B3BC-460B742D4ED1}"/>
    <cellStyle name="Normal 4 2 2 4 12 2" xfId="17832" xr:uid="{878CE2B8-76CA-4BE3-9414-FA9E581A875D}"/>
    <cellStyle name="Normal 4 2 2 4 13" xfId="8713" xr:uid="{05DB169E-9390-4BFC-8637-7F5A1EC548C1}"/>
    <cellStyle name="Normal 4 2 2 4 13 2" xfId="18661" xr:uid="{BA2C36E4-DCAF-44CA-A861-BB05C924C6A0}"/>
    <cellStyle name="Normal 4 2 2 4 14" xfId="9542" xr:uid="{C280B618-D67D-4604-B133-455D815B3917}"/>
    <cellStyle name="Normal 4 2 2 4 14 2" xfId="19490" xr:uid="{F60815A3-BA9F-4A9F-9DED-8D1CC738FB9D}"/>
    <cellStyle name="Normal 4 2 2 4 15" xfId="10371" xr:uid="{BD62B736-E579-4AA3-B010-3C40E8F1EA8E}"/>
    <cellStyle name="Normal 4 2 2 4 15 2" xfId="20319" xr:uid="{D2CB3CB4-4E0D-4A2B-95E6-41CEC055D9F5}"/>
    <cellStyle name="Normal 4 2 2 4 16" xfId="1252" xr:uid="{C4BC5F19-6F72-40B9-A573-D0981E1D8F8E}"/>
    <cellStyle name="Normal 4 2 2 4 17" xfId="11200" xr:uid="{BFD841E2-846A-4820-A389-948151AC10A1}"/>
    <cellStyle name="Normal 4 2 2 4 2" xfId="351" xr:uid="{00000000-0005-0000-0000-00005F020000}"/>
    <cellStyle name="Normal 4 2 2 4 2 10" xfId="7056" xr:uid="{7D1CB1B4-9F62-489C-ACE2-D4EB41428CE6}"/>
    <cellStyle name="Normal 4 2 2 4 2 10 2" xfId="17004" xr:uid="{0F2D4649-6C56-44C1-95DE-E46F782B381C}"/>
    <cellStyle name="Normal 4 2 2 4 2 11" xfId="7885" xr:uid="{BD416474-3DA6-4A8D-9468-0556F8541C2D}"/>
    <cellStyle name="Normal 4 2 2 4 2 11 2" xfId="17833" xr:uid="{76DC1C1A-21ED-4C88-93A3-2900B0C2D847}"/>
    <cellStyle name="Normal 4 2 2 4 2 12" xfId="8714" xr:uid="{29FFAAB7-D246-4852-A509-FF7B805FA43A}"/>
    <cellStyle name="Normal 4 2 2 4 2 12 2" xfId="18662" xr:uid="{EAB6A910-BFD1-4BA2-8385-5D2A27D89540}"/>
    <cellStyle name="Normal 4 2 2 4 2 13" xfId="9543" xr:uid="{9E7EF630-0918-4398-827A-5135C8A22027}"/>
    <cellStyle name="Normal 4 2 2 4 2 13 2" xfId="19491" xr:uid="{46A5FFF9-0D0B-4573-9AB7-F4E41501842F}"/>
    <cellStyle name="Normal 4 2 2 4 2 14" xfId="10372" xr:uid="{48209F8F-B518-4302-9EE6-8513A820D61C}"/>
    <cellStyle name="Normal 4 2 2 4 2 14 2" xfId="20320" xr:uid="{39A145AE-65E9-4625-AAD6-59860E70F989}"/>
    <cellStyle name="Normal 4 2 2 4 2 15" xfId="1253" xr:uid="{376E0785-E13D-4246-8460-571A71E62F22}"/>
    <cellStyle name="Normal 4 2 2 4 2 16" xfId="11201" xr:uid="{F334C8FE-543D-400D-A72A-B79585B975AB}"/>
    <cellStyle name="Normal 4 2 2 4 2 2" xfId="352" xr:uid="{00000000-0005-0000-0000-000060020000}"/>
    <cellStyle name="Normal 4 2 2 4 2 2 10" xfId="7886" xr:uid="{EC46504B-820E-42FA-8A27-07AD066F2867}"/>
    <cellStyle name="Normal 4 2 2 4 2 2 10 2" xfId="17834" xr:uid="{C3BA5B89-8BA0-420F-B7A6-85E335A9BD66}"/>
    <cellStyle name="Normal 4 2 2 4 2 2 11" xfId="8715" xr:uid="{85C1147B-15B2-47F4-827E-C8F88DC399DE}"/>
    <cellStyle name="Normal 4 2 2 4 2 2 11 2" xfId="18663" xr:uid="{A0F7ACCA-C92F-43AF-95C5-23F2B7EFCBB6}"/>
    <cellStyle name="Normal 4 2 2 4 2 2 12" xfId="9544" xr:uid="{49B45363-BCFF-408B-BC75-E3BE8D91048B}"/>
    <cellStyle name="Normal 4 2 2 4 2 2 12 2" xfId="19492" xr:uid="{DE2E3EDD-A66E-4C6C-9B36-B6DC3F8B5E94}"/>
    <cellStyle name="Normal 4 2 2 4 2 2 13" xfId="10373" xr:uid="{D2E7E8D6-4EFD-4430-925A-678FDC6F9DB3}"/>
    <cellStyle name="Normal 4 2 2 4 2 2 13 2" xfId="20321" xr:uid="{67A950FE-37FD-4439-A57F-E407123410A0}"/>
    <cellStyle name="Normal 4 2 2 4 2 2 14" xfId="1254" xr:uid="{FA28588A-8788-497D-9441-AA500B742843}"/>
    <cellStyle name="Normal 4 2 2 4 2 2 15" xfId="11202" xr:uid="{4CD8C915-9845-4709-B4FA-D4B2D9D93E68}"/>
    <cellStyle name="Normal 4 2 2 4 2 2 2" xfId="834" xr:uid="{00000000-0005-0000-0000-000061020000}"/>
    <cellStyle name="Normal 4 2 2 4 2 2 2 10" xfId="9131" xr:uid="{A4D99070-984E-4C08-9BDC-672A338258A0}"/>
    <cellStyle name="Normal 4 2 2 4 2 2 2 10 2" xfId="19079" xr:uid="{273FBB01-64CF-4D5D-9309-3373CA152F60}"/>
    <cellStyle name="Normal 4 2 2 4 2 2 2 11" xfId="9960" xr:uid="{DF98A4CD-B352-4F9E-B8CA-FBC90EBF5752}"/>
    <cellStyle name="Normal 4 2 2 4 2 2 2 11 2" xfId="19908" xr:uid="{48291FB1-0868-4234-A24A-BDAE5131E455}"/>
    <cellStyle name="Normal 4 2 2 4 2 2 2 12" xfId="10789" xr:uid="{44A728C8-B92D-4ACB-85BE-CAB7CB4CD74E}"/>
    <cellStyle name="Normal 4 2 2 4 2 2 2 12 2" xfId="20737" xr:uid="{AE4BE0CC-C810-44D3-A058-66B85A0A2E6C}"/>
    <cellStyle name="Normal 4 2 2 4 2 2 2 13" xfId="1670" xr:uid="{B1F9D6D6-82D2-4AB9-A702-AB06B3CB9C0E}"/>
    <cellStyle name="Normal 4 2 2 4 2 2 2 14" xfId="11618" xr:uid="{A7665C4E-39D8-459B-B2AB-C87746E0E05B}"/>
    <cellStyle name="Normal 4 2 2 4 2 2 2 2" xfId="2499" xr:uid="{025B1EB0-D5C0-4EA2-A27E-0E068A177836}"/>
    <cellStyle name="Normal 4 2 2 4 2 2 2 2 2" xfId="12447" xr:uid="{1A78BBA8-F417-4E2F-AEDE-B2E5FE53386E}"/>
    <cellStyle name="Normal 4 2 2 4 2 2 2 3" xfId="3328" xr:uid="{A6AE0A9F-FD65-4F51-8D62-840DFDCF2ECF}"/>
    <cellStyle name="Normal 4 2 2 4 2 2 2 3 2" xfId="13276" xr:uid="{B6248308-259C-447C-83C8-357E1AADBC53}"/>
    <cellStyle name="Normal 4 2 2 4 2 2 2 4" xfId="4157" xr:uid="{84B8D653-9B45-437F-A50C-AC2B0DB83C8A}"/>
    <cellStyle name="Normal 4 2 2 4 2 2 2 4 2" xfId="14105" xr:uid="{B81B962A-D6A7-41D4-A47A-BFA604F15AF5}"/>
    <cellStyle name="Normal 4 2 2 4 2 2 2 5" xfId="4986" xr:uid="{28C97A24-F200-41EC-A6AF-22E0190D63D4}"/>
    <cellStyle name="Normal 4 2 2 4 2 2 2 5 2" xfId="14934" xr:uid="{0FA6F693-BE52-45CE-898F-3A755417078D}"/>
    <cellStyle name="Normal 4 2 2 4 2 2 2 6" xfId="5815" xr:uid="{246D00BA-44CA-47F6-8DDA-9A90E5E17C6E}"/>
    <cellStyle name="Normal 4 2 2 4 2 2 2 6 2" xfId="15763" xr:uid="{2F7E7400-7B7A-437A-BF06-A38B586E0D27}"/>
    <cellStyle name="Normal 4 2 2 4 2 2 2 7" xfId="6644" xr:uid="{52860A11-6349-4819-89A1-5B94DC36F095}"/>
    <cellStyle name="Normal 4 2 2 4 2 2 2 7 2" xfId="16592" xr:uid="{4DA0DDC8-2CE8-4E4F-A36E-25467F5946D6}"/>
    <cellStyle name="Normal 4 2 2 4 2 2 2 8" xfId="7473" xr:uid="{32649137-4EF2-4E31-A928-939CE23D7FC6}"/>
    <cellStyle name="Normal 4 2 2 4 2 2 2 8 2" xfId="17421" xr:uid="{AD39D2CB-38B1-4A3E-8465-401147603BF5}"/>
    <cellStyle name="Normal 4 2 2 4 2 2 2 9" xfId="8302" xr:uid="{600E05D3-074B-43C9-8494-B0BE07FE73C3}"/>
    <cellStyle name="Normal 4 2 2 4 2 2 2 9 2" xfId="18250" xr:uid="{403B6F25-6AC8-467F-8894-63C6DD8EC7E0}"/>
    <cellStyle name="Normal 4 2 2 4 2 2 3" xfId="2083" xr:uid="{3D807FD8-1263-41A5-A80E-480342A4AE8F}"/>
    <cellStyle name="Normal 4 2 2 4 2 2 3 2" xfId="12031" xr:uid="{A84DC5EB-BE26-4160-8F6D-7682364FC70F}"/>
    <cellStyle name="Normal 4 2 2 4 2 2 4" xfId="2912" xr:uid="{F39A54FA-FE4A-4958-8093-36844A33332B}"/>
    <cellStyle name="Normal 4 2 2 4 2 2 4 2" xfId="12860" xr:uid="{CD18187D-6BBC-48E8-A6BD-3BB49E9E6238}"/>
    <cellStyle name="Normal 4 2 2 4 2 2 5" xfId="3741" xr:uid="{48219043-D0AF-43C8-887A-A8B9BCEF28A0}"/>
    <cellStyle name="Normal 4 2 2 4 2 2 5 2" xfId="13689" xr:uid="{564AEFF6-CCE3-42ED-9AB5-097F812AE58A}"/>
    <cellStyle name="Normal 4 2 2 4 2 2 6" xfId="4570" xr:uid="{C54788A2-61C2-45CC-8FAF-27446986E30A}"/>
    <cellStyle name="Normal 4 2 2 4 2 2 6 2" xfId="14518" xr:uid="{520A3A45-C3C0-4C27-9D2D-49068301647B}"/>
    <cellStyle name="Normal 4 2 2 4 2 2 7" xfId="5399" xr:uid="{229D5855-9CB0-44D5-9FF1-DF0896ABDA2B}"/>
    <cellStyle name="Normal 4 2 2 4 2 2 7 2" xfId="15347" xr:uid="{7047CA49-DD1C-42B5-AE43-014CDD4CA953}"/>
    <cellStyle name="Normal 4 2 2 4 2 2 8" xfId="6228" xr:uid="{C301CC73-1295-41D3-A70C-60D2FE813AEA}"/>
    <cellStyle name="Normal 4 2 2 4 2 2 8 2" xfId="16176" xr:uid="{56A9458A-BA2C-4515-B729-F77A3AAD7BA6}"/>
    <cellStyle name="Normal 4 2 2 4 2 2 9" xfId="7057" xr:uid="{02F42123-21B3-4AA2-8D00-93E675343E28}"/>
    <cellStyle name="Normal 4 2 2 4 2 2 9 2" xfId="17005" xr:uid="{1852E734-EBAD-4C76-90DB-DC7DFFD289E0}"/>
    <cellStyle name="Normal 4 2 2 4 2 3" xfId="833" xr:uid="{00000000-0005-0000-0000-000062020000}"/>
    <cellStyle name="Normal 4 2 2 4 2 3 10" xfId="9130" xr:uid="{97D234EA-AABE-41CF-81BF-135C68B559E7}"/>
    <cellStyle name="Normal 4 2 2 4 2 3 10 2" xfId="19078" xr:uid="{D5F46784-569B-4FDB-A280-ADB13047BD2A}"/>
    <cellStyle name="Normal 4 2 2 4 2 3 11" xfId="9959" xr:uid="{5E43E1F6-2410-4ACF-AC03-938B316FA962}"/>
    <cellStyle name="Normal 4 2 2 4 2 3 11 2" xfId="19907" xr:uid="{06FB5520-E1D4-4BA2-B618-5D6ED91E55AA}"/>
    <cellStyle name="Normal 4 2 2 4 2 3 12" xfId="10788" xr:uid="{FE502FF1-5ABF-4785-B88E-C43F4C6C3F53}"/>
    <cellStyle name="Normal 4 2 2 4 2 3 12 2" xfId="20736" xr:uid="{5A9FFD5A-9FBE-4E4A-9D8D-EA80615D8795}"/>
    <cellStyle name="Normal 4 2 2 4 2 3 13" xfId="1669" xr:uid="{D8913B8F-D990-4611-97B8-4AE568E67D03}"/>
    <cellStyle name="Normal 4 2 2 4 2 3 14" xfId="11617" xr:uid="{92BFC092-7D45-46AC-8E21-EBECA97AB191}"/>
    <cellStyle name="Normal 4 2 2 4 2 3 2" xfId="2498" xr:uid="{B2DA3669-EB5C-4A36-B7A7-4563032D3F6E}"/>
    <cellStyle name="Normal 4 2 2 4 2 3 2 2" xfId="12446" xr:uid="{5EBD3A0F-595C-4D96-A4DA-95D3F5D4BC47}"/>
    <cellStyle name="Normal 4 2 2 4 2 3 3" xfId="3327" xr:uid="{FD100F17-201D-4449-A643-7A3869CE6FF3}"/>
    <cellStyle name="Normal 4 2 2 4 2 3 3 2" xfId="13275" xr:uid="{9695500C-35B5-4E0E-849F-830BC95DB6CF}"/>
    <cellStyle name="Normal 4 2 2 4 2 3 4" xfId="4156" xr:uid="{A5F33793-B298-432E-B506-67C9502E7FC0}"/>
    <cellStyle name="Normal 4 2 2 4 2 3 4 2" xfId="14104" xr:uid="{16EA2719-5E2D-4481-987A-75E2569BFC1E}"/>
    <cellStyle name="Normal 4 2 2 4 2 3 5" xfId="4985" xr:uid="{E45C4F78-7795-4D12-88D6-27B3779D353B}"/>
    <cellStyle name="Normal 4 2 2 4 2 3 5 2" xfId="14933" xr:uid="{ED90804B-05B5-46EE-A510-BC9CBF0C6F46}"/>
    <cellStyle name="Normal 4 2 2 4 2 3 6" xfId="5814" xr:uid="{59D535B2-5D26-46D3-AD0A-1CA157083BBF}"/>
    <cellStyle name="Normal 4 2 2 4 2 3 6 2" xfId="15762" xr:uid="{6CD530DC-F87A-480D-9BEE-04EFB7A1715B}"/>
    <cellStyle name="Normal 4 2 2 4 2 3 7" xfId="6643" xr:uid="{ED2E5069-C5AD-41A7-AE64-6A4DC2D8B651}"/>
    <cellStyle name="Normal 4 2 2 4 2 3 7 2" xfId="16591" xr:uid="{801C0BA4-935B-4A48-8AD6-0CB3FE112634}"/>
    <cellStyle name="Normal 4 2 2 4 2 3 8" xfId="7472" xr:uid="{00978E6A-F56B-4D68-9144-B2C37ADB6A6D}"/>
    <cellStyle name="Normal 4 2 2 4 2 3 8 2" xfId="17420" xr:uid="{AE839947-138E-4DC6-974D-69B23E9E4620}"/>
    <cellStyle name="Normal 4 2 2 4 2 3 9" xfId="8301" xr:uid="{04E1AEF4-77F8-40EC-B5C6-5F6B51958B4C}"/>
    <cellStyle name="Normal 4 2 2 4 2 3 9 2" xfId="18249" xr:uid="{611D5F78-3E61-4F30-901F-CA7591EB95C2}"/>
    <cellStyle name="Normal 4 2 2 4 2 4" xfId="2082" xr:uid="{6E17F9BE-C197-44B5-982A-E904624AD24C}"/>
    <cellStyle name="Normal 4 2 2 4 2 4 2" xfId="12030" xr:uid="{7AEF638D-19A2-454A-A42D-83F653E37C5A}"/>
    <cellStyle name="Normal 4 2 2 4 2 5" xfId="2911" xr:uid="{68CE7C13-5360-4A26-89A1-AEA18C52A9DC}"/>
    <cellStyle name="Normal 4 2 2 4 2 5 2" xfId="12859" xr:uid="{B1BFBFF6-5102-4F68-9798-22568AA7BCE7}"/>
    <cellStyle name="Normal 4 2 2 4 2 6" xfId="3740" xr:uid="{73B01CDE-16E6-4CC5-93E9-DFD1FB53E108}"/>
    <cellStyle name="Normal 4 2 2 4 2 6 2" xfId="13688" xr:uid="{D1FFE651-08BC-42CF-BFC0-35E11558E3A7}"/>
    <cellStyle name="Normal 4 2 2 4 2 7" xfId="4569" xr:uid="{218A69F4-6DAC-43E9-AA79-5F4830FFBDB6}"/>
    <cellStyle name="Normal 4 2 2 4 2 7 2" xfId="14517" xr:uid="{0E36103A-DAC9-419F-AAD2-7B5945AAA7FF}"/>
    <cellStyle name="Normal 4 2 2 4 2 8" xfId="5398" xr:uid="{5DDEC135-25FE-4AD0-A4F0-619FD83F4ABF}"/>
    <cellStyle name="Normal 4 2 2 4 2 8 2" xfId="15346" xr:uid="{34BF2842-4192-49B8-93E6-8108905EFA84}"/>
    <cellStyle name="Normal 4 2 2 4 2 9" xfId="6227" xr:uid="{C66559F1-4B8D-44C9-AC9C-0576A5D5ECDF}"/>
    <cellStyle name="Normal 4 2 2 4 2 9 2" xfId="16175" xr:uid="{396235F9-EB70-4194-ACA5-69FB4888034B}"/>
    <cellStyle name="Normal 4 2 2 4 3" xfId="353" xr:uid="{00000000-0005-0000-0000-000063020000}"/>
    <cellStyle name="Normal 4 2 2 4 3 10" xfId="7887" xr:uid="{F8A74251-E5BE-421A-8373-D0A2460491DA}"/>
    <cellStyle name="Normal 4 2 2 4 3 10 2" xfId="17835" xr:uid="{FECCD470-5FF8-4951-AFBE-C7A06DA584E6}"/>
    <cellStyle name="Normal 4 2 2 4 3 11" xfId="8716" xr:uid="{40B6DD6A-D903-4604-B167-1E318A7BF30F}"/>
    <cellStyle name="Normal 4 2 2 4 3 11 2" xfId="18664" xr:uid="{B6D9463F-6228-4AEF-89DB-55D531F490A0}"/>
    <cellStyle name="Normal 4 2 2 4 3 12" xfId="9545" xr:uid="{4AF51E9F-9C32-4582-94FC-803606236C3D}"/>
    <cellStyle name="Normal 4 2 2 4 3 12 2" xfId="19493" xr:uid="{68B2AA69-E91B-4248-B57C-45FBDA7A803F}"/>
    <cellStyle name="Normal 4 2 2 4 3 13" xfId="10374" xr:uid="{83EB861D-3658-4515-BDF2-A77794DDF88B}"/>
    <cellStyle name="Normal 4 2 2 4 3 13 2" xfId="20322" xr:uid="{4AE87223-5E65-4E69-9DE3-BF06BAD6132E}"/>
    <cellStyle name="Normal 4 2 2 4 3 14" xfId="1255" xr:uid="{CA6AC37C-EFCF-497D-9311-905FBF70061F}"/>
    <cellStyle name="Normal 4 2 2 4 3 15" xfId="11203" xr:uid="{39928ABE-9B06-458A-ACC0-B4959B9381CB}"/>
    <cellStyle name="Normal 4 2 2 4 3 2" xfId="835" xr:uid="{00000000-0005-0000-0000-000064020000}"/>
    <cellStyle name="Normal 4 2 2 4 3 2 10" xfId="9132" xr:uid="{D873B4F9-CF2B-4D18-A630-31B81B41DF93}"/>
    <cellStyle name="Normal 4 2 2 4 3 2 10 2" xfId="19080" xr:uid="{8C2E72C5-6671-44E8-8345-1F98FCE26872}"/>
    <cellStyle name="Normal 4 2 2 4 3 2 11" xfId="9961" xr:uid="{759C2CCC-981E-416F-97C2-4154C78E1ECD}"/>
    <cellStyle name="Normal 4 2 2 4 3 2 11 2" xfId="19909" xr:uid="{A0144C61-5E4C-4B27-9B94-620B33BE8446}"/>
    <cellStyle name="Normal 4 2 2 4 3 2 12" xfId="10790" xr:uid="{CE5835DF-9BEF-4A4A-85C9-938EE1D3F7C5}"/>
    <cellStyle name="Normal 4 2 2 4 3 2 12 2" xfId="20738" xr:uid="{6A2BAA54-8D42-4F9B-AD83-413374B72496}"/>
    <cellStyle name="Normal 4 2 2 4 3 2 13" xfId="1671" xr:uid="{EA286414-706E-4EAB-996F-88E0C13255A1}"/>
    <cellStyle name="Normal 4 2 2 4 3 2 14" xfId="11619" xr:uid="{C78C0553-AF46-44E8-B797-A12F1A88B44F}"/>
    <cellStyle name="Normal 4 2 2 4 3 2 2" xfId="2500" xr:uid="{8C533E9E-F001-441C-B443-D4191550DF7C}"/>
    <cellStyle name="Normal 4 2 2 4 3 2 2 2" xfId="12448" xr:uid="{9B7948D2-DD17-4CB6-B13B-E73290510E9E}"/>
    <cellStyle name="Normal 4 2 2 4 3 2 3" xfId="3329" xr:uid="{9DD829AE-9BCD-4090-850D-36238C475855}"/>
    <cellStyle name="Normal 4 2 2 4 3 2 3 2" xfId="13277" xr:uid="{1F588752-7CBF-40E9-B7B9-6275582F2C2D}"/>
    <cellStyle name="Normal 4 2 2 4 3 2 4" xfId="4158" xr:uid="{C726ADBB-609C-4E49-8E11-81696E156E16}"/>
    <cellStyle name="Normal 4 2 2 4 3 2 4 2" xfId="14106" xr:uid="{E49E4501-EFA1-47B2-A994-E03CAF1D9931}"/>
    <cellStyle name="Normal 4 2 2 4 3 2 5" xfId="4987" xr:uid="{D4F5D80A-AF0A-4644-B0D6-6350BD0EDD80}"/>
    <cellStyle name="Normal 4 2 2 4 3 2 5 2" xfId="14935" xr:uid="{AFB4FC19-9395-4B03-AEC5-DFF13710B75A}"/>
    <cellStyle name="Normal 4 2 2 4 3 2 6" xfId="5816" xr:uid="{3530D85E-7E28-4ECE-8DA4-83AB4AEF6D49}"/>
    <cellStyle name="Normal 4 2 2 4 3 2 6 2" xfId="15764" xr:uid="{571118A9-0FF8-4BBD-BBB0-C168F6EDE4C7}"/>
    <cellStyle name="Normal 4 2 2 4 3 2 7" xfId="6645" xr:uid="{E1F0161F-7115-45E5-813A-B9548796E77D}"/>
    <cellStyle name="Normal 4 2 2 4 3 2 7 2" xfId="16593" xr:uid="{688C94BD-F214-42D6-863B-1806085BBA10}"/>
    <cellStyle name="Normal 4 2 2 4 3 2 8" xfId="7474" xr:uid="{5264107F-76EE-4E6D-B4A1-011A5A940B7E}"/>
    <cellStyle name="Normal 4 2 2 4 3 2 8 2" xfId="17422" xr:uid="{2DC33DAB-1D6F-4B01-A26E-58CF6012EDDA}"/>
    <cellStyle name="Normal 4 2 2 4 3 2 9" xfId="8303" xr:uid="{33910201-B864-469C-BD65-F16ABFCF4844}"/>
    <cellStyle name="Normal 4 2 2 4 3 2 9 2" xfId="18251" xr:uid="{359EB2B0-C43B-48BA-A6F1-EBFDED24BBEF}"/>
    <cellStyle name="Normal 4 2 2 4 3 3" xfId="2084" xr:uid="{D817DB7D-B36C-4719-A511-86F9FD0167D8}"/>
    <cellStyle name="Normal 4 2 2 4 3 3 2" xfId="12032" xr:uid="{E89B5F94-8412-460A-96A3-32633A314165}"/>
    <cellStyle name="Normal 4 2 2 4 3 4" xfId="2913" xr:uid="{F64DECB4-929F-4ADC-918C-FC1505C7F09C}"/>
    <cellStyle name="Normal 4 2 2 4 3 4 2" xfId="12861" xr:uid="{6E39ADC2-958A-40ED-80C6-853EAF8B24A7}"/>
    <cellStyle name="Normal 4 2 2 4 3 5" xfId="3742" xr:uid="{9DBF85C4-9DEE-4BC1-A2D3-B6F64F619F34}"/>
    <cellStyle name="Normal 4 2 2 4 3 5 2" xfId="13690" xr:uid="{F6D44D31-3691-4205-A193-8720FE010901}"/>
    <cellStyle name="Normal 4 2 2 4 3 6" xfId="4571" xr:uid="{4AFB180A-99F4-4DE5-B64D-3B473865F4FB}"/>
    <cellStyle name="Normal 4 2 2 4 3 6 2" xfId="14519" xr:uid="{514475B9-DDC6-4715-8114-085ADF197793}"/>
    <cellStyle name="Normal 4 2 2 4 3 7" xfId="5400" xr:uid="{5D021F90-14C2-4CD5-949B-D87010ADB61C}"/>
    <cellStyle name="Normal 4 2 2 4 3 7 2" xfId="15348" xr:uid="{6DF285CC-FC4D-49C4-BF81-A3C7147E2DE5}"/>
    <cellStyle name="Normal 4 2 2 4 3 8" xfId="6229" xr:uid="{F4F63E56-B3A6-4763-A530-372780104591}"/>
    <cellStyle name="Normal 4 2 2 4 3 8 2" xfId="16177" xr:uid="{30666B27-0ECA-403F-BDD3-B35D923DB47F}"/>
    <cellStyle name="Normal 4 2 2 4 3 9" xfId="7058" xr:uid="{BA88B7A9-9947-4662-A28B-5208641B6D0E}"/>
    <cellStyle name="Normal 4 2 2 4 3 9 2" xfId="17006" xr:uid="{E60C3E8A-DAAB-43E7-B99E-B6CB8D8BBA7B}"/>
    <cellStyle name="Normal 4 2 2 4 4" xfId="832" xr:uid="{00000000-0005-0000-0000-000065020000}"/>
    <cellStyle name="Normal 4 2 2 4 4 10" xfId="9129" xr:uid="{EAACDA1E-14B6-4205-94D3-C3879183DBFE}"/>
    <cellStyle name="Normal 4 2 2 4 4 10 2" xfId="19077" xr:uid="{793AF1B5-C983-481F-8331-D7E89C2B3E93}"/>
    <cellStyle name="Normal 4 2 2 4 4 11" xfId="9958" xr:uid="{26C6CE35-E9BA-41A0-B6F5-9404AB4DCEC8}"/>
    <cellStyle name="Normal 4 2 2 4 4 11 2" xfId="19906" xr:uid="{30A461F5-E1AF-4FCA-B00F-6CB8F48FDF64}"/>
    <cellStyle name="Normal 4 2 2 4 4 12" xfId="10787" xr:uid="{118DED50-0ED7-4B15-894D-28FF13CEC838}"/>
    <cellStyle name="Normal 4 2 2 4 4 12 2" xfId="20735" xr:uid="{22C58783-500F-404F-823C-15A3C3BB3D5A}"/>
    <cellStyle name="Normal 4 2 2 4 4 13" xfId="1668" xr:uid="{2CF767F4-470B-4CD7-A937-B9437456D87B}"/>
    <cellStyle name="Normal 4 2 2 4 4 14" xfId="11616" xr:uid="{2F4604A0-F719-42FD-8C07-80D8ECD8775B}"/>
    <cellStyle name="Normal 4 2 2 4 4 2" xfId="2497" xr:uid="{1AAEC50C-3999-457F-A8DD-5A864ED6FF9D}"/>
    <cellStyle name="Normal 4 2 2 4 4 2 2" xfId="12445" xr:uid="{1F69207B-A8C5-4F01-A9BF-4CADB9A663DD}"/>
    <cellStyle name="Normal 4 2 2 4 4 3" xfId="3326" xr:uid="{E53A30F9-001C-4A5A-99DB-1BF1273BCC00}"/>
    <cellStyle name="Normal 4 2 2 4 4 3 2" xfId="13274" xr:uid="{679A7844-25DD-4658-A366-1848176350A2}"/>
    <cellStyle name="Normal 4 2 2 4 4 4" xfId="4155" xr:uid="{551D1EB0-7542-4F9C-AE5E-5D64319DFE67}"/>
    <cellStyle name="Normal 4 2 2 4 4 4 2" xfId="14103" xr:uid="{3F265E3E-BC16-47E6-BF2F-60B2DBF6CD71}"/>
    <cellStyle name="Normal 4 2 2 4 4 5" xfId="4984" xr:uid="{29910DC2-B25E-45FD-B751-E29099D59F62}"/>
    <cellStyle name="Normal 4 2 2 4 4 5 2" xfId="14932" xr:uid="{BA379BE0-7082-4314-AEEC-20D4014B3857}"/>
    <cellStyle name="Normal 4 2 2 4 4 6" xfId="5813" xr:uid="{021EA910-9251-402B-8885-0D04CB780A3A}"/>
    <cellStyle name="Normal 4 2 2 4 4 6 2" xfId="15761" xr:uid="{98CDB3E3-D79A-4706-8749-7AC50490E1CC}"/>
    <cellStyle name="Normal 4 2 2 4 4 7" xfId="6642" xr:uid="{01D97D17-911B-471D-B95A-8E461E007857}"/>
    <cellStyle name="Normal 4 2 2 4 4 7 2" xfId="16590" xr:uid="{266F2915-0F74-4EBF-8DCE-B68B4F2953BD}"/>
    <cellStyle name="Normal 4 2 2 4 4 8" xfId="7471" xr:uid="{65218F0C-AFA6-4064-8595-1DBD714FF212}"/>
    <cellStyle name="Normal 4 2 2 4 4 8 2" xfId="17419" xr:uid="{1A25FE15-F65D-4543-804C-280F8DA3E737}"/>
    <cellStyle name="Normal 4 2 2 4 4 9" xfId="8300" xr:uid="{DF9582F5-BEAB-4EA1-A3C1-2E30A3539707}"/>
    <cellStyle name="Normal 4 2 2 4 4 9 2" xfId="18248" xr:uid="{E9637430-0899-4958-BDB0-04E58E5D2FD2}"/>
    <cellStyle name="Normal 4 2 2 4 5" xfId="2081" xr:uid="{21ED32A0-5203-4558-8CFC-BF06F4FF6F3E}"/>
    <cellStyle name="Normal 4 2 2 4 5 2" xfId="12029" xr:uid="{2AA043D2-FD06-4486-BD35-4FFE689CDFEA}"/>
    <cellStyle name="Normal 4 2 2 4 6" xfId="2910" xr:uid="{77955B84-8C50-43E5-90BC-963439143242}"/>
    <cellStyle name="Normal 4 2 2 4 6 2" xfId="12858" xr:uid="{E3D59703-568B-4F97-AB5C-0B1A01B20126}"/>
    <cellStyle name="Normal 4 2 2 4 7" xfId="3739" xr:uid="{5358679B-12A9-4CF3-B380-E77FEB55033F}"/>
    <cellStyle name="Normal 4 2 2 4 7 2" xfId="13687" xr:uid="{4D2D5B18-86EB-4AB9-8ED7-581E9BB03B7B}"/>
    <cellStyle name="Normal 4 2 2 4 8" xfId="4568" xr:uid="{E66B47E0-DD69-4B7D-8953-B91E987FDDDF}"/>
    <cellStyle name="Normal 4 2 2 4 8 2" xfId="14516" xr:uid="{E393CA38-ED05-437B-B5AD-956E681BCC54}"/>
    <cellStyle name="Normal 4 2 2 4 9" xfId="5397" xr:uid="{CDDE23FA-FA66-4547-8C65-927C1C0DFE87}"/>
    <cellStyle name="Normal 4 2 2 4 9 2" xfId="15345" xr:uid="{3A04BE00-84D2-4EA5-8819-B06940AF1510}"/>
    <cellStyle name="Normal 4 2 2 5" xfId="354" xr:uid="{00000000-0005-0000-0000-000066020000}"/>
    <cellStyle name="Normal 4 2 2 5 10" xfId="7059" xr:uid="{752F2F9B-AFB9-4E5A-94AB-DD9A2A144085}"/>
    <cellStyle name="Normal 4 2 2 5 10 2" xfId="17007" xr:uid="{FA66A95E-96E6-4B6E-95E2-F0B324D19CB3}"/>
    <cellStyle name="Normal 4 2 2 5 11" xfId="7888" xr:uid="{8E7B6A5D-4804-4B17-AB4E-2F84813517E6}"/>
    <cellStyle name="Normal 4 2 2 5 11 2" xfId="17836" xr:uid="{2B62C505-A1BA-4B0D-803C-D5C386C5E3D0}"/>
    <cellStyle name="Normal 4 2 2 5 12" xfId="8717" xr:uid="{79485392-AF24-45FA-8277-75E210E93C24}"/>
    <cellStyle name="Normal 4 2 2 5 12 2" xfId="18665" xr:uid="{7AC40873-D364-4764-9A56-D398861BBD45}"/>
    <cellStyle name="Normal 4 2 2 5 13" xfId="9546" xr:uid="{0B3878D7-3399-4B8F-B7D5-603857BD22B6}"/>
    <cellStyle name="Normal 4 2 2 5 13 2" xfId="19494" xr:uid="{0A7EB6D6-FF3D-4C28-A42E-F272568B9075}"/>
    <cellStyle name="Normal 4 2 2 5 14" xfId="10375" xr:uid="{FCCDFAF8-F592-4F4F-8A58-8891E80CE4CC}"/>
    <cellStyle name="Normal 4 2 2 5 14 2" xfId="20323" xr:uid="{CA88341C-9945-4B47-849B-9BD00D3504E4}"/>
    <cellStyle name="Normal 4 2 2 5 15" xfId="1256" xr:uid="{D93A0CF9-0833-4E3A-A394-7B41986FA9FF}"/>
    <cellStyle name="Normal 4 2 2 5 16" xfId="11204" xr:uid="{08140366-6728-45FD-B78A-7F6E5398B742}"/>
    <cellStyle name="Normal 4 2 2 5 2" xfId="355" xr:uid="{00000000-0005-0000-0000-000067020000}"/>
    <cellStyle name="Normal 4 2 2 5 2 10" xfId="7889" xr:uid="{0E105CD6-A1E2-4339-B92E-976B9A84F6A8}"/>
    <cellStyle name="Normal 4 2 2 5 2 10 2" xfId="17837" xr:uid="{D4740D79-81E9-435C-975B-B6819C1ABAD4}"/>
    <cellStyle name="Normal 4 2 2 5 2 11" xfId="8718" xr:uid="{F8A1119F-D2E4-4971-80AC-4FCB94601A3F}"/>
    <cellStyle name="Normal 4 2 2 5 2 11 2" xfId="18666" xr:uid="{01E5E29F-B770-4780-85FA-AE301317BCDA}"/>
    <cellStyle name="Normal 4 2 2 5 2 12" xfId="9547" xr:uid="{606C8BB9-FE76-40A8-8C61-634223EDA092}"/>
    <cellStyle name="Normal 4 2 2 5 2 12 2" xfId="19495" xr:uid="{E18E9D1E-C81D-4403-8CDE-545927B7F869}"/>
    <cellStyle name="Normal 4 2 2 5 2 13" xfId="10376" xr:uid="{E6C60595-B03D-4E7A-B3CB-A9A6AA3980A3}"/>
    <cellStyle name="Normal 4 2 2 5 2 13 2" xfId="20324" xr:uid="{67FAB462-E8DF-43AD-A6C9-E5107789BC9C}"/>
    <cellStyle name="Normal 4 2 2 5 2 14" xfId="1257" xr:uid="{4E1310F4-B678-4394-A861-30E13FA4B48B}"/>
    <cellStyle name="Normal 4 2 2 5 2 15" xfId="11205" xr:uid="{9BD5F96D-41B3-452F-8300-95F77B12EEDF}"/>
    <cellStyle name="Normal 4 2 2 5 2 2" xfId="837" xr:uid="{00000000-0005-0000-0000-000068020000}"/>
    <cellStyle name="Normal 4 2 2 5 2 2 10" xfId="9134" xr:uid="{EA29DFF7-9F40-40E0-B29D-77F1CC6A32CF}"/>
    <cellStyle name="Normal 4 2 2 5 2 2 10 2" xfId="19082" xr:uid="{34B5F6DE-2C72-442E-A8E4-8D3A4E239FD6}"/>
    <cellStyle name="Normal 4 2 2 5 2 2 11" xfId="9963" xr:uid="{D750ADD6-E631-4DDC-893B-34EF6D19AEC6}"/>
    <cellStyle name="Normal 4 2 2 5 2 2 11 2" xfId="19911" xr:uid="{33DF9744-2C75-43BF-A8FD-8D71D2EFD06C}"/>
    <cellStyle name="Normal 4 2 2 5 2 2 12" xfId="10792" xr:uid="{51C2B398-2294-4D3C-B577-CC9F479475F8}"/>
    <cellStyle name="Normal 4 2 2 5 2 2 12 2" xfId="20740" xr:uid="{5B88EEE8-802D-4615-A820-52AC3C884485}"/>
    <cellStyle name="Normal 4 2 2 5 2 2 13" xfId="1673" xr:uid="{1E6C4C74-68FE-45B2-B706-4DAA2C5A2E02}"/>
    <cellStyle name="Normal 4 2 2 5 2 2 14" xfId="11621" xr:uid="{87EA7039-B529-4482-8829-E5E3793B0874}"/>
    <cellStyle name="Normal 4 2 2 5 2 2 2" xfId="2502" xr:uid="{0EF90EE4-E4AF-4081-99A3-FBE067750C6E}"/>
    <cellStyle name="Normal 4 2 2 5 2 2 2 2" xfId="12450" xr:uid="{C1CE04F6-22D7-454D-B5FE-416EB847874B}"/>
    <cellStyle name="Normal 4 2 2 5 2 2 3" xfId="3331" xr:uid="{33C3F899-A51C-4062-8022-12FF5E3D9CCD}"/>
    <cellStyle name="Normal 4 2 2 5 2 2 3 2" xfId="13279" xr:uid="{96F1138B-EE41-4DD4-AAFC-88D8B5F88A52}"/>
    <cellStyle name="Normal 4 2 2 5 2 2 4" xfId="4160" xr:uid="{C90DB39F-A2AF-4BD2-A498-07595B495B9F}"/>
    <cellStyle name="Normal 4 2 2 5 2 2 4 2" xfId="14108" xr:uid="{E6E3B7A3-CA2A-4BAB-8C2F-C9C589A14302}"/>
    <cellStyle name="Normal 4 2 2 5 2 2 5" xfId="4989" xr:uid="{98BD9554-1B6E-4751-B121-0E8387366FC0}"/>
    <cellStyle name="Normal 4 2 2 5 2 2 5 2" xfId="14937" xr:uid="{9942B2B6-E4FA-487D-9F89-C2F30B1D6E74}"/>
    <cellStyle name="Normal 4 2 2 5 2 2 6" xfId="5818" xr:uid="{690DDCC7-80E6-41A0-8A1B-E3F273C26BDD}"/>
    <cellStyle name="Normal 4 2 2 5 2 2 6 2" xfId="15766" xr:uid="{B226D044-A32B-414D-A392-EFC420296BD7}"/>
    <cellStyle name="Normal 4 2 2 5 2 2 7" xfId="6647" xr:uid="{8076EA06-186D-400B-9E02-E0DF32D6D076}"/>
    <cellStyle name="Normal 4 2 2 5 2 2 7 2" xfId="16595" xr:uid="{5D7ED5CE-1923-411F-B078-59C3CF095090}"/>
    <cellStyle name="Normal 4 2 2 5 2 2 8" xfId="7476" xr:uid="{74789868-0AD4-431C-8629-E3A133972222}"/>
    <cellStyle name="Normal 4 2 2 5 2 2 8 2" xfId="17424" xr:uid="{5E828AEA-B8A2-4662-918B-EDE75063D70A}"/>
    <cellStyle name="Normal 4 2 2 5 2 2 9" xfId="8305" xr:uid="{413E98B8-5D21-470F-B9D2-7E3CA7F4C392}"/>
    <cellStyle name="Normal 4 2 2 5 2 2 9 2" xfId="18253" xr:uid="{54C06F9A-F996-40BE-B1CA-A4BA628C4831}"/>
    <cellStyle name="Normal 4 2 2 5 2 3" xfId="2086" xr:uid="{9C798C5F-9B37-43E0-A686-EB6A7B323E8D}"/>
    <cellStyle name="Normal 4 2 2 5 2 3 2" xfId="12034" xr:uid="{9D4AE0F0-5E16-46E0-8BF2-F5BE133D2753}"/>
    <cellStyle name="Normal 4 2 2 5 2 4" xfId="2915" xr:uid="{21BF1C40-8CC4-4755-9541-677C1A0E8C5F}"/>
    <cellStyle name="Normal 4 2 2 5 2 4 2" xfId="12863" xr:uid="{86981D6F-7166-43B5-8075-D1A4A8FBB11C}"/>
    <cellStyle name="Normal 4 2 2 5 2 5" xfId="3744" xr:uid="{0CBBE482-B0D7-4699-9F17-AAED99DFD214}"/>
    <cellStyle name="Normal 4 2 2 5 2 5 2" xfId="13692" xr:uid="{67F7D05A-AF6F-4434-8AB4-BC75E1CE05DA}"/>
    <cellStyle name="Normal 4 2 2 5 2 6" xfId="4573" xr:uid="{0B7E783B-FA38-4B4D-996B-5570BA4EDB6A}"/>
    <cellStyle name="Normal 4 2 2 5 2 6 2" xfId="14521" xr:uid="{4BE1B143-98F7-400C-8088-1CB5BCD92584}"/>
    <cellStyle name="Normal 4 2 2 5 2 7" xfId="5402" xr:uid="{B4FFD53C-2EAF-416B-9198-1D17028CED89}"/>
    <cellStyle name="Normal 4 2 2 5 2 7 2" xfId="15350" xr:uid="{5C450C12-E957-48B8-B478-FF1CA701DCF9}"/>
    <cellStyle name="Normal 4 2 2 5 2 8" xfId="6231" xr:uid="{E089FFEC-F51A-4F46-A615-840485510BB7}"/>
    <cellStyle name="Normal 4 2 2 5 2 8 2" xfId="16179" xr:uid="{6792942F-2873-4D51-81C1-D48DC4EEC718}"/>
    <cellStyle name="Normal 4 2 2 5 2 9" xfId="7060" xr:uid="{2E7C9337-7C39-4FAE-A490-DFB94EEE75CA}"/>
    <cellStyle name="Normal 4 2 2 5 2 9 2" xfId="17008" xr:uid="{3FEB2AFC-A048-409D-8EFC-EDA2AC6D8FD7}"/>
    <cellStyle name="Normal 4 2 2 5 3" xfId="836" xr:uid="{00000000-0005-0000-0000-000069020000}"/>
    <cellStyle name="Normal 4 2 2 5 3 10" xfId="9133" xr:uid="{DA9B154A-B06B-49B5-B1F3-CED9FDFDD0E9}"/>
    <cellStyle name="Normal 4 2 2 5 3 10 2" xfId="19081" xr:uid="{F1AE23E3-BB8C-4AC5-9E26-BA208F553A43}"/>
    <cellStyle name="Normal 4 2 2 5 3 11" xfId="9962" xr:uid="{12B37649-E6F3-438A-9FD1-206AE073F3EA}"/>
    <cellStyle name="Normal 4 2 2 5 3 11 2" xfId="19910" xr:uid="{39386FE1-44F3-4348-9FCC-87562F14720B}"/>
    <cellStyle name="Normal 4 2 2 5 3 12" xfId="10791" xr:uid="{7DCA3900-6141-4CBF-A68A-B72CA4DA4785}"/>
    <cellStyle name="Normal 4 2 2 5 3 12 2" xfId="20739" xr:uid="{CA2F9136-F761-43AD-9888-6F01D4C6D341}"/>
    <cellStyle name="Normal 4 2 2 5 3 13" xfId="1672" xr:uid="{7B51BA2B-8AB1-482D-BCD7-683BDFB0AAC5}"/>
    <cellStyle name="Normal 4 2 2 5 3 14" xfId="11620" xr:uid="{095E7870-5D22-4979-8576-0DF83671B73A}"/>
    <cellStyle name="Normal 4 2 2 5 3 2" xfId="2501" xr:uid="{BD0BABEF-DC66-43A9-9948-A108D5AA591E}"/>
    <cellStyle name="Normal 4 2 2 5 3 2 2" xfId="12449" xr:uid="{9C1D4B38-0EBF-4EB2-AEFE-22E416DDC754}"/>
    <cellStyle name="Normal 4 2 2 5 3 3" xfId="3330" xr:uid="{3B0AB90D-EF5D-44EB-B092-3FC3FB9F7BF3}"/>
    <cellStyle name="Normal 4 2 2 5 3 3 2" xfId="13278" xr:uid="{AA96D5DD-F98F-45CD-B8E7-05D1F4591B2C}"/>
    <cellStyle name="Normal 4 2 2 5 3 4" xfId="4159" xr:uid="{EA3A35E8-02CF-4FAA-84A4-1F67CC4E596B}"/>
    <cellStyle name="Normal 4 2 2 5 3 4 2" xfId="14107" xr:uid="{98D9476A-D918-4B82-A785-F5774853B5FD}"/>
    <cellStyle name="Normal 4 2 2 5 3 5" xfId="4988" xr:uid="{E4E53C8C-DF17-40F1-A064-0D403E6A1076}"/>
    <cellStyle name="Normal 4 2 2 5 3 5 2" xfId="14936" xr:uid="{BEEB1316-D2EC-46D8-8276-6A6A4069E9FC}"/>
    <cellStyle name="Normal 4 2 2 5 3 6" xfId="5817" xr:uid="{D6930F5B-3A0E-4A21-B21E-1A0C9B6E0347}"/>
    <cellStyle name="Normal 4 2 2 5 3 6 2" xfId="15765" xr:uid="{6FA89961-4405-4ECF-B65E-5B644AA71841}"/>
    <cellStyle name="Normal 4 2 2 5 3 7" xfId="6646" xr:uid="{E4681573-06D8-4B96-A8D9-8916A8119EB4}"/>
    <cellStyle name="Normal 4 2 2 5 3 7 2" xfId="16594" xr:uid="{BAE28446-18E5-49F9-B18D-A24BB68600BB}"/>
    <cellStyle name="Normal 4 2 2 5 3 8" xfId="7475" xr:uid="{41BACBE3-B48B-4D6D-A334-E842ED6207A0}"/>
    <cellStyle name="Normal 4 2 2 5 3 8 2" xfId="17423" xr:uid="{82AAEB37-D46C-4B41-AA74-B168036CAB0E}"/>
    <cellStyle name="Normal 4 2 2 5 3 9" xfId="8304" xr:uid="{5271B3D2-3336-4960-9EDB-3BDBA2B4F21B}"/>
    <cellStyle name="Normal 4 2 2 5 3 9 2" xfId="18252" xr:uid="{73666BF1-2BE2-4CF6-AFC0-E52D9C19C828}"/>
    <cellStyle name="Normal 4 2 2 5 4" xfId="2085" xr:uid="{8F431FB7-E790-4B17-B576-7EE141B967F7}"/>
    <cellStyle name="Normal 4 2 2 5 4 2" xfId="12033" xr:uid="{E118985F-665B-470C-8B21-B5F56239E281}"/>
    <cellStyle name="Normal 4 2 2 5 5" xfId="2914" xr:uid="{E6673CC9-A3A8-4609-9E25-A2DA981CA4B9}"/>
    <cellStyle name="Normal 4 2 2 5 5 2" xfId="12862" xr:uid="{54F20E6C-2312-48E6-B829-AA791C33D0FC}"/>
    <cellStyle name="Normal 4 2 2 5 6" xfId="3743" xr:uid="{5525E2BE-8A33-4508-8153-E870571A47AD}"/>
    <cellStyle name="Normal 4 2 2 5 6 2" xfId="13691" xr:uid="{859E70C6-0D8C-4056-9F62-596C199E9663}"/>
    <cellStyle name="Normal 4 2 2 5 7" xfId="4572" xr:uid="{E653F2DE-F598-4148-AE80-9EA0D1F6FB9F}"/>
    <cellStyle name="Normal 4 2 2 5 7 2" xfId="14520" xr:uid="{5A43242D-D851-4900-BA6A-B7839E0EA8A5}"/>
    <cellStyle name="Normal 4 2 2 5 8" xfId="5401" xr:uid="{3F17E1D1-6A63-4053-A4F3-B705EA70CE05}"/>
    <cellStyle name="Normal 4 2 2 5 8 2" xfId="15349" xr:uid="{99D97C40-1380-4643-A499-A14672759E0A}"/>
    <cellStyle name="Normal 4 2 2 5 9" xfId="6230" xr:uid="{F1D6D1EF-C443-4307-9ED1-C3BF78726AB8}"/>
    <cellStyle name="Normal 4 2 2 5 9 2" xfId="16178" xr:uid="{E87CC1DF-76BF-4E26-BE22-742D7F9004EF}"/>
    <cellStyle name="Normal 4 2 2 6" xfId="356" xr:uid="{00000000-0005-0000-0000-00006A020000}"/>
    <cellStyle name="Normal 4 2 2 6 10" xfId="7890" xr:uid="{8A20D447-EAEB-44CF-AE91-8D4C554E44EC}"/>
    <cellStyle name="Normal 4 2 2 6 10 2" xfId="17838" xr:uid="{69119F22-00BA-494F-9CAF-FCB999F5CFFC}"/>
    <cellStyle name="Normal 4 2 2 6 11" xfId="8719" xr:uid="{0D26D594-5B89-4FF9-8ACC-C54AD05D9541}"/>
    <cellStyle name="Normal 4 2 2 6 11 2" xfId="18667" xr:uid="{F0E825C2-9707-464F-B2A4-42A074353CFA}"/>
    <cellStyle name="Normal 4 2 2 6 12" xfId="9548" xr:uid="{15DA9419-959F-43FE-81C8-9D3C4BDA5073}"/>
    <cellStyle name="Normal 4 2 2 6 12 2" xfId="19496" xr:uid="{A2DF5B18-97E1-473C-92AA-7BC22EE49915}"/>
    <cellStyle name="Normal 4 2 2 6 13" xfId="10377" xr:uid="{D6B6288B-7A72-416D-ABD5-B49FCBE660A4}"/>
    <cellStyle name="Normal 4 2 2 6 13 2" xfId="20325" xr:uid="{B957D183-A09E-40E1-851C-A6A1324A958C}"/>
    <cellStyle name="Normal 4 2 2 6 14" xfId="1258" xr:uid="{37F23D10-012F-4BA2-8A32-E653C8DB94DC}"/>
    <cellStyle name="Normal 4 2 2 6 15" xfId="11206" xr:uid="{6AC8199B-36DC-4605-B0DC-8BD1B626F181}"/>
    <cellStyle name="Normal 4 2 2 6 2" xfId="838" xr:uid="{00000000-0005-0000-0000-00006B020000}"/>
    <cellStyle name="Normal 4 2 2 6 2 10" xfId="9135" xr:uid="{9A1E5146-559D-40C6-AC90-E52CFCFDC2EF}"/>
    <cellStyle name="Normal 4 2 2 6 2 10 2" xfId="19083" xr:uid="{47D9358F-AFF7-4747-BD2D-3BA372EDFE25}"/>
    <cellStyle name="Normal 4 2 2 6 2 11" xfId="9964" xr:uid="{047B3428-4484-4F9B-85ED-0EEE16F687DD}"/>
    <cellStyle name="Normal 4 2 2 6 2 11 2" xfId="19912" xr:uid="{471B0B62-EE93-4178-B2ED-A9C2646187A5}"/>
    <cellStyle name="Normal 4 2 2 6 2 12" xfId="10793" xr:uid="{EA87A3B7-2F72-46F1-9160-20576CEBF332}"/>
    <cellStyle name="Normal 4 2 2 6 2 12 2" xfId="20741" xr:uid="{87C99ACF-645D-4F9C-905D-8E0384033E4F}"/>
    <cellStyle name="Normal 4 2 2 6 2 13" xfId="1674" xr:uid="{32DCC0F1-26F2-46D0-A1F6-7F02B61D5665}"/>
    <cellStyle name="Normal 4 2 2 6 2 14" xfId="11622" xr:uid="{7960EF7E-8D10-4DDF-99EB-CC12CC67F155}"/>
    <cellStyle name="Normal 4 2 2 6 2 2" xfId="2503" xr:uid="{63545342-A8BE-438B-B9F8-8AD6C90E3AD2}"/>
    <cellStyle name="Normal 4 2 2 6 2 2 2" xfId="12451" xr:uid="{6838856F-6B6B-464E-8AD4-8FD4E2B9F3A1}"/>
    <cellStyle name="Normal 4 2 2 6 2 3" xfId="3332" xr:uid="{D376A82B-A013-48B5-BFC8-A24966D960D4}"/>
    <cellStyle name="Normal 4 2 2 6 2 3 2" xfId="13280" xr:uid="{DF04F497-3914-4DCA-BCD2-2F22A16A27BB}"/>
    <cellStyle name="Normal 4 2 2 6 2 4" xfId="4161" xr:uid="{1D0C68F6-FA9A-4845-987D-F85B57D33AC6}"/>
    <cellStyle name="Normal 4 2 2 6 2 4 2" xfId="14109" xr:uid="{2B945D3D-3F4E-438F-9553-CE43925B1D6E}"/>
    <cellStyle name="Normal 4 2 2 6 2 5" xfId="4990" xr:uid="{0DA2DE70-4EF4-4C1D-AA83-D6438AD1266B}"/>
    <cellStyle name="Normal 4 2 2 6 2 5 2" xfId="14938" xr:uid="{8E10F8D4-9181-4C72-B57E-C7A27C51090D}"/>
    <cellStyle name="Normal 4 2 2 6 2 6" xfId="5819" xr:uid="{FBA9703A-33B4-4D44-91E1-C21E823E5092}"/>
    <cellStyle name="Normal 4 2 2 6 2 6 2" xfId="15767" xr:uid="{3820F96A-E839-47A6-93BB-1E448F94C71F}"/>
    <cellStyle name="Normal 4 2 2 6 2 7" xfId="6648" xr:uid="{C0EF7459-E3CD-4EB5-A5DF-80D7014DE10F}"/>
    <cellStyle name="Normal 4 2 2 6 2 7 2" xfId="16596" xr:uid="{B6276EF4-7C4C-4659-A093-ECC56F0148EF}"/>
    <cellStyle name="Normal 4 2 2 6 2 8" xfId="7477" xr:uid="{CD46BCDB-0FF2-4CC3-963D-3D3F03B57F1C}"/>
    <cellStyle name="Normal 4 2 2 6 2 8 2" xfId="17425" xr:uid="{218E155E-E5C1-4942-9109-596BA58D7C6F}"/>
    <cellStyle name="Normal 4 2 2 6 2 9" xfId="8306" xr:uid="{C5D93926-39F5-4E55-ABE4-14FEEDE7749C}"/>
    <cellStyle name="Normal 4 2 2 6 2 9 2" xfId="18254" xr:uid="{81CB9808-5A08-4F86-A7D9-7352B1B4AEE1}"/>
    <cellStyle name="Normal 4 2 2 6 3" xfId="2087" xr:uid="{9487D86F-BBEA-45EA-AC15-CB02F5654832}"/>
    <cellStyle name="Normal 4 2 2 6 3 2" xfId="12035" xr:uid="{5D9A8859-058B-42B9-92F6-01EA487B5941}"/>
    <cellStyle name="Normal 4 2 2 6 4" xfId="2916" xr:uid="{5142C984-519F-4E8A-B256-A1AA7AC44EFD}"/>
    <cellStyle name="Normal 4 2 2 6 4 2" xfId="12864" xr:uid="{8FF78C20-1F67-4068-8AD5-0FED474B3199}"/>
    <cellStyle name="Normal 4 2 2 6 5" xfId="3745" xr:uid="{3F1BECD6-775C-41E1-AE76-E6E13D2C792C}"/>
    <cellStyle name="Normal 4 2 2 6 5 2" xfId="13693" xr:uid="{70152307-EF2F-4E29-BC1D-AE320CA75716}"/>
    <cellStyle name="Normal 4 2 2 6 6" xfId="4574" xr:uid="{F3326EF0-77E7-4FF5-B3D0-7C9B734E5DBB}"/>
    <cellStyle name="Normal 4 2 2 6 6 2" xfId="14522" xr:uid="{77C6E9A9-0629-4B60-A3C2-B453B29EF444}"/>
    <cellStyle name="Normal 4 2 2 6 7" xfId="5403" xr:uid="{07B8F3D6-0E67-4280-8761-9CD2864DBEDD}"/>
    <cellStyle name="Normal 4 2 2 6 7 2" xfId="15351" xr:uid="{DDC965F4-81A3-43E4-8E7E-0DFB57B914E6}"/>
    <cellStyle name="Normal 4 2 2 6 8" xfId="6232" xr:uid="{FA0979BF-5BCD-4E90-BEF3-39DDBB16F58F}"/>
    <cellStyle name="Normal 4 2 2 6 8 2" xfId="16180" xr:uid="{4B0A6695-6684-472B-A344-8A721A6E85AD}"/>
    <cellStyle name="Normal 4 2 2 6 9" xfId="7061" xr:uid="{8643B78D-71E3-4112-B86B-3733E572F6F4}"/>
    <cellStyle name="Normal 4 2 2 6 9 2" xfId="17009" xr:uid="{F6DD1697-8ED7-420B-9624-65486DFBEF55}"/>
    <cellStyle name="Normal 4 2 2 7" xfId="823" xr:uid="{00000000-0005-0000-0000-00006C020000}"/>
    <cellStyle name="Normal 4 2 2 7 10" xfId="9120" xr:uid="{B42AFA5A-2854-4F4A-A3D9-BAB7D60153D8}"/>
    <cellStyle name="Normal 4 2 2 7 10 2" xfId="19068" xr:uid="{6AE2D571-D7F8-42AC-80E4-28E34D3875BC}"/>
    <cellStyle name="Normal 4 2 2 7 11" xfId="9949" xr:uid="{169469D0-A11B-4DA9-B474-64F07A92B8DA}"/>
    <cellStyle name="Normal 4 2 2 7 11 2" xfId="19897" xr:uid="{A5E5F0C4-6BEA-4B3A-A420-FC4F4EE6B581}"/>
    <cellStyle name="Normal 4 2 2 7 12" xfId="10778" xr:uid="{E367B3D2-8764-4E70-BA43-C1E802649947}"/>
    <cellStyle name="Normal 4 2 2 7 12 2" xfId="20726" xr:uid="{321DB409-171E-4460-B88B-E99A8BAAF682}"/>
    <cellStyle name="Normal 4 2 2 7 13" xfId="1659" xr:uid="{4645FA32-72E1-4A01-9ACE-8121A3A70E62}"/>
    <cellStyle name="Normal 4 2 2 7 14" xfId="11607" xr:uid="{4C89CDC6-EC98-4D7D-9923-D77E3DF0A7C0}"/>
    <cellStyle name="Normal 4 2 2 7 2" xfId="2488" xr:uid="{C9045E04-74B2-475E-940F-FC76B8B9B149}"/>
    <cellStyle name="Normal 4 2 2 7 2 2" xfId="12436" xr:uid="{10403F7B-9BCB-4FFA-9786-F03CA13D61D5}"/>
    <cellStyle name="Normal 4 2 2 7 3" xfId="3317" xr:uid="{61F28A25-16E8-4EB9-96AE-3BD7683E55BB}"/>
    <cellStyle name="Normal 4 2 2 7 3 2" xfId="13265" xr:uid="{4E14619C-13A2-4CEB-92CA-E88EEB0038AD}"/>
    <cellStyle name="Normal 4 2 2 7 4" xfId="4146" xr:uid="{91B96FAE-F852-45E6-A3AE-6C721483E98A}"/>
    <cellStyle name="Normal 4 2 2 7 4 2" xfId="14094" xr:uid="{4A90ECAB-72B0-475C-962E-B25F3DA03ED2}"/>
    <cellStyle name="Normal 4 2 2 7 5" xfId="4975" xr:uid="{0939F1CF-C2FB-4FF4-A6D5-6E9012BEC26C}"/>
    <cellStyle name="Normal 4 2 2 7 5 2" xfId="14923" xr:uid="{18CD732C-6DFC-4398-A953-37854BEEFCCB}"/>
    <cellStyle name="Normal 4 2 2 7 6" xfId="5804" xr:uid="{777D39D8-47A0-46CE-9297-DD738DC04171}"/>
    <cellStyle name="Normal 4 2 2 7 6 2" xfId="15752" xr:uid="{7C8ED16A-D58D-4280-91E9-E8B9CA538EC0}"/>
    <cellStyle name="Normal 4 2 2 7 7" xfId="6633" xr:uid="{C3D33D97-7DFD-4BBD-BC20-70FACEDE97DA}"/>
    <cellStyle name="Normal 4 2 2 7 7 2" xfId="16581" xr:uid="{7841E76D-398E-4E49-9135-B7275D45C379}"/>
    <cellStyle name="Normal 4 2 2 7 8" xfId="7462" xr:uid="{3EA91851-40DB-4063-8B9B-F165033A9EC8}"/>
    <cellStyle name="Normal 4 2 2 7 8 2" xfId="17410" xr:uid="{B00DEA1C-9BBC-41D2-B7AE-CA60E6440C62}"/>
    <cellStyle name="Normal 4 2 2 7 9" xfId="8291" xr:uid="{E6811382-D476-4870-A3C2-D2BD770AF480}"/>
    <cellStyle name="Normal 4 2 2 7 9 2" xfId="18239" xr:uid="{4F3A2CB7-3B14-4F7B-8E0A-7E16F4613A98}"/>
    <cellStyle name="Normal 4 2 2 8" xfId="2072" xr:uid="{3A57E5F9-AE8F-4513-9ECA-EE331DFC1487}"/>
    <cellStyle name="Normal 4 2 2 8 2" xfId="12020" xr:uid="{43B83E59-9A75-41B0-B516-726D97023861}"/>
    <cellStyle name="Normal 4 2 2 9" xfId="2901" xr:uid="{C2BC8B50-19AB-46EF-A825-8968BAB3883A}"/>
    <cellStyle name="Normal 4 2 2 9 2" xfId="12849" xr:uid="{E1E2943E-BE78-44E6-B003-ECA0CEA5F74B}"/>
    <cellStyle name="Normal 4 2 3" xfId="357" xr:uid="{00000000-0005-0000-0000-00006D020000}"/>
    <cellStyle name="Normal 4 2 4" xfId="358" xr:uid="{00000000-0005-0000-0000-00006E020000}"/>
    <cellStyle name="Normal 4 2 4 10" xfId="5404" xr:uid="{9E087760-9963-4A98-9D9A-EF07C91BEFC2}"/>
    <cellStyle name="Normal 4 2 4 10 2" xfId="15352" xr:uid="{91DA8A33-F63F-4C0B-B783-C966560BDCAD}"/>
    <cellStyle name="Normal 4 2 4 11" xfId="6233" xr:uid="{C8BDF2CC-BC81-4632-868D-2A8E2CC83B34}"/>
    <cellStyle name="Normal 4 2 4 11 2" xfId="16181" xr:uid="{F5738EA1-B760-4567-9AEA-1FEF6B4EF152}"/>
    <cellStyle name="Normal 4 2 4 12" xfId="7062" xr:uid="{558D49EF-CE8A-46F9-8424-42C46C869BC2}"/>
    <cellStyle name="Normal 4 2 4 12 2" xfId="17010" xr:uid="{3D540244-B9C2-4C98-831B-82F3AA7D95E7}"/>
    <cellStyle name="Normal 4 2 4 13" xfId="7891" xr:uid="{4A960299-564A-48F0-B3D8-F2FA2146A833}"/>
    <cellStyle name="Normal 4 2 4 13 2" xfId="17839" xr:uid="{E4E81CF7-148C-4055-BDA1-75E61A847C5C}"/>
    <cellStyle name="Normal 4 2 4 14" xfId="8720" xr:uid="{DB57BE39-9F01-4D79-9C80-CEC8AB52EAFE}"/>
    <cellStyle name="Normal 4 2 4 14 2" xfId="18668" xr:uid="{CEB80240-87AA-4FC6-8599-1D616C639564}"/>
    <cellStyle name="Normal 4 2 4 15" xfId="9549" xr:uid="{134BC02D-604F-443C-82A9-000D9600DE3B}"/>
    <cellStyle name="Normal 4 2 4 15 2" xfId="19497" xr:uid="{E8BC27F2-F497-4F4D-B320-70F28D76B088}"/>
    <cellStyle name="Normal 4 2 4 16" xfId="10378" xr:uid="{6EB11CFA-B54F-4E3E-BF2E-25FF5D6FDE70}"/>
    <cellStyle name="Normal 4 2 4 16 2" xfId="20326" xr:uid="{CD78808A-9855-4647-8EBD-43C66E6F455A}"/>
    <cellStyle name="Normal 4 2 4 17" xfId="1259" xr:uid="{6F02E824-BC4B-4FA1-9938-6B2EBBB6949F}"/>
    <cellStyle name="Normal 4 2 4 18" xfId="11207" xr:uid="{879EFF0B-6397-4FBA-B3F7-97F2F1F49D71}"/>
    <cellStyle name="Normal 4 2 4 2" xfId="359" xr:uid="{00000000-0005-0000-0000-00006F020000}"/>
    <cellStyle name="Normal 4 2 4 2 10" xfId="6234" xr:uid="{01A35D23-65B0-4C21-BEF3-B7CE39741829}"/>
    <cellStyle name="Normal 4 2 4 2 10 2" xfId="16182" xr:uid="{824B1444-91DC-45B8-A5DB-18B4F45A15EB}"/>
    <cellStyle name="Normal 4 2 4 2 11" xfId="7063" xr:uid="{D98EF8D4-8128-4418-BB15-98FA5B476F4E}"/>
    <cellStyle name="Normal 4 2 4 2 11 2" xfId="17011" xr:uid="{13DBEDE4-2A01-4D1A-8C01-D7F16314F6C0}"/>
    <cellStyle name="Normal 4 2 4 2 12" xfId="7892" xr:uid="{A9CD2F07-6D83-4223-BD9A-51D5090AB14C}"/>
    <cellStyle name="Normal 4 2 4 2 12 2" xfId="17840" xr:uid="{74C712F6-2D8C-4A0B-AF28-601E95E85FDD}"/>
    <cellStyle name="Normal 4 2 4 2 13" xfId="8721" xr:uid="{28D46635-E16B-4AC1-924B-6E78E6AEF7A7}"/>
    <cellStyle name="Normal 4 2 4 2 13 2" xfId="18669" xr:uid="{E33CC033-364F-4BAA-BD55-83A955119E82}"/>
    <cellStyle name="Normal 4 2 4 2 14" xfId="9550" xr:uid="{BBD96E64-8082-4BE1-B68A-0012C2A7B421}"/>
    <cellStyle name="Normal 4 2 4 2 14 2" xfId="19498" xr:uid="{9355D6ED-5388-49D7-999F-801CEF57E9E7}"/>
    <cellStyle name="Normal 4 2 4 2 15" xfId="10379" xr:uid="{3BB5B1F4-2544-4455-BE0D-FE7F166E7C2B}"/>
    <cellStyle name="Normal 4 2 4 2 15 2" xfId="20327" xr:uid="{211D3F5D-122C-4918-83F8-96F87C8895AF}"/>
    <cellStyle name="Normal 4 2 4 2 16" xfId="1260" xr:uid="{DA71C7A6-A1A7-4E91-809D-D95F1C8D42DE}"/>
    <cellStyle name="Normal 4 2 4 2 17" xfId="11208" xr:uid="{614C1363-B928-4EEA-A9FA-F198103D4832}"/>
    <cellStyle name="Normal 4 2 4 2 2" xfId="360" xr:uid="{00000000-0005-0000-0000-000070020000}"/>
    <cellStyle name="Normal 4 2 4 2 2 10" xfId="7064" xr:uid="{5C67D23D-0BD1-40C9-9871-F2B61C790D34}"/>
    <cellStyle name="Normal 4 2 4 2 2 10 2" xfId="17012" xr:uid="{5960316C-B436-412B-9AAF-D19C9B26D494}"/>
    <cellStyle name="Normal 4 2 4 2 2 11" xfId="7893" xr:uid="{5386E861-D7BF-402D-80C7-65E7622270EC}"/>
    <cellStyle name="Normal 4 2 4 2 2 11 2" xfId="17841" xr:uid="{69BBFDCC-D5FE-4769-8D48-C57C8121BDAC}"/>
    <cellStyle name="Normal 4 2 4 2 2 12" xfId="8722" xr:uid="{52831770-55FC-4A5A-9197-A7217D5B1A2A}"/>
    <cellStyle name="Normal 4 2 4 2 2 12 2" xfId="18670" xr:uid="{7BE9DA38-485A-4ED7-93A8-DDF9AF5632E7}"/>
    <cellStyle name="Normal 4 2 4 2 2 13" xfId="9551" xr:uid="{1BD27D45-F0CA-407E-85EB-0D5875D3F7E9}"/>
    <cellStyle name="Normal 4 2 4 2 2 13 2" xfId="19499" xr:uid="{E019D980-830C-41F0-89C6-BB9FC087C713}"/>
    <cellStyle name="Normal 4 2 4 2 2 14" xfId="10380" xr:uid="{CA2BD972-2315-43DB-B689-4961277537A5}"/>
    <cellStyle name="Normal 4 2 4 2 2 14 2" xfId="20328" xr:uid="{48C7E2F8-8CBA-4F45-84C3-10023D00CAE9}"/>
    <cellStyle name="Normal 4 2 4 2 2 15" xfId="1261" xr:uid="{FE971FAD-1777-4091-92A2-4D2CB8B85117}"/>
    <cellStyle name="Normal 4 2 4 2 2 16" xfId="11209" xr:uid="{A4E71446-0598-483B-8861-085FD4E095F0}"/>
    <cellStyle name="Normal 4 2 4 2 2 2" xfId="361" xr:uid="{00000000-0005-0000-0000-000071020000}"/>
    <cellStyle name="Normal 4 2 4 2 2 2 10" xfId="7894" xr:uid="{11690FED-1AC6-4B9C-9EE8-08560DE3A7F1}"/>
    <cellStyle name="Normal 4 2 4 2 2 2 10 2" xfId="17842" xr:uid="{487AA056-32A2-45DA-B163-F5A847F934A7}"/>
    <cellStyle name="Normal 4 2 4 2 2 2 11" xfId="8723" xr:uid="{8D003DD7-D349-44D2-ACF2-EA64292E4927}"/>
    <cellStyle name="Normal 4 2 4 2 2 2 11 2" xfId="18671" xr:uid="{77BE763D-BBAC-4870-91A2-84F71D31702D}"/>
    <cellStyle name="Normal 4 2 4 2 2 2 12" xfId="9552" xr:uid="{6AE96273-8DA1-4484-9343-9868AF978073}"/>
    <cellStyle name="Normal 4 2 4 2 2 2 12 2" xfId="19500" xr:uid="{95CA1A40-2459-4476-8347-FB610E89C1B6}"/>
    <cellStyle name="Normal 4 2 4 2 2 2 13" xfId="10381" xr:uid="{C162B062-4666-4EA3-B37B-5F344ABCAF6C}"/>
    <cellStyle name="Normal 4 2 4 2 2 2 13 2" xfId="20329" xr:uid="{759C3383-751D-40DA-B620-9DC982DABEB1}"/>
    <cellStyle name="Normal 4 2 4 2 2 2 14" xfId="1262" xr:uid="{195E8FB3-6D0D-4B06-B20E-76F17823AAF0}"/>
    <cellStyle name="Normal 4 2 4 2 2 2 15" xfId="11210" xr:uid="{8272B972-2431-4864-8048-28B868702C6D}"/>
    <cellStyle name="Normal 4 2 4 2 2 2 2" xfId="842" xr:uid="{00000000-0005-0000-0000-000072020000}"/>
    <cellStyle name="Normal 4 2 4 2 2 2 2 10" xfId="9139" xr:uid="{C5D2E28B-504B-4CA5-A393-7B624A43857A}"/>
    <cellStyle name="Normal 4 2 4 2 2 2 2 10 2" xfId="19087" xr:uid="{4F75F399-301A-4FC2-B9BA-785551412E8D}"/>
    <cellStyle name="Normal 4 2 4 2 2 2 2 11" xfId="9968" xr:uid="{72F9DF07-3C7B-43F5-94B6-0A5B5EC4E424}"/>
    <cellStyle name="Normal 4 2 4 2 2 2 2 11 2" xfId="19916" xr:uid="{C07EEBAA-8C29-4DDF-9524-679F1AD2525C}"/>
    <cellStyle name="Normal 4 2 4 2 2 2 2 12" xfId="10797" xr:uid="{7666AB23-181D-41BC-946E-308AB9589334}"/>
    <cellStyle name="Normal 4 2 4 2 2 2 2 12 2" xfId="20745" xr:uid="{24220395-81D2-4824-9EA2-FBFC05ECA9A8}"/>
    <cellStyle name="Normal 4 2 4 2 2 2 2 13" xfId="1678" xr:uid="{9DA3B653-1685-4965-8CCF-A020CA2BD7F6}"/>
    <cellStyle name="Normal 4 2 4 2 2 2 2 14" xfId="11626" xr:uid="{26980D7B-3A0F-4945-8CAD-B411CE3ED0A1}"/>
    <cellStyle name="Normal 4 2 4 2 2 2 2 2" xfId="2507" xr:uid="{CB8A92B0-7C44-4ED7-A42A-01974DF5CB51}"/>
    <cellStyle name="Normal 4 2 4 2 2 2 2 2 2" xfId="12455" xr:uid="{FFCC1EF6-6259-4D08-B371-777D4C5EEB50}"/>
    <cellStyle name="Normal 4 2 4 2 2 2 2 3" xfId="3336" xr:uid="{C6BAE5CC-75D0-423C-B935-70AEF76F5856}"/>
    <cellStyle name="Normal 4 2 4 2 2 2 2 3 2" xfId="13284" xr:uid="{B3313784-BAD6-43BC-B132-F504191AE8E1}"/>
    <cellStyle name="Normal 4 2 4 2 2 2 2 4" xfId="4165" xr:uid="{15870279-2909-43E1-9A7E-1252F054F8DC}"/>
    <cellStyle name="Normal 4 2 4 2 2 2 2 4 2" xfId="14113" xr:uid="{803E31A4-D2B0-478A-8EC8-02DA80C0FD07}"/>
    <cellStyle name="Normal 4 2 4 2 2 2 2 5" xfId="4994" xr:uid="{C56A2FDD-5640-4534-A646-A530401BFD80}"/>
    <cellStyle name="Normal 4 2 4 2 2 2 2 5 2" xfId="14942" xr:uid="{10BDE113-F458-44CF-B9C9-30A218F62AA2}"/>
    <cellStyle name="Normal 4 2 4 2 2 2 2 6" xfId="5823" xr:uid="{F3F6F730-6281-4567-BCC7-6737D25E2E4A}"/>
    <cellStyle name="Normal 4 2 4 2 2 2 2 6 2" xfId="15771" xr:uid="{F41910D5-8495-495A-9B73-383935C1FA1B}"/>
    <cellStyle name="Normal 4 2 4 2 2 2 2 7" xfId="6652" xr:uid="{45687907-A1F2-4521-A4F0-33DB03406DEF}"/>
    <cellStyle name="Normal 4 2 4 2 2 2 2 7 2" xfId="16600" xr:uid="{E158F870-7087-4FE3-AB2A-F05020E066D1}"/>
    <cellStyle name="Normal 4 2 4 2 2 2 2 8" xfId="7481" xr:uid="{A46ED77B-BFE1-41C5-BDF1-CB18BEFF8CEF}"/>
    <cellStyle name="Normal 4 2 4 2 2 2 2 8 2" xfId="17429" xr:uid="{8639ABF7-2FF6-4068-904B-7DE8A7F66563}"/>
    <cellStyle name="Normal 4 2 4 2 2 2 2 9" xfId="8310" xr:uid="{8BD97CA9-29AB-42F8-B2C9-7E6E8ABF08FA}"/>
    <cellStyle name="Normal 4 2 4 2 2 2 2 9 2" xfId="18258" xr:uid="{E23D82E5-14F8-4B96-AF57-5F16BB6B1D19}"/>
    <cellStyle name="Normal 4 2 4 2 2 2 3" xfId="2091" xr:uid="{C999A1EE-380A-4FD2-A362-B76E98348DE5}"/>
    <cellStyle name="Normal 4 2 4 2 2 2 3 2" xfId="12039" xr:uid="{20860157-748A-41E8-8892-E3937D0A49FC}"/>
    <cellStyle name="Normal 4 2 4 2 2 2 4" xfId="2920" xr:uid="{4699D9EC-BFF3-45C6-A540-394C6FB2A577}"/>
    <cellStyle name="Normal 4 2 4 2 2 2 4 2" xfId="12868" xr:uid="{491CEB07-44F6-4474-8A48-7D12E21DC0C8}"/>
    <cellStyle name="Normal 4 2 4 2 2 2 5" xfId="3749" xr:uid="{090574BF-82A0-4D42-9EC4-A8AE1FABCD56}"/>
    <cellStyle name="Normal 4 2 4 2 2 2 5 2" xfId="13697" xr:uid="{EDE39062-4181-4B28-8B29-97142ED5AF40}"/>
    <cellStyle name="Normal 4 2 4 2 2 2 6" xfId="4578" xr:uid="{8667DAF5-2DD8-4111-923E-63C1F1A65C3B}"/>
    <cellStyle name="Normal 4 2 4 2 2 2 6 2" xfId="14526" xr:uid="{9873357B-CB36-4108-995C-EF6DBC8BC9A3}"/>
    <cellStyle name="Normal 4 2 4 2 2 2 7" xfId="5407" xr:uid="{5EE2B7F2-024C-4057-A625-29EA1C177697}"/>
    <cellStyle name="Normal 4 2 4 2 2 2 7 2" xfId="15355" xr:uid="{838D90AF-86A7-4B83-A281-A4EDCD1B43D8}"/>
    <cellStyle name="Normal 4 2 4 2 2 2 8" xfId="6236" xr:uid="{721553A6-53AD-4CDC-BCD0-59EC02544926}"/>
    <cellStyle name="Normal 4 2 4 2 2 2 8 2" xfId="16184" xr:uid="{7D5AC51A-33B4-46E4-BE5E-59568028D98B}"/>
    <cellStyle name="Normal 4 2 4 2 2 2 9" xfId="7065" xr:uid="{93599458-0581-48D2-A46B-5B9749720722}"/>
    <cellStyle name="Normal 4 2 4 2 2 2 9 2" xfId="17013" xr:uid="{8D19E35E-EF93-479B-A261-AD91F2DB6532}"/>
    <cellStyle name="Normal 4 2 4 2 2 3" xfId="841" xr:uid="{00000000-0005-0000-0000-000073020000}"/>
    <cellStyle name="Normal 4 2 4 2 2 3 10" xfId="9138" xr:uid="{A94431B3-C5AE-465A-9E33-3B907512EC4E}"/>
    <cellStyle name="Normal 4 2 4 2 2 3 10 2" xfId="19086" xr:uid="{976E9CCB-DEFA-4D80-AE1A-5A6D6E5685E2}"/>
    <cellStyle name="Normal 4 2 4 2 2 3 11" xfId="9967" xr:uid="{323B5D51-9939-4BC0-ACA9-B35FCC447F83}"/>
    <cellStyle name="Normal 4 2 4 2 2 3 11 2" xfId="19915" xr:uid="{B78CF9D0-380B-44A1-8EA7-B9AE59001805}"/>
    <cellStyle name="Normal 4 2 4 2 2 3 12" xfId="10796" xr:uid="{5A77B3A1-514F-4F45-891A-0BFCCD644D03}"/>
    <cellStyle name="Normal 4 2 4 2 2 3 12 2" xfId="20744" xr:uid="{DC866C1C-FEEC-41B0-A486-664E09F32E86}"/>
    <cellStyle name="Normal 4 2 4 2 2 3 13" xfId="1677" xr:uid="{8158068E-30F7-403C-9165-6D49223CB8B0}"/>
    <cellStyle name="Normal 4 2 4 2 2 3 14" xfId="11625" xr:uid="{DFCB9EB9-EF8B-43BF-9C32-DFCC03DBBBD3}"/>
    <cellStyle name="Normal 4 2 4 2 2 3 2" xfId="2506" xr:uid="{28EF590C-FA9C-450A-B6D8-220F63940802}"/>
    <cellStyle name="Normal 4 2 4 2 2 3 2 2" xfId="12454" xr:uid="{27ACF3F2-7300-4CAC-BC53-4F591D1D2667}"/>
    <cellStyle name="Normal 4 2 4 2 2 3 3" xfId="3335" xr:uid="{1B16AA2B-2ACC-4B32-849E-73830F079BBC}"/>
    <cellStyle name="Normal 4 2 4 2 2 3 3 2" xfId="13283" xr:uid="{5651B78D-B216-4892-820E-B395B812DC7F}"/>
    <cellStyle name="Normal 4 2 4 2 2 3 4" xfId="4164" xr:uid="{A7ED1578-7ABD-4FB5-A21E-992C534F2392}"/>
    <cellStyle name="Normal 4 2 4 2 2 3 4 2" xfId="14112" xr:uid="{6907D40B-A24B-4D64-B90A-B647F7599D95}"/>
    <cellStyle name="Normal 4 2 4 2 2 3 5" xfId="4993" xr:uid="{5ACC4383-1311-48FD-ADCE-ECD2E77DB9DD}"/>
    <cellStyle name="Normal 4 2 4 2 2 3 5 2" xfId="14941" xr:uid="{BDBBAEC0-5191-4784-A4AC-E7F3E462B157}"/>
    <cellStyle name="Normal 4 2 4 2 2 3 6" xfId="5822" xr:uid="{B0758A6B-7481-4686-8CC4-8F15FDE2949B}"/>
    <cellStyle name="Normal 4 2 4 2 2 3 6 2" xfId="15770" xr:uid="{AF40433F-9DF3-407A-A5F4-BAF9BC8347B5}"/>
    <cellStyle name="Normal 4 2 4 2 2 3 7" xfId="6651" xr:uid="{3DBB48A1-26AB-4030-9475-D6564AAC7284}"/>
    <cellStyle name="Normal 4 2 4 2 2 3 7 2" xfId="16599" xr:uid="{BE2910DE-9D75-42DD-BA3B-4C2A997F340B}"/>
    <cellStyle name="Normal 4 2 4 2 2 3 8" xfId="7480" xr:uid="{B22FD930-E091-4C77-AF5F-4BFE871ACA0E}"/>
    <cellStyle name="Normal 4 2 4 2 2 3 8 2" xfId="17428" xr:uid="{531CE47C-FE79-4D49-86B2-69AEC540CC8E}"/>
    <cellStyle name="Normal 4 2 4 2 2 3 9" xfId="8309" xr:uid="{08E170CD-68D4-4F53-8324-900F87EE3F5B}"/>
    <cellStyle name="Normal 4 2 4 2 2 3 9 2" xfId="18257" xr:uid="{B7557EAA-AE5C-41B6-A50E-ED5ADF81535B}"/>
    <cellStyle name="Normal 4 2 4 2 2 4" xfId="2090" xr:uid="{C1980326-8036-4E1B-B8B7-46817897BEFA}"/>
    <cellStyle name="Normal 4 2 4 2 2 4 2" xfId="12038" xr:uid="{0A4ED00F-F5A1-4CF0-AF4D-F658FD798AA0}"/>
    <cellStyle name="Normal 4 2 4 2 2 5" xfId="2919" xr:uid="{3301D253-0CDB-4AD0-B6B7-9C876497E720}"/>
    <cellStyle name="Normal 4 2 4 2 2 5 2" xfId="12867" xr:uid="{73D2F02E-6405-41E5-B1B1-595E9FBEDE47}"/>
    <cellStyle name="Normal 4 2 4 2 2 6" xfId="3748" xr:uid="{6AE69ECA-24A4-4B72-8FC1-701A080BDBA4}"/>
    <cellStyle name="Normal 4 2 4 2 2 6 2" xfId="13696" xr:uid="{34D02686-4513-49EE-8FDC-53B85F4DBCD7}"/>
    <cellStyle name="Normal 4 2 4 2 2 7" xfId="4577" xr:uid="{D7F6B1B9-28A0-49F2-B081-D326394C3F8D}"/>
    <cellStyle name="Normal 4 2 4 2 2 7 2" xfId="14525" xr:uid="{491D06A7-70B6-48F3-9648-2B1A2202AA5C}"/>
    <cellStyle name="Normal 4 2 4 2 2 8" xfId="5406" xr:uid="{FD12F8D7-FA24-4827-944F-E1C6619C7F81}"/>
    <cellStyle name="Normal 4 2 4 2 2 8 2" xfId="15354" xr:uid="{61DDF9D2-0119-45A7-8EB2-205F97788215}"/>
    <cellStyle name="Normal 4 2 4 2 2 9" xfId="6235" xr:uid="{5C40427C-4A59-4A52-9315-C6C9EB7F3F64}"/>
    <cellStyle name="Normal 4 2 4 2 2 9 2" xfId="16183" xr:uid="{7B98436D-F791-4A67-A7D4-BFAB2F911C68}"/>
    <cellStyle name="Normal 4 2 4 2 3" xfId="362" xr:uid="{00000000-0005-0000-0000-000074020000}"/>
    <cellStyle name="Normal 4 2 4 2 3 10" xfId="7895" xr:uid="{A45F8737-6A64-410A-96C4-4E807B225477}"/>
    <cellStyle name="Normal 4 2 4 2 3 10 2" xfId="17843" xr:uid="{2554A85D-C7A2-44AE-ADC9-B2870DD320A8}"/>
    <cellStyle name="Normal 4 2 4 2 3 11" xfId="8724" xr:uid="{0819A9D3-5ECA-47E4-AAFF-498B521DC2CA}"/>
    <cellStyle name="Normal 4 2 4 2 3 11 2" xfId="18672" xr:uid="{80A328F3-2280-47DD-B5AA-F671727AE2CC}"/>
    <cellStyle name="Normal 4 2 4 2 3 12" xfId="9553" xr:uid="{FCBB6340-3DCF-4468-93FC-F1A889257834}"/>
    <cellStyle name="Normal 4 2 4 2 3 12 2" xfId="19501" xr:uid="{007ADFB7-CFFD-4C5B-AC5F-DFEAD588839F}"/>
    <cellStyle name="Normal 4 2 4 2 3 13" xfId="10382" xr:uid="{72AE3A43-CE65-4609-8312-6BB393E5CA69}"/>
    <cellStyle name="Normal 4 2 4 2 3 13 2" xfId="20330" xr:uid="{087023AA-3603-4474-A48A-79E0FD5222E5}"/>
    <cellStyle name="Normal 4 2 4 2 3 14" xfId="1263" xr:uid="{C2F45535-DE8F-4026-8CD6-2AB49F28BF39}"/>
    <cellStyle name="Normal 4 2 4 2 3 15" xfId="11211" xr:uid="{43672B79-628F-48CB-A74C-0FA4A0A8DF99}"/>
    <cellStyle name="Normal 4 2 4 2 3 2" xfId="843" xr:uid="{00000000-0005-0000-0000-000075020000}"/>
    <cellStyle name="Normal 4 2 4 2 3 2 10" xfId="9140" xr:uid="{8EAE0E79-5D0F-4416-AF2A-EFF962140863}"/>
    <cellStyle name="Normal 4 2 4 2 3 2 10 2" xfId="19088" xr:uid="{563E7B33-34A1-412C-9631-578AECCA2D99}"/>
    <cellStyle name="Normal 4 2 4 2 3 2 11" xfId="9969" xr:uid="{D975FE3E-12E5-4187-BA7F-C087F21CE67C}"/>
    <cellStyle name="Normal 4 2 4 2 3 2 11 2" xfId="19917" xr:uid="{6B213C94-A50E-4EB5-A245-11558047AE89}"/>
    <cellStyle name="Normal 4 2 4 2 3 2 12" xfId="10798" xr:uid="{4E163213-B875-4164-8C5F-D10C4D8C9828}"/>
    <cellStyle name="Normal 4 2 4 2 3 2 12 2" xfId="20746" xr:uid="{3688FC51-A15C-4D0E-9441-54D18E41EC41}"/>
    <cellStyle name="Normal 4 2 4 2 3 2 13" xfId="1679" xr:uid="{2718D9A6-0546-4961-BDE4-BD6A843064BF}"/>
    <cellStyle name="Normal 4 2 4 2 3 2 14" xfId="11627" xr:uid="{EFDF51D8-7072-4C17-BFD2-5A53E6C1EFBF}"/>
    <cellStyle name="Normal 4 2 4 2 3 2 2" xfId="2508" xr:uid="{9A614051-4686-4E24-AA24-466803A00180}"/>
    <cellStyle name="Normal 4 2 4 2 3 2 2 2" xfId="12456" xr:uid="{4EF3B17C-3555-4905-B62C-0B5444358B35}"/>
    <cellStyle name="Normal 4 2 4 2 3 2 3" xfId="3337" xr:uid="{308975D5-398B-4085-8A83-6A7C7D584400}"/>
    <cellStyle name="Normal 4 2 4 2 3 2 3 2" xfId="13285" xr:uid="{EC8A51EB-F7CE-4913-AE5C-C833A7364E37}"/>
    <cellStyle name="Normal 4 2 4 2 3 2 4" xfId="4166" xr:uid="{0C538AFA-0023-4064-9695-2CDCD175B111}"/>
    <cellStyle name="Normal 4 2 4 2 3 2 4 2" xfId="14114" xr:uid="{A1BBB0F3-D2E8-4988-8079-76EF86353FE3}"/>
    <cellStyle name="Normal 4 2 4 2 3 2 5" xfId="4995" xr:uid="{5D97AC49-88F4-4526-8468-7E12E9EA43F1}"/>
    <cellStyle name="Normal 4 2 4 2 3 2 5 2" xfId="14943" xr:uid="{6229EA77-5638-4A4B-BBED-7FD69880AB2B}"/>
    <cellStyle name="Normal 4 2 4 2 3 2 6" xfId="5824" xr:uid="{6F609418-36A2-4BF5-B2C8-3B8FECFC8667}"/>
    <cellStyle name="Normal 4 2 4 2 3 2 6 2" xfId="15772" xr:uid="{86CDDA80-2F4B-41A5-A331-44BE1D1E8536}"/>
    <cellStyle name="Normal 4 2 4 2 3 2 7" xfId="6653" xr:uid="{B3BFCABD-7E01-4A3A-9D19-DD82AE34D284}"/>
    <cellStyle name="Normal 4 2 4 2 3 2 7 2" xfId="16601" xr:uid="{DB45B2B9-469A-41A1-AC6E-61D8700A36B1}"/>
    <cellStyle name="Normal 4 2 4 2 3 2 8" xfId="7482" xr:uid="{63DA2EE4-F731-4D5B-8F7A-0F9AD7E58FDE}"/>
    <cellStyle name="Normal 4 2 4 2 3 2 8 2" xfId="17430" xr:uid="{EC950B91-641F-49AA-BBFD-98DDC53226F9}"/>
    <cellStyle name="Normal 4 2 4 2 3 2 9" xfId="8311" xr:uid="{88DCE4B2-6E73-4E53-8DA9-E3F2AF7147D9}"/>
    <cellStyle name="Normal 4 2 4 2 3 2 9 2" xfId="18259" xr:uid="{F14D6A53-7899-4B13-9315-3A94602CD47E}"/>
    <cellStyle name="Normal 4 2 4 2 3 3" xfId="2092" xr:uid="{31A3ED70-D485-4CD0-BB66-BCBA1070DA16}"/>
    <cellStyle name="Normal 4 2 4 2 3 3 2" xfId="12040" xr:uid="{482B0FCF-CB57-4FBD-A03E-9844C6885CA3}"/>
    <cellStyle name="Normal 4 2 4 2 3 4" xfId="2921" xr:uid="{2D5A07B4-7D36-4DCA-8D59-7907BDE0BFE9}"/>
    <cellStyle name="Normal 4 2 4 2 3 4 2" xfId="12869" xr:uid="{D8BFDB3F-17AC-4CB0-A330-4C6B3F5B10A4}"/>
    <cellStyle name="Normal 4 2 4 2 3 5" xfId="3750" xr:uid="{F7F650D6-13EB-4C32-90FF-53A052E76B5E}"/>
    <cellStyle name="Normal 4 2 4 2 3 5 2" xfId="13698" xr:uid="{1EBA88FE-3BBC-4B57-BE74-16E825FC9F96}"/>
    <cellStyle name="Normal 4 2 4 2 3 6" xfId="4579" xr:uid="{5976C940-4142-4004-82A5-4B2FEB0A9297}"/>
    <cellStyle name="Normal 4 2 4 2 3 6 2" xfId="14527" xr:uid="{9C658637-2B22-42E8-8B95-584809543FD3}"/>
    <cellStyle name="Normal 4 2 4 2 3 7" xfId="5408" xr:uid="{82B5CEDB-CFD6-4C1E-8EAB-0BB226A4D823}"/>
    <cellStyle name="Normal 4 2 4 2 3 7 2" xfId="15356" xr:uid="{6211E6AF-F548-42A6-A9E4-3443DFD38E18}"/>
    <cellStyle name="Normal 4 2 4 2 3 8" xfId="6237" xr:uid="{C43A86DA-5193-43F6-B561-E3DF2F7D7A5C}"/>
    <cellStyle name="Normal 4 2 4 2 3 8 2" xfId="16185" xr:uid="{1B5C0CB8-5E5F-4244-8782-EB8F7CE88D30}"/>
    <cellStyle name="Normal 4 2 4 2 3 9" xfId="7066" xr:uid="{28C265FF-56DD-4B4D-93D8-5D9F466359F1}"/>
    <cellStyle name="Normal 4 2 4 2 3 9 2" xfId="17014" xr:uid="{98D3238E-80ED-4C1D-9096-A7512ECC5D06}"/>
    <cellStyle name="Normal 4 2 4 2 4" xfId="840" xr:uid="{00000000-0005-0000-0000-000076020000}"/>
    <cellStyle name="Normal 4 2 4 2 4 10" xfId="9137" xr:uid="{655D0ACC-19C2-422B-A217-CBD71A19518C}"/>
    <cellStyle name="Normal 4 2 4 2 4 10 2" xfId="19085" xr:uid="{FFCC9309-F198-43F4-BC4A-2046DB781F5B}"/>
    <cellStyle name="Normal 4 2 4 2 4 11" xfId="9966" xr:uid="{AC24EAAE-6D32-439F-B93C-030AD7C0FD04}"/>
    <cellStyle name="Normal 4 2 4 2 4 11 2" xfId="19914" xr:uid="{B9833C4A-F8DE-4014-BE8C-F5648CCE333B}"/>
    <cellStyle name="Normal 4 2 4 2 4 12" xfId="10795" xr:uid="{DEEED198-0227-41A2-8EEA-A5980FA83AE6}"/>
    <cellStyle name="Normal 4 2 4 2 4 12 2" xfId="20743" xr:uid="{FB2E504D-1473-4000-A430-B06D40A3B501}"/>
    <cellStyle name="Normal 4 2 4 2 4 13" xfId="1676" xr:uid="{0D52182A-867C-43D1-8F9D-BA169CCC8CB2}"/>
    <cellStyle name="Normal 4 2 4 2 4 14" xfId="11624" xr:uid="{169CDA47-DE7C-433F-A2DD-4B52D548486A}"/>
    <cellStyle name="Normal 4 2 4 2 4 2" xfId="2505" xr:uid="{47D0EF07-9D8B-43FF-BAF4-9C5090F254D3}"/>
    <cellStyle name="Normal 4 2 4 2 4 2 2" xfId="12453" xr:uid="{8B4D2AA2-9130-407B-9BDE-DB26F1913BB5}"/>
    <cellStyle name="Normal 4 2 4 2 4 3" xfId="3334" xr:uid="{5CB2D79D-AAC8-4047-B327-BD7AF6C66F79}"/>
    <cellStyle name="Normal 4 2 4 2 4 3 2" xfId="13282" xr:uid="{085F3C90-8C37-4B5B-AFB1-0D81B76FAB02}"/>
    <cellStyle name="Normal 4 2 4 2 4 4" xfId="4163" xr:uid="{8B5FA257-05A4-489E-840B-3D32B348FEA0}"/>
    <cellStyle name="Normal 4 2 4 2 4 4 2" xfId="14111" xr:uid="{3FD386AE-E33C-4AA0-98A9-48FA501D7B60}"/>
    <cellStyle name="Normal 4 2 4 2 4 5" xfId="4992" xr:uid="{71F4FF13-4B80-452C-B273-8BF7455422C9}"/>
    <cellStyle name="Normal 4 2 4 2 4 5 2" xfId="14940" xr:uid="{20C2CF36-531E-437E-BB6B-3DF53220BF74}"/>
    <cellStyle name="Normal 4 2 4 2 4 6" xfId="5821" xr:uid="{29809444-3FBE-4C92-951A-04AF717B3E0B}"/>
    <cellStyle name="Normal 4 2 4 2 4 6 2" xfId="15769" xr:uid="{FFDA8EDD-54C6-4A3B-BD99-17DE30E3D10F}"/>
    <cellStyle name="Normal 4 2 4 2 4 7" xfId="6650" xr:uid="{FD423739-2761-4019-BD07-4A4E793D414D}"/>
    <cellStyle name="Normal 4 2 4 2 4 7 2" xfId="16598" xr:uid="{4E9C8918-DF57-41D0-9610-ADF4CAB88B3D}"/>
    <cellStyle name="Normal 4 2 4 2 4 8" xfId="7479" xr:uid="{BB97A1EE-C997-4D1D-BF0A-E68A46A26FE9}"/>
    <cellStyle name="Normal 4 2 4 2 4 8 2" xfId="17427" xr:uid="{3902B818-927F-4CFD-B7C1-CD8F68A924CC}"/>
    <cellStyle name="Normal 4 2 4 2 4 9" xfId="8308" xr:uid="{3E343171-6FF9-4E91-B341-BF6EC8E5D535}"/>
    <cellStyle name="Normal 4 2 4 2 4 9 2" xfId="18256" xr:uid="{59725BF0-F18D-4324-8D7E-247474E0DC25}"/>
    <cellStyle name="Normal 4 2 4 2 5" xfId="2089" xr:uid="{F6CEC089-64F3-4C0C-8FC7-2DA5AD7AFFC6}"/>
    <cellStyle name="Normal 4 2 4 2 5 2" xfId="12037" xr:uid="{8FE0947E-9A27-412D-877F-12EDB46EABB4}"/>
    <cellStyle name="Normal 4 2 4 2 6" xfId="2918" xr:uid="{5E7259F6-C840-4BCA-BD9E-38B47E355229}"/>
    <cellStyle name="Normal 4 2 4 2 6 2" xfId="12866" xr:uid="{CE487868-2EB8-4C31-AB02-2682C14B1865}"/>
    <cellStyle name="Normal 4 2 4 2 7" xfId="3747" xr:uid="{D9D98F9D-EC7E-49EE-B7EF-15BB465AC4FA}"/>
    <cellStyle name="Normal 4 2 4 2 7 2" xfId="13695" xr:uid="{AB1F7689-0CD8-4C58-904A-1BAFD0CF504C}"/>
    <cellStyle name="Normal 4 2 4 2 8" xfId="4576" xr:uid="{C781FD13-1900-4F3E-84D4-63363AFE9131}"/>
    <cellStyle name="Normal 4 2 4 2 8 2" xfId="14524" xr:uid="{8C88D653-5E3E-4B9B-9F2D-70DB3033AF3D}"/>
    <cellStyle name="Normal 4 2 4 2 9" xfId="5405" xr:uid="{E3BF28AC-C646-49C9-BED3-B91F75285B7D}"/>
    <cellStyle name="Normal 4 2 4 2 9 2" xfId="15353" xr:uid="{46BF2430-E17D-4303-ADFA-B15DE03844B1}"/>
    <cellStyle name="Normal 4 2 4 3" xfId="363" xr:uid="{00000000-0005-0000-0000-000077020000}"/>
    <cellStyle name="Normal 4 2 4 3 10" xfId="7067" xr:uid="{5389D0EF-5AA5-49CD-8151-60D768CA2173}"/>
    <cellStyle name="Normal 4 2 4 3 10 2" xfId="17015" xr:uid="{17383064-424F-441D-BA80-6F310E0E87FE}"/>
    <cellStyle name="Normal 4 2 4 3 11" xfId="7896" xr:uid="{08341415-CF03-425E-919C-A4C90D90C3C9}"/>
    <cellStyle name="Normal 4 2 4 3 11 2" xfId="17844" xr:uid="{E814E266-9724-4D47-824E-64ABDDBD72ED}"/>
    <cellStyle name="Normal 4 2 4 3 12" xfId="8725" xr:uid="{CCD618CA-7BEF-4FAD-A147-58A39A3ED53F}"/>
    <cellStyle name="Normal 4 2 4 3 12 2" xfId="18673" xr:uid="{38CC6B38-DEF4-45CB-999B-DE82FD88005A}"/>
    <cellStyle name="Normal 4 2 4 3 13" xfId="9554" xr:uid="{246C5207-9BA6-45D6-BCAE-7F819CF218E0}"/>
    <cellStyle name="Normal 4 2 4 3 13 2" xfId="19502" xr:uid="{EF112D09-579C-43FE-A306-D57829CE554A}"/>
    <cellStyle name="Normal 4 2 4 3 14" xfId="10383" xr:uid="{6843F89B-DEAB-4BDE-B191-02CDF38EBB3D}"/>
    <cellStyle name="Normal 4 2 4 3 14 2" xfId="20331" xr:uid="{C48E04F7-FA06-42AC-A3EC-52904F60AA94}"/>
    <cellStyle name="Normal 4 2 4 3 15" xfId="1264" xr:uid="{25AD719A-6BA4-4590-951E-508AAB3CAF23}"/>
    <cellStyle name="Normal 4 2 4 3 16" xfId="11212" xr:uid="{76402517-BEC2-4B4E-8A66-E988C60D5DD5}"/>
    <cellStyle name="Normal 4 2 4 3 2" xfId="364" xr:uid="{00000000-0005-0000-0000-000078020000}"/>
    <cellStyle name="Normal 4 2 4 3 2 10" xfId="7897" xr:uid="{A3EE8EB1-7768-4B46-B79B-C2B7289677EE}"/>
    <cellStyle name="Normal 4 2 4 3 2 10 2" xfId="17845" xr:uid="{7221F2A9-3A81-4AB5-AD0F-5694460C93E3}"/>
    <cellStyle name="Normal 4 2 4 3 2 11" xfId="8726" xr:uid="{59691D8D-1194-40FA-9B57-037C569826D3}"/>
    <cellStyle name="Normal 4 2 4 3 2 11 2" xfId="18674" xr:uid="{CED086AC-751F-4C56-9B1F-F01BE13F0639}"/>
    <cellStyle name="Normal 4 2 4 3 2 12" xfId="9555" xr:uid="{3EFDE11F-877F-4151-94B0-6B426CB87077}"/>
    <cellStyle name="Normal 4 2 4 3 2 12 2" xfId="19503" xr:uid="{918796B1-2087-4AF0-A691-A9DC9B65C4F0}"/>
    <cellStyle name="Normal 4 2 4 3 2 13" xfId="10384" xr:uid="{4E383DA6-1AB8-48F1-9616-81FE67F0A7EF}"/>
    <cellStyle name="Normal 4 2 4 3 2 13 2" xfId="20332" xr:uid="{15EE0275-2A14-43FE-B7FB-0AA49340644D}"/>
    <cellStyle name="Normal 4 2 4 3 2 14" xfId="1265" xr:uid="{73C849ED-911D-49B3-8F96-1E4B0B9A14D5}"/>
    <cellStyle name="Normal 4 2 4 3 2 15" xfId="11213" xr:uid="{AA5F8AAF-F918-4F75-BA01-71CDF38CBEC9}"/>
    <cellStyle name="Normal 4 2 4 3 2 2" xfId="845" xr:uid="{00000000-0005-0000-0000-000079020000}"/>
    <cellStyle name="Normal 4 2 4 3 2 2 10" xfId="9142" xr:uid="{D909541B-6E61-4E73-A5C1-F22521630950}"/>
    <cellStyle name="Normal 4 2 4 3 2 2 10 2" xfId="19090" xr:uid="{5C0B88F9-8A8F-4C16-B15D-9B4E5D81DF3F}"/>
    <cellStyle name="Normal 4 2 4 3 2 2 11" xfId="9971" xr:uid="{9C0DBB93-8416-4A79-A353-0841F6E1DA7A}"/>
    <cellStyle name="Normal 4 2 4 3 2 2 11 2" xfId="19919" xr:uid="{37F8F163-5299-4AA9-BE3A-694BFA1BE2AF}"/>
    <cellStyle name="Normal 4 2 4 3 2 2 12" xfId="10800" xr:uid="{EAE1AC86-D501-4A33-B93A-185D0A555E24}"/>
    <cellStyle name="Normal 4 2 4 3 2 2 12 2" xfId="20748" xr:uid="{768A76D1-A5CD-4A71-AFD4-06AC39A76B85}"/>
    <cellStyle name="Normal 4 2 4 3 2 2 13" xfId="1681" xr:uid="{A99305C5-68B6-4DFE-843C-9B6233471216}"/>
    <cellStyle name="Normal 4 2 4 3 2 2 14" xfId="11629" xr:uid="{72D22561-07B9-4DDB-A0D4-D159AA0843C0}"/>
    <cellStyle name="Normal 4 2 4 3 2 2 2" xfId="2510" xr:uid="{E13F4D7D-8FA3-4932-A829-1A3890F327AA}"/>
    <cellStyle name="Normal 4 2 4 3 2 2 2 2" xfId="12458" xr:uid="{F47EF453-2C37-44FC-820C-C70E356110C8}"/>
    <cellStyle name="Normal 4 2 4 3 2 2 3" xfId="3339" xr:uid="{14B3CEC9-472E-49F5-BF55-742047B50E3F}"/>
    <cellStyle name="Normal 4 2 4 3 2 2 3 2" xfId="13287" xr:uid="{0D45F267-0E29-4C29-B64F-36769740E20A}"/>
    <cellStyle name="Normal 4 2 4 3 2 2 4" xfId="4168" xr:uid="{D58BF179-356F-46E8-8C04-8966E33EC12E}"/>
    <cellStyle name="Normal 4 2 4 3 2 2 4 2" xfId="14116" xr:uid="{E679A305-0B1A-4367-B1EF-7AC917ED4876}"/>
    <cellStyle name="Normal 4 2 4 3 2 2 5" xfId="4997" xr:uid="{B039AA37-1D8B-48FB-9244-7429024F5246}"/>
    <cellStyle name="Normal 4 2 4 3 2 2 5 2" xfId="14945" xr:uid="{FA5D0F56-F292-42DD-9B3F-86CEF3634D8C}"/>
    <cellStyle name="Normal 4 2 4 3 2 2 6" xfId="5826" xr:uid="{B101D009-F293-49CA-B492-CE67EB140C1D}"/>
    <cellStyle name="Normal 4 2 4 3 2 2 6 2" xfId="15774" xr:uid="{D98B6783-A7C0-4EED-8D88-B356CF5B5EFD}"/>
    <cellStyle name="Normal 4 2 4 3 2 2 7" xfId="6655" xr:uid="{57A7F1D0-CADC-49B2-8011-68D21D46BC60}"/>
    <cellStyle name="Normal 4 2 4 3 2 2 7 2" xfId="16603" xr:uid="{8A758B9D-66DC-48CD-B3CC-398C5A1DAC94}"/>
    <cellStyle name="Normal 4 2 4 3 2 2 8" xfId="7484" xr:uid="{AFCEA01F-8A2B-4B2F-884E-98258414D287}"/>
    <cellStyle name="Normal 4 2 4 3 2 2 8 2" xfId="17432" xr:uid="{04D793D1-BCB1-4EA7-9FA5-5592659E0830}"/>
    <cellStyle name="Normal 4 2 4 3 2 2 9" xfId="8313" xr:uid="{FB05B890-0359-4E6A-A73C-C39CD820F397}"/>
    <cellStyle name="Normal 4 2 4 3 2 2 9 2" xfId="18261" xr:uid="{03489518-B5B1-40ED-A709-D6AF91840F47}"/>
    <cellStyle name="Normal 4 2 4 3 2 3" xfId="2094" xr:uid="{458C92CA-62D5-40F0-9925-F084B50D474D}"/>
    <cellStyle name="Normal 4 2 4 3 2 3 2" xfId="12042" xr:uid="{F44F2950-2746-4E0B-99DA-B1FF41108C4D}"/>
    <cellStyle name="Normal 4 2 4 3 2 4" xfId="2923" xr:uid="{2C70A75A-24BC-47D2-8C5F-407626AC7878}"/>
    <cellStyle name="Normal 4 2 4 3 2 4 2" xfId="12871" xr:uid="{8A229ADB-3CB9-4954-92F5-ABB89C092795}"/>
    <cellStyle name="Normal 4 2 4 3 2 5" xfId="3752" xr:uid="{C23FE681-69AF-42AC-B532-8DA7510A9DCB}"/>
    <cellStyle name="Normal 4 2 4 3 2 5 2" xfId="13700" xr:uid="{F0D03B14-9D91-4C65-B5AC-B6ACB24C21A6}"/>
    <cellStyle name="Normal 4 2 4 3 2 6" xfId="4581" xr:uid="{0FA7AD39-90A9-4A6E-912A-CD2873BD7685}"/>
    <cellStyle name="Normal 4 2 4 3 2 6 2" xfId="14529" xr:uid="{41927051-DD47-4C97-B420-39FC59313EC7}"/>
    <cellStyle name="Normal 4 2 4 3 2 7" xfId="5410" xr:uid="{0DB66349-0385-4590-A1A9-6E8905E2B638}"/>
    <cellStyle name="Normal 4 2 4 3 2 7 2" xfId="15358" xr:uid="{6A3D6BFF-5FC2-4D7D-81F5-00AA745700F7}"/>
    <cellStyle name="Normal 4 2 4 3 2 8" xfId="6239" xr:uid="{A53372DE-2DB3-4E1B-8C2C-3C8E227AF962}"/>
    <cellStyle name="Normal 4 2 4 3 2 8 2" xfId="16187" xr:uid="{365AB20B-406D-4BB0-B7BF-C252392DEB8A}"/>
    <cellStyle name="Normal 4 2 4 3 2 9" xfId="7068" xr:uid="{200DAAED-A5F0-4743-A96D-6B2010B2E0EB}"/>
    <cellStyle name="Normal 4 2 4 3 2 9 2" xfId="17016" xr:uid="{456A918D-9FDD-4F7D-8CD5-52432D73398F}"/>
    <cellStyle name="Normal 4 2 4 3 3" xfId="844" xr:uid="{00000000-0005-0000-0000-00007A020000}"/>
    <cellStyle name="Normal 4 2 4 3 3 10" xfId="9141" xr:uid="{E912C438-B908-4515-A816-72EF694AFBAF}"/>
    <cellStyle name="Normal 4 2 4 3 3 10 2" xfId="19089" xr:uid="{7EB80A88-B643-4AA8-AFEA-41F004DB052D}"/>
    <cellStyle name="Normal 4 2 4 3 3 11" xfId="9970" xr:uid="{C4395099-1896-4D59-8BEE-3BDE7353C6DE}"/>
    <cellStyle name="Normal 4 2 4 3 3 11 2" xfId="19918" xr:uid="{2D98EA2A-0B0E-4A3E-80B2-0C2520EAFF5B}"/>
    <cellStyle name="Normal 4 2 4 3 3 12" xfId="10799" xr:uid="{C0AEDD81-A56E-4832-ADA8-CEDD8709F05A}"/>
    <cellStyle name="Normal 4 2 4 3 3 12 2" xfId="20747" xr:uid="{7B450509-5C75-48AC-9534-9208ADB20B71}"/>
    <cellStyle name="Normal 4 2 4 3 3 13" xfId="1680" xr:uid="{28993ABD-978D-44B3-BBFD-75C44A3E41C6}"/>
    <cellStyle name="Normal 4 2 4 3 3 14" xfId="11628" xr:uid="{3F7883C3-1B74-4D74-924C-30991C5009C3}"/>
    <cellStyle name="Normal 4 2 4 3 3 2" xfId="2509" xr:uid="{35E51C21-1F9F-486D-8C0C-15CC9E3B5A2F}"/>
    <cellStyle name="Normal 4 2 4 3 3 2 2" xfId="12457" xr:uid="{343AE77E-BF3B-4CA2-A44D-055306E67B55}"/>
    <cellStyle name="Normal 4 2 4 3 3 3" xfId="3338" xr:uid="{AE643060-5A83-400F-AA0E-4848556F0DFE}"/>
    <cellStyle name="Normal 4 2 4 3 3 3 2" xfId="13286" xr:uid="{ABEE002C-A749-4985-8025-5E460547CF3C}"/>
    <cellStyle name="Normal 4 2 4 3 3 4" xfId="4167" xr:uid="{71220212-7D0E-493F-B189-66A86725FBF3}"/>
    <cellStyle name="Normal 4 2 4 3 3 4 2" xfId="14115" xr:uid="{E2F3A1A8-E95E-45B6-BA41-A9671CF80B01}"/>
    <cellStyle name="Normal 4 2 4 3 3 5" xfId="4996" xr:uid="{0EAA227B-659D-4D48-B02B-D6BAAE6C4078}"/>
    <cellStyle name="Normal 4 2 4 3 3 5 2" xfId="14944" xr:uid="{E927011F-EA02-4D13-8B26-DC5EE55389E0}"/>
    <cellStyle name="Normal 4 2 4 3 3 6" xfId="5825" xr:uid="{2F292683-EFF8-45A2-BC3C-3B8FFAD1C55A}"/>
    <cellStyle name="Normal 4 2 4 3 3 6 2" xfId="15773" xr:uid="{5C5108BA-6AC3-4B0C-8683-153C97596F2C}"/>
    <cellStyle name="Normal 4 2 4 3 3 7" xfId="6654" xr:uid="{EE40EA18-7F0B-451D-998D-E90247B010D7}"/>
    <cellStyle name="Normal 4 2 4 3 3 7 2" xfId="16602" xr:uid="{2FB2312B-BB29-474F-8C24-5EF2E9B13355}"/>
    <cellStyle name="Normal 4 2 4 3 3 8" xfId="7483" xr:uid="{AC226FF2-D133-401A-A230-7C137692D2D1}"/>
    <cellStyle name="Normal 4 2 4 3 3 8 2" xfId="17431" xr:uid="{C0CCE6C5-4D41-4D0C-B62C-9E5B223AA671}"/>
    <cellStyle name="Normal 4 2 4 3 3 9" xfId="8312" xr:uid="{DA084BF6-ED81-43D8-AD46-6F9C0A66C227}"/>
    <cellStyle name="Normal 4 2 4 3 3 9 2" xfId="18260" xr:uid="{D5E7C215-9409-4F4A-9BFD-2C6277F6D3AB}"/>
    <cellStyle name="Normal 4 2 4 3 4" xfId="2093" xr:uid="{FBAC20B0-006A-43C4-B94C-55F43CCB06F0}"/>
    <cellStyle name="Normal 4 2 4 3 4 2" xfId="12041" xr:uid="{F2072679-AFA0-4694-B84B-669AC2511A45}"/>
    <cellStyle name="Normal 4 2 4 3 5" xfId="2922" xr:uid="{3EC059A9-104C-46C1-B3F7-6DBCD5BEEA54}"/>
    <cellStyle name="Normal 4 2 4 3 5 2" xfId="12870" xr:uid="{11D0863E-098E-4ECE-82D5-D8E44C82C818}"/>
    <cellStyle name="Normal 4 2 4 3 6" xfId="3751" xr:uid="{7988887F-2212-4C42-A02F-D88283586B88}"/>
    <cellStyle name="Normal 4 2 4 3 6 2" xfId="13699" xr:uid="{D3AEE6F4-2A8E-4BEA-95AB-BDE7B80681BB}"/>
    <cellStyle name="Normal 4 2 4 3 7" xfId="4580" xr:uid="{9356A2EF-AFA7-4A2D-B9F1-CDC47487B9BC}"/>
    <cellStyle name="Normal 4 2 4 3 7 2" xfId="14528" xr:uid="{C36922CE-8AA8-4889-B789-734B017E81DF}"/>
    <cellStyle name="Normal 4 2 4 3 8" xfId="5409" xr:uid="{66BAE272-49D3-41A7-A925-5C95019749A9}"/>
    <cellStyle name="Normal 4 2 4 3 8 2" xfId="15357" xr:uid="{E8D51AEF-575F-4DAE-A68A-283B54775DE1}"/>
    <cellStyle name="Normal 4 2 4 3 9" xfId="6238" xr:uid="{7923BB6E-DD95-499C-9FED-F87EAD7A6CA9}"/>
    <cellStyle name="Normal 4 2 4 3 9 2" xfId="16186" xr:uid="{C14DEC16-096D-429D-A9F0-FA85A6EBA2CE}"/>
    <cellStyle name="Normal 4 2 4 4" xfId="365" xr:uid="{00000000-0005-0000-0000-00007B020000}"/>
    <cellStyle name="Normal 4 2 4 4 10" xfId="7898" xr:uid="{6243E03C-00F5-49E7-B5DE-1ABE626F7B0D}"/>
    <cellStyle name="Normal 4 2 4 4 10 2" xfId="17846" xr:uid="{E78BF21E-C6CA-4853-B9CD-EA56FF2F7F55}"/>
    <cellStyle name="Normal 4 2 4 4 11" xfId="8727" xr:uid="{7F54CB0C-2D41-4D08-8092-5A6ACF4751F0}"/>
    <cellStyle name="Normal 4 2 4 4 11 2" xfId="18675" xr:uid="{0A1E244C-AFA6-4745-99AB-ABC281F83F2C}"/>
    <cellStyle name="Normal 4 2 4 4 12" xfId="9556" xr:uid="{B8A0BD7E-4E24-466F-9B10-80BAEA82373E}"/>
    <cellStyle name="Normal 4 2 4 4 12 2" xfId="19504" xr:uid="{66D85BBC-BB4E-4A93-876F-5E878510ABA6}"/>
    <cellStyle name="Normal 4 2 4 4 13" xfId="10385" xr:uid="{F523D4E4-58ED-4B34-8E4F-F8AF58332D46}"/>
    <cellStyle name="Normal 4 2 4 4 13 2" xfId="20333" xr:uid="{898EC0BC-F8C7-46C5-82C1-7A89FC2F3F82}"/>
    <cellStyle name="Normal 4 2 4 4 14" xfId="1266" xr:uid="{AC0D78E1-FA68-4621-AB69-40C3123443B7}"/>
    <cellStyle name="Normal 4 2 4 4 15" xfId="11214" xr:uid="{41B35C11-8F8E-47E9-A574-7A21A7240470}"/>
    <cellStyle name="Normal 4 2 4 4 2" xfId="846" xr:uid="{00000000-0005-0000-0000-00007C020000}"/>
    <cellStyle name="Normal 4 2 4 4 2 10" xfId="9143" xr:uid="{6CDC04C3-64B7-4FC8-AFFB-2A040EB43BEE}"/>
    <cellStyle name="Normal 4 2 4 4 2 10 2" xfId="19091" xr:uid="{6F2D49B2-3CD3-4E53-A81A-3DA827EB3614}"/>
    <cellStyle name="Normal 4 2 4 4 2 11" xfId="9972" xr:uid="{FBEF078F-BC48-4CDC-BAEB-9C77ED87B82D}"/>
    <cellStyle name="Normal 4 2 4 4 2 11 2" xfId="19920" xr:uid="{8B4539D2-7283-48A8-A186-9BB997BB4210}"/>
    <cellStyle name="Normal 4 2 4 4 2 12" xfId="10801" xr:uid="{2F129C24-1CF0-45A2-B682-DF7411CAFFD3}"/>
    <cellStyle name="Normal 4 2 4 4 2 12 2" xfId="20749" xr:uid="{144D0682-E1B5-4451-B941-FE41BDECE721}"/>
    <cellStyle name="Normal 4 2 4 4 2 13" xfId="1682" xr:uid="{AE505AF6-FF3E-4982-ADC6-5FABF1ACA433}"/>
    <cellStyle name="Normal 4 2 4 4 2 14" xfId="11630" xr:uid="{43936180-6F1F-48BC-B9E8-1E2857E8A456}"/>
    <cellStyle name="Normal 4 2 4 4 2 2" xfId="2511" xr:uid="{CA25E490-9B79-48D9-A946-D31BEA0D37EE}"/>
    <cellStyle name="Normal 4 2 4 4 2 2 2" xfId="12459" xr:uid="{FD054988-741A-4AAE-B75B-F4B1321EB27B}"/>
    <cellStyle name="Normal 4 2 4 4 2 3" xfId="3340" xr:uid="{C3D399AC-E43D-4BB7-92E9-39531E26A7E0}"/>
    <cellStyle name="Normal 4 2 4 4 2 3 2" xfId="13288" xr:uid="{FBA2E979-9B05-4193-B8C5-78354D68762F}"/>
    <cellStyle name="Normal 4 2 4 4 2 4" xfId="4169" xr:uid="{33192093-1AB6-4D67-95A8-7105BCF5E4EF}"/>
    <cellStyle name="Normal 4 2 4 4 2 4 2" xfId="14117" xr:uid="{ED11E42C-4C09-42D1-A372-9EA670EBA007}"/>
    <cellStyle name="Normal 4 2 4 4 2 5" xfId="4998" xr:uid="{F62C6F6F-B27D-4AD7-BFCA-F639993E9971}"/>
    <cellStyle name="Normal 4 2 4 4 2 5 2" xfId="14946" xr:uid="{F7A0B57C-D5F4-4D50-8FC3-EC4BB8C84479}"/>
    <cellStyle name="Normal 4 2 4 4 2 6" xfId="5827" xr:uid="{0109069F-91C5-49B5-9AC4-E380F14AF2E6}"/>
    <cellStyle name="Normal 4 2 4 4 2 6 2" xfId="15775" xr:uid="{897E74A8-B277-4F01-9441-C4B6B5908385}"/>
    <cellStyle name="Normal 4 2 4 4 2 7" xfId="6656" xr:uid="{CFD4FC7F-5354-49E1-B681-FAB05C3CBE1A}"/>
    <cellStyle name="Normal 4 2 4 4 2 7 2" xfId="16604" xr:uid="{225B095A-10E8-450E-A8A0-E420C1018F45}"/>
    <cellStyle name="Normal 4 2 4 4 2 8" xfId="7485" xr:uid="{BE3DC392-8AA1-47A8-8FB8-047D0D9B2AC9}"/>
    <cellStyle name="Normal 4 2 4 4 2 8 2" xfId="17433" xr:uid="{2F171354-FFBF-48FD-A752-1536BCF4AD77}"/>
    <cellStyle name="Normal 4 2 4 4 2 9" xfId="8314" xr:uid="{3D7EBD9A-328A-4153-B06C-5BD48D4B61DE}"/>
    <cellStyle name="Normal 4 2 4 4 2 9 2" xfId="18262" xr:uid="{9553180E-BE31-410A-B7CB-3C248CFDAE2D}"/>
    <cellStyle name="Normal 4 2 4 4 3" xfId="2095" xr:uid="{3C690CC7-1222-470A-AA5E-23A4C4B7084C}"/>
    <cellStyle name="Normal 4 2 4 4 3 2" xfId="12043" xr:uid="{80E28F5E-BEA6-4D03-A73B-C59B0B41F60F}"/>
    <cellStyle name="Normal 4 2 4 4 4" xfId="2924" xr:uid="{CD417A69-75F7-408D-A485-83BBF4568B4B}"/>
    <cellStyle name="Normal 4 2 4 4 4 2" xfId="12872" xr:uid="{E81549D8-8DF8-4D7D-977E-B7A263845C3F}"/>
    <cellStyle name="Normal 4 2 4 4 5" xfId="3753" xr:uid="{AE54054D-254B-4530-8055-D035CA3F5A95}"/>
    <cellStyle name="Normal 4 2 4 4 5 2" xfId="13701" xr:uid="{1B281D90-3491-4188-8CCE-6F1F435BAC1C}"/>
    <cellStyle name="Normal 4 2 4 4 6" xfId="4582" xr:uid="{B3B76057-4861-471D-A2B6-BACADEB9BDA1}"/>
    <cellStyle name="Normal 4 2 4 4 6 2" xfId="14530" xr:uid="{6F9BB7E3-FFCC-4A4E-8189-8461FC53E502}"/>
    <cellStyle name="Normal 4 2 4 4 7" xfId="5411" xr:uid="{F5A2CF18-BECB-4A8B-B401-F3C0D140F2B6}"/>
    <cellStyle name="Normal 4 2 4 4 7 2" xfId="15359" xr:uid="{3E4BD5EB-3F05-4046-9D90-59CE8BC8C0DD}"/>
    <cellStyle name="Normal 4 2 4 4 8" xfId="6240" xr:uid="{196A1B7E-9E7A-4E57-9E8B-5F9EC6C40A7C}"/>
    <cellStyle name="Normal 4 2 4 4 8 2" xfId="16188" xr:uid="{1DD9513F-3497-4153-B530-3A1D48AA03CD}"/>
    <cellStyle name="Normal 4 2 4 4 9" xfId="7069" xr:uid="{98AE444F-8FCB-4ED1-A41F-4EABEBD67D1E}"/>
    <cellStyle name="Normal 4 2 4 4 9 2" xfId="17017" xr:uid="{71D9F983-138F-405E-B730-724E63A66016}"/>
    <cellStyle name="Normal 4 2 4 5" xfId="839" xr:uid="{00000000-0005-0000-0000-00007D020000}"/>
    <cellStyle name="Normal 4 2 4 5 10" xfId="9136" xr:uid="{C38AE9AF-02FC-40DF-9CD9-87DEF92CD8F9}"/>
    <cellStyle name="Normal 4 2 4 5 10 2" xfId="19084" xr:uid="{5317F70A-C37D-4AFE-901D-B959C92FFD91}"/>
    <cellStyle name="Normal 4 2 4 5 11" xfId="9965" xr:uid="{654DA75E-8A4B-48E8-A111-10BAB3BA032D}"/>
    <cellStyle name="Normal 4 2 4 5 11 2" xfId="19913" xr:uid="{64E8ACBF-7A91-4B08-B13F-698D7ECF5FA1}"/>
    <cellStyle name="Normal 4 2 4 5 12" xfId="10794" xr:uid="{714051FF-C288-4A66-A45E-DC9F8F18B8F3}"/>
    <cellStyle name="Normal 4 2 4 5 12 2" xfId="20742" xr:uid="{BE16C58E-CA3E-4572-9052-58AB6A33D0A6}"/>
    <cellStyle name="Normal 4 2 4 5 13" xfId="1675" xr:uid="{BC9B5F3E-01D3-4E1A-A2FB-A809EE917F8F}"/>
    <cellStyle name="Normal 4 2 4 5 14" xfId="11623" xr:uid="{C3F440AE-42F3-435A-A88A-DC443C335F12}"/>
    <cellStyle name="Normal 4 2 4 5 2" xfId="2504" xr:uid="{74AB8566-BEC0-413B-9AB1-AEFF9E845160}"/>
    <cellStyle name="Normal 4 2 4 5 2 2" xfId="12452" xr:uid="{D6CCB7EC-A58E-4D94-975C-9115E423EC3C}"/>
    <cellStyle name="Normal 4 2 4 5 3" xfId="3333" xr:uid="{4DBD79E1-6703-40A7-80DB-A3595420413C}"/>
    <cellStyle name="Normal 4 2 4 5 3 2" xfId="13281" xr:uid="{61022C9B-AF31-4192-B97B-1B8C4B80429D}"/>
    <cellStyle name="Normal 4 2 4 5 4" xfId="4162" xr:uid="{6419C1AA-D390-43F1-A08F-4A1E15B8B731}"/>
    <cellStyle name="Normal 4 2 4 5 4 2" xfId="14110" xr:uid="{3D99F0E1-B8D2-4836-90CF-A1C5759164A7}"/>
    <cellStyle name="Normal 4 2 4 5 5" xfId="4991" xr:uid="{543C00AA-5EB2-4863-A85D-37297FD65EF8}"/>
    <cellStyle name="Normal 4 2 4 5 5 2" xfId="14939" xr:uid="{FA818620-9CFB-4926-8E06-6195D43398B2}"/>
    <cellStyle name="Normal 4 2 4 5 6" xfId="5820" xr:uid="{4B209AEF-C67A-4BA9-878A-296CD32BF5D8}"/>
    <cellStyle name="Normal 4 2 4 5 6 2" xfId="15768" xr:uid="{79528F1C-6A57-4202-8406-C828610C6AAF}"/>
    <cellStyle name="Normal 4 2 4 5 7" xfId="6649" xr:uid="{06A0F499-53C0-4A63-AC86-E91F8EAEBAD3}"/>
    <cellStyle name="Normal 4 2 4 5 7 2" xfId="16597" xr:uid="{7DDFFB2D-F8E4-4B6D-A85A-B6CF831918FB}"/>
    <cellStyle name="Normal 4 2 4 5 8" xfId="7478" xr:uid="{BC486580-6D8E-4CA5-B8BD-2DEA9932C6CD}"/>
    <cellStyle name="Normal 4 2 4 5 8 2" xfId="17426" xr:uid="{968B89B2-39D6-4BF0-94A1-EC3B2CC9132B}"/>
    <cellStyle name="Normal 4 2 4 5 9" xfId="8307" xr:uid="{19E09F7C-4E46-45B6-91BB-9EED0A5CA577}"/>
    <cellStyle name="Normal 4 2 4 5 9 2" xfId="18255" xr:uid="{E1C0A4DD-69FD-492B-9BC5-F805E1FA7720}"/>
    <cellStyle name="Normal 4 2 4 6" xfId="2088" xr:uid="{270E2D0A-46A6-4969-8C2F-11A74D580356}"/>
    <cellStyle name="Normal 4 2 4 6 2" xfId="12036" xr:uid="{775FADAA-99F9-463F-9119-827368CAE465}"/>
    <cellStyle name="Normal 4 2 4 7" xfId="2917" xr:uid="{FBC11F33-6D92-4005-8491-7CF32175AF3B}"/>
    <cellStyle name="Normal 4 2 4 7 2" xfId="12865" xr:uid="{14A70755-084F-498C-B386-C24C488A5667}"/>
    <cellStyle name="Normal 4 2 4 8" xfId="3746" xr:uid="{9EB0875D-BF4D-485D-B502-D0E7B021EC77}"/>
    <cellStyle name="Normal 4 2 4 8 2" xfId="13694" xr:uid="{7547D542-C589-4D8E-ABA4-88B684127F92}"/>
    <cellStyle name="Normal 4 2 4 9" xfId="4575" xr:uid="{FB3573FA-E58A-4398-B126-60A4F38DC497}"/>
    <cellStyle name="Normal 4 2 4 9 2" xfId="14523" xr:uid="{8CEFAFE3-EC76-4932-84E6-0CA56FEC2788}"/>
    <cellStyle name="Normal 4 2 5" xfId="366" xr:uid="{00000000-0005-0000-0000-00007E020000}"/>
    <cellStyle name="Normal 4 2 5 10" xfId="7070" xr:uid="{D6C913EA-DD5D-462C-AA40-41A6FB12278A}"/>
    <cellStyle name="Normal 4 2 5 10 2" xfId="17018" xr:uid="{62A3B7DB-8B0C-4B07-9F8A-FEB188DF7B7E}"/>
    <cellStyle name="Normal 4 2 5 11" xfId="7899" xr:uid="{3ED6560B-223D-48C5-8FC6-DB36B7929592}"/>
    <cellStyle name="Normal 4 2 5 11 2" xfId="17847" xr:uid="{787AC73A-176E-46B8-88E6-88F2CE7E6383}"/>
    <cellStyle name="Normal 4 2 5 12" xfId="8728" xr:uid="{53A5BD48-21D6-440E-BA38-42D254FD93A9}"/>
    <cellStyle name="Normal 4 2 5 12 2" xfId="18676" xr:uid="{16393590-6645-4E97-9B32-5979D27C7AD8}"/>
    <cellStyle name="Normal 4 2 5 13" xfId="9557" xr:uid="{81677A33-0363-459D-AA4B-573106AD6ABD}"/>
    <cellStyle name="Normal 4 2 5 13 2" xfId="19505" xr:uid="{3702BF90-8742-4143-90C7-E713B720BA9D}"/>
    <cellStyle name="Normal 4 2 5 14" xfId="10386" xr:uid="{16F36B53-4028-4F1A-8560-A8AABBFB53E8}"/>
    <cellStyle name="Normal 4 2 5 14 2" xfId="20334" xr:uid="{659154F0-7202-4099-A606-59A17F68C1B2}"/>
    <cellStyle name="Normal 4 2 5 15" xfId="1267" xr:uid="{1B2230CB-0274-4CE3-A989-82AB9704EA78}"/>
    <cellStyle name="Normal 4 2 5 16" xfId="11215" xr:uid="{DAAB3B85-7D0C-416D-A8A7-1DBCCB45FE3E}"/>
    <cellStyle name="Normal 4 2 5 2" xfId="367" xr:uid="{00000000-0005-0000-0000-00007F020000}"/>
    <cellStyle name="Normal 4 2 5 2 10" xfId="7900" xr:uid="{914F81EC-99B4-47FA-A21A-E9544245CCDC}"/>
    <cellStyle name="Normal 4 2 5 2 10 2" xfId="17848" xr:uid="{844BD06E-D55F-4571-B16B-5F6F2DF7CCDC}"/>
    <cellStyle name="Normal 4 2 5 2 11" xfId="8729" xr:uid="{0841AE5F-0F0E-46BE-8304-ED15987420AC}"/>
    <cellStyle name="Normal 4 2 5 2 11 2" xfId="18677" xr:uid="{702AD9F0-8C5F-44CA-9112-A650B1760439}"/>
    <cellStyle name="Normal 4 2 5 2 12" xfId="9558" xr:uid="{76D58E88-9367-42EE-9DDC-0952FA77BFAB}"/>
    <cellStyle name="Normal 4 2 5 2 12 2" xfId="19506" xr:uid="{E5B3AC2B-57D8-4EA2-B0AF-FEC79B0B1AEF}"/>
    <cellStyle name="Normal 4 2 5 2 13" xfId="10387" xr:uid="{D90E2329-0FA6-4802-A4F5-A2DF14F6E1BB}"/>
    <cellStyle name="Normal 4 2 5 2 13 2" xfId="20335" xr:uid="{1C8977FC-EB34-4098-A92F-378E76135523}"/>
    <cellStyle name="Normal 4 2 5 2 14" xfId="1268" xr:uid="{49663950-CFDE-4122-8089-7134A34730FC}"/>
    <cellStyle name="Normal 4 2 5 2 15" xfId="11216" xr:uid="{93891686-1660-4C44-905D-F351E091C38C}"/>
    <cellStyle name="Normal 4 2 5 2 2" xfId="848" xr:uid="{00000000-0005-0000-0000-000080020000}"/>
    <cellStyle name="Normal 4 2 5 2 2 10" xfId="9145" xr:uid="{6C6B7817-4E04-4F14-9FE6-B687DD05DE54}"/>
    <cellStyle name="Normal 4 2 5 2 2 10 2" xfId="19093" xr:uid="{BB783FE9-2F98-4D97-A045-90F1D9E5E120}"/>
    <cellStyle name="Normal 4 2 5 2 2 11" xfId="9974" xr:uid="{F04A99BF-B5DD-4F7E-8A53-46A35ADAF1E2}"/>
    <cellStyle name="Normal 4 2 5 2 2 11 2" xfId="19922" xr:uid="{82AF2A0D-2659-4996-8616-60C7F5AB8ED8}"/>
    <cellStyle name="Normal 4 2 5 2 2 12" xfId="10803" xr:uid="{47442842-1993-4EF5-9733-ABCDAA0992FF}"/>
    <cellStyle name="Normal 4 2 5 2 2 12 2" xfId="20751" xr:uid="{6B51143D-51C5-419E-82F8-CD71085D4AEB}"/>
    <cellStyle name="Normal 4 2 5 2 2 13" xfId="1684" xr:uid="{FB41DB4B-5133-48ED-B05B-2AA32210412E}"/>
    <cellStyle name="Normal 4 2 5 2 2 14" xfId="11632" xr:uid="{A34A444C-7117-4276-BE40-2B7E784D5F64}"/>
    <cellStyle name="Normal 4 2 5 2 2 2" xfId="2513" xr:uid="{7196D963-5A7F-4C17-B7AD-B4FE63F1AB8E}"/>
    <cellStyle name="Normal 4 2 5 2 2 2 2" xfId="12461" xr:uid="{9368CC7F-E227-49D8-BA4C-E73EE902D26D}"/>
    <cellStyle name="Normal 4 2 5 2 2 3" xfId="3342" xr:uid="{0FB10903-911A-45B8-A5B6-026A7BEEAC11}"/>
    <cellStyle name="Normal 4 2 5 2 2 3 2" xfId="13290" xr:uid="{E81997D3-E17F-43A7-A978-F29862280635}"/>
    <cellStyle name="Normal 4 2 5 2 2 4" xfId="4171" xr:uid="{E2D2743F-33AA-4428-8F35-68A5C1F5D0A5}"/>
    <cellStyle name="Normal 4 2 5 2 2 4 2" xfId="14119" xr:uid="{469E362B-E33D-4789-B475-C7BFD3D1AF6B}"/>
    <cellStyle name="Normal 4 2 5 2 2 5" xfId="5000" xr:uid="{5DA25CA5-65AF-475E-A7BF-81A4A7DE05F0}"/>
    <cellStyle name="Normal 4 2 5 2 2 5 2" xfId="14948" xr:uid="{9086FB41-CFEB-4D8D-BB0F-03F6BDF161D0}"/>
    <cellStyle name="Normal 4 2 5 2 2 6" xfId="5829" xr:uid="{936BC6C0-2A23-454B-8329-56135D4F77B2}"/>
    <cellStyle name="Normal 4 2 5 2 2 6 2" xfId="15777" xr:uid="{3F3C3713-957A-477D-AD7B-5A1BA2AE4053}"/>
    <cellStyle name="Normal 4 2 5 2 2 7" xfId="6658" xr:uid="{61E71B07-D6CD-47E3-A0CF-40EAF34ABD90}"/>
    <cellStyle name="Normal 4 2 5 2 2 7 2" xfId="16606" xr:uid="{409F9E7F-CAAA-4FB4-B776-D9ED0BFE2FB2}"/>
    <cellStyle name="Normal 4 2 5 2 2 8" xfId="7487" xr:uid="{3D06DEDF-4F47-437D-8E5A-2DC7C3B4A5BC}"/>
    <cellStyle name="Normal 4 2 5 2 2 8 2" xfId="17435" xr:uid="{3D670685-2BC9-4B39-AF85-F6EF59A847CE}"/>
    <cellStyle name="Normal 4 2 5 2 2 9" xfId="8316" xr:uid="{ABFCB534-7452-4224-9E8B-6D83B28D37BA}"/>
    <cellStyle name="Normal 4 2 5 2 2 9 2" xfId="18264" xr:uid="{F6149CC2-1A13-4E19-8D0A-3BDC9E0D5B60}"/>
    <cellStyle name="Normal 4 2 5 2 3" xfId="2097" xr:uid="{46EC0265-4B63-42DE-BAFC-81A0CFB26DE7}"/>
    <cellStyle name="Normal 4 2 5 2 3 2" xfId="12045" xr:uid="{87D87E93-A77A-4472-BD30-019C2462E39D}"/>
    <cellStyle name="Normal 4 2 5 2 4" xfId="2926" xr:uid="{261E007B-8341-417F-A9A1-36517B343E40}"/>
    <cellStyle name="Normal 4 2 5 2 4 2" xfId="12874" xr:uid="{FFB88BEC-B490-4C29-AFC9-E6AE3E840950}"/>
    <cellStyle name="Normal 4 2 5 2 5" xfId="3755" xr:uid="{92D4285F-3AEB-4081-AF8A-FEFB6BD0DF0B}"/>
    <cellStyle name="Normal 4 2 5 2 5 2" xfId="13703" xr:uid="{285FD980-8B59-4589-9B69-BEC8106D854F}"/>
    <cellStyle name="Normal 4 2 5 2 6" xfId="4584" xr:uid="{C94DB13C-D081-44F3-9066-CFD7CF6F4367}"/>
    <cellStyle name="Normal 4 2 5 2 6 2" xfId="14532" xr:uid="{1DE41CC1-A752-48F2-B75E-7CAC8DD15EF2}"/>
    <cellStyle name="Normal 4 2 5 2 7" xfId="5413" xr:uid="{B92C3866-0F44-43F0-9504-3B5EC54D50AB}"/>
    <cellStyle name="Normal 4 2 5 2 7 2" xfId="15361" xr:uid="{E5A0E523-8C1F-4C30-87A0-868B408C50AF}"/>
    <cellStyle name="Normal 4 2 5 2 8" xfId="6242" xr:uid="{5EB72E61-9D9F-4C87-8F67-3AFBC20E4ED3}"/>
    <cellStyle name="Normal 4 2 5 2 8 2" xfId="16190" xr:uid="{B2C0CFD4-C59A-4B8F-96C2-592C27CA968C}"/>
    <cellStyle name="Normal 4 2 5 2 9" xfId="7071" xr:uid="{99E1968D-6949-4D1D-A64A-936B0E46678E}"/>
    <cellStyle name="Normal 4 2 5 2 9 2" xfId="17019" xr:uid="{4D4048C0-BC26-4BDC-9C0C-F7FE9931D8F7}"/>
    <cellStyle name="Normal 4 2 5 3" xfId="847" xr:uid="{00000000-0005-0000-0000-000081020000}"/>
    <cellStyle name="Normal 4 2 5 3 10" xfId="9144" xr:uid="{F9B11BE9-A119-4E4D-A138-7D420B35B149}"/>
    <cellStyle name="Normal 4 2 5 3 10 2" xfId="19092" xr:uid="{E44EADE1-5826-49DA-B9F1-0A710FCB15DE}"/>
    <cellStyle name="Normal 4 2 5 3 11" xfId="9973" xr:uid="{25DF9359-0592-4838-9FAF-7C0300E1E2E2}"/>
    <cellStyle name="Normal 4 2 5 3 11 2" xfId="19921" xr:uid="{0FD10BF0-7935-4248-AEAA-AEB89EFF3826}"/>
    <cellStyle name="Normal 4 2 5 3 12" xfId="10802" xr:uid="{C38E0D22-A2A4-411F-84FC-822F6141D785}"/>
    <cellStyle name="Normal 4 2 5 3 12 2" xfId="20750" xr:uid="{1759B10F-D50C-4D20-95D5-2B4E6F451469}"/>
    <cellStyle name="Normal 4 2 5 3 13" xfId="1683" xr:uid="{0373DE02-F02B-4456-A3F7-D94B9AA09FC9}"/>
    <cellStyle name="Normal 4 2 5 3 14" xfId="11631" xr:uid="{9793C352-A6D4-4624-8C25-79B94FA83A95}"/>
    <cellStyle name="Normal 4 2 5 3 2" xfId="2512" xr:uid="{12BC9796-A22C-4406-A1EE-9AAF346375DC}"/>
    <cellStyle name="Normal 4 2 5 3 2 2" xfId="12460" xr:uid="{38749A8F-57F6-4D1D-93C8-8965E00BE2D4}"/>
    <cellStyle name="Normal 4 2 5 3 3" xfId="3341" xr:uid="{E501C5B2-6D08-4625-9716-6D5543199FE2}"/>
    <cellStyle name="Normal 4 2 5 3 3 2" xfId="13289" xr:uid="{F85E925D-5EB8-49BC-9975-4B38E51BA87D}"/>
    <cellStyle name="Normal 4 2 5 3 4" xfId="4170" xr:uid="{05EFD47A-C173-42E8-9BDC-06E7A82C3D69}"/>
    <cellStyle name="Normal 4 2 5 3 4 2" xfId="14118" xr:uid="{7CBA6F47-8F74-4CD3-B656-D5C212B8720D}"/>
    <cellStyle name="Normal 4 2 5 3 5" xfId="4999" xr:uid="{CFE6E312-EBB1-4AA4-AE12-50F3BE150F79}"/>
    <cellStyle name="Normal 4 2 5 3 5 2" xfId="14947" xr:uid="{2EFD8944-96E5-44D1-8346-D2006BFBE93D}"/>
    <cellStyle name="Normal 4 2 5 3 6" xfId="5828" xr:uid="{FB4FE729-8F3C-4745-82F9-3677CC9BEC57}"/>
    <cellStyle name="Normal 4 2 5 3 6 2" xfId="15776" xr:uid="{D9A1042D-9389-40D8-8FCD-94FBED16068C}"/>
    <cellStyle name="Normal 4 2 5 3 7" xfId="6657" xr:uid="{60111F8F-6F52-4CFE-81D4-E681DC32071F}"/>
    <cellStyle name="Normal 4 2 5 3 7 2" xfId="16605" xr:uid="{8AB1E541-3A91-4DB6-85CE-E2EB68ACA05A}"/>
    <cellStyle name="Normal 4 2 5 3 8" xfId="7486" xr:uid="{DEA9D6F8-9F00-435F-8CC4-F41D6252A9ED}"/>
    <cellStyle name="Normal 4 2 5 3 8 2" xfId="17434" xr:uid="{7B2ECC49-CF36-4178-A63F-1FD0C74D3DCB}"/>
    <cellStyle name="Normal 4 2 5 3 9" xfId="8315" xr:uid="{430D5433-556E-4F9E-9D07-ED8D651E3385}"/>
    <cellStyle name="Normal 4 2 5 3 9 2" xfId="18263" xr:uid="{C556EB5E-B0BD-43F2-92CE-463A988AC455}"/>
    <cellStyle name="Normal 4 2 5 4" xfId="2096" xr:uid="{F95A973D-0355-40DD-A20A-D109C8699C4C}"/>
    <cellStyle name="Normal 4 2 5 4 2" xfId="12044" xr:uid="{3B98AB15-DFAD-433F-A7AA-0D1C191D5824}"/>
    <cellStyle name="Normal 4 2 5 5" xfId="2925" xr:uid="{9572672B-4307-4F28-84BE-B8B8D99E6DB9}"/>
    <cellStyle name="Normal 4 2 5 5 2" xfId="12873" xr:uid="{E56E9B1F-77A7-4132-BCF2-1A8BED68B637}"/>
    <cellStyle name="Normal 4 2 5 6" xfId="3754" xr:uid="{559B3BCF-EA70-4F72-85C1-7C010EFCDBF2}"/>
    <cellStyle name="Normal 4 2 5 6 2" xfId="13702" xr:uid="{28FD5A45-D7DF-4E39-9DF1-D33784D802FA}"/>
    <cellStyle name="Normal 4 2 5 7" xfId="4583" xr:uid="{BBAB22E9-3873-4950-82BA-BA7219012BB3}"/>
    <cellStyle name="Normal 4 2 5 7 2" xfId="14531" xr:uid="{0120B5AD-D8CF-42B2-8E51-83CCF6B5C83B}"/>
    <cellStyle name="Normal 4 2 5 8" xfId="5412" xr:uid="{16A074F8-2837-4DF7-BEC5-7584EB28F190}"/>
    <cellStyle name="Normal 4 2 5 8 2" xfId="15360" xr:uid="{C80440AF-320D-4008-811E-1BAD8E9BF3B0}"/>
    <cellStyle name="Normal 4 2 5 9" xfId="6241" xr:uid="{89194A40-0128-4702-B577-A804FDCF5B3D}"/>
    <cellStyle name="Normal 4 2 5 9 2" xfId="16189" xr:uid="{76B24AB4-6603-4B28-A904-2A9B88D065ED}"/>
    <cellStyle name="Normal 4 2 6" xfId="368" xr:uid="{00000000-0005-0000-0000-000082020000}"/>
    <cellStyle name="Normal 4 2 6 10" xfId="7901" xr:uid="{0F889BBD-32B3-4828-A7B9-ED170E071072}"/>
    <cellStyle name="Normal 4 2 6 10 2" xfId="17849" xr:uid="{4C64E4C3-B43C-4133-894E-AE24AE22DA39}"/>
    <cellStyle name="Normal 4 2 6 11" xfId="8730" xr:uid="{22A88422-C4A1-4D13-BAEA-4215443AE0D8}"/>
    <cellStyle name="Normal 4 2 6 11 2" xfId="18678" xr:uid="{BC0CA45E-C56A-4C51-8201-C61D9541F291}"/>
    <cellStyle name="Normal 4 2 6 12" xfId="9559" xr:uid="{1EF1B5C2-E7FC-4225-8D5A-C93AE59782CE}"/>
    <cellStyle name="Normal 4 2 6 12 2" xfId="19507" xr:uid="{7BA8D268-ECDA-4B2D-B2A8-FE8DE779642F}"/>
    <cellStyle name="Normal 4 2 6 13" xfId="10388" xr:uid="{53FAFA78-6D77-478E-8973-1F4D9AA141E5}"/>
    <cellStyle name="Normal 4 2 6 13 2" xfId="20336" xr:uid="{FB259C83-1882-4BB8-A1D6-83DEC173CD75}"/>
    <cellStyle name="Normal 4 2 6 14" xfId="1269" xr:uid="{5561B677-A96D-4E5A-B3CC-7F9511C2DB37}"/>
    <cellStyle name="Normal 4 2 6 15" xfId="11217" xr:uid="{328E8110-7870-498A-A15D-28452C4CEFA8}"/>
    <cellStyle name="Normal 4 2 6 2" xfId="849" xr:uid="{00000000-0005-0000-0000-000083020000}"/>
    <cellStyle name="Normal 4 2 6 2 10" xfId="9146" xr:uid="{4E0C7DFB-75E4-4A78-ACE0-DC975F38B4F1}"/>
    <cellStyle name="Normal 4 2 6 2 10 2" xfId="19094" xr:uid="{14FEEC0E-1EDF-4B29-9421-E55041B40306}"/>
    <cellStyle name="Normal 4 2 6 2 11" xfId="9975" xr:uid="{7C74ED83-06CE-4713-9AE5-8EAAF5843BA1}"/>
    <cellStyle name="Normal 4 2 6 2 11 2" xfId="19923" xr:uid="{CA7C351A-E7A4-4005-BB86-0372E6A6B99F}"/>
    <cellStyle name="Normal 4 2 6 2 12" xfId="10804" xr:uid="{7B9E3157-0467-4B55-AF9A-E92A6641CE52}"/>
    <cellStyle name="Normal 4 2 6 2 12 2" xfId="20752" xr:uid="{2B55D0FE-FD54-41A1-B552-0CEC0BBF552E}"/>
    <cellStyle name="Normal 4 2 6 2 13" xfId="1685" xr:uid="{0C53EE5C-AFC1-475B-91AE-AECE7CD622F2}"/>
    <cellStyle name="Normal 4 2 6 2 14" xfId="11633" xr:uid="{1B74D71C-7CF0-4188-AE71-2C9DFD5C8A22}"/>
    <cellStyle name="Normal 4 2 6 2 2" xfId="2514" xr:uid="{B0F4112F-1CC1-4DA1-8D43-5A517CFF94D7}"/>
    <cellStyle name="Normal 4 2 6 2 2 2" xfId="12462" xr:uid="{43B64D49-C5D4-4D7F-AB4E-AB7CEB0A0446}"/>
    <cellStyle name="Normal 4 2 6 2 3" xfId="3343" xr:uid="{329A2D7E-7499-4A4A-9907-0E00F72E5978}"/>
    <cellStyle name="Normal 4 2 6 2 3 2" xfId="13291" xr:uid="{E66AF583-DFB0-42CD-B772-DB4D8065C791}"/>
    <cellStyle name="Normal 4 2 6 2 4" xfId="4172" xr:uid="{A667B1CF-3724-41E4-899A-0FCD89712530}"/>
    <cellStyle name="Normal 4 2 6 2 4 2" xfId="14120" xr:uid="{AA5C7B4A-4827-43C1-A6EA-858101AD93FC}"/>
    <cellStyle name="Normal 4 2 6 2 5" xfId="5001" xr:uid="{AD6DAF8B-5F80-4131-ABC3-3C4E76AE428E}"/>
    <cellStyle name="Normal 4 2 6 2 5 2" xfId="14949" xr:uid="{B8208260-6F94-45F7-89F4-92EB4B32FAA3}"/>
    <cellStyle name="Normal 4 2 6 2 6" xfId="5830" xr:uid="{1F76F0FE-9A56-4C50-BCD1-309F4EC63DC6}"/>
    <cellStyle name="Normal 4 2 6 2 6 2" xfId="15778" xr:uid="{9996EC73-B26D-4394-B0DC-6EF6998499EF}"/>
    <cellStyle name="Normal 4 2 6 2 7" xfId="6659" xr:uid="{5FACD015-05A6-4D3E-A2CB-7723A76CD4EF}"/>
    <cellStyle name="Normal 4 2 6 2 7 2" xfId="16607" xr:uid="{3329D718-EE9B-4D19-85C5-3E74DCDDDA0D}"/>
    <cellStyle name="Normal 4 2 6 2 8" xfId="7488" xr:uid="{DD635ADB-878F-4997-8660-0719250E2BD1}"/>
    <cellStyle name="Normal 4 2 6 2 8 2" xfId="17436" xr:uid="{87D9DFAC-BDFE-4A67-9D45-F34C51692ABA}"/>
    <cellStyle name="Normal 4 2 6 2 9" xfId="8317" xr:uid="{ED931580-CD75-415D-8C6B-C3787E68589F}"/>
    <cellStyle name="Normal 4 2 6 2 9 2" xfId="18265" xr:uid="{A4AA8268-4D6B-4D32-823E-D9D45BE61D21}"/>
    <cellStyle name="Normal 4 2 6 3" xfId="2098" xr:uid="{A35DCE25-32A5-466A-99FE-A928E6A0EFC2}"/>
    <cellStyle name="Normal 4 2 6 3 2" xfId="12046" xr:uid="{C7F31947-7D8A-4074-B3B0-F52FF23AF7C2}"/>
    <cellStyle name="Normal 4 2 6 4" xfId="2927" xr:uid="{53BB6638-AFA8-480D-8519-485EAC64EA1B}"/>
    <cellStyle name="Normal 4 2 6 4 2" xfId="12875" xr:uid="{9953FF6F-E488-4AB4-AE04-FEB09A5308C5}"/>
    <cellStyle name="Normal 4 2 6 5" xfId="3756" xr:uid="{87CAB17B-7EA3-473F-A178-2B8059AFC540}"/>
    <cellStyle name="Normal 4 2 6 5 2" xfId="13704" xr:uid="{AEF29E2C-6AD5-4CCE-8D65-D12F01D6C0F5}"/>
    <cellStyle name="Normal 4 2 6 6" xfId="4585" xr:uid="{D521D6E2-7EAE-412E-BFD1-B4A58ACFCE3F}"/>
    <cellStyle name="Normal 4 2 6 6 2" xfId="14533" xr:uid="{BA66CAE1-777E-4A92-9CC3-227078A7792E}"/>
    <cellStyle name="Normal 4 2 6 7" xfId="5414" xr:uid="{A9A60147-AF4C-4B51-8738-F978529FAE66}"/>
    <cellStyle name="Normal 4 2 6 7 2" xfId="15362" xr:uid="{62F24E08-FEF1-4E40-9E0D-73369EE202DE}"/>
    <cellStyle name="Normal 4 2 6 8" xfId="6243" xr:uid="{CFF13CE0-FAA4-4410-8750-1106F4B66E23}"/>
    <cellStyle name="Normal 4 2 6 8 2" xfId="16191" xr:uid="{E5005712-31AB-40C7-85B8-A4CE32E04D8D}"/>
    <cellStyle name="Normal 4 2 6 9" xfId="7072" xr:uid="{83913846-0215-418A-BE99-482FE371AE66}"/>
    <cellStyle name="Normal 4 2 6 9 2" xfId="17020" xr:uid="{371E4D42-FF42-49AA-AC51-E82EA8054F1A}"/>
    <cellStyle name="Normal 4 3" xfId="369" xr:uid="{00000000-0005-0000-0000-000084020000}"/>
    <cellStyle name="Normal 4 3 10" xfId="6244" xr:uid="{BF9724FB-F0B8-4E1D-8A1F-24873B6070D2}"/>
    <cellStyle name="Normal 4 3 10 2" xfId="16192" xr:uid="{FDB7EC2B-8FCC-4A7E-AF62-78E46CDEEDDA}"/>
    <cellStyle name="Normal 4 3 11" xfId="7073" xr:uid="{8B808FB9-5F6E-4406-A6E6-EDAF0AC7488E}"/>
    <cellStyle name="Normal 4 3 11 2" xfId="17021" xr:uid="{09F76E12-81D0-43CF-B775-66ED52B2D8AA}"/>
    <cellStyle name="Normal 4 3 12" xfId="7902" xr:uid="{3BC169D7-77AE-4B89-A31D-85EC3CB5E4CE}"/>
    <cellStyle name="Normal 4 3 12 2" xfId="17850" xr:uid="{817D1770-7CBA-4DCE-9AD4-9D687A803411}"/>
    <cellStyle name="Normal 4 3 13" xfId="8731" xr:uid="{E7F17B8E-087B-4DBF-AA21-88CEDE7CB820}"/>
    <cellStyle name="Normal 4 3 13 2" xfId="18679" xr:uid="{C08618B5-AB4F-45F9-BA18-09CE3F7F2BE8}"/>
    <cellStyle name="Normal 4 3 14" xfId="9560" xr:uid="{07D5FC40-F7E6-4A1E-984A-4ACFDEB42CC9}"/>
    <cellStyle name="Normal 4 3 14 2" xfId="19508" xr:uid="{66BBAFB7-9E0F-45F8-8901-4B8CFF3681B4}"/>
    <cellStyle name="Normal 4 3 15" xfId="10389" xr:uid="{D800284E-A867-4D37-BB62-82AD20BFCF43}"/>
    <cellStyle name="Normal 4 3 15 2" xfId="20337" xr:uid="{D77C5D6C-C65E-412E-A8FA-B75AEF0977BD}"/>
    <cellStyle name="Normal 4 3 16" xfId="1270" xr:uid="{6E576157-CF8D-445D-81EB-0EA638C83B35}"/>
    <cellStyle name="Normal 4 3 17" xfId="11218" xr:uid="{7A3FF2AC-EFC7-4D35-BC50-5D9DABEC56DE}"/>
    <cellStyle name="Normal 4 3 2" xfId="370" xr:uid="{00000000-0005-0000-0000-000085020000}"/>
    <cellStyle name="Normal 4 3 2 2" xfId="371" xr:uid="{00000000-0005-0000-0000-000086020000}"/>
    <cellStyle name="Normal 4 3 2 2 2" xfId="372" xr:uid="{00000000-0005-0000-0000-000087020000}"/>
    <cellStyle name="Normal 4 3 2 2 2 10" xfId="6245" xr:uid="{4411DBCA-8E97-455D-9F2C-66E75AA38860}"/>
    <cellStyle name="Normal 4 3 2 2 2 10 2" xfId="16193" xr:uid="{8A634662-B3D0-4398-9F43-C259C2D02D8A}"/>
    <cellStyle name="Normal 4 3 2 2 2 11" xfId="7074" xr:uid="{68BE5EFF-2B59-4839-B9BE-70E0E65CDBD5}"/>
    <cellStyle name="Normal 4 3 2 2 2 11 2" xfId="17022" xr:uid="{6FB9BE7E-4FDA-4C3D-B68E-C274D1D75FA7}"/>
    <cellStyle name="Normal 4 3 2 2 2 12" xfId="7903" xr:uid="{26E9D663-0922-4BBC-8386-4DBFC7BBEA1D}"/>
    <cellStyle name="Normal 4 3 2 2 2 12 2" xfId="17851" xr:uid="{25043C6E-AA3A-414A-9D97-E4A39150EC18}"/>
    <cellStyle name="Normal 4 3 2 2 2 13" xfId="8732" xr:uid="{86D556EE-EF03-49AC-B38A-AF43D1627540}"/>
    <cellStyle name="Normal 4 3 2 2 2 13 2" xfId="18680" xr:uid="{CBE5BC3B-0F1F-4217-862B-05AFF69E7942}"/>
    <cellStyle name="Normal 4 3 2 2 2 14" xfId="9561" xr:uid="{B8AE533B-FFAA-4A23-8022-949435FA262F}"/>
    <cellStyle name="Normal 4 3 2 2 2 14 2" xfId="19509" xr:uid="{294E9031-58CD-4D8E-B4AF-E0DBACE6E6CD}"/>
    <cellStyle name="Normal 4 3 2 2 2 15" xfId="10390" xr:uid="{76AFA8F0-D890-45C7-9188-B5737F00B693}"/>
    <cellStyle name="Normal 4 3 2 2 2 15 2" xfId="20338" xr:uid="{527C9553-2285-4C39-9AC1-DE08A31FFD34}"/>
    <cellStyle name="Normal 4 3 2 2 2 16" xfId="1271" xr:uid="{C63C5437-2139-4DC8-ACC0-A6174CBF3401}"/>
    <cellStyle name="Normal 4 3 2 2 2 17" xfId="11219" xr:uid="{C76FE1E0-7ACD-421C-9317-83175F9C7F1B}"/>
    <cellStyle name="Normal 4 3 2 2 2 2" xfId="373" xr:uid="{00000000-0005-0000-0000-000088020000}"/>
    <cellStyle name="Normal 4 3 2 2 2 2 10" xfId="7075" xr:uid="{B576FEA4-D7EE-4FA8-B0F6-CE8EFB2F839D}"/>
    <cellStyle name="Normal 4 3 2 2 2 2 10 2" xfId="17023" xr:uid="{59A93C90-DD9C-47BD-9053-16D0647FF6F0}"/>
    <cellStyle name="Normal 4 3 2 2 2 2 11" xfId="7904" xr:uid="{8A6F5BD1-B3E4-4F99-9346-B84D2C95A162}"/>
    <cellStyle name="Normal 4 3 2 2 2 2 11 2" xfId="17852" xr:uid="{1D5A3426-8657-4B33-A734-DB6A8E3DA1A5}"/>
    <cellStyle name="Normal 4 3 2 2 2 2 12" xfId="8733" xr:uid="{18BE71F0-16BE-4287-8A62-195265A3343E}"/>
    <cellStyle name="Normal 4 3 2 2 2 2 12 2" xfId="18681" xr:uid="{1567A364-D8B2-48F6-B436-48C43EB035C5}"/>
    <cellStyle name="Normal 4 3 2 2 2 2 13" xfId="9562" xr:uid="{C266F21D-1F85-46D9-A43C-3E77651FB264}"/>
    <cellStyle name="Normal 4 3 2 2 2 2 13 2" xfId="19510" xr:uid="{4116425D-4E3D-4C65-B1EB-B798BF5A6838}"/>
    <cellStyle name="Normal 4 3 2 2 2 2 14" xfId="10391" xr:uid="{AF05C44A-345D-46A4-97C1-79F0AFCDF63F}"/>
    <cellStyle name="Normal 4 3 2 2 2 2 14 2" xfId="20339" xr:uid="{22F8208F-D985-46A6-807D-6380CD850511}"/>
    <cellStyle name="Normal 4 3 2 2 2 2 15" xfId="1272" xr:uid="{03389766-8E54-4615-9FE8-599B99449E94}"/>
    <cellStyle name="Normal 4 3 2 2 2 2 16" xfId="11220" xr:uid="{70F968F8-EEF2-49F2-862F-56E0659AD28A}"/>
    <cellStyle name="Normal 4 3 2 2 2 2 2" xfId="374" xr:uid="{00000000-0005-0000-0000-000089020000}"/>
    <cellStyle name="Normal 4 3 2 2 2 2 2 10" xfId="7905" xr:uid="{CC90C1FE-6EC5-4E6C-8483-D04307302CA9}"/>
    <cellStyle name="Normal 4 3 2 2 2 2 2 10 2" xfId="17853" xr:uid="{C4EDF166-C7F9-4AEC-8B5E-F28F1F1ED592}"/>
    <cellStyle name="Normal 4 3 2 2 2 2 2 11" xfId="8734" xr:uid="{F9CA3419-B131-47C6-8A0F-F8B5122BD837}"/>
    <cellStyle name="Normal 4 3 2 2 2 2 2 11 2" xfId="18682" xr:uid="{642195A6-A065-4A46-87C6-6387675F7FB0}"/>
    <cellStyle name="Normal 4 3 2 2 2 2 2 12" xfId="9563" xr:uid="{EBEDA8E5-9437-4A93-876C-DE64C8A713AC}"/>
    <cellStyle name="Normal 4 3 2 2 2 2 2 12 2" xfId="19511" xr:uid="{A764D5FE-AA8E-4A1F-A33B-65504639B7FC}"/>
    <cellStyle name="Normal 4 3 2 2 2 2 2 13" xfId="10392" xr:uid="{1E20FCA9-61F2-474F-A2C8-373514F263D7}"/>
    <cellStyle name="Normal 4 3 2 2 2 2 2 13 2" xfId="20340" xr:uid="{DAA3A9EA-1622-422F-835C-23B702436174}"/>
    <cellStyle name="Normal 4 3 2 2 2 2 2 14" xfId="1273" xr:uid="{252287F0-6DED-4B39-8EE4-CE06429298A1}"/>
    <cellStyle name="Normal 4 3 2 2 2 2 2 15" xfId="11221" xr:uid="{F98E6C70-DAAC-4DA1-BEBC-847C51924C78}"/>
    <cellStyle name="Normal 4 3 2 2 2 2 2 2" xfId="854" xr:uid="{00000000-0005-0000-0000-00008A020000}"/>
    <cellStyle name="Normal 4 3 2 2 2 2 2 2 10" xfId="9150" xr:uid="{D951C093-38D7-42F3-BEDF-37BF7239C759}"/>
    <cellStyle name="Normal 4 3 2 2 2 2 2 2 10 2" xfId="19098" xr:uid="{725F1AED-C9B4-4AB8-9300-4B4CC471C6BF}"/>
    <cellStyle name="Normal 4 3 2 2 2 2 2 2 11" xfId="9979" xr:uid="{C9264E36-D04F-4C09-AF98-B387797B1051}"/>
    <cellStyle name="Normal 4 3 2 2 2 2 2 2 11 2" xfId="19927" xr:uid="{5501E993-94BA-4268-9C31-892B4A6EE43F}"/>
    <cellStyle name="Normal 4 3 2 2 2 2 2 2 12" xfId="10808" xr:uid="{51AE8D4E-2821-43ED-8FEC-9011978D8D8C}"/>
    <cellStyle name="Normal 4 3 2 2 2 2 2 2 12 2" xfId="20756" xr:uid="{2230A68A-6504-4998-9895-1AEE56E38BC2}"/>
    <cellStyle name="Normal 4 3 2 2 2 2 2 2 13" xfId="1689" xr:uid="{00A3A6AE-5605-4773-8595-26BF0355F0A9}"/>
    <cellStyle name="Normal 4 3 2 2 2 2 2 2 14" xfId="11637" xr:uid="{1456CCC4-BAAC-4817-A4C6-5FC90870C23B}"/>
    <cellStyle name="Normal 4 3 2 2 2 2 2 2 2" xfId="2518" xr:uid="{FDA22094-D547-4025-9234-B871E17383AE}"/>
    <cellStyle name="Normal 4 3 2 2 2 2 2 2 2 2" xfId="12466" xr:uid="{5416F0A1-40C7-41F4-8A08-94A56724AF30}"/>
    <cellStyle name="Normal 4 3 2 2 2 2 2 2 3" xfId="3347" xr:uid="{C57CB153-D0D2-4D4A-ACC4-CD70E30F6F49}"/>
    <cellStyle name="Normal 4 3 2 2 2 2 2 2 3 2" xfId="13295" xr:uid="{62DFA663-C8D0-4EA2-85F9-1E27F1433366}"/>
    <cellStyle name="Normal 4 3 2 2 2 2 2 2 4" xfId="4176" xr:uid="{81124563-4814-4BFE-B1E8-153C39BEF8A2}"/>
    <cellStyle name="Normal 4 3 2 2 2 2 2 2 4 2" xfId="14124" xr:uid="{EF0433A4-B4BD-47CB-BD3E-062D2BAE437B}"/>
    <cellStyle name="Normal 4 3 2 2 2 2 2 2 5" xfId="5005" xr:uid="{C6F18305-FFA8-4E18-8F06-66E10D8AA417}"/>
    <cellStyle name="Normal 4 3 2 2 2 2 2 2 5 2" xfId="14953" xr:uid="{994FFDDD-5F38-4278-ABFF-8CCE15BB9A64}"/>
    <cellStyle name="Normal 4 3 2 2 2 2 2 2 6" xfId="5834" xr:uid="{C61FA2AA-D0A3-4840-92E9-356395C77662}"/>
    <cellStyle name="Normal 4 3 2 2 2 2 2 2 6 2" xfId="15782" xr:uid="{D27ACE52-239A-4485-AE41-0E6F93308A2A}"/>
    <cellStyle name="Normal 4 3 2 2 2 2 2 2 7" xfId="6663" xr:uid="{FB58BA27-95A1-46D6-A03C-88253FC7DCAD}"/>
    <cellStyle name="Normal 4 3 2 2 2 2 2 2 7 2" xfId="16611" xr:uid="{9D541FFB-FD52-4B3A-B1E0-6FF78C9231CE}"/>
    <cellStyle name="Normal 4 3 2 2 2 2 2 2 8" xfId="7492" xr:uid="{450BDCF5-26A4-4B51-9DFC-D62702E153D9}"/>
    <cellStyle name="Normal 4 3 2 2 2 2 2 2 8 2" xfId="17440" xr:uid="{29410324-B897-4C3C-81B4-86713D6A4C30}"/>
    <cellStyle name="Normal 4 3 2 2 2 2 2 2 9" xfId="8321" xr:uid="{AAA3978B-00FE-453E-A7CA-85771A8A6A7A}"/>
    <cellStyle name="Normal 4 3 2 2 2 2 2 2 9 2" xfId="18269" xr:uid="{96D452EF-4F30-41E1-B439-5F0EA9A4C1E2}"/>
    <cellStyle name="Normal 4 3 2 2 2 2 2 3" xfId="2102" xr:uid="{3F4191DF-29BA-4C8F-9BB1-512C6D665075}"/>
    <cellStyle name="Normal 4 3 2 2 2 2 2 3 2" xfId="12050" xr:uid="{9BD11795-5EB7-4E42-A4A9-C7B621ADAEDF}"/>
    <cellStyle name="Normal 4 3 2 2 2 2 2 4" xfId="2931" xr:uid="{4AC27C50-9CF4-4399-9213-80337BC46E42}"/>
    <cellStyle name="Normal 4 3 2 2 2 2 2 4 2" xfId="12879" xr:uid="{33F7A587-057D-4955-B072-E40C3BEEF78F}"/>
    <cellStyle name="Normal 4 3 2 2 2 2 2 5" xfId="3760" xr:uid="{9E83E3B8-104A-4A47-BE82-8BFCCAC88915}"/>
    <cellStyle name="Normal 4 3 2 2 2 2 2 5 2" xfId="13708" xr:uid="{415A6187-6777-4D74-BDC9-F7B5E927CF01}"/>
    <cellStyle name="Normal 4 3 2 2 2 2 2 6" xfId="4589" xr:uid="{B3CD75A7-81DD-4298-8317-5ACB0B5E51D2}"/>
    <cellStyle name="Normal 4 3 2 2 2 2 2 6 2" xfId="14537" xr:uid="{BEF90929-20B8-4E76-BE08-26B1FEF14C42}"/>
    <cellStyle name="Normal 4 3 2 2 2 2 2 7" xfId="5418" xr:uid="{96074881-8C1C-4928-8DEE-119AC7FD3903}"/>
    <cellStyle name="Normal 4 3 2 2 2 2 2 7 2" xfId="15366" xr:uid="{24C82C3D-4EDB-43FB-9DE7-26E29DBA5371}"/>
    <cellStyle name="Normal 4 3 2 2 2 2 2 8" xfId="6247" xr:uid="{67F206A6-9D38-463C-8EB6-ACC7D6BE2834}"/>
    <cellStyle name="Normal 4 3 2 2 2 2 2 8 2" xfId="16195" xr:uid="{93FA6265-641B-4759-A031-F77AEAFB45C2}"/>
    <cellStyle name="Normal 4 3 2 2 2 2 2 9" xfId="7076" xr:uid="{B961DB91-3C5D-45E4-9BEB-96F0682701ED}"/>
    <cellStyle name="Normal 4 3 2 2 2 2 2 9 2" xfId="17024" xr:uid="{1F4257DD-E302-454F-AE0A-689A0BBAAE7A}"/>
    <cellStyle name="Normal 4 3 2 2 2 2 3" xfId="853" xr:uid="{00000000-0005-0000-0000-00008B020000}"/>
    <cellStyle name="Normal 4 3 2 2 2 2 3 10" xfId="9149" xr:uid="{D3DEB891-7886-498C-B5E7-0EED151D6997}"/>
    <cellStyle name="Normal 4 3 2 2 2 2 3 10 2" xfId="19097" xr:uid="{3687B32E-14AF-4F5D-931A-46FD32154EA4}"/>
    <cellStyle name="Normal 4 3 2 2 2 2 3 11" xfId="9978" xr:uid="{299CFC3F-3284-478A-8AF4-C420990DECC1}"/>
    <cellStyle name="Normal 4 3 2 2 2 2 3 11 2" xfId="19926" xr:uid="{D3B44C8F-98F5-4DCD-8F8D-C2DA42D5BA45}"/>
    <cellStyle name="Normal 4 3 2 2 2 2 3 12" xfId="10807" xr:uid="{888A32AC-C081-47D2-9D35-6023BDF7B6E2}"/>
    <cellStyle name="Normal 4 3 2 2 2 2 3 12 2" xfId="20755" xr:uid="{B6518DF9-E331-4FBD-9135-67CF05029673}"/>
    <cellStyle name="Normal 4 3 2 2 2 2 3 13" xfId="1688" xr:uid="{77C66E42-E575-4E55-BF97-D5B6420F3184}"/>
    <cellStyle name="Normal 4 3 2 2 2 2 3 14" xfId="11636" xr:uid="{5E2CD32A-64D3-43B0-8F03-2B111DA574C3}"/>
    <cellStyle name="Normal 4 3 2 2 2 2 3 2" xfId="2517" xr:uid="{B347077F-D271-4A70-995C-B0BBA7BA67B9}"/>
    <cellStyle name="Normal 4 3 2 2 2 2 3 2 2" xfId="12465" xr:uid="{3891EFAC-BCA4-4228-ADC5-0E9EA274A828}"/>
    <cellStyle name="Normal 4 3 2 2 2 2 3 3" xfId="3346" xr:uid="{5280DE1D-2E01-443D-B06F-B7849997EEED}"/>
    <cellStyle name="Normal 4 3 2 2 2 2 3 3 2" xfId="13294" xr:uid="{B5DAD58F-A756-4FBD-9FA4-FD3854E812EA}"/>
    <cellStyle name="Normal 4 3 2 2 2 2 3 4" xfId="4175" xr:uid="{CED7E00B-0087-4E5B-BA95-DE0BB48D2364}"/>
    <cellStyle name="Normal 4 3 2 2 2 2 3 4 2" xfId="14123" xr:uid="{91D4682E-47E8-4D1A-8EA7-A8BA436AD22B}"/>
    <cellStyle name="Normal 4 3 2 2 2 2 3 5" xfId="5004" xr:uid="{390F8609-764B-4AA4-9E7E-9DD08CD71F46}"/>
    <cellStyle name="Normal 4 3 2 2 2 2 3 5 2" xfId="14952" xr:uid="{FAEBF928-D21D-4899-9A8D-CC3BB8B9710A}"/>
    <cellStyle name="Normal 4 3 2 2 2 2 3 6" xfId="5833" xr:uid="{484C5D3E-F005-43B6-98E5-88FF92617C42}"/>
    <cellStyle name="Normal 4 3 2 2 2 2 3 6 2" xfId="15781" xr:uid="{04CD1B3B-86CF-4FA3-A7F9-A1CA92E7762D}"/>
    <cellStyle name="Normal 4 3 2 2 2 2 3 7" xfId="6662" xr:uid="{C2C390DF-C66E-4861-A346-6EEFE5FD790E}"/>
    <cellStyle name="Normal 4 3 2 2 2 2 3 7 2" xfId="16610" xr:uid="{ADAD739D-B9E4-4616-A870-A91914C2DE07}"/>
    <cellStyle name="Normal 4 3 2 2 2 2 3 8" xfId="7491" xr:uid="{654A22CD-3E92-4BC0-8D16-9106A9E995C1}"/>
    <cellStyle name="Normal 4 3 2 2 2 2 3 8 2" xfId="17439" xr:uid="{702A5F74-547C-4BE3-AB66-647E1978BE9C}"/>
    <cellStyle name="Normal 4 3 2 2 2 2 3 9" xfId="8320" xr:uid="{B6AFE8D8-9EF6-43A6-8FB6-AC44E617EF57}"/>
    <cellStyle name="Normal 4 3 2 2 2 2 3 9 2" xfId="18268" xr:uid="{8271D23C-8580-4941-861F-95D07D4A0181}"/>
    <cellStyle name="Normal 4 3 2 2 2 2 4" xfId="2101" xr:uid="{D24674CC-7C6A-4AA2-B845-E40DD86A14F2}"/>
    <cellStyle name="Normal 4 3 2 2 2 2 4 2" xfId="12049" xr:uid="{54C2B1B4-08A8-4307-B486-4FDDD1BAE684}"/>
    <cellStyle name="Normal 4 3 2 2 2 2 5" xfId="2930" xr:uid="{D248DD58-FFDD-4B4B-A0E4-1AC09EB584BA}"/>
    <cellStyle name="Normal 4 3 2 2 2 2 5 2" xfId="12878" xr:uid="{667AB3B4-C7EA-4F2A-BA89-21FD8243546A}"/>
    <cellStyle name="Normal 4 3 2 2 2 2 6" xfId="3759" xr:uid="{176D32B3-65E2-4A1B-835B-14FC76170F6D}"/>
    <cellStyle name="Normal 4 3 2 2 2 2 6 2" xfId="13707" xr:uid="{111B4DFA-6328-4DDC-84DC-518FD543EF78}"/>
    <cellStyle name="Normal 4 3 2 2 2 2 7" xfId="4588" xr:uid="{1BFFC0A7-5D4E-4B89-AB54-1A0CE6C32915}"/>
    <cellStyle name="Normal 4 3 2 2 2 2 7 2" xfId="14536" xr:uid="{15B6373A-BE80-40C7-8FB6-8721D8CC9C40}"/>
    <cellStyle name="Normal 4 3 2 2 2 2 8" xfId="5417" xr:uid="{6BD84B17-B012-4AB7-B6AF-53DECCFB5D98}"/>
    <cellStyle name="Normal 4 3 2 2 2 2 8 2" xfId="15365" xr:uid="{44C49700-855B-4D47-BAD0-44B469C0DC18}"/>
    <cellStyle name="Normal 4 3 2 2 2 2 9" xfId="6246" xr:uid="{16DFD289-05AD-443B-BC4C-BA1B8AE32CB1}"/>
    <cellStyle name="Normal 4 3 2 2 2 2 9 2" xfId="16194" xr:uid="{EEDDDF9F-F682-43F9-A94C-38C1C8A65F1E}"/>
    <cellStyle name="Normal 4 3 2 2 2 3" xfId="375" xr:uid="{00000000-0005-0000-0000-00008C020000}"/>
    <cellStyle name="Normal 4 3 2 2 2 3 10" xfId="7906" xr:uid="{2382C1B3-1336-4B77-93A6-B82078A2AEA7}"/>
    <cellStyle name="Normal 4 3 2 2 2 3 10 2" xfId="17854" xr:uid="{760A0D84-0BE8-48EA-B039-02A871251489}"/>
    <cellStyle name="Normal 4 3 2 2 2 3 11" xfId="8735" xr:uid="{4057F754-A950-4686-AA45-5BC6D5794E41}"/>
    <cellStyle name="Normal 4 3 2 2 2 3 11 2" xfId="18683" xr:uid="{8EF9D153-F252-4DC2-BD06-76252F41CDF2}"/>
    <cellStyle name="Normal 4 3 2 2 2 3 12" xfId="9564" xr:uid="{877EFE9C-EC98-4BE4-9FD2-DF3B054DC65B}"/>
    <cellStyle name="Normal 4 3 2 2 2 3 12 2" xfId="19512" xr:uid="{34CB5072-9BB6-473A-B1D3-2A3B7005D90B}"/>
    <cellStyle name="Normal 4 3 2 2 2 3 13" xfId="10393" xr:uid="{8080DD37-584D-46FC-ADB1-328BB111F6F9}"/>
    <cellStyle name="Normal 4 3 2 2 2 3 13 2" xfId="20341" xr:uid="{9B4AA3D3-7BCE-4C29-AC2C-52C5537689C1}"/>
    <cellStyle name="Normal 4 3 2 2 2 3 14" xfId="1274" xr:uid="{CDCF7EA7-67DA-469C-BD98-2C5339B68A3F}"/>
    <cellStyle name="Normal 4 3 2 2 2 3 15" xfId="11222" xr:uid="{2C792624-50BE-4EBE-A966-53685D61427F}"/>
    <cellStyle name="Normal 4 3 2 2 2 3 2" xfId="855" xr:uid="{00000000-0005-0000-0000-00008D020000}"/>
    <cellStyle name="Normal 4 3 2 2 2 3 2 10" xfId="9151" xr:uid="{CDF199CB-6BCA-48C5-9F07-4D69B4A22F51}"/>
    <cellStyle name="Normal 4 3 2 2 2 3 2 10 2" xfId="19099" xr:uid="{D0E45230-C884-4F1B-900F-16B3D2045D17}"/>
    <cellStyle name="Normal 4 3 2 2 2 3 2 11" xfId="9980" xr:uid="{46282A87-DCEF-4599-A128-B400DF089814}"/>
    <cellStyle name="Normal 4 3 2 2 2 3 2 11 2" xfId="19928" xr:uid="{4A19FFC0-8321-436B-9DB0-67FA514E5579}"/>
    <cellStyle name="Normal 4 3 2 2 2 3 2 12" xfId="10809" xr:uid="{8AEF0B0A-5D68-44B7-A6D6-EA952130E0D9}"/>
    <cellStyle name="Normal 4 3 2 2 2 3 2 12 2" xfId="20757" xr:uid="{A4253C7E-1AF0-4B54-BFD8-CF34C5E58E10}"/>
    <cellStyle name="Normal 4 3 2 2 2 3 2 13" xfId="1690" xr:uid="{1B2BB571-A191-4A3C-8B1D-473DEB18A68A}"/>
    <cellStyle name="Normal 4 3 2 2 2 3 2 14" xfId="11638" xr:uid="{3204552E-7BCB-4961-8F04-6875BDC54619}"/>
    <cellStyle name="Normal 4 3 2 2 2 3 2 2" xfId="2519" xr:uid="{5B66279C-05E5-4F26-9DC1-99FFE4D4BA88}"/>
    <cellStyle name="Normal 4 3 2 2 2 3 2 2 2" xfId="12467" xr:uid="{00ACC916-34F7-41BC-A5C1-C184640D94FC}"/>
    <cellStyle name="Normal 4 3 2 2 2 3 2 3" xfId="3348" xr:uid="{A34B7A14-5192-4B8E-B2C8-B09A97FD28C4}"/>
    <cellStyle name="Normal 4 3 2 2 2 3 2 3 2" xfId="13296" xr:uid="{074883A3-6D57-48B0-8951-594622FA12F2}"/>
    <cellStyle name="Normal 4 3 2 2 2 3 2 4" xfId="4177" xr:uid="{C03AC91D-BCE4-46A0-9B84-5BF6E5E68A37}"/>
    <cellStyle name="Normal 4 3 2 2 2 3 2 4 2" xfId="14125" xr:uid="{77BDF1F9-FE93-493A-BB91-9A1694955BC6}"/>
    <cellStyle name="Normal 4 3 2 2 2 3 2 5" xfId="5006" xr:uid="{DDA0F0FE-5EC0-4FD9-A6C1-3F37A462C55E}"/>
    <cellStyle name="Normal 4 3 2 2 2 3 2 5 2" xfId="14954" xr:uid="{15ACF3FA-845E-4575-B284-0458CF5F76AE}"/>
    <cellStyle name="Normal 4 3 2 2 2 3 2 6" xfId="5835" xr:uid="{C26C099A-AC60-488E-9454-2BC82CFFAE11}"/>
    <cellStyle name="Normal 4 3 2 2 2 3 2 6 2" xfId="15783" xr:uid="{1E03AE37-91C3-40CB-9076-6F8EC4D6DFF0}"/>
    <cellStyle name="Normal 4 3 2 2 2 3 2 7" xfId="6664" xr:uid="{A9DE3AD4-4766-4D40-8A03-161D06DEF575}"/>
    <cellStyle name="Normal 4 3 2 2 2 3 2 7 2" xfId="16612" xr:uid="{24B74A3A-991E-41A2-934D-9F696EAA4A85}"/>
    <cellStyle name="Normal 4 3 2 2 2 3 2 8" xfId="7493" xr:uid="{391E507B-43D2-4DCD-B554-DF2466B4BAD3}"/>
    <cellStyle name="Normal 4 3 2 2 2 3 2 8 2" xfId="17441" xr:uid="{CED4DD60-C02A-4B2C-AD36-2BBCCF2C8149}"/>
    <cellStyle name="Normal 4 3 2 2 2 3 2 9" xfId="8322" xr:uid="{DFCE0DD3-EB1F-440E-A532-206796435F63}"/>
    <cellStyle name="Normal 4 3 2 2 2 3 2 9 2" xfId="18270" xr:uid="{C968F513-1168-41F7-8D12-E35F8296C455}"/>
    <cellStyle name="Normal 4 3 2 2 2 3 3" xfId="2103" xr:uid="{2116699B-195E-4447-8C5A-066C88A56175}"/>
    <cellStyle name="Normal 4 3 2 2 2 3 3 2" xfId="12051" xr:uid="{8A18F6A9-CF86-4AAD-8D88-A6D842AEEB9D}"/>
    <cellStyle name="Normal 4 3 2 2 2 3 4" xfId="2932" xr:uid="{D2B73EE3-DDCD-4672-AEF1-AE97373F6ED3}"/>
    <cellStyle name="Normal 4 3 2 2 2 3 4 2" xfId="12880" xr:uid="{038D2BB3-656C-47B1-9DAA-C92EC6563CF7}"/>
    <cellStyle name="Normal 4 3 2 2 2 3 5" xfId="3761" xr:uid="{680FA4D0-C4C8-416A-B901-AA3CD8BD7912}"/>
    <cellStyle name="Normal 4 3 2 2 2 3 5 2" xfId="13709" xr:uid="{C9FC2431-1677-4103-B2E7-B86F16D1FF50}"/>
    <cellStyle name="Normal 4 3 2 2 2 3 6" xfId="4590" xr:uid="{4A42C0FD-DD34-4071-995D-1B0494868E4B}"/>
    <cellStyle name="Normal 4 3 2 2 2 3 6 2" xfId="14538" xr:uid="{A1BCC3FD-D117-42FF-806D-C6C9D3206A92}"/>
    <cellStyle name="Normal 4 3 2 2 2 3 7" xfId="5419" xr:uid="{508892B6-436C-43D7-BCBC-16D364F5005A}"/>
    <cellStyle name="Normal 4 3 2 2 2 3 7 2" xfId="15367" xr:uid="{5E3164D7-2347-40B8-9143-F8B7FDEF3325}"/>
    <cellStyle name="Normal 4 3 2 2 2 3 8" xfId="6248" xr:uid="{897A4611-F975-4837-A720-3E02CE855279}"/>
    <cellStyle name="Normal 4 3 2 2 2 3 8 2" xfId="16196" xr:uid="{47E9EBF0-8EBD-4E86-8178-F6F57CA75CC3}"/>
    <cellStyle name="Normal 4 3 2 2 2 3 9" xfId="7077" xr:uid="{4CD07762-4D8C-440A-A69F-D84631B5CF4A}"/>
    <cellStyle name="Normal 4 3 2 2 2 3 9 2" xfId="17025" xr:uid="{C0886C7D-5047-4676-B56A-47E5532AB55B}"/>
    <cellStyle name="Normal 4 3 2 2 2 4" xfId="852" xr:uid="{00000000-0005-0000-0000-00008E020000}"/>
    <cellStyle name="Normal 4 3 2 2 2 4 10" xfId="9148" xr:uid="{3C26C0D8-F52D-4F4D-90FD-2E2D47D8A2A2}"/>
    <cellStyle name="Normal 4 3 2 2 2 4 10 2" xfId="19096" xr:uid="{2FECE0D9-F0F3-405D-BEDA-90FBA787831E}"/>
    <cellStyle name="Normal 4 3 2 2 2 4 11" xfId="9977" xr:uid="{C8265574-31C5-4B86-B008-628CA92201AE}"/>
    <cellStyle name="Normal 4 3 2 2 2 4 11 2" xfId="19925" xr:uid="{464593E3-2154-4083-A571-D4D9A8276A53}"/>
    <cellStyle name="Normal 4 3 2 2 2 4 12" xfId="10806" xr:uid="{B4A5DB05-32F0-4605-9477-2CBA39750055}"/>
    <cellStyle name="Normal 4 3 2 2 2 4 12 2" xfId="20754" xr:uid="{767140A6-A81E-4644-B2F1-F71B5CC05DF7}"/>
    <cellStyle name="Normal 4 3 2 2 2 4 13" xfId="1687" xr:uid="{F32533EE-AB22-4FE8-85F7-D69E9572E3B5}"/>
    <cellStyle name="Normal 4 3 2 2 2 4 14" xfId="11635" xr:uid="{69E86F15-3387-476A-B3AF-9952AADFA6CD}"/>
    <cellStyle name="Normal 4 3 2 2 2 4 2" xfId="2516" xr:uid="{1FE5A03E-BE73-4B97-8645-01F8BD5EF369}"/>
    <cellStyle name="Normal 4 3 2 2 2 4 2 2" xfId="12464" xr:uid="{708B1A3C-E6F2-4A7C-9EA3-775847108B0B}"/>
    <cellStyle name="Normal 4 3 2 2 2 4 3" xfId="3345" xr:uid="{E82B78D5-BCC7-4A34-A2E6-440F887F3E23}"/>
    <cellStyle name="Normal 4 3 2 2 2 4 3 2" xfId="13293" xr:uid="{DC1C7E9E-F96F-4175-9D6A-DA91A59F727D}"/>
    <cellStyle name="Normal 4 3 2 2 2 4 4" xfId="4174" xr:uid="{68721268-CA20-420B-AFD5-E34C4B52D244}"/>
    <cellStyle name="Normal 4 3 2 2 2 4 4 2" xfId="14122" xr:uid="{0DB1C119-7725-4245-830A-DCE3A93DAA76}"/>
    <cellStyle name="Normal 4 3 2 2 2 4 5" xfId="5003" xr:uid="{D0B6B073-24A5-4BFE-BD84-4CAA16C66448}"/>
    <cellStyle name="Normal 4 3 2 2 2 4 5 2" xfId="14951" xr:uid="{3F1C1D54-F409-4404-9635-5D37E124C6E6}"/>
    <cellStyle name="Normal 4 3 2 2 2 4 6" xfId="5832" xr:uid="{90046B0F-D904-4049-A43E-551E646D67B2}"/>
    <cellStyle name="Normal 4 3 2 2 2 4 6 2" xfId="15780" xr:uid="{77EDD7ED-AD36-4FA7-B5D3-7EF1BE3E97D4}"/>
    <cellStyle name="Normal 4 3 2 2 2 4 7" xfId="6661" xr:uid="{9686F51F-F64C-462F-A173-4CE3EE04FD3C}"/>
    <cellStyle name="Normal 4 3 2 2 2 4 7 2" xfId="16609" xr:uid="{E0CD77B3-337C-41E3-8B57-E3F77A3DCD31}"/>
    <cellStyle name="Normal 4 3 2 2 2 4 8" xfId="7490" xr:uid="{77A5FB42-C0A5-4776-9C52-330E6433A1BC}"/>
    <cellStyle name="Normal 4 3 2 2 2 4 8 2" xfId="17438" xr:uid="{05FF6F11-4D69-43E5-90AD-08F81414F1BF}"/>
    <cellStyle name="Normal 4 3 2 2 2 4 9" xfId="8319" xr:uid="{EBB16106-935A-422D-9F62-9CFFAEE6BDB6}"/>
    <cellStyle name="Normal 4 3 2 2 2 4 9 2" xfId="18267" xr:uid="{CBC740AF-581B-4DD5-B5BF-B3DB4092CF59}"/>
    <cellStyle name="Normal 4 3 2 2 2 5" xfId="2100" xr:uid="{DB8DC287-463D-401E-AD3E-7212195BEE53}"/>
    <cellStyle name="Normal 4 3 2 2 2 5 2" xfId="12048" xr:uid="{4F455B11-459D-41AA-A949-FBE8DC709B2D}"/>
    <cellStyle name="Normal 4 3 2 2 2 6" xfId="2929" xr:uid="{2BE62C83-656F-4AB9-86D1-4DB890047D52}"/>
    <cellStyle name="Normal 4 3 2 2 2 6 2" xfId="12877" xr:uid="{4652E2D0-92E7-4A87-BD02-07FDD2B158C3}"/>
    <cellStyle name="Normal 4 3 2 2 2 7" xfId="3758" xr:uid="{4229FCC4-AB57-478E-95CF-286EC021B252}"/>
    <cellStyle name="Normal 4 3 2 2 2 7 2" xfId="13706" xr:uid="{6F521A3F-FCEB-4B71-88E4-89DB2FB82A1F}"/>
    <cellStyle name="Normal 4 3 2 2 2 8" xfId="4587" xr:uid="{2F3B0C48-1E35-4595-A05F-4B514BB72E64}"/>
    <cellStyle name="Normal 4 3 2 2 2 8 2" xfId="14535" xr:uid="{BDDCC998-D6B9-4822-9E42-3102FDF3DA75}"/>
    <cellStyle name="Normal 4 3 2 2 2 9" xfId="5416" xr:uid="{B6CD349F-FF84-4DB1-8278-A142868CCC81}"/>
    <cellStyle name="Normal 4 3 2 2 2 9 2" xfId="15364" xr:uid="{3B6F122B-B3F9-440E-9F49-2A45637B042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10" xfId="6249" xr:uid="{ABAD3843-B153-406B-BC3B-A04BDC0D7B3E}"/>
    <cellStyle name="Normal 4 3 3 10 2" xfId="16197" xr:uid="{7A557496-58FA-4DC6-B560-389FE7AF1B1E}"/>
    <cellStyle name="Normal 4 3 3 11" xfId="7078" xr:uid="{A1C73539-D62B-47DB-915F-BAF751A63285}"/>
    <cellStyle name="Normal 4 3 3 11 2" xfId="17026" xr:uid="{EE867B82-D207-411F-9201-2A37BB9E3C3D}"/>
    <cellStyle name="Normal 4 3 3 12" xfId="7907" xr:uid="{1C26AB6C-5EAA-4F96-AA29-E3410D1E4223}"/>
    <cellStyle name="Normal 4 3 3 12 2" xfId="17855" xr:uid="{0BB07FDB-FCE3-46CD-9D63-7700E435D931}"/>
    <cellStyle name="Normal 4 3 3 13" xfId="8736" xr:uid="{BDBDA990-F473-419C-88B7-9306A0A8AA50}"/>
    <cellStyle name="Normal 4 3 3 13 2" xfId="18684" xr:uid="{5A3BF75B-FE59-4D53-BF90-A1E3A20D5B59}"/>
    <cellStyle name="Normal 4 3 3 14" xfId="9565" xr:uid="{19BFA990-5728-40A0-8F89-F828563C5036}"/>
    <cellStyle name="Normal 4 3 3 14 2" xfId="19513" xr:uid="{E9C17439-21AD-4561-A4A8-B395BEDBC71E}"/>
    <cellStyle name="Normal 4 3 3 15" xfId="10394" xr:uid="{6C3F5EAB-F4AE-47C1-B2E8-62BDF81DD00B}"/>
    <cellStyle name="Normal 4 3 3 15 2" xfId="20342" xr:uid="{78DDAA42-29CD-4EFF-B0DD-C304FC753D92}"/>
    <cellStyle name="Normal 4 3 3 16" xfId="1275" xr:uid="{226B1D83-A039-4632-A8D2-F2418528DF09}"/>
    <cellStyle name="Normal 4 3 3 17" xfId="11223" xr:uid="{E2713C17-BFBE-4C83-9F26-706780B121A8}"/>
    <cellStyle name="Normal 4 3 3 2" xfId="378" xr:uid="{00000000-0005-0000-0000-000093020000}"/>
    <cellStyle name="Normal 4 3 3 2 10" xfId="7079" xr:uid="{4A99968C-A246-4D01-BC71-0E65D5ACADE7}"/>
    <cellStyle name="Normal 4 3 3 2 10 2" xfId="17027" xr:uid="{127062C9-7FC0-4C04-A0F0-5F07C3954174}"/>
    <cellStyle name="Normal 4 3 3 2 11" xfId="7908" xr:uid="{F296279B-4F83-453E-8037-3B7CEC7C0CEF}"/>
    <cellStyle name="Normal 4 3 3 2 11 2" xfId="17856" xr:uid="{52A38F65-C632-439B-80DC-BA2DF64AC0C5}"/>
    <cellStyle name="Normal 4 3 3 2 12" xfId="8737" xr:uid="{04C20857-DBFA-4A47-946F-6239C1DA09CB}"/>
    <cellStyle name="Normal 4 3 3 2 12 2" xfId="18685" xr:uid="{0CEE019C-8EE5-4DF5-92AA-D8EC25A7A5A0}"/>
    <cellStyle name="Normal 4 3 3 2 13" xfId="9566" xr:uid="{B769CBE9-32AB-46C0-B47F-4B4A3CBA3F83}"/>
    <cellStyle name="Normal 4 3 3 2 13 2" xfId="19514" xr:uid="{87599F18-E388-4407-8CF2-C178598736AC}"/>
    <cellStyle name="Normal 4 3 3 2 14" xfId="10395" xr:uid="{B4C54D0F-F6D6-447E-9143-D5672EE5D1CB}"/>
    <cellStyle name="Normal 4 3 3 2 14 2" xfId="20343" xr:uid="{95CF94B9-C718-4164-B31E-25DF628C9130}"/>
    <cellStyle name="Normal 4 3 3 2 15" xfId="1276" xr:uid="{727B33EF-00AA-4209-9089-A34975F93AF3}"/>
    <cellStyle name="Normal 4 3 3 2 16" xfId="11224" xr:uid="{7C07F550-9A99-4A35-9B06-1206383CAE1C}"/>
    <cellStyle name="Normal 4 3 3 2 2" xfId="379" xr:uid="{00000000-0005-0000-0000-000094020000}"/>
    <cellStyle name="Normal 4 3 3 2 2 10" xfId="7909" xr:uid="{D5A3784B-61F1-4466-BC28-56241BB8A388}"/>
    <cellStyle name="Normal 4 3 3 2 2 10 2" xfId="17857" xr:uid="{1FBE43E3-F849-47E3-A939-671AF0E0A992}"/>
    <cellStyle name="Normal 4 3 3 2 2 11" xfId="8738" xr:uid="{709532FF-DB22-4EDF-B2AD-8B36AD75832F}"/>
    <cellStyle name="Normal 4 3 3 2 2 11 2" xfId="18686" xr:uid="{FD3A8BF4-797A-49BF-AFD9-F14A7F599E1E}"/>
    <cellStyle name="Normal 4 3 3 2 2 12" xfId="9567" xr:uid="{4C157DBB-38E0-433B-B96F-1D45C4B10EA3}"/>
    <cellStyle name="Normal 4 3 3 2 2 12 2" xfId="19515" xr:uid="{8C201616-94DD-4214-B9BE-7948647A0622}"/>
    <cellStyle name="Normal 4 3 3 2 2 13" xfId="10396" xr:uid="{97B7F223-F7A8-480E-B1D9-579787D4B8D0}"/>
    <cellStyle name="Normal 4 3 3 2 2 13 2" xfId="20344" xr:uid="{C551EE7D-1DB7-41FE-B0EC-883115A6980A}"/>
    <cellStyle name="Normal 4 3 3 2 2 14" xfId="1277" xr:uid="{40DAAFAD-5D9A-4EC2-BA5B-6ED4C8613707}"/>
    <cellStyle name="Normal 4 3 3 2 2 15" xfId="11225" xr:uid="{2ACACFDC-8147-4B99-B04C-414EC7C4D7F0}"/>
    <cellStyle name="Normal 4 3 3 2 2 2" xfId="859" xr:uid="{00000000-0005-0000-0000-000095020000}"/>
    <cellStyle name="Normal 4 3 3 2 2 2 10" xfId="9154" xr:uid="{A46C9B1C-C9EA-4E3F-A405-4F64B42EB867}"/>
    <cellStyle name="Normal 4 3 3 2 2 2 10 2" xfId="19102" xr:uid="{45796C4A-3F16-4294-A9BE-5D79EC13FCEB}"/>
    <cellStyle name="Normal 4 3 3 2 2 2 11" xfId="9983" xr:uid="{5B2FF1A1-7DF1-4D89-87F7-029A745E9B35}"/>
    <cellStyle name="Normal 4 3 3 2 2 2 11 2" xfId="19931" xr:uid="{73AA03B8-8A7A-435B-B89E-88F0C3B6F142}"/>
    <cellStyle name="Normal 4 3 3 2 2 2 12" xfId="10812" xr:uid="{01D60B28-7747-4B8D-BF9B-8BDFBE17F8D0}"/>
    <cellStyle name="Normal 4 3 3 2 2 2 12 2" xfId="20760" xr:uid="{B2295CE7-9DE4-48BC-A16A-996B1659EECC}"/>
    <cellStyle name="Normal 4 3 3 2 2 2 13" xfId="1693" xr:uid="{6055B520-863C-4F03-A30F-771ACDDBB73F}"/>
    <cellStyle name="Normal 4 3 3 2 2 2 14" xfId="11641" xr:uid="{02B40E60-E017-4B5E-9286-65084C9A41C5}"/>
    <cellStyle name="Normal 4 3 3 2 2 2 2" xfId="2522" xr:uid="{C4874995-7DDD-4E7E-BC04-9C133CBC5637}"/>
    <cellStyle name="Normal 4 3 3 2 2 2 2 2" xfId="12470" xr:uid="{9D0200F6-99A6-4A6E-A67E-20130EE9699D}"/>
    <cellStyle name="Normal 4 3 3 2 2 2 3" xfId="3351" xr:uid="{6100E065-923B-49A1-8E07-A7BB5D1ADE0B}"/>
    <cellStyle name="Normal 4 3 3 2 2 2 3 2" xfId="13299" xr:uid="{AC9CD8AE-63D1-4B2B-AA32-7CF2BC1A751A}"/>
    <cellStyle name="Normal 4 3 3 2 2 2 4" xfId="4180" xr:uid="{56B921A8-66EF-4D07-A6E7-CC1ABA32929F}"/>
    <cellStyle name="Normal 4 3 3 2 2 2 4 2" xfId="14128" xr:uid="{62F34E67-F3B4-4432-98CD-12D8B85318E0}"/>
    <cellStyle name="Normal 4 3 3 2 2 2 5" xfId="5009" xr:uid="{B52A1B68-5123-4EF4-B9D8-074B5A2E5176}"/>
    <cellStyle name="Normal 4 3 3 2 2 2 5 2" xfId="14957" xr:uid="{D66478AB-DE26-4D21-8738-FB574D5EB91B}"/>
    <cellStyle name="Normal 4 3 3 2 2 2 6" xfId="5838" xr:uid="{D945321C-737D-45C2-85C7-2676C4197688}"/>
    <cellStyle name="Normal 4 3 3 2 2 2 6 2" xfId="15786" xr:uid="{16449B80-FD04-4FC2-A2CD-89E0A1656B5C}"/>
    <cellStyle name="Normal 4 3 3 2 2 2 7" xfId="6667" xr:uid="{325E023C-4975-45CF-834F-889A68AD47D5}"/>
    <cellStyle name="Normal 4 3 3 2 2 2 7 2" xfId="16615" xr:uid="{6C43C54B-744C-4A5D-8B55-C4A56D214B71}"/>
    <cellStyle name="Normal 4 3 3 2 2 2 8" xfId="7496" xr:uid="{EB1CFFC4-75E1-46CF-9CEA-B875AE5DBA65}"/>
    <cellStyle name="Normal 4 3 3 2 2 2 8 2" xfId="17444" xr:uid="{D4CFDD64-16DB-4846-B4F0-68F6D78BB330}"/>
    <cellStyle name="Normal 4 3 3 2 2 2 9" xfId="8325" xr:uid="{2DC905C9-3C4E-4E5F-BEDB-A2C3FE7C2F6F}"/>
    <cellStyle name="Normal 4 3 3 2 2 2 9 2" xfId="18273" xr:uid="{1E885FA2-19C4-43C6-8053-26ED740266A5}"/>
    <cellStyle name="Normal 4 3 3 2 2 3" xfId="2106" xr:uid="{235C3CE9-902E-4CD0-8FA2-054DB8F00609}"/>
    <cellStyle name="Normal 4 3 3 2 2 3 2" xfId="12054" xr:uid="{69A0D8D2-BDCC-480F-BA82-2500686A1CA1}"/>
    <cellStyle name="Normal 4 3 3 2 2 4" xfId="2935" xr:uid="{3717D7D7-9C95-4827-97F3-7610405C6169}"/>
    <cellStyle name="Normal 4 3 3 2 2 4 2" xfId="12883" xr:uid="{7F4C7EDF-2462-4878-8826-A1C10A32619A}"/>
    <cellStyle name="Normal 4 3 3 2 2 5" xfId="3764" xr:uid="{C4304B15-1A0C-4933-91B2-6B5572F02604}"/>
    <cellStyle name="Normal 4 3 3 2 2 5 2" xfId="13712" xr:uid="{5CB897A2-3D9B-4134-9448-EE45C839B704}"/>
    <cellStyle name="Normal 4 3 3 2 2 6" xfId="4593" xr:uid="{977DBD7A-F0A1-488B-86B4-79B8FA7BDBFC}"/>
    <cellStyle name="Normal 4 3 3 2 2 6 2" xfId="14541" xr:uid="{F4EC64DA-FCDB-4DDA-8E25-E6664CC0FA58}"/>
    <cellStyle name="Normal 4 3 3 2 2 7" xfId="5422" xr:uid="{61A38282-EFA3-44D4-9C57-F3DB1DF9A3FA}"/>
    <cellStyle name="Normal 4 3 3 2 2 7 2" xfId="15370" xr:uid="{52009CA2-1AA8-4B52-B6BC-6A271CE8926F}"/>
    <cellStyle name="Normal 4 3 3 2 2 8" xfId="6251" xr:uid="{1808D168-107B-4358-B542-F4D3A07054D3}"/>
    <cellStyle name="Normal 4 3 3 2 2 8 2" xfId="16199" xr:uid="{8F4A6D44-12D6-446A-8C8F-282CB13D5557}"/>
    <cellStyle name="Normal 4 3 3 2 2 9" xfId="7080" xr:uid="{4374E173-C08D-4F9E-8241-874168DAC9D3}"/>
    <cellStyle name="Normal 4 3 3 2 2 9 2" xfId="17028" xr:uid="{8915ADE5-220B-46C7-B1AE-FCA9A2C23874}"/>
    <cellStyle name="Normal 4 3 3 2 3" xfId="858" xr:uid="{00000000-0005-0000-0000-000096020000}"/>
    <cellStyle name="Normal 4 3 3 2 3 10" xfId="9153" xr:uid="{A46CD137-5921-4163-9576-7C73BF0BEFB4}"/>
    <cellStyle name="Normal 4 3 3 2 3 10 2" xfId="19101" xr:uid="{4BAC5EF3-AF94-481E-A331-92A8165F460B}"/>
    <cellStyle name="Normal 4 3 3 2 3 11" xfId="9982" xr:uid="{B0470EBB-ADD6-4C63-AFB5-47DC81DE36EE}"/>
    <cellStyle name="Normal 4 3 3 2 3 11 2" xfId="19930" xr:uid="{65477307-6309-41FD-B205-1447C6DB03E8}"/>
    <cellStyle name="Normal 4 3 3 2 3 12" xfId="10811" xr:uid="{00A8F87D-4A6C-4D03-B24A-97BF6DAFAC8D}"/>
    <cellStyle name="Normal 4 3 3 2 3 12 2" xfId="20759" xr:uid="{A18034AF-EE2B-4A19-BAFF-210C5A89B077}"/>
    <cellStyle name="Normal 4 3 3 2 3 13" xfId="1692" xr:uid="{34A6A22A-BB9C-49CD-99D5-C74B4E3EA8B3}"/>
    <cellStyle name="Normal 4 3 3 2 3 14" xfId="11640" xr:uid="{4B048633-D267-421B-9C79-9A0B6BECEC61}"/>
    <cellStyle name="Normal 4 3 3 2 3 2" xfId="2521" xr:uid="{0ED9FD8E-DC18-4F84-AD6D-E7CF903AACB3}"/>
    <cellStyle name="Normal 4 3 3 2 3 2 2" xfId="12469" xr:uid="{81D293EA-3B70-4982-B348-4E3691CAAC20}"/>
    <cellStyle name="Normal 4 3 3 2 3 3" xfId="3350" xr:uid="{B06D7826-0DE2-41FE-AADB-E484E594FF89}"/>
    <cellStyle name="Normal 4 3 3 2 3 3 2" xfId="13298" xr:uid="{1F6915FD-67A0-4A50-8346-07468C3C7B12}"/>
    <cellStyle name="Normal 4 3 3 2 3 4" xfId="4179" xr:uid="{9641C1D9-F044-4069-B47F-943883D79073}"/>
    <cellStyle name="Normal 4 3 3 2 3 4 2" xfId="14127" xr:uid="{6140BE9F-2D88-4432-8F32-41BDD4646CB8}"/>
    <cellStyle name="Normal 4 3 3 2 3 5" xfId="5008" xr:uid="{6FF4A870-9C8F-4433-A7F3-8E2F9A6ACA9A}"/>
    <cellStyle name="Normal 4 3 3 2 3 5 2" xfId="14956" xr:uid="{8737D7D2-22E0-47E2-B555-1D06EE4BABC9}"/>
    <cellStyle name="Normal 4 3 3 2 3 6" xfId="5837" xr:uid="{C8BE469E-74D9-4B6C-B507-498329C8AB83}"/>
    <cellStyle name="Normal 4 3 3 2 3 6 2" xfId="15785" xr:uid="{5D653FDD-224A-4286-965B-37C15E55F888}"/>
    <cellStyle name="Normal 4 3 3 2 3 7" xfId="6666" xr:uid="{6EA9D78B-2A2C-46A5-88E1-C48BBFC2D046}"/>
    <cellStyle name="Normal 4 3 3 2 3 7 2" xfId="16614" xr:uid="{B3B08454-1ADB-404A-A0A2-3D46EF0C677A}"/>
    <cellStyle name="Normal 4 3 3 2 3 8" xfId="7495" xr:uid="{2D3D9BBB-0A54-43D6-BB07-2769CCCBE770}"/>
    <cellStyle name="Normal 4 3 3 2 3 8 2" xfId="17443" xr:uid="{4A7DBC1D-FFAA-4208-889A-C2D48E703CC8}"/>
    <cellStyle name="Normal 4 3 3 2 3 9" xfId="8324" xr:uid="{5650512F-29B1-490C-9AD3-F58025DD6B20}"/>
    <cellStyle name="Normal 4 3 3 2 3 9 2" xfId="18272" xr:uid="{4E27A6F0-BE40-44AE-BD4D-C1A2AC8B2CE2}"/>
    <cellStyle name="Normal 4 3 3 2 4" xfId="2105" xr:uid="{2C5FFD29-7B59-4FB9-8475-A71454D77D5E}"/>
    <cellStyle name="Normal 4 3 3 2 4 2" xfId="12053" xr:uid="{A2AB7EDA-C66A-4D42-9DC6-91D659045016}"/>
    <cellStyle name="Normal 4 3 3 2 5" xfId="2934" xr:uid="{B503A688-7C17-4872-B862-A85561E13000}"/>
    <cellStyle name="Normal 4 3 3 2 5 2" xfId="12882" xr:uid="{C40C01EA-0AB6-40A4-B54F-894736A95E98}"/>
    <cellStyle name="Normal 4 3 3 2 6" xfId="3763" xr:uid="{D4E725AE-D16F-4B3E-BA7E-F21BDEB18A26}"/>
    <cellStyle name="Normal 4 3 3 2 6 2" xfId="13711" xr:uid="{C70893E1-5C39-4E2C-B79F-9CE2123C6BF1}"/>
    <cellStyle name="Normal 4 3 3 2 7" xfId="4592" xr:uid="{971A55B2-FF28-460F-BD75-5AE4C6202C4F}"/>
    <cellStyle name="Normal 4 3 3 2 7 2" xfId="14540" xr:uid="{6765D221-53B9-4B62-BB73-E07FDA7B2D9B}"/>
    <cellStyle name="Normal 4 3 3 2 8" xfId="5421" xr:uid="{EF5BD964-B5EA-47E0-BA9C-F0D7E1746156}"/>
    <cellStyle name="Normal 4 3 3 2 8 2" xfId="15369" xr:uid="{A38CC368-76BD-401E-B1DA-757A9C0A5C20}"/>
    <cellStyle name="Normal 4 3 3 2 9" xfId="6250" xr:uid="{00360980-FA0B-4C49-BCB4-5A4951ABBBD3}"/>
    <cellStyle name="Normal 4 3 3 2 9 2" xfId="16198" xr:uid="{93829EA2-F334-49E3-8765-A40C3811CB05}"/>
    <cellStyle name="Normal 4 3 3 3" xfId="380" xr:uid="{00000000-0005-0000-0000-000097020000}"/>
    <cellStyle name="Normal 4 3 3 3 10" xfId="7910" xr:uid="{4DE44530-5835-4BDA-A75F-7ED55F9BF2FA}"/>
    <cellStyle name="Normal 4 3 3 3 10 2" xfId="17858" xr:uid="{3055A555-9DC0-4E10-B38E-788D9DBC2D8A}"/>
    <cellStyle name="Normal 4 3 3 3 11" xfId="8739" xr:uid="{9761A66A-2F6B-4BFD-9A1A-469CA8960711}"/>
    <cellStyle name="Normal 4 3 3 3 11 2" xfId="18687" xr:uid="{F3C92BDF-DFF3-40E8-AFFB-BFD9EA9420C1}"/>
    <cellStyle name="Normal 4 3 3 3 12" xfId="9568" xr:uid="{B35F7EC1-5761-48B5-BA36-FDFC8AAC9F62}"/>
    <cellStyle name="Normal 4 3 3 3 12 2" xfId="19516" xr:uid="{0C977714-D4D3-4F00-828C-64054D9987E2}"/>
    <cellStyle name="Normal 4 3 3 3 13" xfId="10397" xr:uid="{96FA9BDB-A26B-4623-8DB0-18B35C96304F}"/>
    <cellStyle name="Normal 4 3 3 3 13 2" xfId="20345" xr:uid="{B5D6A88B-1EEF-4197-A5EA-734DDBD3CA16}"/>
    <cellStyle name="Normal 4 3 3 3 14" xfId="1278" xr:uid="{98D885AF-7A55-4D90-8860-1CE371650FD6}"/>
    <cellStyle name="Normal 4 3 3 3 15" xfId="11226" xr:uid="{65F7CEB5-1419-4A6D-B3B4-F480D55E7133}"/>
    <cellStyle name="Normal 4 3 3 3 2" xfId="860" xr:uid="{00000000-0005-0000-0000-000098020000}"/>
    <cellStyle name="Normal 4 3 3 3 2 10" xfId="9155" xr:uid="{4116E175-7521-4C73-BCAB-554B3708AA03}"/>
    <cellStyle name="Normal 4 3 3 3 2 10 2" xfId="19103" xr:uid="{2666D13D-6EA4-4A71-9524-2F1D8B72E841}"/>
    <cellStyle name="Normal 4 3 3 3 2 11" xfId="9984" xr:uid="{7BFFC4C1-53C3-4CBB-B3AB-0338D9847FBF}"/>
    <cellStyle name="Normal 4 3 3 3 2 11 2" xfId="19932" xr:uid="{09F629D1-4E19-4A7A-B6C6-9D6026757D11}"/>
    <cellStyle name="Normal 4 3 3 3 2 12" xfId="10813" xr:uid="{AF9C2675-E667-4B29-B049-D638E54985FF}"/>
    <cellStyle name="Normal 4 3 3 3 2 12 2" xfId="20761" xr:uid="{75FF6E9D-6F87-4608-8061-E5EA14E7A6A6}"/>
    <cellStyle name="Normal 4 3 3 3 2 13" xfId="1694" xr:uid="{C03701A7-0546-49E4-8A2B-1CD5553937B3}"/>
    <cellStyle name="Normal 4 3 3 3 2 14" xfId="11642" xr:uid="{BF0C3D63-3205-432E-B524-F2DE96519200}"/>
    <cellStyle name="Normal 4 3 3 3 2 2" xfId="2523" xr:uid="{F19D1112-9B66-4E1E-8AAC-35B657124737}"/>
    <cellStyle name="Normal 4 3 3 3 2 2 2" xfId="12471" xr:uid="{2FDD7042-15D9-423B-BF6A-7B315F779735}"/>
    <cellStyle name="Normal 4 3 3 3 2 3" xfId="3352" xr:uid="{2630FB48-7D8D-4CC4-93E2-D928D9E40001}"/>
    <cellStyle name="Normal 4 3 3 3 2 3 2" xfId="13300" xr:uid="{8939A2C1-3EF0-4741-91F3-3F7166EBCF1D}"/>
    <cellStyle name="Normal 4 3 3 3 2 4" xfId="4181" xr:uid="{5A3B91B3-83A7-4B0E-86EE-F21280B8789F}"/>
    <cellStyle name="Normal 4 3 3 3 2 4 2" xfId="14129" xr:uid="{5B67C7DA-1834-4A8D-BBBA-2249BA957740}"/>
    <cellStyle name="Normal 4 3 3 3 2 5" xfId="5010" xr:uid="{19D1679A-FBB8-47E2-A756-6DA9C50EB3AE}"/>
    <cellStyle name="Normal 4 3 3 3 2 5 2" xfId="14958" xr:uid="{8AE7490D-BB3B-4101-9CD6-01ED27C18683}"/>
    <cellStyle name="Normal 4 3 3 3 2 6" xfId="5839" xr:uid="{93EA5466-BA34-4FE4-BB63-CE6DE20E964E}"/>
    <cellStyle name="Normal 4 3 3 3 2 6 2" xfId="15787" xr:uid="{F16D64B0-FFB4-4518-88B0-CF068383A8A9}"/>
    <cellStyle name="Normal 4 3 3 3 2 7" xfId="6668" xr:uid="{BDD01727-A3AE-4206-9919-A3080594D375}"/>
    <cellStyle name="Normal 4 3 3 3 2 7 2" xfId="16616" xr:uid="{7808CC24-1D3D-442E-9952-8A8A170AA8B8}"/>
    <cellStyle name="Normal 4 3 3 3 2 8" xfId="7497" xr:uid="{0F7C56FB-D0D6-4B5E-BD4E-3EB64CCF8648}"/>
    <cellStyle name="Normal 4 3 3 3 2 8 2" xfId="17445" xr:uid="{598C9C4B-654B-40C7-A5AC-01AB40D023AA}"/>
    <cellStyle name="Normal 4 3 3 3 2 9" xfId="8326" xr:uid="{BA707C47-FEE7-4783-876F-78E8AE05E688}"/>
    <cellStyle name="Normal 4 3 3 3 2 9 2" xfId="18274" xr:uid="{ED491F76-572C-4B19-9186-56311DC1ABE4}"/>
    <cellStyle name="Normal 4 3 3 3 3" xfId="2107" xr:uid="{0F46C455-08AB-4BE0-8B22-81D39F7FD292}"/>
    <cellStyle name="Normal 4 3 3 3 3 2" xfId="12055" xr:uid="{9054BBD1-2EC7-445A-A5D5-87322F7BA5D8}"/>
    <cellStyle name="Normal 4 3 3 3 4" xfId="2936" xr:uid="{6A42F68F-7613-4F69-A38D-AB7FA1F7A39E}"/>
    <cellStyle name="Normal 4 3 3 3 4 2" xfId="12884" xr:uid="{7A82708B-1A57-47CB-B662-A3E2ACF9F9F5}"/>
    <cellStyle name="Normal 4 3 3 3 5" xfId="3765" xr:uid="{E0C8D162-87D8-45AB-A30C-BAAD77E00FF7}"/>
    <cellStyle name="Normal 4 3 3 3 5 2" xfId="13713" xr:uid="{A00ABB57-8C4B-4000-9552-29394D630F3B}"/>
    <cellStyle name="Normal 4 3 3 3 6" xfId="4594" xr:uid="{6957DDA0-0413-4D9C-BEA5-7ACBCA4E897C}"/>
    <cellStyle name="Normal 4 3 3 3 6 2" xfId="14542" xr:uid="{161E1C52-A206-466C-A64C-0BCE7F9B7C85}"/>
    <cellStyle name="Normal 4 3 3 3 7" xfId="5423" xr:uid="{53086ECB-CE22-427E-8423-0866D56C41A5}"/>
    <cellStyle name="Normal 4 3 3 3 7 2" xfId="15371" xr:uid="{00A08CDB-2A91-4D4F-A18D-6DA3B250797E}"/>
    <cellStyle name="Normal 4 3 3 3 8" xfId="6252" xr:uid="{E4F9EFB9-D9C2-47B5-9592-B6450C227DE6}"/>
    <cellStyle name="Normal 4 3 3 3 8 2" xfId="16200" xr:uid="{F50BB2A7-E576-4750-9D8F-DE54FEC7FFFA}"/>
    <cellStyle name="Normal 4 3 3 3 9" xfId="7081" xr:uid="{3A5F31E0-0569-4FB3-81D5-9BE4D7F3C940}"/>
    <cellStyle name="Normal 4 3 3 3 9 2" xfId="17029" xr:uid="{8CF9ED2F-07A7-4C71-B539-CE455E443DC1}"/>
    <cellStyle name="Normal 4 3 3 4" xfId="857" xr:uid="{00000000-0005-0000-0000-000099020000}"/>
    <cellStyle name="Normal 4 3 3 4 10" xfId="9152" xr:uid="{FD3AE2EC-9DA1-4215-A244-7D5123509B4E}"/>
    <cellStyle name="Normal 4 3 3 4 10 2" xfId="19100" xr:uid="{057D82D4-490D-4F39-B302-5EF5D2F702CF}"/>
    <cellStyle name="Normal 4 3 3 4 11" xfId="9981" xr:uid="{0E69436F-3769-46B2-B71A-AC10AFA5AA42}"/>
    <cellStyle name="Normal 4 3 3 4 11 2" xfId="19929" xr:uid="{9AFF207D-4C47-4046-A6B7-260F0439C547}"/>
    <cellStyle name="Normal 4 3 3 4 12" xfId="10810" xr:uid="{52BF1223-7253-46CB-9869-914694751992}"/>
    <cellStyle name="Normal 4 3 3 4 12 2" xfId="20758" xr:uid="{40015949-5320-4637-8CAF-31549701D428}"/>
    <cellStyle name="Normal 4 3 3 4 13" xfId="1691" xr:uid="{DD574FB6-1798-46BD-A449-8D13CA6D4821}"/>
    <cellStyle name="Normal 4 3 3 4 14" xfId="11639" xr:uid="{1FE54C3D-44A7-42B3-91BC-831807A960D5}"/>
    <cellStyle name="Normal 4 3 3 4 2" xfId="2520" xr:uid="{5280D5D4-D64F-45D9-B30A-DC3E5A691862}"/>
    <cellStyle name="Normal 4 3 3 4 2 2" xfId="12468" xr:uid="{5E3489E0-5F3B-40C9-8B34-37BFF2A4C1A2}"/>
    <cellStyle name="Normal 4 3 3 4 3" xfId="3349" xr:uid="{2F910DB2-84A6-4903-8B27-AB369BC44C7E}"/>
    <cellStyle name="Normal 4 3 3 4 3 2" xfId="13297" xr:uid="{9D07A30A-D8B1-44AA-AED5-A03608367027}"/>
    <cellStyle name="Normal 4 3 3 4 4" xfId="4178" xr:uid="{6BE712D8-4C09-41D8-80B7-594AA93798AD}"/>
    <cellStyle name="Normal 4 3 3 4 4 2" xfId="14126" xr:uid="{FBADD741-C9B6-4C98-8B3D-E350F39246D5}"/>
    <cellStyle name="Normal 4 3 3 4 5" xfId="5007" xr:uid="{253B25B7-FF90-4153-ADE7-BE2DCB7E5325}"/>
    <cellStyle name="Normal 4 3 3 4 5 2" xfId="14955" xr:uid="{D943B7D2-12F9-4929-928C-6D46A9E66242}"/>
    <cellStyle name="Normal 4 3 3 4 6" xfId="5836" xr:uid="{27C2757C-9FD1-467A-82B3-ACD91649F300}"/>
    <cellStyle name="Normal 4 3 3 4 6 2" xfId="15784" xr:uid="{2A074A57-AB75-416E-99EA-B045724945A3}"/>
    <cellStyle name="Normal 4 3 3 4 7" xfId="6665" xr:uid="{9BB9217A-4DB9-42D0-83AB-88037B567A11}"/>
    <cellStyle name="Normal 4 3 3 4 7 2" xfId="16613" xr:uid="{2E871878-2537-43B9-BADB-5F930EA3891F}"/>
    <cellStyle name="Normal 4 3 3 4 8" xfId="7494" xr:uid="{5AB1CC2C-359D-4193-B83D-09CAF739F834}"/>
    <cellStyle name="Normal 4 3 3 4 8 2" xfId="17442" xr:uid="{62732A1D-1F00-40ED-94E2-A1CE4554A74F}"/>
    <cellStyle name="Normal 4 3 3 4 9" xfId="8323" xr:uid="{33AF6CC3-F120-48E6-ACE6-93A1A5D125F7}"/>
    <cellStyle name="Normal 4 3 3 4 9 2" xfId="18271" xr:uid="{6A528586-AAEC-4660-BEF9-0843AF15849D}"/>
    <cellStyle name="Normal 4 3 3 5" xfId="2104" xr:uid="{8C6AB69B-4CBA-4361-B072-CBE72D8C916B}"/>
    <cellStyle name="Normal 4 3 3 5 2" xfId="12052" xr:uid="{90CB7FE0-A8EF-4BE7-BE02-6FB5DBDDC721}"/>
    <cellStyle name="Normal 4 3 3 6" xfId="2933" xr:uid="{AE1AF007-48B6-4691-AF5A-C19F6FA86A72}"/>
    <cellStyle name="Normal 4 3 3 6 2" xfId="12881" xr:uid="{3B783B2C-8532-4350-9ABD-D920A50AF0C8}"/>
    <cellStyle name="Normal 4 3 3 7" xfId="3762" xr:uid="{178EB42B-D9D4-4F70-A8F8-F0A84F539F8E}"/>
    <cellStyle name="Normal 4 3 3 7 2" xfId="13710" xr:uid="{AA3031B9-C20E-4E35-8FFE-4F58972C12B3}"/>
    <cellStyle name="Normal 4 3 3 8" xfId="4591" xr:uid="{02823309-55D7-40F2-84B1-09CF8E9BF45D}"/>
    <cellStyle name="Normal 4 3 3 8 2" xfId="14539" xr:uid="{CF84DB89-D7F8-4B3A-9648-6224477A5D94}"/>
    <cellStyle name="Normal 4 3 3 9" xfId="5420" xr:uid="{76C8FBD8-4E21-43EB-8C6B-0D4E8BF7F214}"/>
    <cellStyle name="Normal 4 3 3 9 2" xfId="15368" xr:uid="{14F0F406-06CC-418D-BAD9-985D4043B4E2}"/>
    <cellStyle name="Normal 4 3 4" xfId="850" xr:uid="{00000000-0005-0000-0000-00009A020000}"/>
    <cellStyle name="Normal 4 3 4 10" xfId="9147" xr:uid="{CF2581B6-DB2D-469D-89FD-C220C97CD3AE}"/>
    <cellStyle name="Normal 4 3 4 10 2" xfId="19095" xr:uid="{DF0968DF-B526-4C94-8DD1-4BE759F86638}"/>
    <cellStyle name="Normal 4 3 4 11" xfId="9976" xr:uid="{A14A648C-1A26-43EA-8A35-65B2B732DC8B}"/>
    <cellStyle name="Normal 4 3 4 11 2" xfId="19924" xr:uid="{280F9205-EF0C-47A5-ABFD-48B59AEEFE71}"/>
    <cellStyle name="Normal 4 3 4 12" xfId="10805" xr:uid="{29B6E828-59A6-4EEB-8B56-EC1BDA277B33}"/>
    <cellStyle name="Normal 4 3 4 12 2" xfId="20753" xr:uid="{AEC68966-D284-4D77-9878-31A1D71272D9}"/>
    <cellStyle name="Normal 4 3 4 13" xfId="1686" xr:uid="{1E7BC403-2DFC-4588-AE01-0220C40097FB}"/>
    <cellStyle name="Normal 4 3 4 14" xfId="11634" xr:uid="{A346239C-2132-4080-909F-731CDB72E7D7}"/>
    <cellStyle name="Normal 4 3 4 2" xfId="2515" xr:uid="{474FC945-524F-472D-B078-E214294E99E3}"/>
    <cellStyle name="Normal 4 3 4 2 2" xfId="12463" xr:uid="{C5137D08-299C-4609-906F-418B73C61B8A}"/>
    <cellStyle name="Normal 4 3 4 3" xfId="3344" xr:uid="{2E3D95E7-9404-4706-9372-C09DE9A8A1B9}"/>
    <cellStyle name="Normal 4 3 4 3 2" xfId="13292" xr:uid="{4699818F-C064-4DAB-95BF-5CC23E06FBBB}"/>
    <cellStyle name="Normal 4 3 4 4" xfId="4173" xr:uid="{0983684C-5429-471D-BF43-93611ED0DBC8}"/>
    <cellStyle name="Normal 4 3 4 4 2" xfId="14121" xr:uid="{DDA9ACD4-41F8-42B3-A319-F25283635F71}"/>
    <cellStyle name="Normal 4 3 4 5" xfId="5002" xr:uid="{B368DA42-94A5-425B-8A80-444CA897B72A}"/>
    <cellStyle name="Normal 4 3 4 5 2" xfId="14950" xr:uid="{4B18E89B-5398-41FD-B25E-8638F378DB90}"/>
    <cellStyle name="Normal 4 3 4 6" xfId="5831" xr:uid="{C466DA65-D12B-48D6-9ADA-4A2813BD4781}"/>
    <cellStyle name="Normal 4 3 4 6 2" xfId="15779" xr:uid="{57EBC2AD-D245-4507-89B8-4AD4DA87CFD2}"/>
    <cellStyle name="Normal 4 3 4 7" xfId="6660" xr:uid="{0C5FA905-1FE8-468A-82E3-75ED522A657E}"/>
    <cellStyle name="Normal 4 3 4 7 2" xfId="16608" xr:uid="{B5F1C347-2CA5-4A6D-881A-150FDE9A3E57}"/>
    <cellStyle name="Normal 4 3 4 8" xfId="7489" xr:uid="{39D9FC49-0733-4323-9D7F-9EE13CBCB5BF}"/>
    <cellStyle name="Normal 4 3 4 8 2" xfId="17437" xr:uid="{235F8D36-558D-49F0-B7C3-41BF346E4B1B}"/>
    <cellStyle name="Normal 4 3 4 9" xfId="8318" xr:uid="{A1A897BB-5DAC-45BB-81B2-AD4FFF943D16}"/>
    <cellStyle name="Normal 4 3 4 9 2" xfId="18266" xr:uid="{4A721D51-EE20-4A54-83D3-9D9FDA09A86E}"/>
    <cellStyle name="Normal 4 3 5" xfId="2099" xr:uid="{EE3D28EE-8FD1-4A64-A7C6-E48BD49EC669}"/>
    <cellStyle name="Normal 4 3 5 2" xfId="12047" xr:uid="{0331AC8D-5A8E-44B0-9C82-E715A6EE5E53}"/>
    <cellStyle name="Normal 4 3 6" xfId="2928" xr:uid="{174D515B-92D5-4862-8DBD-2230E6B303F0}"/>
    <cellStyle name="Normal 4 3 6 2" xfId="12876" xr:uid="{AAB8415B-4426-48EF-A5CB-6ED9DCBB0660}"/>
    <cellStyle name="Normal 4 3 7" xfId="3757" xr:uid="{E6EC97DE-E19E-49D2-B743-0C96F14548D0}"/>
    <cellStyle name="Normal 4 3 7 2" xfId="13705" xr:uid="{BCEB7A65-DAB2-48C9-BEB2-7C679B4DE2BA}"/>
    <cellStyle name="Normal 4 3 8" xfId="4586" xr:uid="{6B77874E-449E-4ED1-B5BF-C9782D4BB432}"/>
    <cellStyle name="Normal 4 3 8 2" xfId="14534" xr:uid="{2BCA897E-7503-4463-88F5-FEE2943F11BA}"/>
    <cellStyle name="Normal 4 3 9" xfId="5415" xr:uid="{DED9CB34-2539-4210-9BAA-906BEB00D01B}"/>
    <cellStyle name="Normal 4 3 9 2" xfId="15363" xr:uid="{EDE4EF41-165D-416A-9E3C-E7B42B54531E}"/>
    <cellStyle name="Normal 4 4" xfId="381" xr:uid="{00000000-0005-0000-0000-00009B020000}"/>
    <cellStyle name="Normal 4 4 10" xfId="4595" xr:uid="{1F36C7F9-8737-4500-81A9-5F4EC6921996}"/>
    <cellStyle name="Normal 4 4 10 2" xfId="14543" xr:uid="{526DBE56-8422-4475-8860-F624B500F0DB}"/>
    <cellStyle name="Normal 4 4 11" xfId="5424" xr:uid="{873C8428-01D1-493C-BA8D-F7A4B1F3758B}"/>
    <cellStyle name="Normal 4 4 11 2" xfId="15372" xr:uid="{2AB63E90-7C00-4648-88B1-1ECA12D799B0}"/>
    <cellStyle name="Normal 4 4 12" xfId="6253" xr:uid="{D5D8A9F2-24EC-4416-9B44-86AC7233585A}"/>
    <cellStyle name="Normal 4 4 12 2" xfId="16201" xr:uid="{2F90B112-CF71-479C-BF23-CB1CBFB0D230}"/>
    <cellStyle name="Normal 4 4 13" xfId="7082" xr:uid="{9EA91795-0A4F-449B-B8F1-2C7E3DFB227D}"/>
    <cellStyle name="Normal 4 4 13 2" xfId="17030" xr:uid="{1FC0B6E3-930C-43AC-AE25-B5C97C444D38}"/>
    <cellStyle name="Normal 4 4 14" xfId="7911" xr:uid="{FAFEB964-AC0D-4656-8159-4DBACD250763}"/>
    <cellStyle name="Normal 4 4 14 2" xfId="17859" xr:uid="{42075F21-A306-4B66-B7A3-EE4896F1DCAC}"/>
    <cellStyle name="Normal 4 4 15" xfId="8740" xr:uid="{53497918-71DC-4879-98B7-24FFD71F4194}"/>
    <cellStyle name="Normal 4 4 15 2" xfId="18688" xr:uid="{1213D824-9CB3-48B7-9B1D-F5B82CEDC210}"/>
    <cellStyle name="Normal 4 4 16" xfId="9569" xr:uid="{0C533503-11B5-475A-B70E-33A158143ABF}"/>
    <cellStyle name="Normal 4 4 16 2" xfId="19517" xr:uid="{B0161EB6-32D7-4A9D-9CD9-167755851F80}"/>
    <cellStyle name="Normal 4 4 17" xfId="10398" xr:uid="{D09A7303-3E16-4AFE-9E14-BC069C1CE033}"/>
    <cellStyle name="Normal 4 4 17 2" xfId="20346" xr:uid="{A80949DE-2D1D-4C0B-8422-DBDD6B8A6D0B}"/>
    <cellStyle name="Normal 4 4 18" xfId="1279" xr:uid="{E7D3670A-6690-4C3D-BCD4-57F61CEC1983}"/>
    <cellStyle name="Normal 4 4 19" xfId="11227" xr:uid="{88BAEEB2-E76B-4E10-8DAE-E7E46AEF305D}"/>
    <cellStyle name="Normal 4 4 2" xfId="382" xr:uid="{00000000-0005-0000-0000-00009C020000}"/>
    <cellStyle name="Normal 4 4 2 10" xfId="5425" xr:uid="{8A770E89-1076-4D55-A650-FFD57574E331}"/>
    <cellStyle name="Normal 4 4 2 10 2" xfId="15373" xr:uid="{82302576-F1A0-4B88-8B16-8CEB6054378D}"/>
    <cellStyle name="Normal 4 4 2 11" xfId="6254" xr:uid="{E87E37D3-CF30-4FCA-ABC9-FE839149606F}"/>
    <cellStyle name="Normal 4 4 2 11 2" xfId="16202" xr:uid="{DC8503C9-4B9C-4239-B30F-8FF4726DC9A4}"/>
    <cellStyle name="Normal 4 4 2 12" xfId="7083" xr:uid="{28636226-17B7-4B5B-A2CB-233F3BA21C30}"/>
    <cellStyle name="Normal 4 4 2 12 2" xfId="17031" xr:uid="{C0F3279C-31DB-4BCB-8727-3AF6C49BE86D}"/>
    <cellStyle name="Normal 4 4 2 13" xfId="7912" xr:uid="{CD808DF6-860B-46E4-8469-BA728A9FA0E8}"/>
    <cellStyle name="Normal 4 4 2 13 2" xfId="17860" xr:uid="{BEE82084-590F-4461-88DA-3D6D750B2E68}"/>
    <cellStyle name="Normal 4 4 2 14" xfId="8741" xr:uid="{59D4E9AB-160B-426A-AA51-59D1A2C9D571}"/>
    <cellStyle name="Normal 4 4 2 14 2" xfId="18689" xr:uid="{CD9EF24B-8A13-428B-9D66-FF442CFA24E4}"/>
    <cellStyle name="Normal 4 4 2 15" xfId="9570" xr:uid="{5A19D703-2B93-4088-969A-F2B00052BE87}"/>
    <cellStyle name="Normal 4 4 2 15 2" xfId="19518" xr:uid="{7BE600C2-5004-482D-B58C-9E2D7D3A69B1}"/>
    <cellStyle name="Normal 4 4 2 16" xfId="10399" xr:uid="{9CA3449B-50D0-4A53-B326-D7AE0234B250}"/>
    <cellStyle name="Normal 4 4 2 16 2" xfId="20347" xr:uid="{B66376B2-F83A-4527-B381-A3EA70C62286}"/>
    <cellStyle name="Normal 4 4 2 17" xfId="1280" xr:uid="{0F79724C-2483-43BF-AC62-D169FDAE40EF}"/>
    <cellStyle name="Normal 4 4 2 18" xfId="11228" xr:uid="{C5D6D515-6C96-478C-B7A1-7C3DEB9D64C0}"/>
    <cellStyle name="Normal 4 4 2 2" xfId="383" xr:uid="{00000000-0005-0000-0000-00009D020000}"/>
    <cellStyle name="Normal 4 4 2 2 10" xfId="6255" xr:uid="{4677C31F-D0C2-47D2-89F6-6156135074CC}"/>
    <cellStyle name="Normal 4 4 2 2 10 2" xfId="16203" xr:uid="{FD47E3B2-6074-45B4-8FBD-6BCC8DC4222E}"/>
    <cellStyle name="Normal 4 4 2 2 11" xfId="7084" xr:uid="{49AD2BAC-0B0D-4D53-B3C4-D8B13B0817EE}"/>
    <cellStyle name="Normal 4 4 2 2 11 2" xfId="17032" xr:uid="{110F526A-2C8A-431D-81AF-5DC7C90CE89E}"/>
    <cellStyle name="Normal 4 4 2 2 12" xfId="7913" xr:uid="{AAF64DE2-E216-4A04-A545-788F58E2B651}"/>
    <cellStyle name="Normal 4 4 2 2 12 2" xfId="17861" xr:uid="{8D37A1B4-8BAB-40F3-BCF2-F679F8E989D9}"/>
    <cellStyle name="Normal 4 4 2 2 13" xfId="8742" xr:uid="{C5FBF7A9-6633-4D84-BFEE-9D55043A95BD}"/>
    <cellStyle name="Normal 4 4 2 2 13 2" xfId="18690" xr:uid="{E2C63158-2BE3-4287-98CC-9C400D72E80B}"/>
    <cellStyle name="Normal 4 4 2 2 14" xfId="9571" xr:uid="{7E9921D2-77E4-4E67-850A-FDBFAF8116C5}"/>
    <cellStyle name="Normal 4 4 2 2 14 2" xfId="19519" xr:uid="{A3CFB4C8-0D52-46F3-9EF7-9E731AFDD914}"/>
    <cellStyle name="Normal 4 4 2 2 15" xfId="10400" xr:uid="{981730AC-EDB7-4CE7-A0D3-0482B8FBC052}"/>
    <cellStyle name="Normal 4 4 2 2 15 2" xfId="20348" xr:uid="{9AFF80E1-DB5D-40C8-8AC7-6B017E4C7EB7}"/>
    <cellStyle name="Normal 4 4 2 2 16" xfId="1281" xr:uid="{5591CA71-EA5A-4A06-874C-8FA618E805B2}"/>
    <cellStyle name="Normal 4 4 2 2 17" xfId="11229" xr:uid="{979CF7C3-E51C-43EC-9DC4-C90CD1EDC79F}"/>
    <cellStyle name="Normal 4 4 2 2 2" xfId="384" xr:uid="{00000000-0005-0000-0000-00009E020000}"/>
    <cellStyle name="Normal 4 4 2 2 2 10" xfId="7085" xr:uid="{14337C4E-9B9C-4FA8-8286-1D7F9B1BBD9C}"/>
    <cellStyle name="Normal 4 4 2 2 2 10 2" xfId="17033" xr:uid="{DF62D26F-D386-4D93-B10D-30EA26C997AC}"/>
    <cellStyle name="Normal 4 4 2 2 2 11" xfId="7914" xr:uid="{1B0E05FF-FBF2-47E9-90AB-7C1F674095F4}"/>
    <cellStyle name="Normal 4 4 2 2 2 11 2" xfId="17862" xr:uid="{176F4F8E-0965-48B7-A421-C2274EF8B946}"/>
    <cellStyle name="Normal 4 4 2 2 2 12" xfId="8743" xr:uid="{86FB908F-418F-463F-BB07-BE4D5702E408}"/>
    <cellStyle name="Normal 4 4 2 2 2 12 2" xfId="18691" xr:uid="{904BD1A9-0FBC-46FF-A058-A6D3A46B54EA}"/>
    <cellStyle name="Normal 4 4 2 2 2 13" xfId="9572" xr:uid="{F8390DE2-D43F-4317-9F9B-30760208B35E}"/>
    <cellStyle name="Normal 4 4 2 2 2 13 2" xfId="19520" xr:uid="{35F31405-444F-4FCC-9B8D-D72EECA07366}"/>
    <cellStyle name="Normal 4 4 2 2 2 14" xfId="10401" xr:uid="{677A1F8C-FB95-4C21-930D-6664AAD6FF76}"/>
    <cellStyle name="Normal 4 4 2 2 2 14 2" xfId="20349" xr:uid="{8B2684A3-866D-4E2C-91DA-1837C10174E9}"/>
    <cellStyle name="Normal 4 4 2 2 2 15" xfId="1282" xr:uid="{5314B27D-B1D0-4F14-818E-7B0F3E56F9FF}"/>
    <cellStyle name="Normal 4 4 2 2 2 16" xfId="11230" xr:uid="{944CDF86-1B0C-4B18-853B-132A01B4EDE4}"/>
    <cellStyle name="Normal 4 4 2 2 2 2" xfId="385" xr:uid="{00000000-0005-0000-0000-00009F020000}"/>
    <cellStyle name="Normal 4 4 2 2 2 2 10" xfId="7915" xr:uid="{0D9977F0-BC3C-4CCB-B556-B594BA139FF5}"/>
    <cellStyle name="Normal 4 4 2 2 2 2 10 2" xfId="17863" xr:uid="{DBF00639-E003-4D08-B801-FB7875F99364}"/>
    <cellStyle name="Normal 4 4 2 2 2 2 11" xfId="8744" xr:uid="{3AFCA2E1-809B-4974-AE60-03A9C77390D1}"/>
    <cellStyle name="Normal 4 4 2 2 2 2 11 2" xfId="18692" xr:uid="{59AD6410-0B40-4A19-93AB-A92683225C8F}"/>
    <cellStyle name="Normal 4 4 2 2 2 2 12" xfId="9573" xr:uid="{2B98D184-81CC-40A4-AE6E-D98F90BA828C}"/>
    <cellStyle name="Normal 4 4 2 2 2 2 12 2" xfId="19521" xr:uid="{A1CC112E-38CE-4864-9E2F-AFBE19908EA6}"/>
    <cellStyle name="Normal 4 4 2 2 2 2 13" xfId="10402" xr:uid="{97326033-0744-4CC0-80A2-4EFC332FBFD0}"/>
    <cellStyle name="Normal 4 4 2 2 2 2 13 2" xfId="20350" xr:uid="{4C118958-2613-4B93-BCC0-9BDF57AE9FDC}"/>
    <cellStyle name="Normal 4 4 2 2 2 2 14" xfId="1283" xr:uid="{5975F87B-0A7E-4A0E-9C39-EAC5374B1178}"/>
    <cellStyle name="Normal 4 4 2 2 2 2 15" xfId="11231" xr:uid="{5342FB28-D5F9-4A75-B873-6E00E9694560}"/>
    <cellStyle name="Normal 4 4 2 2 2 2 2" xfId="865" xr:uid="{00000000-0005-0000-0000-0000A0020000}"/>
    <cellStyle name="Normal 4 4 2 2 2 2 2 10" xfId="9160" xr:uid="{7FAE1234-8575-4D59-8793-B131B4610E24}"/>
    <cellStyle name="Normal 4 4 2 2 2 2 2 10 2" xfId="19108" xr:uid="{0FE97159-F6BD-4140-9633-9B3CBE6C6341}"/>
    <cellStyle name="Normal 4 4 2 2 2 2 2 11" xfId="9989" xr:uid="{E4064F0D-C340-471E-AEED-AE98201188EA}"/>
    <cellStyle name="Normal 4 4 2 2 2 2 2 11 2" xfId="19937" xr:uid="{E9CAAB09-036B-477E-89FA-95A588614F65}"/>
    <cellStyle name="Normal 4 4 2 2 2 2 2 12" xfId="10818" xr:uid="{216CAE2E-A747-4459-8F11-EA3EA8CFE6AA}"/>
    <cellStyle name="Normal 4 4 2 2 2 2 2 12 2" xfId="20766" xr:uid="{4C029843-1156-40AF-BE3E-7442E3A1560B}"/>
    <cellStyle name="Normal 4 4 2 2 2 2 2 13" xfId="1699" xr:uid="{05C6C9F6-B25B-43C8-9219-07BA6807F085}"/>
    <cellStyle name="Normal 4 4 2 2 2 2 2 14" xfId="11647" xr:uid="{581C0A34-C745-4126-BEAE-59278BBD28AD}"/>
    <cellStyle name="Normal 4 4 2 2 2 2 2 2" xfId="2528" xr:uid="{EFC0DAAF-F9D8-4536-A4E4-872A0FE65611}"/>
    <cellStyle name="Normal 4 4 2 2 2 2 2 2 2" xfId="12476" xr:uid="{B3D0D703-1C62-4BD3-92A4-63D41AE4E5F4}"/>
    <cellStyle name="Normal 4 4 2 2 2 2 2 3" xfId="3357" xr:uid="{2DFF7C9F-FF0B-487E-8C1C-391DCB6B6DA8}"/>
    <cellStyle name="Normal 4 4 2 2 2 2 2 3 2" xfId="13305" xr:uid="{152E0B76-530B-4121-8D6A-89314AB2A636}"/>
    <cellStyle name="Normal 4 4 2 2 2 2 2 4" xfId="4186" xr:uid="{F169E5DC-0E1E-4BC5-B5E0-5392814CD95D}"/>
    <cellStyle name="Normal 4 4 2 2 2 2 2 4 2" xfId="14134" xr:uid="{2AF089C4-0A60-4569-A4EE-E91A379C13A7}"/>
    <cellStyle name="Normal 4 4 2 2 2 2 2 5" xfId="5015" xr:uid="{72A77DE8-A868-4E35-9B6B-E66EF3C3B7F2}"/>
    <cellStyle name="Normal 4 4 2 2 2 2 2 5 2" xfId="14963" xr:uid="{7B0E1CC7-BF18-47DC-A29C-DC596E0F4540}"/>
    <cellStyle name="Normal 4 4 2 2 2 2 2 6" xfId="5844" xr:uid="{771B19BC-8683-4652-AE86-595DCD7E91B5}"/>
    <cellStyle name="Normal 4 4 2 2 2 2 2 6 2" xfId="15792" xr:uid="{642A7538-5E6E-4EA2-A2E9-1461E80CC597}"/>
    <cellStyle name="Normal 4 4 2 2 2 2 2 7" xfId="6673" xr:uid="{DE2D3100-6F14-4F83-908B-69B03E7F4926}"/>
    <cellStyle name="Normal 4 4 2 2 2 2 2 7 2" xfId="16621" xr:uid="{EE354E71-8BFB-4F2F-AF0E-5413F83FC51C}"/>
    <cellStyle name="Normal 4 4 2 2 2 2 2 8" xfId="7502" xr:uid="{81D75249-31F0-4DA4-9579-B1BA9EC5DCAA}"/>
    <cellStyle name="Normal 4 4 2 2 2 2 2 8 2" xfId="17450" xr:uid="{34CBCBB7-856F-43D6-B8AF-B11BBE817EFE}"/>
    <cellStyle name="Normal 4 4 2 2 2 2 2 9" xfId="8331" xr:uid="{E66BB011-1830-4286-A5BD-DF08124AEBF4}"/>
    <cellStyle name="Normal 4 4 2 2 2 2 2 9 2" xfId="18279" xr:uid="{E5B8A8B1-6409-4B2E-B6FA-377AAC7593A7}"/>
    <cellStyle name="Normal 4 4 2 2 2 2 3" xfId="2112" xr:uid="{BF936E42-B26C-4C90-B8B5-222B34AD53F4}"/>
    <cellStyle name="Normal 4 4 2 2 2 2 3 2" xfId="12060" xr:uid="{0CE0D078-1798-47C4-92B4-3B92A9E8FDA3}"/>
    <cellStyle name="Normal 4 4 2 2 2 2 4" xfId="2941" xr:uid="{53149A1F-F14C-4487-B020-2D913EEB8BC3}"/>
    <cellStyle name="Normal 4 4 2 2 2 2 4 2" xfId="12889" xr:uid="{C93D53BF-1BB4-4ECD-9B73-F6C9775B17F1}"/>
    <cellStyle name="Normal 4 4 2 2 2 2 5" xfId="3770" xr:uid="{5D1CEC01-C5F8-4AAC-9E7F-A3AB59241D76}"/>
    <cellStyle name="Normal 4 4 2 2 2 2 5 2" xfId="13718" xr:uid="{14A0D790-3B69-415D-BF3D-8A7B4A2C99FF}"/>
    <cellStyle name="Normal 4 4 2 2 2 2 6" xfId="4599" xr:uid="{4C4915E6-CA66-4D87-B062-9FD550CF411D}"/>
    <cellStyle name="Normal 4 4 2 2 2 2 6 2" xfId="14547" xr:uid="{34B9B4C8-9958-4155-8407-94E569BFCABD}"/>
    <cellStyle name="Normal 4 4 2 2 2 2 7" xfId="5428" xr:uid="{C9A2FC7E-2543-4AC0-ADE5-714293A2CBFC}"/>
    <cellStyle name="Normal 4 4 2 2 2 2 7 2" xfId="15376" xr:uid="{7A22A99F-B42E-4562-8677-31A77CD9C78A}"/>
    <cellStyle name="Normal 4 4 2 2 2 2 8" xfId="6257" xr:uid="{0ED9DEF3-F4F1-407E-87DA-EA3F97DBB846}"/>
    <cellStyle name="Normal 4 4 2 2 2 2 8 2" xfId="16205" xr:uid="{AAC3AFDA-6C4A-4FF0-A572-26F6DE6E9676}"/>
    <cellStyle name="Normal 4 4 2 2 2 2 9" xfId="7086" xr:uid="{8F2CC851-49AA-4D00-BE27-D7C69F403DCE}"/>
    <cellStyle name="Normal 4 4 2 2 2 2 9 2" xfId="17034" xr:uid="{325EB5DB-0205-4AF4-857C-86B0B5B46A57}"/>
    <cellStyle name="Normal 4 4 2 2 2 3" xfId="864" xr:uid="{00000000-0005-0000-0000-0000A1020000}"/>
    <cellStyle name="Normal 4 4 2 2 2 3 10" xfId="9159" xr:uid="{62185E77-17E6-445B-ACDD-750EEFE6416A}"/>
    <cellStyle name="Normal 4 4 2 2 2 3 10 2" xfId="19107" xr:uid="{214513B2-8CBC-4580-89D7-65F6EC8112E1}"/>
    <cellStyle name="Normal 4 4 2 2 2 3 11" xfId="9988" xr:uid="{0B656E14-AABE-4C81-AE41-D71789D11EB3}"/>
    <cellStyle name="Normal 4 4 2 2 2 3 11 2" xfId="19936" xr:uid="{A381311D-BD70-4AE8-8646-98E0F6C32FB4}"/>
    <cellStyle name="Normal 4 4 2 2 2 3 12" xfId="10817" xr:uid="{A58CEA28-AFB9-4AB5-B8ED-EE09EB65162B}"/>
    <cellStyle name="Normal 4 4 2 2 2 3 12 2" xfId="20765" xr:uid="{1AE29ACC-343A-4A06-8636-4E1471D781E2}"/>
    <cellStyle name="Normal 4 4 2 2 2 3 13" xfId="1698" xr:uid="{3A831689-FA60-4375-B9AD-531FD5C5B5E7}"/>
    <cellStyle name="Normal 4 4 2 2 2 3 14" xfId="11646" xr:uid="{5EC802BD-EE76-411C-9229-32B6FBB3D316}"/>
    <cellStyle name="Normal 4 4 2 2 2 3 2" xfId="2527" xr:uid="{1B80CC37-251D-4BD6-A60C-3FDCA58ADDC5}"/>
    <cellStyle name="Normal 4 4 2 2 2 3 2 2" xfId="12475" xr:uid="{0FD24726-8B9F-488C-8716-4E8630614C52}"/>
    <cellStyle name="Normal 4 4 2 2 2 3 3" xfId="3356" xr:uid="{264956F8-A287-4F05-B818-C5C41BD752C3}"/>
    <cellStyle name="Normal 4 4 2 2 2 3 3 2" xfId="13304" xr:uid="{FED90F8D-3D46-4E7A-8AB5-D6B0D2C9090A}"/>
    <cellStyle name="Normal 4 4 2 2 2 3 4" xfId="4185" xr:uid="{A59EEAC4-43AF-400B-9AA0-23E1FBBAE93E}"/>
    <cellStyle name="Normal 4 4 2 2 2 3 4 2" xfId="14133" xr:uid="{48F5FFBF-8D8F-45B3-8566-2221781CAF3E}"/>
    <cellStyle name="Normal 4 4 2 2 2 3 5" xfId="5014" xr:uid="{9F96B97D-F36B-4AE7-AD19-1F03AB5E8E6A}"/>
    <cellStyle name="Normal 4 4 2 2 2 3 5 2" xfId="14962" xr:uid="{55AA4810-9A25-40F9-9F7E-4B371CA39838}"/>
    <cellStyle name="Normal 4 4 2 2 2 3 6" xfId="5843" xr:uid="{012909F0-7730-4D46-A712-7B48D3309AFF}"/>
    <cellStyle name="Normal 4 4 2 2 2 3 6 2" xfId="15791" xr:uid="{9935CF35-1E2F-4DB1-AC3F-4E75FBC4D86E}"/>
    <cellStyle name="Normal 4 4 2 2 2 3 7" xfId="6672" xr:uid="{11F9DD83-07F5-4824-9220-A07D0F82898E}"/>
    <cellStyle name="Normal 4 4 2 2 2 3 7 2" xfId="16620" xr:uid="{439AB9C2-E780-4E18-A553-00202F532C55}"/>
    <cellStyle name="Normal 4 4 2 2 2 3 8" xfId="7501" xr:uid="{F964BA13-3DCC-4E65-AD75-E53B10CD525F}"/>
    <cellStyle name="Normal 4 4 2 2 2 3 8 2" xfId="17449" xr:uid="{8ACEAEF8-08B5-4BAC-A7CB-2573EE312F6C}"/>
    <cellStyle name="Normal 4 4 2 2 2 3 9" xfId="8330" xr:uid="{DF301346-2482-418B-8A7E-5F1A65B13A0A}"/>
    <cellStyle name="Normal 4 4 2 2 2 3 9 2" xfId="18278" xr:uid="{9EFDF0D9-7A88-4614-89C7-8E27F5540A3A}"/>
    <cellStyle name="Normal 4 4 2 2 2 4" xfId="2111" xr:uid="{E34578B9-1488-4168-86CF-36813517D3BF}"/>
    <cellStyle name="Normal 4 4 2 2 2 4 2" xfId="12059" xr:uid="{8778AA4F-DB8E-4A05-A01C-E6EE4F75E1B5}"/>
    <cellStyle name="Normal 4 4 2 2 2 5" xfId="2940" xr:uid="{70E3F708-B827-447B-B67A-CE73D190D559}"/>
    <cellStyle name="Normal 4 4 2 2 2 5 2" xfId="12888" xr:uid="{2734F9AB-18D7-4E2C-9612-B07DBF90B445}"/>
    <cellStyle name="Normal 4 4 2 2 2 6" xfId="3769" xr:uid="{614373AD-51D0-44C8-8152-76DC4946EAB9}"/>
    <cellStyle name="Normal 4 4 2 2 2 6 2" xfId="13717" xr:uid="{84C12681-7477-4A1A-BDE8-07DD51FA4C1A}"/>
    <cellStyle name="Normal 4 4 2 2 2 7" xfId="4598" xr:uid="{DDB58599-00D0-495E-A037-D32C08924317}"/>
    <cellStyle name="Normal 4 4 2 2 2 7 2" xfId="14546" xr:uid="{88239E52-E1C0-4F97-AADC-BE876C2CEBBE}"/>
    <cellStyle name="Normal 4 4 2 2 2 8" xfId="5427" xr:uid="{5A851378-777F-4759-A3D8-374F57C6FD07}"/>
    <cellStyle name="Normal 4 4 2 2 2 8 2" xfId="15375" xr:uid="{FCE93543-C4A6-4D23-A444-CBA67F4528E7}"/>
    <cellStyle name="Normal 4 4 2 2 2 9" xfId="6256" xr:uid="{ABAE551F-C3CC-4627-9F9E-CE9A98F94D12}"/>
    <cellStyle name="Normal 4 4 2 2 2 9 2" xfId="16204" xr:uid="{BFEDA677-A5AD-4A24-A280-2B4B99E22948}"/>
    <cellStyle name="Normal 4 4 2 2 3" xfId="386" xr:uid="{00000000-0005-0000-0000-0000A2020000}"/>
    <cellStyle name="Normal 4 4 2 2 3 10" xfId="7916" xr:uid="{E3215837-6D6F-4CD8-B091-6D24A5D8BEA9}"/>
    <cellStyle name="Normal 4 4 2 2 3 10 2" xfId="17864" xr:uid="{DD4E6CFE-DC61-4444-8F48-E16491094D76}"/>
    <cellStyle name="Normal 4 4 2 2 3 11" xfId="8745" xr:uid="{4CB004A3-1A81-4017-9EFC-499BEE89845A}"/>
    <cellStyle name="Normal 4 4 2 2 3 11 2" xfId="18693" xr:uid="{27963ABF-7B6E-4FCD-99AB-2564DA04E657}"/>
    <cellStyle name="Normal 4 4 2 2 3 12" xfId="9574" xr:uid="{2FA57E57-0AD0-401B-8D81-A561E6623E9D}"/>
    <cellStyle name="Normal 4 4 2 2 3 12 2" xfId="19522" xr:uid="{0AD16820-FE69-4F8F-982E-8814867F31D6}"/>
    <cellStyle name="Normal 4 4 2 2 3 13" xfId="10403" xr:uid="{4F978BC3-C91B-4374-8053-230C628B19C0}"/>
    <cellStyle name="Normal 4 4 2 2 3 13 2" xfId="20351" xr:uid="{836CFBF6-4A3A-48EB-BA85-10EFB2E8DD88}"/>
    <cellStyle name="Normal 4 4 2 2 3 14" xfId="1284" xr:uid="{99E7508E-E49B-4EB3-BEDB-597520B2855D}"/>
    <cellStyle name="Normal 4 4 2 2 3 15" xfId="11232" xr:uid="{B8354522-65B8-4316-8CA5-1D1F986A13FE}"/>
    <cellStyle name="Normal 4 4 2 2 3 2" xfId="866" xr:uid="{00000000-0005-0000-0000-0000A3020000}"/>
    <cellStyle name="Normal 4 4 2 2 3 2 10" xfId="9161" xr:uid="{B91A6C9D-E93E-4DD9-94A5-84C60E4C71AC}"/>
    <cellStyle name="Normal 4 4 2 2 3 2 10 2" xfId="19109" xr:uid="{A854688F-DACB-4784-9B89-DC6B8DCC5AE0}"/>
    <cellStyle name="Normal 4 4 2 2 3 2 11" xfId="9990" xr:uid="{39E2C504-1100-4C0B-B133-F2B49D1A519C}"/>
    <cellStyle name="Normal 4 4 2 2 3 2 11 2" xfId="19938" xr:uid="{F4F0DCCA-A55A-403E-A5B0-2618584FA6CB}"/>
    <cellStyle name="Normal 4 4 2 2 3 2 12" xfId="10819" xr:uid="{BE0117F1-D0E3-4261-84F7-1F83632DEBC6}"/>
    <cellStyle name="Normal 4 4 2 2 3 2 12 2" xfId="20767" xr:uid="{330034AB-20CD-4667-85AD-692395C4272E}"/>
    <cellStyle name="Normal 4 4 2 2 3 2 13" xfId="1700" xr:uid="{941A2F40-B314-4DFA-A384-5D75289BE02B}"/>
    <cellStyle name="Normal 4 4 2 2 3 2 14" xfId="11648" xr:uid="{D8D2FC2D-48E0-4BAF-A293-C9B8383D7F36}"/>
    <cellStyle name="Normal 4 4 2 2 3 2 2" xfId="2529" xr:uid="{9585E91E-F0C5-4AE2-A688-B2FA9EE950A5}"/>
    <cellStyle name="Normal 4 4 2 2 3 2 2 2" xfId="12477" xr:uid="{6056B401-1EBB-4CFB-BFB8-6158E28FFB1F}"/>
    <cellStyle name="Normal 4 4 2 2 3 2 3" xfId="3358" xr:uid="{EE759B73-68DF-4EB2-ADA5-8A82506DD500}"/>
    <cellStyle name="Normal 4 4 2 2 3 2 3 2" xfId="13306" xr:uid="{05BC9766-45D9-4FF6-A91D-702949747FA5}"/>
    <cellStyle name="Normal 4 4 2 2 3 2 4" xfId="4187" xr:uid="{A6BAECCA-676E-4D4D-9852-83C59DF708BC}"/>
    <cellStyle name="Normal 4 4 2 2 3 2 4 2" xfId="14135" xr:uid="{A8D67D4D-94C2-4601-B90F-69EF83D476F4}"/>
    <cellStyle name="Normal 4 4 2 2 3 2 5" xfId="5016" xr:uid="{64939053-7E12-4F10-84D0-2063291F1C16}"/>
    <cellStyle name="Normal 4 4 2 2 3 2 5 2" xfId="14964" xr:uid="{8AB82D88-DEA4-4947-9557-EAC51658A18D}"/>
    <cellStyle name="Normal 4 4 2 2 3 2 6" xfId="5845" xr:uid="{4CB1ACC8-4BD6-422E-B8F1-7A2666E406A4}"/>
    <cellStyle name="Normal 4 4 2 2 3 2 6 2" xfId="15793" xr:uid="{3EBB841C-602B-46E1-A326-0F4878DBF805}"/>
    <cellStyle name="Normal 4 4 2 2 3 2 7" xfId="6674" xr:uid="{A48D07B1-FE6C-4819-A307-1B25642A060B}"/>
    <cellStyle name="Normal 4 4 2 2 3 2 7 2" xfId="16622" xr:uid="{E3BB45AC-4501-445B-89A5-0849A1D85F59}"/>
    <cellStyle name="Normal 4 4 2 2 3 2 8" xfId="7503" xr:uid="{8F12702D-E890-49B2-9161-BBF8E0606205}"/>
    <cellStyle name="Normal 4 4 2 2 3 2 8 2" xfId="17451" xr:uid="{AA7C3854-D3E1-46BD-AA15-F86D8CD2038D}"/>
    <cellStyle name="Normal 4 4 2 2 3 2 9" xfId="8332" xr:uid="{DE0DFF3B-E614-4BDB-89F2-E37B500F1F41}"/>
    <cellStyle name="Normal 4 4 2 2 3 2 9 2" xfId="18280" xr:uid="{B56F0213-3418-430E-9538-75E03FD4A093}"/>
    <cellStyle name="Normal 4 4 2 2 3 3" xfId="2113" xr:uid="{1B0EA70D-E4B0-4F01-B12D-65C9E1308905}"/>
    <cellStyle name="Normal 4 4 2 2 3 3 2" xfId="12061" xr:uid="{F41ABECF-5069-4911-BCEE-23605D387F63}"/>
    <cellStyle name="Normal 4 4 2 2 3 4" xfId="2942" xr:uid="{32D3BAB0-6570-421B-AF43-649C89303175}"/>
    <cellStyle name="Normal 4 4 2 2 3 4 2" xfId="12890" xr:uid="{12710EBA-4C73-47CD-BD6E-AAE0DB5D3D0D}"/>
    <cellStyle name="Normal 4 4 2 2 3 5" xfId="3771" xr:uid="{EE652812-CAC5-4D74-8A8D-9605D93ABED2}"/>
    <cellStyle name="Normal 4 4 2 2 3 5 2" xfId="13719" xr:uid="{965DAC55-5E5A-4E6B-806B-ADC002F4BFEA}"/>
    <cellStyle name="Normal 4 4 2 2 3 6" xfId="4600" xr:uid="{3E3EF959-E3D7-4221-8AAB-FC0D4B675E8C}"/>
    <cellStyle name="Normal 4 4 2 2 3 6 2" xfId="14548" xr:uid="{5A281119-1710-4897-A613-3CDFA04FCC46}"/>
    <cellStyle name="Normal 4 4 2 2 3 7" xfId="5429" xr:uid="{4E696D36-AAE6-4645-9C6B-10C416C1DE4E}"/>
    <cellStyle name="Normal 4 4 2 2 3 7 2" xfId="15377" xr:uid="{B51F0BE6-1931-4FC4-9347-40997003C93C}"/>
    <cellStyle name="Normal 4 4 2 2 3 8" xfId="6258" xr:uid="{76AFFDF7-B3DD-4F92-B77C-1DF5F0DD226D}"/>
    <cellStyle name="Normal 4 4 2 2 3 8 2" xfId="16206" xr:uid="{71C194F0-F7B2-4F39-BA1A-1F0F5088677F}"/>
    <cellStyle name="Normal 4 4 2 2 3 9" xfId="7087" xr:uid="{32BCE707-20CF-40D7-B398-9BB6CD99186E}"/>
    <cellStyle name="Normal 4 4 2 2 3 9 2" xfId="17035" xr:uid="{46B9FDD8-FF55-4E53-817D-DDC0C050A9BA}"/>
    <cellStyle name="Normal 4 4 2 2 4" xfId="863" xr:uid="{00000000-0005-0000-0000-0000A4020000}"/>
    <cellStyle name="Normal 4 4 2 2 4 10" xfId="9158" xr:uid="{C3E505EF-04F1-4E5D-AA79-A7A06D81C64F}"/>
    <cellStyle name="Normal 4 4 2 2 4 10 2" xfId="19106" xr:uid="{8F3B6511-9A4B-4D78-A06E-F859D6C1B638}"/>
    <cellStyle name="Normal 4 4 2 2 4 11" xfId="9987" xr:uid="{40B8003E-63CA-4B5C-9888-49A1BCE40439}"/>
    <cellStyle name="Normal 4 4 2 2 4 11 2" xfId="19935" xr:uid="{5599CF08-2E4D-4320-ACDF-D4210A02988B}"/>
    <cellStyle name="Normal 4 4 2 2 4 12" xfId="10816" xr:uid="{383D42A3-DAE5-4E6C-B04B-A6313D5B88AB}"/>
    <cellStyle name="Normal 4 4 2 2 4 12 2" xfId="20764" xr:uid="{13FB575C-1116-4FFC-84CF-0F1FEA6437EB}"/>
    <cellStyle name="Normal 4 4 2 2 4 13" xfId="1697" xr:uid="{CEDC17CB-0A5B-438C-B636-E59476B9FBAA}"/>
    <cellStyle name="Normal 4 4 2 2 4 14" xfId="11645" xr:uid="{46F2C597-AE51-456B-8353-D3ADCCE12D5E}"/>
    <cellStyle name="Normal 4 4 2 2 4 2" xfId="2526" xr:uid="{FD31FAC5-E0F0-471F-81BE-23B31A1761C4}"/>
    <cellStyle name="Normal 4 4 2 2 4 2 2" xfId="12474" xr:uid="{C3CC2767-7EDE-4A5E-A490-4151B396A8A3}"/>
    <cellStyle name="Normal 4 4 2 2 4 3" xfId="3355" xr:uid="{B5F38B35-5494-456B-83B9-FB416008CCCF}"/>
    <cellStyle name="Normal 4 4 2 2 4 3 2" xfId="13303" xr:uid="{7AD3163A-A5F9-4359-B948-9EC554861902}"/>
    <cellStyle name="Normal 4 4 2 2 4 4" xfId="4184" xr:uid="{6C32E1D0-038F-47DC-BCFF-56E607A5737B}"/>
    <cellStyle name="Normal 4 4 2 2 4 4 2" xfId="14132" xr:uid="{FDB663BF-797E-44EF-8168-AB81AC06B458}"/>
    <cellStyle name="Normal 4 4 2 2 4 5" xfId="5013" xr:uid="{F310EA26-0D79-4E7A-9BB7-B08E89B01144}"/>
    <cellStyle name="Normal 4 4 2 2 4 5 2" xfId="14961" xr:uid="{19730820-2D23-4480-8E86-9AEA6D61150F}"/>
    <cellStyle name="Normal 4 4 2 2 4 6" xfId="5842" xr:uid="{B1209637-22E4-4DFE-A4A1-457F7ABDAEAD}"/>
    <cellStyle name="Normal 4 4 2 2 4 6 2" xfId="15790" xr:uid="{E85DE24F-D262-4AE0-88FB-6E06323FAAB6}"/>
    <cellStyle name="Normal 4 4 2 2 4 7" xfId="6671" xr:uid="{6043D86A-4D60-4833-A685-7B50CBB1B1EF}"/>
    <cellStyle name="Normal 4 4 2 2 4 7 2" xfId="16619" xr:uid="{17A1DCDA-95D5-4653-9CCD-4CB56752B650}"/>
    <cellStyle name="Normal 4 4 2 2 4 8" xfId="7500" xr:uid="{5ED89AFC-A9CF-449A-BB23-FCB5761DE698}"/>
    <cellStyle name="Normal 4 4 2 2 4 8 2" xfId="17448" xr:uid="{58875125-EE13-4D6B-8164-780DF928A8F9}"/>
    <cellStyle name="Normal 4 4 2 2 4 9" xfId="8329" xr:uid="{20EE86D8-408E-45F2-A333-7BE075CF4F95}"/>
    <cellStyle name="Normal 4 4 2 2 4 9 2" xfId="18277" xr:uid="{AB73A508-A396-412D-B800-F3D32708709D}"/>
    <cellStyle name="Normal 4 4 2 2 5" xfId="2110" xr:uid="{1453A9D7-853A-45E0-9D4F-78C0A0B610C6}"/>
    <cellStyle name="Normal 4 4 2 2 5 2" xfId="12058" xr:uid="{76393C37-37CF-47AD-8A4A-46D8FCE2CEB6}"/>
    <cellStyle name="Normal 4 4 2 2 6" xfId="2939" xr:uid="{59675285-03F8-4A78-8CE6-304FA3951054}"/>
    <cellStyle name="Normal 4 4 2 2 6 2" xfId="12887" xr:uid="{EB61D5AF-633B-4197-9258-23530A8F8352}"/>
    <cellStyle name="Normal 4 4 2 2 7" xfId="3768" xr:uid="{31751C4C-EB6F-4A9E-A393-B5EC4A363FBB}"/>
    <cellStyle name="Normal 4 4 2 2 7 2" xfId="13716" xr:uid="{5DB2E179-DFA6-4EAD-BC42-03C2B3841EE3}"/>
    <cellStyle name="Normal 4 4 2 2 8" xfId="4597" xr:uid="{796A9D48-FEA0-4EFB-A16F-ABE34BF88C04}"/>
    <cellStyle name="Normal 4 4 2 2 8 2" xfId="14545" xr:uid="{DF18972D-EA9F-4091-A79F-7E57A1209195}"/>
    <cellStyle name="Normal 4 4 2 2 9" xfId="5426" xr:uid="{39225DAF-E863-4DED-97F1-13C575621232}"/>
    <cellStyle name="Normal 4 4 2 2 9 2" xfId="15374" xr:uid="{82878F21-B46E-4653-93F6-9B08744740AB}"/>
    <cellStyle name="Normal 4 4 2 3" xfId="387" xr:uid="{00000000-0005-0000-0000-0000A5020000}"/>
    <cellStyle name="Normal 4 4 2 3 10" xfId="7088" xr:uid="{4BAE6122-0828-41E8-A814-58AA8675CF80}"/>
    <cellStyle name="Normal 4 4 2 3 10 2" xfId="17036" xr:uid="{B4FBD045-D24D-45E0-9517-F9B4FCBB91CD}"/>
    <cellStyle name="Normal 4 4 2 3 11" xfId="7917" xr:uid="{53BDAE52-45EE-4C74-8F62-0386F8708E76}"/>
    <cellStyle name="Normal 4 4 2 3 11 2" xfId="17865" xr:uid="{08B73632-43B4-42B8-8E63-DCA34EA7FF29}"/>
    <cellStyle name="Normal 4 4 2 3 12" xfId="8746" xr:uid="{BB576104-12AE-478B-B5AD-8CED505D259A}"/>
    <cellStyle name="Normal 4 4 2 3 12 2" xfId="18694" xr:uid="{9C060095-584D-4256-B66C-91A3DD28C1F1}"/>
    <cellStyle name="Normal 4 4 2 3 13" xfId="9575" xr:uid="{E8855538-565C-4501-AC13-032F9FA8F16A}"/>
    <cellStyle name="Normal 4 4 2 3 13 2" xfId="19523" xr:uid="{7DB6E636-FB47-41B0-8147-7FFA01D1C75F}"/>
    <cellStyle name="Normal 4 4 2 3 14" xfId="10404" xr:uid="{A66FD76B-38A7-42E6-BB90-FE4201916947}"/>
    <cellStyle name="Normal 4 4 2 3 14 2" xfId="20352" xr:uid="{E851AE3B-52B0-468C-BA2B-7FC6A4E15617}"/>
    <cellStyle name="Normal 4 4 2 3 15" xfId="1285" xr:uid="{34348E70-9F3C-45AD-8F20-2574C8AC14E4}"/>
    <cellStyle name="Normal 4 4 2 3 16" xfId="11233" xr:uid="{0B152C1C-DE1C-4E84-9023-63CEFFCE7249}"/>
    <cellStyle name="Normal 4 4 2 3 2" xfId="388" xr:uid="{00000000-0005-0000-0000-0000A6020000}"/>
    <cellStyle name="Normal 4 4 2 3 2 10" xfId="7918" xr:uid="{3B0BE19B-0E9F-455C-816E-E3862D534057}"/>
    <cellStyle name="Normal 4 4 2 3 2 10 2" xfId="17866" xr:uid="{669F9550-8599-4520-8541-5FA81B3036D0}"/>
    <cellStyle name="Normal 4 4 2 3 2 11" xfId="8747" xr:uid="{18ED0EAF-850D-4C37-8F16-9B4F4A38D3BC}"/>
    <cellStyle name="Normal 4 4 2 3 2 11 2" xfId="18695" xr:uid="{247C1C1D-5908-4007-B351-4B7368E68739}"/>
    <cellStyle name="Normal 4 4 2 3 2 12" xfId="9576" xr:uid="{06CE9E1E-A54D-4E2E-B591-8617BB1C762B}"/>
    <cellStyle name="Normal 4 4 2 3 2 12 2" xfId="19524" xr:uid="{0FE424DF-EC74-42A5-8A56-D296151744A2}"/>
    <cellStyle name="Normal 4 4 2 3 2 13" xfId="10405" xr:uid="{C4CEE8CE-B898-463C-96F5-BC5D73CCEDB3}"/>
    <cellStyle name="Normal 4 4 2 3 2 13 2" xfId="20353" xr:uid="{B07F42F1-4B1E-4C9A-9A73-DB59EB46C670}"/>
    <cellStyle name="Normal 4 4 2 3 2 14" xfId="1286" xr:uid="{E31AD770-AA03-4E62-B3A8-6EE60DAA7079}"/>
    <cellStyle name="Normal 4 4 2 3 2 15" xfId="11234" xr:uid="{8612F55A-E927-40DE-8D2D-529039A1C877}"/>
    <cellStyle name="Normal 4 4 2 3 2 2" xfId="868" xr:uid="{00000000-0005-0000-0000-0000A7020000}"/>
    <cellStyle name="Normal 4 4 2 3 2 2 10" xfId="9163" xr:uid="{1A9DE67B-F87F-4804-886E-90142B219A87}"/>
    <cellStyle name="Normal 4 4 2 3 2 2 10 2" xfId="19111" xr:uid="{FC6F5550-D321-4812-A4B0-003A050C0207}"/>
    <cellStyle name="Normal 4 4 2 3 2 2 11" xfId="9992" xr:uid="{55117360-6794-4E17-AB94-086C24D2374B}"/>
    <cellStyle name="Normal 4 4 2 3 2 2 11 2" xfId="19940" xr:uid="{500ECB3A-D1B3-4099-B67E-5945D790CB1E}"/>
    <cellStyle name="Normal 4 4 2 3 2 2 12" xfId="10821" xr:uid="{AAA62AA0-2D3F-488F-AA57-7DD534111C28}"/>
    <cellStyle name="Normal 4 4 2 3 2 2 12 2" xfId="20769" xr:uid="{3E3DEA0A-9F74-49AF-88A3-0E7586664633}"/>
    <cellStyle name="Normal 4 4 2 3 2 2 13" xfId="1702" xr:uid="{35643E5C-9D69-41F1-9F11-70F98EF98D15}"/>
    <cellStyle name="Normal 4 4 2 3 2 2 14" xfId="11650" xr:uid="{0E87B6ED-605D-4501-8FC4-034BF89319F2}"/>
    <cellStyle name="Normal 4 4 2 3 2 2 2" xfId="2531" xr:uid="{05A54D4B-EEA7-422A-9D8F-4476F6935959}"/>
    <cellStyle name="Normal 4 4 2 3 2 2 2 2" xfId="12479" xr:uid="{75AE2009-4897-4B75-82B0-08F358086E99}"/>
    <cellStyle name="Normal 4 4 2 3 2 2 3" xfId="3360" xr:uid="{00E17D68-2EC7-4FCE-82EE-029F7CC058BC}"/>
    <cellStyle name="Normal 4 4 2 3 2 2 3 2" xfId="13308" xr:uid="{C3D76C3D-3F5E-43E0-B60A-7F7EAE5E083D}"/>
    <cellStyle name="Normal 4 4 2 3 2 2 4" xfId="4189" xr:uid="{841934CA-8A5F-4F68-8870-A43600BFDE90}"/>
    <cellStyle name="Normal 4 4 2 3 2 2 4 2" xfId="14137" xr:uid="{0CA07118-E3F5-48D5-82C3-E0E9254A8A42}"/>
    <cellStyle name="Normal 4 4 2 3 2 2 5" xfId="5018" xr:uid="{77B6BD32-61DC-4C67-B2A4-7BB8FBD3C722}"/>
    <cellStyle name="Normal 4 4 2 3 2 2 5 2" xfId="14966" xr:uid="{DA8EC68B-5F53-40F9-B5AD-466EC160BF1A}"/>
    <cellStyle name="Normal 4 4 2 3 2 2 6" xfId="5847" xr:uid="{3726E02F-9997-4F48-9F52-63AE87AB4642}"/>
    <cellStyle name="Normal 4 4 2 3 2 2 6 2" xfId="15795" xr:uid="{A72AFDC6-BAEC-45FE-807C-A4F774FFD94A}"/>
    <cellStyle name="Normal 4 4 2 3 2 2 7" xfId="6676" xr:uid="{1A676EF4-A01C-462B-8DBA-7849A6BED041}"/>
    <cellStyle name="Normal 4 4 2 3 2 2 7 2" xfId="16624" xr:uid="{E730247F-6BCE-46FA-A016-83477726DEBB}"/>
    <cellStyle name="Normal 4 4 2 3 2 2 8" xfId="7505" xr:uid="{50FAA608-6C25-4F32-BB7B-162FC15DF3B9}"/>
    <cellStyle name="Normal 4 4 2 3 2 2 8 2" xfId="17453" xr:uid="{4AAA3F1D-729F-42D3-89F5-39D4641DFE32}"/>
    <cellStyle name="Normal 4 4 2 3 2 2 9" xfId="8334" xr:uid="{01EB3847-4326-40EB-88FC-16E999B44F22}"/>
    <cellStyle name="Normal 4 4 2 3 2 2 9 2" xfId="18282" xr:uid="{E3B4652A-369C-43BC-9CF0-026DB0460607}"/>
    <cellStyle name="Normal 4 4 2 3 2 3" xfId="2115" xr:uid="{358A61D4-6EF4-4E61-97BF-8D22D8D3DBDE}"/>
    <cellStyle name="Normal 4 4 2 3 2 3 2" xfId="12063" xr:uid="{1CCE7C66-AA13-4BDA-A5FD-7BB36A8D207E}"/>
    <cellStyle name="Normal 4 4 2 3 2 4" xfId="2944" xr:uid="{839BB453-2701-446D-BE9F-94809B6A6024}"/>
    <cellStyle name="Normal 4 4 2 3 2 4 2" xfId="12892" xr:uid="{4604577A-2326-4061-A7CC-4AD40B17F8ED}"/>
    <cellStyle name="Normal 4 4 2 3 2 5" xfId="3773" xr:uid="{F33A8668-3760-449D-8948-F70E42253541}"/>
    <cellStyle name="Normal 4 4 2 3 2 5 2" xfId="13721" xr:uid="{A6B8BD61-89BC-429E-A8C6-283D96C71D15}"/>
    <cellStyle name="Normal 4 4 2 3 2 6" xfId="4602" xr:uid="{805C5930-9AD5-4697-90E7-A909B88EFAB8}"/>
    <cellStyle name="Normal 4 4 2 3 2 6 2" xfId="14550" xr:uid="{432034F7-2F40-4775-A9F8-E26C8D08E68D}"/>
    <cellStyle name="Normal 4 4 2 3 2 7" xfId="5431" xr:uid="{5B01070A-DF04-4618-AE26-AD67B6C0443F}"/>
    <cellStyle name="Normal 4 4 2 3 2 7 2" xfId="15379" xr:uid="{E3A1BE42-42E9-46D2-A6A6-6BF5352EC6B7}"/>
    <cellStyle name="Normal 4 4 2 3 2 8" xfId="6260" xr:uid="{A30B5AB4-E11C-4D8D-BC9E-58D9508ADC91}"/>
    <cellStyle name="Normal 4 4 2 3 2 8 2" xfId="16208" xr:uid="{66D81B7C-64A8-4FF0-8374-15408C745574}"/>
    <cellStyle name="Normal 4 4 2 3 2 9" xfId="7089" xr:uid="{55895513-78D1-4D71-A31B-19B28B988079}"/>
    <cellStyle name="Normal 4 4 2 3 2 9 2" xfId="17037" xr:uid="{3264EE0C-D680-46B1-97B5-9D5CC85F6311}"/>
    <cellStyle name="Normal 4 4 2 3 3" xfId="867" xr:uid="{00000000-0005-0000-0000-0000A8020000}"/>
    <cellStyle name="Normal 4 4 2 3 3 10" xfId="9162" xr:uid="{D39694E7-1EAB-4EA8-98F8-922FCFECF50D}"/>
    <cellStyle name="Normal 4 4 2 3 3 10 2" xfId="19110" xr:uid="{41531272-76F7-4D93-BA2C-182528BE24FF}"/>
    <cellStyle name="Normal 4 4 2 3 3 11" xfId="9991" xr:uid="{496361EA-AA2D-4501-A9AD-5C8E3A987D49}"/>
    <cellStyle name="Normal 4 4 2 3 3 11 2" xfId="19939" xr:uid="{BFA8AE18-9901-40B1-B589-0C7F044F9E33}"/>
    <cellStyle name="Normal 4 4 2 3 3 12" xfId="10820" xr:uid="{EC88F0D8-DC4E-4025-9919-E23542D19CFB}"/>
    <cellStyle name="Normal 4 4 2 3 3 12 2" xfId="20768" xr:uid="{4D49A6C0-B5CF-4713-A553-35BB51603CA3}"/>
    <cellStyle name="Normal 4 4 2 3 3 13" xfId="1701" xr:uid="{45056253-20D2-4F58-960B-1A41AE0D6D46}"/>
    <cellStyle name="Normal 4 4 2 3 3 14" xfId="11649" xr:uid="{FD4C46EF-CFC8-4A05-BA17-89F9F3052286}"/>
    <cellStyle name="Normal 4 4 2 3 3 2" xfId="2530" xr:uid="{41F6804A-1119-430C-9B19-F94B29386AE8}"/>
    <cellStyle name="Normal 4 4 2 3 3 2 2" xfId="12478" xr:uid="{6EE856FD-730C-468D-B375-9E54CC42A661}"/>
    <cellStyle name="Normal 4 4 2 3 3 3" xfId="3359" xr:uid="{0A223429-6077-41CC-BF35-CE1872290592}"/>
    <cellStyle name="Normal 4 4 2 3 3 3 2" xfId="13307" xr:uid="{4D0F0C98-D1EE-4E31-B9A1-739F2C2D779E}"/>
    <cellStyle name="Normal 4 4 2 3 3 4" xfId="4188" xr:uid="{F9B024A6-4658-4551-9BDD-4BEAE0C6EF86}"/>
    <cellStyle name="Normal 4 4 2 3 3 4 2" xfId="14136" xr:uid="{C701581F-F513-4B72-A2DF-4D110C28A3DB}"/>
    <cellStyle name="Normal 4 4 2 3 3 5" xfId="5017" xr:uid="{FF6B98B5-7580-4240-9E23-248244A38F8B}"/>
    <cellStyle name="Normal 4 4 2 3 3 5 2" xfId="14965" xr:uid="{C369871A-CF3C-4688-80FF-31A3C33C7FBE}"/>
    <cellStyle name="Normal 4 4 2 3 3 6" xfId="5846" xr:uid="{28C5E9A2-0155-48CC-B475-BF6C6FBD264B}"/>
    <cellStyle name="Normal 4 4 2 3 3 6 2" xfId="15794" xr:uid="{27DD8061-1C05-4AC9-9DD8-568420655D23}"/>
    <cellStyle name="Normal 4 4 2 3 3 7" xfId="6675" xr:uid="{129D75F3-7332-4E7C-BAE2-325BE33FD3D1}"/>
    <cellStyle name="Normal 4 4 2 3 3 7 2" xfId="16623" xr:uid="{82C187D5-648C-4AD3-9F4B-FB7D77D8B199}"/>
    <cellStyle name="Normal 4 4 2 3 3 8" xfId="7504" xr:uid="{01DE424C-D45E-4D75-8723-248A042B6152}"/>
    <cellStyle name="Normal 4 4 2 3 3 8 2" xfId="17452" xr:uid="{B5D9F905-F0F9-4D70-BF1D-006EF3F06ECA}"/>
    <cellStyle name="Normal 4 4 2 3 3 9" xfId="8333" xr:uid="{5E37FED3-43DF-45D9-BEA6-0A47BF8F52D8}"/>
    <cellStyle name="Normal 4 4 2 3 3 9 2" xfId="18281" xr:uid="{AA1EADEB-E4CB-41FB-BB04-6A3039F982C2}"/>
    <cellStyle name="Normal 4 4 2 3 4" xfId="2114" xr:uid="{03500EF0-A062-4A18-9F6E-1DBB613294E9}"/>
    <cellStyle name="Normal 4 4 2 3 4 2" xfId="12062" xr:uid="{84643351-C3A3-4C00-87A2-4B27F165155E}"/>
    <cellStyle name="Normal 4 4 2 3 5" xfId="2943" xr:uid="{B3501EBF-7D8C-412C-9A8B-61CBFA58F301}"/>
    <cellStyle name="Normal 4 4 2 3 5 2" xfId="12891" xr:uid="{CD8725F7-7FEF-4123-A223-F1F2B6CBDDBF}"/>
    <cellStyle name="Normal 4 4 2 3 6" xfId="3772" xr:uid="{DD7E5219-E83D-40CF-BEE6-A1A8158B2579}"/>
    <cellStyle name="Normal 4 4 2 3 6 2" xfId="13720" xr:uid="{DC742645-1590-4EB7-8AEF-B0B584733686}"/>
    <cellStyle name="Normal 4 4 2 3 7" xfId="4601" xr:uid="{9E23E907-AA59-4D48-AC34-3ACAD9A21948}"/>
    <cellStyle name="Normal 4 4 2 3 7 2" xfId="14549" xr:uid="{F2C555EA-2C67-45DE-937B-56AD6264E3F7}"/>
    <cellStyle name="Normal 4 4 2 3 8" xfId="5430" xr:uid="{FB73D12E-8B43-4095-8477-48B3B6511357}"/>
    <cellStyle name="Normal 4 4 2 3 8 2" xfId="15378" xr:uid="{3EE9E106-6E6A-435D-B280-C4AD1F595058}"/>
    <cellStyle name="Normal 4 4 2 3 9" xfId="6259" xr:uid="{67069EE8-0E1F-4AAF-BCB0-41BB63F87F98}"/>
    <cellStyle name="Normal 4 4 2 3 9 2" xfId="16207" xr:uid="{FA6FAC6F-E5E6-4ABC-819E-E59452507713}"/>
    <cellStyle name="Normal 4 4 2 4" xfId="389" xr:uid="{00000000-0005-0000-0000-0000A9020000}"/>
    <cellStyle name="Normal 4 4 2 4 10" xfId="7919" xr:uid="{8D5E3D33-6F53-4F71-BF3D-15FABF74BF14}"/>
    <cellStyle name="Normal 4 4 2 4 10 2" xfId="17867" xr:uid="{67532FFA-507C-4E60-B54A-B20FD55C563D}"/>
    <cellStyle name="Normal 4 4 2 4 11" xfId="8748" xr:uid="{FC0893B2-5E70-4646-8FD7-7244A42C59B7}"/>
    <cellStyle name="Normal 4 4 2 4 11 2" xfId="18696" xr:uid="{85D89A13-64DC-4C92-B962-C74764047887}"/>
    <cellStyle name="Normal 4 4 2 4 12" xfId="9577" xr:uid="{2710865C-4CEF-4EE9-82EB-63177FBCCA29}"/>
    <cellStyle name="Normal 4 4 2 4 12 2" xfId="19525" xr:uid="{90EA85D6-503F-4616-B4F4-86D11B161D41}"/>
    <cellStyle name="Normal 4 4 2 4 13" xfId="10406" xr:uid="{9BA80271-528C-4753-B796-6FD1672E9E84}"/>
    <cellStyle name="Normal 4 4 2 4 13 2" xfId="20354" xr:uid="{6B8A9233-8BD0-4F78-9694-80B2361C9571}"/>
    <cellStyle name="Normal 4 4 2 4 14" xfId="1287" xr:uid="{275C54E8-9E57-4A87-8FD0-FD47C062D37D}"/>
    <cellStyle name="Normal 4 4 2 4 15" xfId="11235" xr:uid="{CF0A8FFD-5C41-4018-BBB0-F527017F24D3}"/>
    <cellStyle name="Normal 4 4 2 4 2" xfId="869" xr:uid="{00000000-0005-0000-0000-0000AA020000}"/>
    <cellStyle name="Normal 4 4 2 4 2 10" xfId="9164" xr:uid="{29B96BCF-7C7D-4D1E-98A0-FBE96A051DC6}"/>
    <cellStyle name="Normal 4 4 2 4 2 10 2" xfId="19112" xr:uid="{8A952131-1795-40FC-AE97-083358412925}"/>
    <cellStyle name="Normal 4 4 2 4 2 11" xfId="9993" xr:uid="{00ADD696-A260-4CBA-8EFE-C3F15802AD99}"/>
    <cellStyle name="Normal 4 4 2 4 2 11 2" xfId="19941" xr:uid="{FBC0A585-99DE-421B-9117-EA3600AD1BC2}"/>
    <cellStyle name="Normal 4 4 2 4 2 12" xfId="10822" xr:uid="{AFE9892C-C488-4EED-AB17-1F126791EDED}"/>
    <cellStyle name="Normal 4 4 2 4 2 12 2" xfId="20770" xr:uid="{33F34E85-599B-4206-9F60-A5CB2E21E46A}"/>
    <cellStyle name="Normal 4 4 2 4 2 13" xfId="1703" xr:uid="{8342A10D-E967-40B0-8A9C-AB4F414A03FA}"/>
    <cellStyle name="Normal 4 4 2 4 2 14" xfId="11651" xr:uid="{FC2D72EE-B456-4B94-95A5-D0DFD6923D4D}"/>
    <cellStyle name="Normal 4 4 2 4 2 2" xfId="2532" xr:uid="{5F4BF13B-CB5E-4ABE-B828-758D49CCF2B6}"/>
    <cellStyle name="Normal 4 4 2 4 2 2 2" xfId="12480" xr:uid="{2A3520D6-9C1D-4A68-93D7-AA64DFF736DF}"/>
    <cellStyle name="Normal 4 4 2 4 2 3" xfId="3361" xr:uid="{E8AA3476-1E6F-4DA8-8762-95EFE236002F}"/>
    <cellStyle name="Normal 4 4 2 4 2 3 2" xfId="13309" xr:uid="{D5DF4E9A-27CF-4662-B8E0-1EAF820EBC7B}"/>
    <cellStyle name="Normal 4 4 2 4 2 4" xfId="4190" xr:uid="{3CC5271A-3789-4DDC-ACC9-D64BFE93D2AB}"/>
    <cellStyle name="Normal 4 4 2 4 2 4 2" xfId="14138" xr:uid="{EA8FDA68-E5E9-4450-B9AC-60B6AD03DB79}"/>
    <cellStyle name="Normal 4 4 2 4 2 5" xfId="5019" xr:uid="{6D760B9C-1175-4517-B427-CEA4B6162BFA}"/>
    <cellStyle name="Normal 4 4 2 4 2 5 2" xfId="14967" xr:uid="{9D4543E8-681C-4202-82D0-3B8F1C6BD9A3}"/>
    <cellStyle name="Normal 4 4 2 4 2 6" xfId="5848" xr:uid="{EEC63E15-C13E-40D4-ACAC-BB2DB8F26C23}"/>
    <cellStyle name="Normal 4 4 2 4 2 6 2" xfId="15796" xr:uid="{C4FA0B07-561B-4CA5-8381-DAE3618B7F4C}"/>
    <cellStyle name="Normal 4 4 2 4 2 7" xfId="6677" xr:uid="{930C68FE-0022-4434-AC12-EED90C99DD21}"/>
    <cellStyle name="Normal 4 4 2 4 2 7 2" xfId="16625" xr:uid="{7A21F1F6-22CC-4F96-949E-88DB8E47B398}"/>
    <cellStyle name="Normal 4 4 2 4 2 8" xfId="7506" xr:uid="{9B4B5141-D2A3-4C66-A3F6-81B4E2BB7D65}"/>
    <cellStyle name="Normal 4 4 2 4 2 8 2" xfId="17454" xr:uid="{BF2B9145-9B4B-471C-982B-8C886D41E0DC}"/>
    <cellStyle name="Normal 4 4 2 4 2 9" xfId="8335" xr:uid="{ACD37BC4-39D1-47E0-B538-AA61D6DCFACC}"/>
    <cellStyle name="Normal 4 4 2 4 2 9 2" xfId="18283" xr:uid="{9AC85B14-F77F-43F5-8F28-FAF8564AF78C}"/>
    <cellStyle name="Normal 4 4 2 4 3" xfId="2116" xr:uid="{F0D0B530-6156-4D8E-A68E-F94DE605494F}"/>
    <cellStyle name="Normal 4 4 2 4 3 2" xfId="12064" xr:uid="{18F80B5F-BF53-4D2B-B87B-3079165F6C2F}"/>
    <cellStyle name="Normal 4 4 2 4 4" xfId="2945" xr:uid="{F064F498-405D-4126-AB13-C959A38D8456}"/>
    <cellStyle name="Normal 4 4 2 4 4 2" xfId="12893" xr:uid="{D3D4792A-63C6-46F6-B669-E0724D16D6BB}"/>
    <cellStyle name="Normal 4 4 2 4 5" xfId="3774" xr:uid="{833833F6-D631-499D-8442-C7A7CCF51DD7}"/>
    <cellStyle name="Normal 4 4 2 4 5 2" xfId="13722" xr:uid="{D4B21230-3880-4689-9AE2-C47103FC72B7}"/>
    <cellStyle name="Normal 4 4 2 4 6" xfId="4603" xr:uid="{1BE3FF0B-A64F-4CD4-955E-6091B1583292}"/>
    <cellStyle name="Normal 4 4 2 4 6 2" xfId="14551" xr:uid="{DBD42BCE-1D5D-4834-89E4-E0792551F81A}"/>
    <cellStyle name="Normal 4 4 2 4 7" xfId="5432" xr:uid="{4E0D274B-FB83-4910-A9D1-DF463FAEAAC8}"/>
    <cellStyle name="Normal 4 4 2 4 7 2" xfId="15380" xr:uid="{F08C86C8-FF1F-4CBD-8EE3-B1689DCEDD46}"/>
    <cellStyle name="Normal 4 4 2 4 8" xfId="6261" xr:uid="{109C510E-89DA-4952-8E03-682A63490DD4}"/>
    <cellStyle name="Normal 4 4 2 4 8 2" xfId="16209" xr:uid="{EFED0A17-2B5A-4510-AE55-F4CC2321831C}"/>
    <cellStyle name="Normal 4 4 2 4 9" xfId="7090" xr:uid="{E09E58DD-3142-48BB-A915-37CEC2FAEC20}"/>
    <cellStyle name="Normal 4 4 2 4 9 2" xfId="17038" xr:uid="{39D2F369-B296-48A2-AE03-3052C6363B76}"/>
    <cellStyle name="Normal 4 4 2 5" xfId="862" xr:uid="{00000000-0005-0000-0000-0000AB020000}"/>
    <cellStyle name="Normal 4 4 2 5 10" xfId="9157" xr:uid="{45C81429-A19D-46AD-BE95-50902961AC2D}"/>
    <cellStyle name="Normal 4 4 2 5 10 2" xfId="19105" xr:uid="{059EF030-A3D4-457D-BA1C-F3ED2DA2363A}"/>
    <cellStyle name="Normal 4 4 2 5 11" xfId="9986" xr:uid="{341375EB-A4F2-4823-B546-26B5AC84D9E1}"/>
    <cellStyle name="Normal 4 4 2 5 11 2" xfId="19934" xr:uid="{EFB23DB7-AE4D-423A-ADA8-E05EC9A63358}"/>
    <cellStyle name="Normal 4 4 2 5 12" xfId="10815" xr:uid="{B5BCD041-AFCC-4D8A-B47D-841A6A9981FA}"/>
    <cellStyle name="Normal 4 4 2 5 12 2" xfId="20763" xr:uid="{9EC7FD8A-3D49-4EA5-B3E9-F507FC76C8E0}"/>
    <cellStyle name="Normal 4 4 2 5 13" xfId="1696" xr:uid="{658A8FA2-B83F-4100-8371-48C2B639E686}"/>
    <cellStyle name="Normal 4 4 2 5 14" xfId="11644" xr:uid="{66AFC7E8-B81E-4CD3-A9DB-E89B31121587}"/>
    <cellStyle name="Normal 4 4 2 5 2" xfId="2525" xr:uid="{6E684312-DD01-4C65-B714-AA9916196E9E}"/>
    <cellStyle name="Normal 4 4 2 5 2 2" xfId="12473" xr:uid="{D58E0029-B028-4EC4-BF4C-515A5E639620}"/>
    <cellStyle name="Normal 4 4 2 5 3" xfId="3354" xr:uid="{0E75638C-C540-4C8A-A098-7ACB1676ACA4}"/>
    <cellStyle name="Normal 4 4 2 5 3 2" xfId="13302" xr:uid="{098FDDCA-6609-4C7B-9AA5-3CAF4B9FEAC7}"/>
    <cellStyle name="Normal 4 4 2 5 4" xfId="4183" xr:uid="{3D17FAA6-E447-4971-BCE0-109114AE81FE}"/>
    <cellStyle name="Normal 4 4 2 5 4 2" xfId="14131" xr:uid="{7046893A-2308-4BE1-9EB3-4DD07443EB41}"/>
    <cellStyle name="Normal 4 4 2 5 5" xfId="5012" xr:uid="{9D16AE48-05C1-4F15-B3C5-78619B3A99AF}"/>
    <cellStyle name="Normal 4 4 2 5 5 2" xfId="14960" xr:uid="{06B90778-5E02-43A0-BBB4-514AC111195B}"/>
    <cellStyle name="Normal 4 4 2 5 6" xfId="5841" xr:uid="{F464249A-6000-4CBF-AD3A-F229ED805382}"/>
    <cellStyle name="Normal 4 4 2 5 6 2" xfId="15789" xr:uid="{5027F615-8616-4F67-880D-E1636CCFD289}"/>
    <cellStyle name="Normal 4 4 2 5 7" xfId="6670" xr:uid="{6E8B49D0-082D-44F1-B0A5-9DE4EDC0E4B3}"/>
    <cellStyle name="Normal 4 4 2 5 7 2" xfId="16618" xr:uid="{606B9B2D-78C2-470F-A3C3-7651786C187B}"/>
    <cellStyle name="Normal 4 4 2 5 8" xfId="7499" xr:uid="{BEF8FD3B-3E50-4731-B2FD-2977BAA19262}"/>
    <cellStyle name="Normal 4 4 2 5 8 2" xfId="17447" xr:uid="{FFC74471-D11D-496C-A529-885666CC4232}"/>
    <cellStyle name="Normal 4 4 2 5 9" xfId="8328" xr:uid="{BFDE5C48-8D24-4EB0-89E6-24B3625044E0}"/>
    <cellStyle name="Normal 4 4 2 5 9 2" xfId="18276" xr:uid="{50BD89E5-457D-4DE0-A6B5-A0BD14A81800}"/>
    <cellStyle name="Normal 4 4 2 6" xfId="2109" xr:uid="{E125B1C7-CB34-43B5-9508-84EE994061D2}"/>
    <cellStyle name="Normal 4 4 2 6 2" xfId="12057" xr:uid="{5DB40A8D-8892-4C81-9FD3-F6DBB415FAA2}"/>
    <cellStyle name="Normal 4 4 2 7" xfId="2938" xr:uid="{E2DF465F-9921-4BB7-BA51-10BBFB7A44BF}"/>
    <cellStyle name="Normal 4 4 2 7 2" xfId="12886" xr:uid="{07A31838-32C9-481D-97D3-00C5A37F983F}"/>
    <cellStyle name="Normal 4 4 2 8" xfId="3767" xr:uid="{EF928FAC-4CD4-424E-8962-5C4C67D2CC5D}"/>
    <cellStyle name="Normal 4 4 2 8 2" xfId="13715" xr:uid="{5C9B2540-CB14-44F0-B971-7C95ABE18E1B}"/>
    <cellStyle name="Normal 4 4 2 9" xfId="4596" xr:uid="{012675AC-0997-433B-91EE-85164D62274F}"/>
    <cellStyle name="Normal 4 4 2 9 2" xfId="14544" xr:uid="{0FAE7825-7E6B-47C3-9AD3-45426F29BB77}"/>
    <cellStyle name="Normal 4 4 3" xfId="390" xr:uid="{00000000-0005-0000-0000-0000AC020000}"/>
    <cellStyle name="Normal 4 4 3 10" xfId="6262" xr:uid="{72CE92AC-A37C-4AAD-A1A5-01A475F679F6}"/>
    <cellStyle name="Normal 4 4 3 10 2" xfId="16210" xr:uid="{E754FBCC-2DAA-4005-9F54-8EBD00581F5D}"/>
    <cellStyle name="Normal 4 4 3 11" xfId="7091" xr:uid="{EB99D70F-1FB3-42F5-AD51-35D31FB70B39}"/>
    <cellStyle name="Normal 4 4 3 11 2" xfId="17039" xr:uid="{7F146D2F-83E6-4B8F-ACBC-0D5C1363356C}"/>
    <cellStyle name="Normal 4 4 3 12" xfId="7920" xr:uid="{54EB0C1D-41A2-42A2-96B4-66160848AE2F}"/>
    <cellStyle name="Normal 4 4 3 12 2" xfId="17868" xr:uid="{891A6E6F-1497-4019-B634-BF77A2D4A9AE}"/>
    <cellStyle name="Normal 4 4 3 13" xfId="8749" xr:uid="{DC56410F-4320-430A-9048-BA02B5303257}"/>
    <cellStyle name="Normal 4 4 3 13 2" xfId="18697" xr:uid="{D409D987-53DE-433B-9D7A-48B6D764DABF}"/>
    <cellStyle name="Normal 4 4 3 14" xfId="9578" xr:uid="{DBFA16D2-87DC-41B3-B1D6-97EA3F072245}"/>
    <cellStyle name="Normal 4 4 3 14 2" xfId="19526" xr:uid="{7F5D52FA-41B9-4A63-94B7-9D080DF99274}"/>
    <cellStyle name="Normal 4 4 3 15" xfId="10407" xr:uid="{6CEF260C-AF51-4693-A02B-07183A2AC9BB}"/>
    <cellStyle name="Normal 4 4 3 15 2" xfId="20355" xr:uid="{415E9E4C-EE77-4434-BAE8-6ABC55386817}"/>
    <cellStyle name="Normal 4 4 3 16" xfId="1288" xr:uid="{986B5CD1-24D1-4C63-B653-BB4588AD227D}"/>
    <cellStyle name="Normal 4 4 3 17" xfId="11236" xr:uid="{73D17FD8-6D0B-47EE-82E9-711E46482EB7}"/>
    <cellStyle name="Normal 4 4 3 2" xfId="391" xr:uid="{00000000-0005-0000-0000-0000AD020000}"/>
    <cellStyle name="Normal 4 4 3 2 10" xfId="7092" xr:uid="{A556C28E-F25B-4C1F-A719-448D6665B668}"/>
    <cellStyle name="Normal 4 4 3 2 10 2" xfId="17040" xr:uid="{EBFA26BB-C907-4F86-9BC9-0737814CAA73}"/>
    <cellStyle name="Normal 4 4 3 2 11" xfId="7921" xr:uid="{78397EF7-116D-41D7-A4E7-4049CD6C4A81}"/>
    <cellStyle name="Normal 4 4 3 2 11 2" xfId="17869" xr:uid="{2E1FF24F-BC5A-4A05-9504-87FACC626D8D}"/>
    <cellStyle name="Normal 4 4 3 2 12" xfId="8750" xr:uid="{52E75EDB-4A73-4568-BB83-A2DF90C0089F}"/>
    <cellStyle name="Normal 4 4 3 2 12 2" xfId="18698" xr:uid="{67DC0271-6D6B-4FD1-9959-1A184E5612B9}"/>
    <cellStyle name="Normal 4 4 3 2 13" xfId="9579" xr:uid="{81BB4805-B282-4A67-AE41-30F72E139EEC}"/>
    <cellStyle name="Normal 4 4 3 2 13 2" xfId="19527" xr:uid="{EF14EA84-DFB6-4F6F-8A34-8381C488E58F}"/>
    <cellStyle name="Normal 4 4 3 2 14" xfId="10408" xr:uid="{BAAC610D-2382-4DCC-B95E-AF3EADBD25D3}"/>
    <cellStyle name="Normal 4 4 3 2 14 2" xfId="20356" xr:uid="{DB849546-FAC6-42F8-9E96-57D99B8A7245}"/>
    <cellStyle name="Normal 4 4 3 2 15" xfId="1289" xr:uid="{5CC0DFC0-0CEC-46A3-9294-95B696182C5B}"/>
    <cellStyle name="Normal 4 4 3 2 16" xfId="11237" xr:uid="{5CA3174A-E0B2-4C25-87A4-8D75CD628074}"/>
    <cellStyle name="Normal 4 4 3 2 2" xfId="392" xr:uid="{00000000-0005-0000-0000-0000AE020000}"/>
    <cellStyle name="Normal 4 4 3 2 2 10" xfId="7922" xr:uid="{F5732F08-1415-442D-BE31-8D93845004A4}"/>
    <cellStyle name="Normal 4 4 3 2 2 10 2" xfId="17870" xr:uid="{44FF7D43-DA09-4050-A1F8-6609A51F61EE}"/>
    <cellStyle name="Normal 4 4 3 2 2 11" xfId="8751" xr:uid="{FEDCB0F3-6752-4960-B111-22751C5BE90F}"/>
    <cellStyle name="Normal 4 4 3 2 2 11 2" xfId="18699" xr:uid="{09BA22C4-BE9B-42DA-8A2A-7C1B03CCE406}"/>
    <cellStyle name="Normal 4 4 3 2 2 12" xfId="9580" xr:uid="{B6C91CC1-BC11-4106-8F72-AD396B2F783B}"/>
    <cellStyle name="Normal 4 4 3 2 2 12 2" xfId="19528" xr:uid="{DD7F7A00-E7D3-44E0-9EC2-90A103D490E0}"/>
    <cellStyle name="Normal 4 4 3 2 2 13" xfId="10409" xr:uid="{C813C20B-2329-4E32-A6FA-9B0DB81B2D14}"/>
    <cellStyle name="Normal 4 4 3 2 2 13 2" xfId="20357" xr:uid="{C53405C5-5C9D-422A-8B9B-9211F5816B0F}"/>
    <cellStyle name="Normal 4 4 3 2 2 14" xfId="1290" xr:uid="{3EC2C6E7-6EF5-4AAE-90FA-943377B246C8}"/>
    <cellStyle name="Normal 4 4 3 2 2 15" xfId="11238" xr:uid="{31BD49C7-8C29-41A1-A544-C81B8958A481}"/>
    <cellStyle name="Normal 4 4 3 2 2 2" xfId="872" xr:uid="{00000000-0005-0000-0000-0000AF020000}"/>
    <cellStyle name="Normal 4 4 3 2 2 2 10" xfId="9167" xr:uid="{55CA26D1-FF12-4FCA-AEA2-BC718D6D2D16}"/>
    <cellStyle name="Normal 4 4 3 2 2 2 10 2" xfId="19115" xr:uid="{7D491822-58F2-473A-BD7E-E61A724956C7}"/>
    <cellStyle name="Normal 4 4 3 2 2 2 11" xfId="9996" xr:uid="{39385C7F-FEED-4180-B4EC-F858C22E3C5B}"/>
    <cellStyle name="Normal 4 4 3 2 2 2 11 2" xfId="19944" xr:uid="{7B2546E5-2BAD-4D5B-B7CF-D4A15971EA5C}"/>
    <cellStyle name="Normal 4 4 3 2 2 2 12" xfId="10825" xr:uid="{6EF5C916-B3A5-4C13-A241-DDE32241C10F}"/>
    <cellStyle name="Normal 4 4 3 2 2 2 12 2" xfId="20773" xr:uid="{C29BEA85-FCE5-4D41-B722-F45FC6D3104D}"/>
    <cellStyle name="Normal 4 4 3 2 2 2 13" xfId="1706" xr:uid="{A27AB9AB-3175-44ED-90C1-221BB18DCD7E}"/>
    <cellStyle name="Normal 4 4 3 2 2 2 14" xfId="11654" xr:uid="{EE87362B-5F88-4611-8116-BDF0E00FF1D8}"/>
    <cellStyle name="Normal 4 4 3 2 2 2 2" xfId="2535" xr:uid="{48823032-B101-4E15-93AD-FA3486937F24}"/>
    <cellStyle name="Normal 4 4 3 2 2 2 2 2" xfId="12483" xr:uid="{7604E12C-6829-417E-9701-B15BC3CA0796}"/>
    <cellStyle name="Normal 4 4 3 2 2 2 3" xfId="3364" xr:uid="{97F16F30-AF43-4E97-9D01-9D7AB876225D}"/>
    <cellStyle name="Normal 4 4 3 2 2 2 3 2" xfId="13312" xr:uid="{62470686-AED5-4E84-AD78-332E935C5239}"/>
    <cellStyle name="Normal 4 4 3 2 2 2 4" xfId="4193" xr:uid="{27310BC6-24A9-4C4F-A6A2-B6E902419FBF}"/>
    <cellStyle name="Normal 4 4 3 2 2 2 4 2" xfId="14141" xr:uid="{56695622-381A-47DF-A888-83F21F505B7E}"/>
    <cellStyle name="Normal 4 4 3 2 2 2 5" xfId="5022" xr:uid="{61B75633-9056-4562-B915-87D06D587715}"/>
    <cellStyle name="Normal 4 4 3 2 2 2 5 2" xfId="14970" xr:uid="{E1E43B0D-DA8C-40A3-8610-8D6D726669C3}"/>
    <cellStyle name="Normal 4 4 3 2 2 2 6" xfId="5851" xr:uid="{2ADD0BB3-2040-4AD4-A8FB-9DECAB8C08E6}"/>
    <cellStyle name="Normal 4 4 3 2 2 2 6 2" xfId="15799" xr:uid="{41928D03-351C-4AC9-86EC-DFB61D0D1937}"/>
    <cellStyle name="Normal 4 4 3 2 2 2 7" xfId="6680" xr:uid="{AF9EEF34-9E4E-4FAE-9A7E-E6CC7E05D196}"/>
    <cellStyle name="Normal 4 4 3 2 2 2 7 2" xfId="16628" xr:uid="{515FE570-4A7C-4E76-B8C9-ACEC92ADF604}"/>
    <cellStyle name="Normal 4 4 3 2 2 2 8" xfId="7509" xr:uid="{9B21B49F-3F85-4640-8CB3-6FD99B7E4209}"/>
    <cellStyle name="Normal 4 4 3 2 2 2 8 2" xfId="17457" xr:uid="{1066DCD9-D805-4EA4-B42B-6470A6989004}"/>
    <cellStyle name="Normal 4 4 3 2 2 2 9" xfId="8338" xr:uid="{7832ACAF-314A-4CB7-9410-FAA7E3F2A0D7}"/>
    <cellStyle name="Normal 4 4 3 2 2 2 9 2" xfId="18286" xr:uid="{86B70988-4533-4CC4-BA7B-D5176EAD918B}"/>
    <cellStyle name="Normal 4 4 3 2 2 3" xfId="2119" xr:uid="{E0C2201A-13AC-403A-89F0-72020A464985}"/>
    <cellStyle name="Normal 4 4 3 2 2 3 2" xfId="12067" xr:uid="{941A32C6-3CEC-4F56-9CD7-10EAFDA43282}"/>
    <cellStyle name="Normal 4 4 3 2 2 4" xfId="2948" xr:uid="{5A4AF4D0-9258-4913-8991-34E6A9EBE6E7}"/>
    <cellStyle name="Normal 4 4 3 2 2 4 2" xfId="12896" xr:uid="{E61D7944-0838-4C6E-88FF-1A9326127C92}"/>
    <cellStyle name="Normal 4 4 3 2 2 5" xfId="3777" xr:uid="{C1142529-B19E-4B5B-B727-4EEA8DEB7907}"/>
    <cellStyle name="Normal 4 4 3 2 2 5 2" xfId="13725" xr:uid="{13765559-1572-411A-BD36-B5E1DDF81F0B}"/>
    <cellStyle name="Normal 4 4 3 2 2 6" xfId="4606" xr:uid="{D76E48D8-D8C5-410D-B1DB-B2871BE66891}"/>
    <cellStyle name="Normal 4 4 3 2 2 6 2" xfId="14554" xr:uid="{7CB8D21A-7F2F-48ED-A8B0-3A9D69A20024}"/>
    <cellStyle name="Normal 4 4 3 2 2 7" xfId="5435" xr:uid="{45589CAF-7DBC-4553-A6BD-4AE90A8221F3}"/>
    <cellStyle name="Normal 4 4 3 2 2 7 2" xfId="15383" xr:uid="{B967A1DE-7378-4082-AF3A-7A18E6663EFF}"/>
    <cellStyle name="Normal 4 4 3 2 2 8" xfId="6264" xr:uid="{DFBAA2AC-AC57-4F16-A7B0-5A70EED5F135}"/>
    <cellStyle name="Normal 4 4 3 2 2 8 2" xfId="16212" xr:uid="{E5976F81-2B3B-4D2C-BF16-68420B0BF310}"/>
    <cellStyle name="Normal 4 4 3 2 2 9" xfId="7093" xr:uid="{37AF50B8-6350-4632-AEC1-8062B26CD8EB}"/>
    <cellStyle name="Normal 4 4 3 2 2 9 2" xfId="17041" xr:uid="{0AEFF516-AF23-4C1E-B154-1DF76D617A7F}"/>
    <cellStyle name="Normal 4 4 3 2 3" xfId="871" xr:uid="{00000000-0005-0000-0000-0000B0020000}"/>
    <cellStyle name="Normal 4 4 3 2 3 10" xfId="9166" xr:uid="{FE86F07A-6017-4A87-B0F0-CE4545A5D9EB}"/>
    <cellStyle name="Normal 4 4 3 2 3 10 2" xfId="19114" xr:uid="{EBB91B5F-E702-48C4-9B87-22A5522249BA}"/>
    <cellStyle name="Normal 4 4 3 2 3 11" xfId="9995" xr:uid="{D3A6E2FE-E90C-4DEB-96CA-B940CBD5ED72}"/>
    <cellStyle name="Normal 4 4 3 2 3 11 2" xfId="19943" xr:uid="{1A6EC249-BAB2-4067-AAB9-5DC9C649043D}"/>
    <cellStyle name="Normal 4 4 3 2 3 12" xfId="10824" xr:uid="{4A9B1AB6-1006-4A74-9415-118196E9E67D}"/>
    <cellStyle name="Normal 4 4 3 2 3 12 2" xfId="20772" xr:uid="{513620BC-684A-4F7A-B17C-F2BC79D47E1A}"/>
    <cellStyle name="Normal 4 4 3 2 3 13" xfId="1705" xr:uid="{0173A525-D18A-496D-B056-D16DCF74EBB8}"/>
    <cellStyle name="Normal 4 4 3 2 3 14" xfId="11653" xr:uid="{0E1F4D7E-A46F-4993-AE59-1C64B72303BD}"/>
    <cellStyle name="Normal 4 4 3 2 3 2" xfId="2534" xr:uid="{F293654B-D15B-4EE0-8D4D-18E2AB9DECFE}"/>
    <cellStyle name="Normal 4 4 3 2 3 2 2" xfId="12482" xr:uid="{1D42BAD6-1F4D-4E8D-A722-E7570D5F16F1}"/>
    <cellStyle name="Normal 4 4 3 2 3 3" xfId="3363" xr:uid="{D2B3326F-AD88-41B5-817C-2D4C99554B2B}"/>
    <cellStyle name="Normal 4 4 3 2 3 3 2" xfId="13311" xr:uid="{CEA58FB4-73C9-4A94-9B28-AFAD0B60D0BC}"/>
    <cellStyle name="Normal 4 4 3 2 3 4" xfId="4192" xr:uid="{4B3168EE-0EFE-4AA5-B013-68DF38F97703}"/>
    <cellStyle name="Normal 4 4 3 2 3 4 2" xfId="14140" xr:uid="{6DDC242A-187F-4148-8526-39897B542176}"/>
    <cellStyle name="Normal 4 4 3 2 3 5" xfId="5021" xr:uid="{74CF4686-69BF-43DA-BE08-AC9F99FFEFEA}"/>
    <cellStyle name="Normal 4 4 3 2 3 5 2" xfId="14969" xr:uid="{DCC443BD-D128-4A6D-84BE-9B09C7EB3C9B}"/>
    <cellStyle name="Normal 4 4 3 2 3 6" xfId="5850" xr:uid="{D108C9BF-2BB3-4936-A80E-89F732352799}"/>
    <cellStyle name="Normal 4 4 3 2 3 6 2" xfId="15798" xr:uid="{497D04CC-1A6A-43A1-BA8F-3FD556B56452}"/>
    <cellStyle name="Normal 4 4 3 2 3 7" xfId="6679" xr:uid="{5F67E1EA-9217-4BEE-8128-49802211EE88}"/>
    <cellStyle name="Normal 4 4 3 2 3 7 2" xfId="16627" xr:uid="{BF8FA11A-9107-418C-B72B-76D0F233438B}"/>
    <cellStyle name="Normal 4 4 3 2 3 8" xfId="7508" xr:uid="{F5EDF75C-51B5-4ADC-95F8-E61258A105E7}"/>
    <cellStyle name="Normal 4 4 3 2 3 8 2" xfId="17456" xr:uid="{51786CAC-9939-4569-8C21-0BF6CE7855DF}"/>
    <cellStyle name="Normal 4 4 3 2 3 9" xfId="8337" xr:uid="{B2B9183B-B758-4D54-AEAC-2DF424AEE3B8}"/>
    <cellStyle name="Normal 4 4 3 2 3 9 2" xfId="18285" xr:uid="{1DD90181-841C-4AE5-B3A5-4E2CA8202AD1}"/>
    <cellStyle name="Normal 4 4 3 2 4" xfId="2118" xr:uid="{FB763F40-CBD4-4A88-9251-D17ADB9D5FA2}"/>
    <cellStyle name="Normal 4 4 3 2 4 2" xfId="12066" xr:uid="{E09E73B8-A74B-4353-9B42-B0450E0EF87F}"/>
    <cellStyle name="Normal 4 4 3 2 5" xfId="2947" xr:uid="{3BBAC2C9-105D-4D97-BE14-87CE39FF41AD}"/>
    <cellStyle name="Normal 4 4 3 2 5 2" xfId="12895" xr:uid="{F8D30879-9A0B-4843-B44D-CC3EFD8F910D}"/>
    <cellStyle name="Normal 4 4 3 2 6" xfId="3776" xr:uid="{424E0DC3-BCDE-44C0-8DB3-99D25F7577BF}"/>
    <cellStyle name="Normal 4 4 3 2 6 2" xfId="13724" xr:uid="{A6A98002-1EEE-4E60-8857-F21958269C71}"/>
    <cellStyle name="Normal 4 4 3 2 7" xfId="4605" xr:uid="{B756C668-6D0C-40BF-94AB-743421875762}"/>
    <cellStyle name="Normal 4 4 3 2 7 2" xfId="14553" xr:uid="{65647F91-2309-4195-9178-5CFB540E80A8}"/>
    <cellStyle name="Normal 4 4 3 2 8" xfId="5434" xr:uid="{E9FE0733-FF5A-4763-A62E-A6708C07FCC3}"/>
    <cellStyle name="Normal 4 4 3 2 8 2" xfId="15382" xr:uid="{E2471919-882D-46B1-BDB3-49573DF17168}"/>
    <cellStyle name="Normal 4 4 3 2 9" xfId="6263" xr:uid="{BEA68252-1E57-4A3E-9415-F3EBA379243C}"/>
    <cellStyle name="Normal 4 4 3 2 9 2" xfId="16211" xr:uid="{351A5D79-7D49-4446-96C0-A6373A54043C}"/>
    <cellStyle name="Normal 4 4 3 3" xfId="393" xr:uid="{00000000-0005-0000-0000-0000B1020000}"/>
    <cellStyle name="Normal 4 4 3 3 10" xfId="7923" xr:uid="{C4A34E93-734A-495E-B115-EFE9DC8757B4}"/>
    <cellStyle name="Normal 4 4 3 3 10 2" xfId="17871" xr:uid="{239EC191-FFBD-4E9A-9808-5D91B847D2FC}"/>
    <cellStyle name="Normal 4 4 3 3 11" xfId="8752" xr:uid="{A93083EA-753F-4E3C-9732-481D6F97B986}"/>
    <cellStyle name="Normal 4 4 3 3 11 2" xfId="18700" xr:uid="{D68C495D-A314-4EE6-90F6-21D0AD8AEF7B}"/>
    <cellStyle name="Normal 4 4 3 3 12" xfId="9581" xr:uid="{0C3796B3-338F-4372-8903-5C57672291E6}"/>
    <cellStyle name="Normal 4 4 3 3 12 2" xfId="19529" xr:uid="{28C50E73-C2AA-4097-B2F7-CD6E6BC28C31}"/>
    <cellStyle name="Normal 4 4 3 3 13" xfId="10410" xr:uid="{D1DC1EB6-1595-4372-874D-33485F0C25F7}"/>
    <cellStyle name="Normal 4 4 3 3 13 2" xfId="20358" xr:uid="{9868A43F-960B-42CD-A573-4EDFF11AC4C4}"/>
    <cellStyle name="Normal 4 4 3 3 14" xfId="1291" xr:uid="{8415ACB9-980E-465B-B856-B3BE31EE3F75}"/>
    <cellStyle name="Normal 4 4 3 3 15" xfId="11239" xr:uid="{CFC2EC82-67F9-4E8D-AEF9-523744E93FF8}"/>
    <cellStyle name="Normal 4 4 3 3 2" xfId="873" xr:uid="{00000000-0005-0000-0000-0000B2020000}"/>
    <cellStyle name="Normal 4 4 3 3 2 10" xfId="9168" xr:uid="{75B4BA04-9056-477B-A9BB-6EF620F6B259}"/>
    <cellStyle name="Normal 4 4 3 3 2 10 2" xfId="19116" xr:uid="{E4AD0522-7BEB-430B-BDB7-E86897670896}"/>
    <cellStyle name="Normal 4 4 3 3 2 11" xfId="9997" xr:uid="{9CEDEAEF-9D55-41C8-8DE7-C714E77548E8}"/>
    <cellStyle name="Normal 4 4 3 3 2 11 2" xfId="19945" xr:uid="{AE9EEF15-1C8B-4659-9445-9A73DFE2CC15}"/>
    <cellStyle name="Normal 4 4 3 3 2 12" xfId="10826" xr:uid="{01F5F9BF-2318-4D12-A260-DCB8F980B67B}"/>
    <cellStyle name="Normal 4 4 3 3 2 12 2" xfId="20774" xr:uid="{5C8DDF51-3073-4FDA-8822-9FF9BDF41968}"/>
    <cellStyle name="Normal 4 4 3 3 2 13" xfId="1707" xr:uid="{3C7F95CD-B487-4A86-BEBC-69A7A35B401B}"/>
    <cellStyle name="Normal 4 4 3 3 2 14" xfId="11655" xr:uid="{AE2FC426-9DFE-4709-9147-06F0B8AB1972}"/>
    <cellStyle name="Normal 4 4 3 3 2 2" xfId="2536" xr:uid="{64AE996E-CF49-4F1E-8073-475008A44478}"/>
    <cellStyle name="Normal 4 4 3 3 2 2 2" xfId="12484" xr:uid="{795AEAC1-0CE4-41FD-B640-89ABEDB538CB}"/>
    <cellStyle name="Normal 4 4 3 3 2 3" xfId="3365" xr:uid="{4CCD0122-A3DF-4872-975D-5AF0A8D79002}"/>
    <cellStyle name="Normal 4 4 3 3 2 3 2" xfId="13313" xr:uid="{44AE115D-A920-4882-97D0-77D25FA2EBE0}"/>
    <cellStyle name="Normal 4 4 3 3 2 4" xfId="4194" xr:uid="{2634B52C-F159-4716-9AAF-0B941F6D212A}"/>
    <cellStyle name="Normal 4 4 3 3 2 4 2" xfId="14142" xr:uid="{F9EEF92C-E88F-4B90-B44F-04918CEDC32B}"/>
    <cellStyle name="Normal 4 4 3 3 2 5" xfId="5023" xr:uid="{810E8615-1EC1-4130-9EDE-D9EC1CB84158}"/>
    <cellStyle name="Normal 4 4 3 3 2 5 2" xfId="14971" xr:uid="{8D83C65B-3880-4AFE-9D57-5ED0D6F309D8}"/>
    <cellStyle name="Normal 4 4 3 3 2 6" xfId="5852" xr:uid="{E04D8BE8-46AB-4659-AF85-59E1C1FE9FC0}"/>
    <cellStyle name="Normal 4 4 3 3 2 6 2" xfId="15800" xr:uid="{FB947CEE-1927-4962-BD5D-AD0D30D42845}"/>
    <cellStyle name="Normal 4 4 3 3 2 7" xfId="6681" xr:uid="{0E68B13D-B61D-4BDA-9F1B-C65C4124E7D6}"/>
    <cellStyle name="Normal 4 4 3 3 2 7 2" xfId="16629" xr:uid="{141FB17E-65A4-4476-A73B-F607E5A30D05}"/>
    <cellStyle name="Normal 4 4 3 3 2 8" xfId="7510" xr:uid="{A3452828-0C19-411D-AF4D-17E0F0DC5661}"/>
    <cellStyle name="Normal 4 4 3 3 2 8 2" xfId="17458" xr:uid="{EEC3EAE9-8C88-4692-895F-5730C84AB565}"/>
    <cellStyle name="Normal 4 4 3 3 2 9" xfId="8339" xr:uid="{6CC66125-40B4-4A3D-B801-88C1AC55B1AF}"/>
    <cellStyle name="Normal 4 4 3 3 2 9 2" xfId="18287" xr:uid="{F2628B3E-3F72-413E-B250-8FD5D55D5E1E}"/>
    <cellStyle name="Normal 4 4 3 3 3" xfId="2120" xr:uid="{F7257958-70DF-46C6-A8D7-D26D1646432C}"/>
    <cellStyle name="Normal 4 4 3 3 3 2" xfId="12068" xr:uid="{E0602F70-A220-4021-BA16-CBF2D3403231}"/>
    <cellStyle name="Normal 4 4 3 3 4" xfId="2949" xr:uid="{19FDA86A-C5DD-4928-8923-0231A275CE51}"/>
    <cellStyle name="Normal 4 4 3 3 4 2" xfId="12897" xr:uid="{93C444E8-8BCE-45B0-8A45-5472FBF66B6B}"/>
    <cellStyle name="Normal 4 4 3 3 5" xfId="3778" xr:uid="{757CBD65-F1E7-4E62-B8D2-E1738B534F89}"/>
    <cellStyle name="Normal 4 4 3 3 5 2" xfId="13726" xr:uid="{C4192592-F3A4-4C6E-BEEA-1CE1DFECA08B}"/>
    <cellStyle name="Normal 4 4 3 3 6" xfId="4607" xr:uid="{5178538E-2144-4142-BDBC-2FE5D94CA569}"/>
    <cellStyle name="Normal 4 4 3 3 6 2" xfId="14555" xr:uid="{7A627968-1BB7-473F-848E-E410C1EA8D94}"/>
    <cellStyle name="Normal 4 4 3 3 7" xfId="5436" xr:uid="{A4D99577-D22C-4782-BF97-8973A8A6C8FB}"/>
    <cellStyle name="Normal 4 4 3 3 7 2" xfId="15384" xr:uid="{48C1A79B-F35D-4384-89A5-7FE4886911A1}"/>
    <cellStyle name="Normal 4 4 3 3 8" xfId="6265" xr:uid="{3DF86554-A3A6-4B17-928C-76F99AB2B627}"/>
    <cellStyle name="Normal 4 4 3 3 8 2" xfId="16213" xr:uid="{ED9FB175-4EB2-4368-AAC9-A18A13A348A5}"/>
    <cellStyle name="Normal 4 4 3 3 9" xfId="7094" xr:uid="{D1E59423-F230-40D6-A377-392E6DF4AFC0}"/>
    <cellStyle name="Normal 4 4 3 3 9 2" xfId="17042" xr:uid="{17E32E34-2A8A-422F-ABAC-8676A759B6BD}"/>
    <cellStyle name="Normal 4 4 3 4" xfId="870" xr:uid="{00000000-0005-0000-0000-0000B3020000}"/>
    <cellStyle name="Normal 4 4 3 4 10" xfId="9165" xr:uid="{D2DCB9BB-01EA-48C7-B98C-25023CE02D71}"/>
    <cellStyle name="Normal 4 4 3 4 10 2" xfId="19113" xr:uid="{EA413FE3-8511-4DAE-AB48-BD138C33C1CA}"/>
    <cellStyle name="Normal 4 4 3 4 11" xfId="9994" xr:uid="{DC2F0A31-5E87-46D8-B280-EADAB4DA3E73}"/>
    <cellStyle name="Normal 4 4 3 4 11 2" xfId="19942" xr:uid="{BA9E5EF9-0493-4F67-B355-6970B9948941}"/>
    <cellStyle name="Normal 4 4 3 4 12" xfId="10823" xr:uid="{60F5CECA-E38B-46A4-B9A3-12B972BE112F}"/>
    <cellStyle name="Normal 4 4 3 4 12 2" xfId="20771" xr:uid="{8D193A3D-A523-478C-8DC3-6B6CBA5CDED0}"/>
    <cellStyle name="Normal 4 4 3 4 13" xfId="1704" xr:uid="{AAE67AFF-92C3-4BCB-9E10-0C1318CC9594}"/>
    <cellStyle name="Normal 4 4 3 4 14" xfId="11652" xr:uid="{9050EA61-3A3B-4261-81D2-F58A66B3FC6C}"/>
    <cellStyle name="Normal 4 4 3 4 2" xfId="2533" xr:uid="{1533E039-2248-44CB-8E50-6D84972C4310}"/>
    <cellStyle name="Normal 4 4 3 4 2 2" xfId="12481" xr:uid="{D9B4A2BA-9E6A-46EA-8E2A-2D7CB1480ADC}"/>
    <cellStyle name="Normal 4 4 3 4 3" xfId="3362" xr:uid="{E965B9E4-7763-44A4-A4FA-A5A985E01FF6}"/>
    <cellStyle name="Normal 4 4 3 4 3 2" xfId="13310" xr:uid="{761DEDBC-BCE3-4E00-83FA-3D00D69BABC8}"/>
    <cellStyle name="Normal 4 4 3 4 4" xfId="4191" xr:uid="{840BC40C-B7AE-4C7B-94F1-1EAD6F6A3DE0}"/>
    <cellStyle name="Normal 4 4 3 4 4 2" xfId="14139" xr:uid="{967CFA18-73B5-48F5-BF73-17F09D1CB64F}"/>
    <cellStyle name="Normal 4 4 3 4 5" xfId="5020" xr:uid="{9734AEBF-267F-414B-A502-68E825B359C7}"/>
    <cellStyle name="Normal 4 4 3 4 5 2" xfId="14968" xr:uid="{2852F682-FE46-4485-9EAB-7623F012E6CC}"/>
    <cellStyle name="Normal 4 4 3 4 6" xfId="5849" xr:uid="{1842E739-0E6D-4FC5-8397-2D3688E43074}"/>
    <cellStyle name="Normal 4 4 3 4 6 2" xfId="15797" xr:uid="{2D8D9CA0-672E-42CE-927D-C56705F72005}"/>
    <cellStyle name="Normal 4 4 3 4 7" xfId="6678" xr:uid="{F8819B19-BC6A-4374-A504-5BF1484C05DD}"/>
    <cellStyle name="Normal 4 4 3 4 7 2" xfId="16626" xr:uid="{3819EA20-5CD2-4189-AEFE-7D2CEF7CE99B}"/>
    <cellStyle name="Normal 4 4 3 4 8" xfId="7507" xr:uid="{0DA4239D-1131-4E44-BDA8-598EA613D3D0}"/>
    <cellStyle name="Normal 4 4 3 4 8 2" xfId="17455" xr:uid="{3724CC68-13A1-4822-8B7B-948249B691B7}"/>
    <cellStyle name="Normal 4 4 3 4 9" xfId="8336" xr:uid="{9FF1EA92-D3C9-4D93-AA1B-BCCB7F0703B8}"/>
    <cellStyle name="Normal 4 4 3 4 9 2" xfId="18284" xr:uid="{D1F978B9-9A59-4C66-92D5-26A1F249E831}"/>
    <cellStyle name="Normal 4 4 3 5" xfId="2117" xr:uid="{CB42EBAA-296B-4755-91B9-B816EC6300D7}"/>
    <cellStyle name="Normal 4 4 3 5 2" xfId="12065" xr:uid="{BDDC0358-9FD3-4A1B-BD31-359EF428C14D}"/>
    <cellStyle name="Normal 4 4 3 6" xfId="2946" xr:uid="{C296C78C-DC76-410A-88BB-6E990427072D}"/>
    <cellStyle name="Normal 4 4 3 6 2" xfId="12894" xr:uid="{E3FE82FF-DCCB-4B3A-9646-46E51F170852}"/>
    <cellStyle name="Normal 4 4 3 7" xfId="3775" xr:uid="{49329138-ABE9-4542-B81D-BA0838E33EF9}"/>
    <cellStyle name="Normal 4 4 3 7 2" xfId="13723" xr:uid="{54B3C082-C9E9-4DDE-AE13-4A2D0098B897}"/>
    <cellStyle name="Normal 4 4 3 8" xfId="4604" xr:uid="{9782B71C-9120-4D56-8319-BBC1CD9165C8}"/>
    <cellStyle name="Normal 4 4 3 8 2" xfId="14552" xr:uid="{21265B22-B3C3-478A-A174-68063606EE1F}"/>
    <cellStyle name="Normal 4 4 3 9" xfId="5433" xr:uid="{313ADE76-9F5D-4B7B-B46C-1DD69CA600DB}"/>
    <cellStyle name="Normal 4 4 3 9 2" xfId="15381" xr:uid="{5463339B-9EC7-45E2-9AEA-1AC5D7B85E5C}"/>
    <cellStyle name="Normal 4 4 4" xfId="394" xr:uid="{00000000-0005-0000-0000-0000B4020000}"/>
    <cellStyle name="Normal 4 4 4 10" xfId="7095" xr:uid="{22AF6646-A60C-41FF-9DB3-F5DC4EBE783D}"/>
    <cellStyle name="Normal 4 4 4 10 2" xfId="17043" xr:uid="{35F0F241-A1A2-4C52-81F4-C8810A937B7D}"/>
    <cellStyle name="Normal 4 4 4 11" xfId="7924" xr:uid="{22756735-C9DC-498A-B8C0-B5A37FCE9378}"/>
    <cellStyle name="Normal 4 4 4 11 2" xfId="17872" xr:uid="{36655E95-8CA1-47F3-9674-EBF6A625F3EB}"/>
    <cellStyle name="Normal 4 4 4 12" xfId="8753" xr:uid="{C6369E14-15EB-418A-82A8-D4751C3B6064}"/>
    <cellStyle name="Normal 4 4 4 12 2" xfId="18701" xr:uid="{816BAB02-808C-4328-B142-81B731A55300}"/>
    <cellStyle name="Normal 4 4 4 13" xfId="9582" xr:uid="{EFDBBB03-475C-4083-A4E6-496CEA94BB19}"/>
    <cellStyle name="Normal 4 4 4 13 2" xfId="19530" xr:uid="{64419DFC-BBF3-4F36-943B-1444E9C8D81C}"/>
    <cellStyle name="Normal 4 4 4 14" xfId="10411" xr:uid="{DB9A8517-4CC7-4C5E-8BC2-7F144BBDC0AA}"/>
    <cellStyle name="Normal 4 4 4 14 2" xfId="20359" xr:uid="{341EF446-AFD8-4BB4-83ED-6936F4C43A35}"/>
    <cellStyle name="Normal 4 4 4 15" xfId="1292" xr:uid="{1C57F75B-B169-40E6-9059-75CA4ADD0D3A}"/>
    <cellStyle name="Normal 4 4 4 16" xfId="11240" xr:uid="{AE055E0F-20B0-48D4-8337-808F3EE436A4}"/>
    <cellStyle name="Normal 4 4 4 2" xfId="395" xr:uid="{00000000-0005-0000-0000-0000B5020000}"/>
    <cellStyle name="Normal 4 4 4 2 10" xfId="7925" xr:uid="{6BA981F8-D474-4A5B-9910-CB4501B408D8}"/>
    <cellStyle name="Normal 4 4 4 2 10 2" xfId="17873" xr:uid="{763373CE-383A-4D33-9027-CAFC050FE74B}"/>
    <cellStyle name="Normal 4 4 4 2 11" xfId="8754" xr:uid="{2EC25F55-F74F-48BD-BD3D-906B2CB5905E}"/>
    <cellStyle name="Normal 4 4 4 2 11 2" xfId="18702" xr:uid="{7D7D6D47-44CD-4669-88ED-D7ED3217E64E}"/>
    <cellStyle name="Normal 4 4 4 2 12" xfId="9583" xr:uid="{733CBA44-4FDD-46B6-9A41-7C11E11704DB}"/>
    <cellStyle name="Normal 4 4 4 2 12 2" xfId="19531" xr:uid="{7A7CFFAB-4692-43F0-B26A-01EAAF9611EF}"/>
    <cellStyle name="Normal 4 4 4 2 13" xfId="10412" xr:uid="{E1556F6B-7D57-4BCC-8133-A7DB08E47200}"/>
    <cellStyle name="Normal 4 4 4 2 13 2" xfId="20360" xr:uid="{791ACE23-6F5A-43C0-93C5-BAAA1BF619CA}"/>
    <cellStyle name="Normal 4 4 4 2 14" xfId="1293" xr:uid="{4B936715-527D-41C0-90FC-3ECDB78A0D60}"/>
    <cellStyle name="Normal 4 4 4 2 15" xfId="11241" xr:uid="{EE1B34F8-8294-4C5D-8A5A-A305F5F53C6F}"/>
    <cellStyle name="Normal 4 4 4 2 2" xfId="875" xr:uid="{00000000-0005-0000-0000-0000B6020000}"/>
    <cellStyle name="Normal 4 4 4 2 2 10" xfId="9170" xr:uid="{91D2BBBC-6225-4347-8543-1733465EE3B5}"/>
    <cellStyle name="Normal 4 4 4 2 2 10 2" xfId="19118" xr:uid="{F1284734-E451-491A-998A-F1EA2F304C81}"/>
    <cellStyle name="Normal 4 4 4 2 2 11" xfId="9999" xr:uid="{2C001D5C-68E6-4E6D-BCE5-AD2CC350A65B}"/>
    <cellStyle name="Normal 4 4 4 2 2 11 2" xfId="19947" xr:uid="{2160E02F-1BCC-4A1D-973D-8682969931FF}"/>
    <cellStyle name="Normal 4 4 4 2 2 12" xfId="10828" xr:uid="{1C050D95-5D85-4700-96ED-AB9387780FE1}"/>
    <cellStyle name="Normal 4 4 4 2 2 12 2" xfId="20776" xr:uid="{0C040B1E-D0C6-47B9-8812-A996604D0E73}"/>
    <cellStyle name="Normal 4 4 4 2 2 13" xfId="1709" xr:uid="{FBABE931-5014-4895-850C-250F3490B24F}"/>
    <cellStyle name="Normal 4 4 4 2 2 14" xfId="11657" xr:uid="{9BBF5571-5052-4A49-995B-545F5C94E34E}"/>
    <cellStyle name="Normal 4 4 4 2 2 2" xfId="2538" xr:uid="{66F6D278-BA49-4238-AF88-99E97B131609}"/>
    <cellStyle name="Normal 4 4 4 2 2 2 2" xfId="12486" xr:uid="{C13FD799-9332-4AB6-8269-50AABECC8461}"/>
    <cellStyle name="Normal 4 4 4 2 2 3" xfId="3367" xr:uid="{AC69D268-9FF7-457E-9DD4-2773A766B0B1}"/>
    <cellStyle name="Normal 4 4 4 2 2 3 2" xfId="13315" xr:uid="{9B514578-35DB-43F8-8CE7-A766422AB684}"/>
    <cellStyle name="Normal 4 4 4 2 2 4" xfId="4196" xr:uid="{C23B4FAF-2E66-4829-8293-A75B6859561C}"/>
    <cellStyle name="Normal 4 4 4 2 2 4 2" xfId="14144" xr:uid="{55B350D8-C22A-48D7-AA40-D0ABA3D6A420}"/>
    <cellStyle name="Normal 4 4 4 2 2 5" xfId="5025" xr:uid="{D06A4F1F-9D12-441E-A7CA-D21D321A49AB}"/>
    <cellStyle name="Normal 4 4 4 2 2 5 2" xfId="14973" xr:uid="{AB4C6B5B-1D7F-40D3-9EC5-604ED82477C0}"/>
    <cellStyle name="Normal 4 4 4 2 2 6" xfId="5854" xr:uid="{DD994A71-3DFF-451D-BF0C-16DB1F74AA50}"/>
    <cellStyle name="Normal 4 4 4 2 2 6 2" xfId="15802" xr:uid="{5B837C93-E3F0-4837-AF2B-0F092F03D4D4}"/>
    <cellStyle name="Normal 4 4 4 2 2 7" xfId="6683" xr:uid="{5256471A-0C31-45FC-A468-0C65A6CF4818}"/>
    <cellStyle name="Normal 4 4 4 2 2 7 2" xfId="16631" xr:uid="{1C065872-6AA0-4A11-A6B5-A2C2F5C2D8FE}"/>
    <cellStyle name="Normal 4 4 4 2 2 8" xfId="7512" xr:uid="{19E95733-1397-4849-BE79-9759CEEC9C93}"/>
    <cellStyle name="Normal 4 4 4 2 2 8 2" xfId="17460" xr:uid="{FF1563E0-9A26-491C-909D-7A50A411515B}"/>
    <cellStyle name="Normal 4 4 4 2 2 9" xfId="8341" xr:uid="{70266545-7B6C-4006-89A8-889CBB21486D}"/>
    <cellStyle name="Normal 4 4 4 2 2 9 2" xfId="18289" xr:uid="{5A82BB70-CE04-4E95-AECE-B308D567CA6E}"/>
    <cellStyle name="Normal 4 4 4 2 3" xfId="2122" xr:uid="{8C04F0B2-E8C7-4B55-8A00-98BBD1DC5C15}"/>
    <cellStyle name="Normal 4 4 4 2 3 2" xfId="12070" xr:uid="{568FC002-C8E9-4122-B3BA-3A518F1169E4}"/>
    <cellStyle name="Normal 4 4 4 2 4" xfId="2951" xr:uid="{DE105C73-66C6-45AF-9DFD-846530F955B0}"/>
    <cellStyle name="Normal 4 4 4 2 4 2" xfId="12899" xr:uid="{583560F8-2BC8-4EA0-B3CB-C26A420C53F7}"/>
    <cellStyle name="Normal 4 4 4 2 5" xfId="3780" xr:uid="{5B5A979D-ADBE-4B50-907F-D4C3793CBED3}"/>
    <cellStyle name="Normal 4 4 4 2 5 2" xfId="13728" xr:uid="{B826EF9A-B7E6-480A-BB57-3457CAF4CEC9}"/>
    <cellStyle name="Normal 4 4 4 2 6" xfId="4609" xr:uid="{81E706C6-B7FA-4655-963F-5FE6A6F6060B}"/>
    <cellStyle name="Normal 4 4 4 2 6 2" xfId="14557" xr:uid="{7811B8A8-B99E-4DA1-BBE2-B02D39FE22DD}"/>
    <cellStyle name="Normal 4 4 4 2 7" xfId="5438" xr:uid="{731FCED6-37A1-463A-9137-BE25D72FA9E4}"/>
    <cellStyle name="Normal 4 4 4 2 7 2" xfId="15386" xr:uid="{A919B916-3EEA-4A42-864A-D7B7A4C0702D}"/>
    <cellStyle name="Normal 4 4 4 2 8" xfId="6267" xr:uid="{945E0413-BE85-4F6C-85F8-BD1403FD7CD6}"/>
    <cellStyle name="Normal 4 4 4 2 8 2" xfId="16215" xr:uid="{06E2A81B-415E-493D-9241-1AB07963966B}"/>
    <cellStyle name="Normal 4 4 4 2 9" xfId="7096" xr:uid="{26A4ED80-1F9E-444D-A108-41271D06EB20}"/>
    <cellStyle name="Normal 4 4 4 2 9 2" xfId="17044" xr:uid="{6223AE94-F75B-4A72-8CFC-6C6D4795F0B6}"/>
    <cellStyle name="Normal 4 4 4 3" xfId="874" xr:uid="{00000000-0005-0000-0000-0000B7020000}"/>
    <cellStyle name="Normal 4 4 4 3 10" xfId="9169" xr:uid="{52EB90FF-13BD-4477-99E3-7D25F586AE45}"/>
    <cellStyle name="Normal 4 4 4 3 10 2" xfId="19117" xr:uid="{3CE5BF76-8333-4845-9240-E9D3E8A798E6}"/>
    <cellStyle name="Normal 4 4 4 3 11" xfId="9998" xr:uid="{10E0DC02-43FA-4919-B72A-1E3CB80D0E99}"/>
    <cellStyle name="Normal 4 4 4 3 11 2" xfId="19946" xr:uid="{478D7EA7-1F85-4191-A81F-2109D4E28B65}"/>
    <cellStyle name="Normal 4 4 4 3 12" xfId="10827" xr:uid="{19C5D4AE-66C7-4ACA-B48D-E1759F083122}"/>
    <cellStyle name="Normal 4 4 4 3 12 2" xfId="20775" xr:uid="{C25AAFBE-C556-4B80-8457-18B75DDEBEFB}"/>
    <cellStyle name="Normal 4 4 4 3 13" xfId="1708" xr:uid="{2DF1DAFE-9AD0-4008-BAAE-1EFA48791E7B}"/>
    <cellStyle name="Normal 4 4 4 3 14" xfId="11656" xr:uid="{227C8076-18ED-42EE-AF9F-023E71A756ED}"/>
    <cellStyle name="Normal 4 4 4 3 2" xfId="2537" xr:uid="{A5C77724-501B-4A7B-AD08-F781F70F93B5}"/>
    <cellStyle name="Normal 4 4 4 3 2 2" xfId="12485" xr:uid="{0FB8F5E9-209C-4752-8798-907AEE6C90BB}"/>
    <cellStyle name="Normal 4 4 4 3 3" xfId="3366" xr:uid="{D5B89193-4A57-4B18-A457-B458A32C29BA}"/>
    <cellStyle name="Normal 4 4 4 3 3 2" xfId="13314" xr:uid="{B3291958-0D57-436A-AA5D-FC7CBCC4A108}"/>
    <cellStyle name="Normal 4 4 4 3 4" xfId="4195" xr:uid="{76DB6DE0-775C-43DA-8778-C1D3840E55CA}"/>
    <cellStyle name="Normal 4 4 4 3 4 2" xfId="14143" xr:uid="{52587BCA-D7F0-4460-9AA6-80039A2FBAC1}"/>
    <cellStyle name="Normal 4 4 4 3 5" xfId="5024" xr:uid="{7F28EFAD-4127-43B5-BA48-0E4084081E86}"/>
    <cellStyle name="Normal 4 4 4 3 5 2" xfId="14972" xr:uid="{41CD4D71-A5F2-4EDE-997A-CB17F335772C}"/>
    <cellStyle name="Normal 4 4 4 3 6" xfId="5853" xr:uid="{05AB8D2F-B18F-4758-9058-F20285EC7D70}"/>
    <cellStyle name="Normal 4 4 4 3 6 2" xfId="15801" xr:uid="{C32C847D-B576-4202-897A-6A5B946B088C}"/>
    <cellStyle name="Normal 4 4 4 3 7" xfId="6682" xr:uid="{E39406F0-CD5B-478C-9E3B-70026ECEC60E}"/>
    <cellStyle name="Normal 4 4 4 3 7 2" xfId="16630" xr:uid="{422FDA09-ABF2-4205-9B26-6FCD43E8DEE2}"/>
    <cellStyle name="Normal 4 4 4 3 8" xfId="7511" xr:uid="{212C230F-D180-450C-8040-76D0BE8DC9EC}"/>
    <cellStyle name="Normal 4 4 4 3 8 2" xfId="17459" xr:uid="{1B17A8F9-0DDA-41C8-AA0E-78FFDB7E9688}"/>
    <cellStyle name="Normal 4 4 4 3 9" xfId="8340" xr:uid="{9DEEA86B-512B-4B03-A609-065AE49B873E}"/>
    <cellStyle name="Normal 4 4 4 3 9 2" xfId="18288" xr:uid="{C603E801-51D4-4981-956F-ADB79715BE22}"/>
    <cellStyle name="Normal 4 4 4 4" xfId="2121" xr:uid="{2022B858-1704-4ADA-BF0D-3475901A7C00}"/>
    <cellStyle name="Normal 4 4 4 4 2" xfId="12069" xr:uid="{ECBDF15D-70F3-4311-BA97-886DD5F81092}"/>
    <cellStyle name="Normal 4 4 4 5" xfId="2950" xr:uid="{2E64098D-7E52-4426-95CC-0CF5339B98A7}"/>
    <cellStyle name="Normal 4 4 4 5 2" xfId="12898" xr:uid="{F281085B-2946-42EA-B399-A262E3BB830B}"/>
    <cellStyle name="Normal 4 4 4 6" xfId="3779" xr:uid="{F53195B1-1FE7-4294-92CA-4A2851BE0D1E}"/>
    <cellStyle name="Normal 4 4 4 6 2" xfId="13727" xr:uid="{510CA8B0-1455-419D-BDAE-22D42B03C223}"/>
    <cellStyle name="Normal 4 4 4 7" xfId="4608" xr:uid="{4BF758D1-4843-4FFF-A157-3E948D375A43}"/>
    <cellStyle name="Normal 4 4 4 7 2" xfId="14556" xr:uid="{3D7FD7AC-38F5-4C87-AD50-A6F4281312F8}"/>
    <cellStyle name="Normal 4 4 4 8" xfId="5437" xr:uid="{D06AA45F-2775-4F9A-97B9-B9DCF7E6E238}"/>
    <cellStyle name="Normal 4 4 4 8 2" xfId="15385" xr:uid="{6035BCFB-B454-416E-BF90-59B4C49B2988}"/>
    <cellStyle name="Normal 4 4 4 9" xfId="6266" xr:uid="{15C33DC9-131A-4923-9095-70DAAF1F0D15}"/>
    <cellStyle name="Normal 4 4 4 9 2" xfId="16214" xr:uid="{3904A2DE-785B-4209-9D3F-6F6886EF959A}"/>
    <cellStyle name="Normal 4 4 5" xfId="396" xr:uid="{00000000-0005-0000-0000-0000B8020000}"/>
    <cellStyle name="Normal 4 4 5 10" xfId="7926" xr:uid="{F06B06D0-2CCB-44E2-A421-CB36B22F3AD9}"/>
    <cellStyle name="Normal 4 4 5 10 2" xfId="17874" xr:uid="{74F0F78C-699C-4899-ACEE-67769931AA67}"/>
    <cellStyle name="Normal 4 4 5 11" xfId="8755" xr:uid="{B5D2432F-9EBF-4873-A00B-0075AAE3102C}"/>
    <cellStyle name="Normal 4 4 5 11 2" xfId="18703" xr:uid="{D347BB54-F0FB-4889-948C-F2309CEE8E9F}"/>
    <cellStyle name="Normal 4 4 5 12" xfId="9584" xr:uid="{18C25EEA-5218-43C6-887F-00211348C5F6}"/>
    <cellStyle name="Normal 4 4 5 12 2" xfId="19532" xr:uid="{155E1838-C15C-403D-BEC7-8E95C7EE7779}"/>
    <cellStyle name="Normal 4 4 5 13" xfId="10413" xr:uid="{6DEC3390-4A74-47DF-907F-9A64F4EC03CD}"/>
    <cellStyle name="Normal 4 4 5 13 2" xfId="20361" xr:uid="{7E5BC347-7F71-44F5-8F8E-F3648E742B66}"/>
    <cellStyle name="Normal 4 4 5 14" xfId="1294" xr:uid="{729A847C-72A2-47D5-B8FF-1C9ED65267A2}"/>
    <cellStyle name="Normal 4 4 5 15" xfId="11242" xr:uid="{7FB3C0B0-1369-4075-9AC9-6F50463243ED}"/>
    <cellStyle name="Normal 4 4 5 2" xfId="876" xr:uid="{00000000-0005-0000-0000-0000B9020000}"/>
    <cellStyle name="Normal 4 4 5 2 10" xfId="9171" xr:uid="{CCCBBD8A-5956-4A8A-A016-F1E5EE38E0E8}"/>
    <cellStyle name="Normal 4 4 5 2 10 2" xfId="19119" xr:uid="{630AE6FC-EFC7-450A-B5C2-B48A8B68BABB}"/>
    <cellStyle name="Normal 4 4 5 2 11" xfId="10000" xr:uid="{74009F18-DA01-48F3-BC21-C9085F1324C7}"/>
    <cellStyle name="Normal 4 4 5 2 11 2" xfId="19948" xr:uid="{F77B287F-99C4-4937-BF70-FCF21F5683BD}"/>
    <cellStyle name="Normal 4 4 5 2 12" xfId="10829" xr:uid="{1431B821-C48C-4C55-848A-9CD5A9E2E2A5}"/>
    <cellStyle name="Normal 4 4 5 2 12 2" xfId="20777" xr:uid="{7576A82C-2268-4CB8-9144-6556522C9DD7}"/>
    <cellStyle name="Normal 4 4 5 2 13" xfId="1710" xr:uid="{C708FDF5-92A9-481F-8592-142A0A4F4A5C}"/>
    <cellStyle name="Normal 4 4 5 2 14" xfId="11658" xr:uid="{9EF50717-35E6-4F39-8E45-AB004878CFAE}"/>
    <cellStyle name="Normal 4 4 5 2 2" xfId="2539" xr:uid="{EB5F6E84-5465-4891-B1BD-719CCFBD6252}"/>
    <cellStyle name="Normal 4 4 5 2 2 2" xfId="12487" xr:uid="{C6FA630B-0AD1-4A11-A4CC-2E3FEA5343AD}"/>
    <cellStyle name="Normal 4 4 5 2 3" xfId="3368" xr:uid="{FBC78920-C621-46E1-9A54-2CF1B5EFAC76}"/>
    <cellStyle name="Normal 4 4 5 2 3 2" xfId="13316" xr:uid="{FC3F7959-8FC6-45ED-8174-B1A51F38B48B}"/>
    <cellStyle name="Normal 4 4 5 2 4" xfId="4197" xr:uid="{FA642F53-38F7-4D55-A991-AEF8466BF508}"/>
    <cellStyle name="Normal 4 4 5 2 4 2" xfId="14145" xr:uid="{72ADC668-D9C8-47A8-AED9-3F7D6C06F2F9}"/>
    <cellStyle name="Normal 4 4 5 2 5" xfId="5026" xr:uid="{CB00FF8A-EA19-45A8-B9CB-C9D9EBAF9A7C}"/>
    <cellStyle name="Normal 4 4 5 2 5 2" xfId="14974" xr:uid="{C1C8CEE8-EDFA-4DAE-AC0C-64316BCF47A7}"/>
    <cellStyle name="Normal 4 4 5 2 6" xfId="5855" xr:uid="{1D0D5C15-4926-4D51-85FF-F92A5FA67676}"/>
    <cellStyle name="Normal 4 4 5 2 6 2" xfId="15803" xr:uid="{4D32B0A1-EB44-4B3D-B7D0-5557DBBC2681}"/>
    <cellStyle name="Normal 4 4 5 2 7" xfId="6684" xr:uid="{0F906C84-B3BF-4C18-98ED-AC2DB93F2BD5}"/>
    <cellStyle name="Normal 4 4 5 2 7 2" xfId="16632" xr:uid="{E0289E67-BF23-48B4-BE64-DAD4E71FDE97}"/>
    <cellStyle name="Normal 4 4 5 2 8" xfId="7513" xr:uid="{D77B4138-6D53-403A-AEB4-5B961134A177}"/>
    <cellStyle name="Normal 4 4 5 2 8 2" xfId="17461" xr:uid="{1474A253-70E4-4D8E-ACFD-70CD2AA9C03E}"/>
    <cellStyle name="Normal 4 4 5 2 9" xfId="8342" xr:uid="{91AF696B-ECD7-42C1-96B5-2BA00358E3E6}"/>
    <cellStyle name="Normal 4 4 5 2 9 2" xfId="18290" xr:uid="{70670154-210F-4341-B5FD-21FE3F905ED5}"/>
    <cellStyle name="Normal 4 4 5 3" xfId="2123" xr:uid="{56FE9236-D652-4911-ADD6-2F22EC774A11}"/>
    <cellStyle name="Normal 4 4 5 3 2" xfId="12071" xr:uid="{7CE5DAD9-FC2A-46A2-97FB-00BD7F359D8B}"/>
    <cellStyle name="Normal 4 4 5 4" xfId="2952" xr:uid="{18EC007D-D2A9-4177-9DFF-B7403740558F}"/>
    <cellStyle name="Normal 4 4 5 4 2" xfId="12900" xr:uid="{CA2DCD5F-B858-4AB2-B57C-D072FBE46D86}"/>
    <cellStyle name="Normal 4 4 5 5" xfId="3781" xr:uid="{A22BE248-066C-4B18-B575-AC106170AE32}"/>
    <cellStyle name="Normal 4 4 5 5 2" xfId="13729" xr:uid="{9A4DB29B-590D-4D32-81C1-E4F56B73A2CF}"/>
    <cellStyle name="Normal 4 4 5 6" xfId="4610" xr:uid="{761F6889-5271-42E7-810D-92406F9C44A3}"/>
    <cellStyle name="Normal 4 4 5 6 2" xfId="14558" xr:uid="{916FD310-1D0E-4561-B871-D3F1A4060612}"/>
    <cellStyle name="Normal 4 4 5 7" xfId="5439" xr:uid="{61AFE77F-60EF-4797-AE81-A7ED9C268D35}"/>
    <cellStyle name="Normal 4 4 5 7 2" xfId="15387" xr:uid="{04C85758-368B-4FE5-9B07-88B290D955B7}"/>
    <cellStyle name="Normal 4 4 5 8" xfId="6268" xr:uid="{2C89EF5E-A389-432C-BBE6-48FC96A42822}"/>
    <cellStyle name="Normal 4 4 5 8 2" xfId="16216" xr:uid="{19D048D9-7F54-47DE-A66C-39421AA6E285}"/>
    <cellStyle name="Normal 4 4 5 9" xfId="7097" xr:uid="{8547FA97-05FD-4495-9054-8B376B177FF0}"/>
    <cellStyle name="Normal 4 4 5 9 2" xfId="17045" xr:uid="{DCFFD47B-EAF7-417C-87BD-A7CDA0FBECC8}"/>
    <cellStyle name="Normal 4 4 6" xfId="861" xr:uid="{00000000-0005-0000-0000-0000BA020000}"/>
    <cellStyle name="Normal 4 4 6 10" xfId="9156" xr:uid="{60C144C5-150D-4A4B-9F15-3B554A7684E9}"/>
    <cellStyle name="Normal 4 4 6 10 2" xfId="19104" xr:uid="{CEEBB19A-6105-4E97-BD21-950B73E01F4A}"/>
    <cellStyle name="Normal 4 4 6 11" xfId="9985" xr:uid="{D5A2E8AD-77D3-4CD2-BB62-462BE1CE2C1E}"/>
    <cellStyle name="Normal 4 4 6 11 2" xfId="19933" xr:uid="{102056A2-0A59-4DDC-9574-17FAF3CD1AC9}"/>
    <cellStyle name="Normal 4 4 6 12" xfId="10814" xr:uid="{5960A1D6-CBAC-4E4E-A7A7-5B9BAF3E718C}"/>
    <cellStyle name="Normal 4 4 6 12 2" xfId="20762" xr:uid="{40D8CB4B-0CEC-4B87-8A30-41F0AC150CFF}"/>
    <cellStyle name="Normal 4 4 6 13" xfId="1695" xr:uid="{6BEBE8A5-F670-47BF-AAB5-4D97FCDCECF1}"/>
    <cellStyle name="Normal 4 4 6 14" xfId="11643" xr:uid="{1DC7AFFE-1F7A-4830-ADC8-82A00AB9C399}"/>
    <cellStyle name="Normal 4 4 6 2" xfId="2524" xr:uid="{348BD58B-B332-4B86-9BCC-8844D9F0F257}"/>
    <cellStyle name="Normal 4 4 6 2 2" xfId="12472" xr:uid="{543EE6B5-EEAE-41E7-9779-6BB94E81F8CF}"/>
    <cellStyle name="Normal 4 4 6 3" xfId="3353" xr:uid="{DB9CE895-E03C-4D19-BBAC-53FF5077E36B}"/>
    <cellStyle name="Normal 4 4 6 3 2" xfId="13301" xr:uid="{95C62CF1-5FEF-4747-9915-7F88262C912C}"/>
    <cellStyle name="Normal 4 4 6 4" xfId="4182" xr:uid="{305F36D4-D154-4C9E-A505-A4A7C72EA6B1}"/>
    <cellStyle name="Normal 4 4 6 4 2" xfId="14130" xr:uid="{62BA85AB-26BC-4A08-B177-40814CAC24FB}"/>
    <cellStyle name="Normal 4 4 6 5" xfId="5011" xr:uid="{234D9327-4C22-468B-91DA-F7F3434A85E0}"/>
    <cellStyle name="Normal 4 4 6 5 2" xfId="14959" xr:uid="{CFBF3420-5DC1-4E0E-8E55-749C6638FE63}"/>
    <cellStyle name="Normal 4 4 6 6" xfId="5840" xr:uid="{004A0DA3-ACAD-4407-A04B-26012EEEFDEC}"/>
    <cellStyle name="Normal 4 4 6 6 2" xfId="15788" xr:uid="{189AF4E5-2932-49A9-B0B8-1585C63CC373}"/>
    <cellStyle name="Normal 4 4 6 7" xfId="6669" xr:uid="{9D9D2C5C-DE92-4C64-ACF8-91E12A51BFCA}"/>
    <cellStyle name="Normal 4 4 6 7 2" xfId="16617" xr:uid="{DB02DC4B-91F9-4A7B-87E5-13CEBB2393AA}"/>
    <cellStyle name="Normal 4 4 6 8" xfId="7498" xr:uid="{29455FA6-4436-4296-81BC-6EE5C7894304}"/>
    <cellStyle name="Normal 4 4 6 8 2" xfId="17446" xr:uid="{57C7F6CA-C84C-44E3-8C9A-C88CF12AB80E}"/>
    <cellStyle name="Normal 4 4 6 9" xfId="8327" xr:uid="{B1885186-EBE5-4FDB-8E02-7126509FCFC9}"/>
    <cellStyle name="Normal 4 4 6 9 2" xfId="18275" xr:uid="{86B08A2A-A0B3-4D9D-8702-33C18F9C01CB}"/>
    <cellStyle name="Normal 4 4 7" xfId="2108" xr:uid="{7772E0CE-7F1D-4048-B7C3-961D2345A9F8}"/>
    <cellStyle name="Normal 4 4 7 2" xfId="12056" xr:uid="{415F283D-D747-4F12-9083-62573BD81789}"/>
    <cellStyle name="Normal 4 4 8" xfId="2937" xr:uid="{24925011-1904-466D-9B7E-8BB767153207}"/>
    <cellStyle name="Normal 4 4 8 2" xfId="12885" xr:uid="{B88A4AF1-0D91-4D11-BD4B-22CE72A769D6}"/>
    <cellStyle name="Normal 4 4 9" xfId="3766" xr:uid="{8EFA155B-775A-487E-AA61-773302211CDD}"/>
    <cellStyle name="Normal 4 4 9 2" xfId="13714" xr:uid="{1F2D5AB0-D9DA-4E2B-A1A0-4A614E902512}"/>
    <cellStyle name="Normal 4 5" xfId="397" xr:uid="{00000000-0005-0000-0000-0000BB020000}"/>
    <cellStyle name="Normal 4 6" xfId="398" xr:uid="{00000000-0005-0000-0000-0000BC020000}"/>
    <cellStyle name="Normal 4 6 10" xfId="5440" xr:uid="{6643491D-F1EE-48F5-AC44-E2BC0FC751F2}"/>
    <cellStyle name="Normal 4 6 10 2" xfId="15388" xr:uid="{823F15A4-D1EF-47C5-BB53-81822F9D7461}"/>
    <cellStyle name="Normal 4 6 11" xfId="6269" xr:uid="{C6862C08-7C62-46F5-A9C4-C1B7872E7782}"/>
    <cellStyle name="Normal 4 6 11 2" xfId="16217" xr:uid="{7A65D5AF-AE95-42BC-AAD6-AC1868A282CA}"/>
    <cellStyle name="Normal 4 6 12" xfId="7098" xr:uid="{78CF9E47-89BA-45DD-975E-C913D656D0FD}"/>
    <cellStyle name="Normal 4 6 12 2" xfId="17046" xr:uid="{F71889BE-3C4B-4B52-BA54-95626B75344D}"/>
    <cellStyle name="Normal 4 6 13" xfId="7927" xr:uid="{ACE4F012-6862-49CA-A76F-53549DB5F551}"/>
    <cellStyle name="Normal 4 6 13 2" xfId="17875" xr:uid="{12365D59-9434-424C-B353-FD8B732C7215}"/>
    <cellStyle name="Normal 4 6 14" xfId="8756" xr:uid="{6FF8C992-04DA-4BF4-906C-309753F7DF80}"/>
    <cellStyle name="Normal 4 6 14 2" xfId="18704" xr:uid="{90E69C80-9EFF-470D-8370-756EA3CA96EE}"/>
    <cellStyle name="Normal 4 6 15" xfId="9585" xr:uid="{23922133-699A-44EF-B274-3500F4CF069C}"/>
    <cellStyle name="Normal 4 6 15 2" xfId="19533" xr:uid="{1EA856AD-17A7-46BD-90F5-BF4313A3E3E3}"/>
    <cellStyle name="Normal 4 6 16" xfId="10414" xr:uid="{8F914ACF-6401-4FA4-822F-9BE7CD181C71}"/>
    <cellStyle name="Normal 4 6 16 2" xfId="20362" xr:uid="{C5E947DB-755D-46DB-9594-F5B0D171BD6B}"/>
    <cellStyle name="Normal 4 6 17" xfId="1295" xr:uid="{521893BC-4FBE-4842-8FFB-C8A2CD2008D0}"/>
    <cellStyle name="Normal 4 6 18" xfId="11243" xr:uid="{617FAAEA-D0EB-47BD-A36A-059BBF6F3AD5}"/>
    <cellStyle name="Normal 4 6 2" xfId="399" xr:uid="{00000000-0005-0000-0000-0000BD020000}"/>
    <cellStyle name="Normal 4 6 2 10" xfId="6270" xr:uid="{543D0FF6-FCAE-4C61-B7B4-7E137F3B64A4}"/>
    <cellStyle name="Normal 4 6 2 10 2" xfId="16218" xr:uid="{1A3A2A1F-4043-465D-8AC0-ED3319825130}"/>
    <cellStyle name="Normal 4 6 2 11" xfId="7099" xr:uid="{27DA5B4C-60A8-490A-997F-AC1698CE63A7}"/>
    <cellStyle name="Normal 4 6 2 11 2" xfId="17047" xr:uid="{96976BF5-FFB7-478A-A3CC-4EC3DFED7326}"/>
    <cellStyle name="Normal 4 6 2 12" xfId="7928" xr:uid="{531C20CC-EA2C-4AD9-920F-60C9E2735AD2}"/>
    <cellStyle name="Normal 4 6 2 12 2" xfId="17876" xr:uid="{7B1D6CCE-3557-45CF-B204-3E4427ED3C3D}"/>
    <cellStyle name="Normal 4 6 2 13" xfId="8757" xr:uid="{CBC30082-4611-4190-A2F1-254CDCD10AEF}"/>
    <cellStyle name="Normal 4 6 2 13 2" xfId="18705" xr:uid="{8009E73B-560E-4E05-9376-B02F11F1BB66}"/>
    <cellStyle name="Normal 4 6 2 14" xfId="9586" xr:uid="{F77423B8-B3C8-4756-918D-74B82AA0CED7}"/>
    <cellStyle name="Normal 4 6 2 14 2" xfId="19534" xr:uid="{B3BE11D3-91D8-410D-AB50-B6091F621490}"/>
    <cellStyle name="Normal 4 6 2 15" xfId="10415" xr:uid="{6878482C-8D4F-432D-B72F-D1A480179707}"/>
    <cellStyle name="Normal 4 6 2 15 2" xfId="20363" xr:uid="{A6D870AF-AA8F-4202-B105-1E1311BC885A}"/>
    <cellStyle name="Normal 4 6 2 16" xfId="1296" xr:uid="{1E44DA38-EFEB-482E-B92B-B8C91BE8B27E}"/>
    <cellStyle name="Normal 4 6 2 17" xfId="11244" xr:uid="{52CE5427-2CE3-44A3-93D8-EA68D1C3354F}"/>
    <cellStyle name="Normal 4 6 2 2" xfId="400" xr:uid="{00000000-0005-0000-0000-0000BE020000}"/>
    <cellStyle name="Normal 4 6 2 2 10" xfId="7100" xr:uid="{9C5E237F-43A3-4731-BA13-66A26E3CB526}"/>
    <cellStyle name="Normal 4 6 2 2 10 2" xfId="17048" xr:uid="{DA68179C-A617-4CF7-A36B-A2E23E096ABC}"/>
    <cellStyle name="Normal 4 6 2 2 11" xfId="7929" xr:uid="{854EB157-FFA6-4280-BEEA-EAE5E01A2D3F}"/>
    <cellStyle name="Normal 4 6 2 2 11 2" xfId="17877" xr:uid="{BE92786C-168B-4FB6-9BCF-6AE96855C918}"/>
    <cellStyle name="Normal 4 6 2 2 12" xfId="8758" xr:uid="{8F59B6DA-1269-4C74-B2BE-E7B11ECFFC12}"/>
    <cellStyle name="Normal 4 6 2 2 12 2" xfId="18706" xr:uid="{7CEB3E02-CCDC-4435-88B0-81C71F662E61}"/>
    <cellStyle name="Normal 4 6 2 2 13" xfId="9587" xr:uid="{6E0440B3-6242-4604-9B92-6C6194C8BA34}"/>
    <cellStyle name="Normal 4 6 2 2 13 2" xfId="19535" xr:uid="{E1924427-4114-4DE1-AD08-A40BEC32F50F}"/>
    <cellStyle name="Normal 4 6 2 2 14" xfId="10416" xr:uid="{1C016908-45E2-4A43-BDD3-215851281440}"/>
    <cellStyle name="Normal 4 6 2 2 14 2" xfId="20364" xr:uid="{A334D824-936D-4B66-9AF8-9704A650F6EC}"/>
    <cellStyle name="Normal 4 6 2 2 15" xfId="1297" xr:uid="{3C7C6F08-2F4C-4AA2-9CE7-E87A7AAE3FB1}"/>
    <cellStyle name="Normal 4 6 2 2 16" xfId="11245" xr:uid="{86EE1F5C-2BA2-4406-9CDC-0C88D215C0E5}"/>
    <cellStyle name="Normal 4 6 2 2 2" xfId="401" xr:uid="{00000000-0005-0000-0000-0000BF020000}"/>
    <cellStyle name="Normal 4 6 2 2 2 10" xfId="7930" xr:uid="{785A2E44-44E7-46F9-BB8D-B7CAD6E02E73}"/>
    <cellStyle name="Normal 4 6 2 2 2 10 2" xfId="17878" xr:uid="{5C9BFD95-2759-4E2A-B85B-56D4F32E5400}"/>
    <cellStyle name="Normal 4 6 2 2 2 11" xfId="8759" xr:uid="{5F8FD277-F6A5-470D-BB00-A7AA61926ED8}"/>
    <cellStyle name="Normal 4 6 2 2 2 11 2" xfId="18707" xr:uid="{9EC874C7-C736-4AE5-91AA-60F1A028C262}"/>
    <cellStyle name="Normal 4 6 2 2 2 12" xfId="9588" xr:uid="{79D9C898-CCEE-4F08-990C-36253AB55873}"/>
    <cellStyle name="Normal 4 6 2 2 2 12 2" xfId="19536" xr:uid="{AC9F089F-C169-439B-B20F-320A97D1313A}"/>
    <cellStyle name="Normal 4 6 2 2 2 13" xfId="10417" xr:uid="{6DBFFFDA-90CF-4D74-BA76-2F88FDA10025}"/>
    <cellStyle name="Normal 4 6 2 2 2 13 2" xfId="20365" xr:uid="{B337CCDC-DCAC-4B14-A554-5E0915CDEB9B}"/>
    <cellStyle name="Normal 4 6 2 2 2 14" xfId="1298" xr:uid="{25587E30-0672-4656-9ECD-5E5B35C5658C}"/>
    <cellStyle name="Normal 4 6 2 2 2 15" xfId="11246" xr:uid="{4E6AD9B2-A66F-462E-8B5E-3F28276F5807}"/>
    <cellStyle name="Normal 4 6 2 2 2 2" xfId="880" xr:uid="{00000000-0005-0000-0000-0000C0020000}"/>
    <cellStyle name="Normal 4 6 2 2 2 2 10" xfId="9175" xr:uid="{4D45F27C-54A5-413E-B0A6-64B93F193362}"/>
    <cellStyle name="Normal 4 6 2 2 2 2 10 2" xfId="19123" xr:uid="{FB6D83C5-113F-4451-BBE8-9DB50889B53B}"/>
    <cellStyle name="Normal 4 6 2 2 2 2 11" xfId="10004" xr:uid="{2E64845F-E72E-4BA3-A0C7-C34A7F500423}"/>
    <cellStyle name="Normal 4 6 2 2 2 2 11 2" xfId="19952" xr:uid="{45CD96A8-FB20-456A-B100-2E7D5AB1F299}"/>
    <cellStyle name="Normal 4 6 2 2 2 2 12" xfId="10833" xr:uid="{E5673CD0-DD29-48C4-8D14-3A3B6F683FDE}"/>
    <cellStyle name="Normal 4 6 2 2 2 2 12 2" xfId="20781" xr:uid="{1ECD5438-3776-4362-ACDD-A8020ABF0F19}"/>
    <cellStyle name="Normal 4 6 2 2 2 2 13" xfId="1714" xr:uid="{7AB2D25C-8050-4ED3-AD42-38088B4E62A2}"/>
    <cellStyle name="Normal 4 6 2 2 2 2 14" xfId="11662" xr:uid="{1F191993-95E5-4FDF-948F-B978B1AF0E28}"/>
    <cellStyle name="Normal 4 6 2 2 2 2 2" xfId="2543" xr:uid="{278906A7-755B-4E13-A5BD-C8AB0B3D48E7}"/>
    <cellStyle name="Normal 4 6 2 2 2 2 2 2" xfId="12491" xr:uid="{389E1F5B-90C1-4127-B01F-C1BDAC1B3873}"/>
    <cellStyle name="Normal 4 6 2 2 2 2 3" xfId="3372" xr:uid="{9AFEA077-B874-4CC7-A629-85A9F0EFC825}"/>
    <cellStyle name="Normal 4 6 2 2 2 2 3 2" xfId="13320" xr:uid="{1D35449D-4201-4663-914A-A630B6E590F5}"/>
    <cellStyle name="Normal 4 6 2 2 2 2 4" xfId="4201" xr:uid="{BED07FA5-2187-4A96-A8F6-95468BDC41B9}"/>
    <cellStyle name="Normal 4 6 2 2 2 2 4 2" xfId="14149" xr:uid="{96F05473-0DC3-4229-AFCE-3906441CEA37}"/>
    <cellStyle name="Normal 4 6 2 2 2 2 5" xfId="5030" xr:uid="{3AEB07FB-0AB7-403C-BD4B-0143885B4C60}"/>
    <cellStyle name="Normal 4 6 2 2 2 2 5 2" xfId="14978" xr:uid="{F310EE86-E123-4E3E-B3FC-76C46E70DA17}"/>
    <cellStyle name="Normal 4 6 2 2 2 2 6" xfId="5859" xr:uid="{5F24083B-CD8A-4410-8620-D78B6001CCDB}"/>
    <cellStyle name="Normal 4 6 2 2 2 2 6 2" xfId="15807" xr:uid="{A1B83806-50DD-4BC2-BAB8-AA6A888E2F07}"/>
    <cellStyle name="Normal 4 6 2 2 2 2 7" xfId="6688" xr:uid="{71400130-8185-47C8-9FA5-D4E0220E21F9}"/>
    <cellStyle name="Normal 4 6 2 2 2 2 7 2" xfId="16636" xr:uid="{ABB02D03-4C48-4D32-95D2-FEC3BE63D58C}"/>
    <cellStyle name="Normal 4 6 2 2 2 2 8" xfId="7517" xr:uid="{5E7718BE-4B73-4871-B2FF-5745D43139F2}"/>
    <cellStyle name="Normal 4 6 2 2 2 2 8 2" xfId="17465" xr:uid="{245B7A74-A9B2-4682-BBBE-E603A085F4A5}"/>
    <cellStyle name="Normal 4 6 2 2 2 2 9" xfId="8346" xr:uid="{AA47D711-7BEE-4119-A9A6-2A489CE13227}"/>
    <cellStyle name="Normal 4 6 2 2 2 2 9 2" xfId="18294" xr:uid="{E6B2BFDF-FF9E-41E9-921E-95693F999A0A}"/>
    <cellStyle name="Normal 4 6 2 2 2 3" xfId="2127" xr:uid="{620A9433-62E4-4595-9A0F-BF30F7D49C58}"/>
    <cellStyle name="Normal 4 6 2 2 2 3 2" xfId="12075" xr:uid="{0226AD48-947C-4166-8ECA-E67C06BEE40C}"/>
    <cellStyle name="Normal 4 6 2 2 2 4" xfId="2956" xr:uid="{C787548F-2BE2-4545-874F-A8D71CA35F6C}"/>
    <cellStyle name="Normal 4 6 2 2 2 4 2" xfId="12904" xr:uid="{75EE2CC6-B321-487E-BF9D-979E70054131}"/>
    <cellStyle name="Normal 4 6 2 2 2 5" xfId="3785" xr:uid="{FE869785-BBCC-4078-8C15-8FA84B620255}"/>
    <cellStyle name="Normal 4 6 2 2 2 5 2" xfId="13733" xr:uid="{3BF6378A-068E-4614-8790-29EA14CB1B76}"/>
    <cellStyle name="Normal 4 6 2 2 2 6" xfId="4614" xr:uid="{CB909D8A-2D7F-492B-8B1B-BBBF5B283C63}"/>
    <cellStyle name="Normal 4 6 2 2 2 6 2" xfId="14562" xr:uid="{031F2341-62FA-47C5-A9D1-08C6F7C24826}"/>
    <cellStyle name="Normal 4 6 2 2 2 7" xfId="5443" xr:uid="{2E6285B8-9E68-484D-8769-961ED0A41A86}"/>
    <cellStyle name="Normal 4 6 2 2 2 7 2" xfId="15391" xr:uid="{9AE6C921-209C-455B-B532-D9D617D688C0}"/>
    <cellStyle name="Normal 4 6 2 2 2 8" xfId="6272" xr:uid="{DA70603C-0289-4C43-AC0E-A83B8BFF1EF7}"/>
    <cellStyle name="Normal 4 6 2 2 2 8 2" xfId="16220" xr:uid="{0B2E88DF-D103-44EC-AA7C-CFA7044BA638}"/>
    <cellStyle name="Normal 4 6 2 2 2 9" xfId="7101" xr:uid="{4E47AA1D-9563-430E-8B1D-7FC36F81D621}"/>
    <cellStyle name="Normal 4 6 2 2 2 9 2" xfId="17049" xr:uid="{CFFBBBD5-9F6F-466D-B343-99F043F6B0B8}"/>
    <cellStyle name="Normal 4 6 2 2 3" xfId="879" xr:uid="{00000000-0005-0000-0000-0000C1020000}"/>
    <cellStyle name="Normal 4 6 2 2 3 10" xfId="9174" xr:uid="{65656154-BC57-42F6-85CF-8B796FCC4A76}"/>
    <cellStyle name="Normal 4 6 2 2 3 10 2" xfId="19122" xr:uid="{6616C8A7-4C36-43FF-B9A6-CF3E061B08B7}"/>
    <cellStyle name="Normal 4 6 2 2 3 11" xfId="10003" xr:uid="{E076D506-C7B6-456E-8298-71080F607407}"/>
    <cellStyle name="Normal 4 6 2 2 3 11 2" xfId="19951" xr:uid="{973B9A1C-D626-4D9F-AEEF-9C4AFE9BBCC9}"/>
    <cellStyle name="Normal 4 6 2 2 3 12" xfId="10832" xr:uid="{9316852C-CDC6-4F2A-990C-5CE467FAA857}"/>
    <cellStyle name="Normal 4 6 2 2 3 12 2" xfId="20780" xr:uid="{F9DAE81F-6A39-46F5-862E-014C2CB33A4B}"/>
    <cellStyle name="Normal 4 6 2 2 3 13" xfId="1713" xr:uid="{45DB2D7D-5CD7-41C8-944A-B33BE3902870}"/>
    <cellStyle name="Normal 4 6 2 2 3 14" xfId="11661" xr:uid="{4A572AD5-AB66-4867-AEA7-3BAF51416FC7}"/>
    <cellStyle name="Normal 4 6 2 2 3 2" xfId="2542" xr:uid="{781983FE-D08E-443F-8639-158C439D64F1}"/>
    <cellStyle name="Normal 4 6 2 2 3 2 2" xfId="12490" xr:uid="{4797B8B6-2F86-42E3-A79F-4AC3F29A948D}"/>
    <cellStyle name="Normal 4 6 2 2 3 3" xfId="3371" xr:uid="{F03D07D4-97E9-47D9-BF14-688444D7EB99}"/>
    <cellStyle name="Normal 4 6 2 2 3 3 2" xfId="13319" xr:uid="{FFFA235E-C720-4BBA-B642-DD8D115497ED}"/>
    <cellStyle name="Normal 4 6 2 2 3 4" xfId="4200" xr:uid="{A05F9BF5-1B2E-4303-A221-DCF6A7149653}"/>
    <cellStyle name="Normal 4 6 2 2 3 4 2" xfId="14148" xr:uid="{20F3D3A4-F477-4C7D-B22F-0E164FF120F1}"/>
    <cellStyle name="Normal 4 6 2 2 3 5" xfId="5029" xr:uid="{D3AF20E5-567D-4808-B649-10A2B5F74BEC}"/>
    <cellStyle name="Normal 4 6 2 2 3 5 2" xfId="14977" xr:uid="{7C3554CE-5DC7-4A2D-8B21-3C98063636E3}"/>
    <cellStyle name="Normal 4 6 2 2 3 6" xfId="5858" xr:uid="{99E174B0-0F8C-4B0E-9835-01A98373BBAC}"/>
    <cellStyle name="Normal 4 6 2 2 3 6 2" xfId="15806" xr:uid="{3FB23BBD-AFDF-4F15-8117-AB9CB0E5510F}"/>
    <cellStyle name="Normal 4 6 2 2 3 7" xfId="6687" xr:uid="{990E3729-A47E-4C92-8FCD-0948F8922F91}"/>
    <cellStyle name="Normal 4 6 2 2 3 7 2" xfId="16635" xr:uid="{6E7E8896-9562-4503-8C40-67261870B478}"/>
    <cellStyle name="Normal 4 6 2 2 3 8" xfId="7516" xr:uid="{FEE90234-6F7C-4504-9710-952020CC3AC1}"/>
    <cellStyle name="Normal 4 6 2 2 3 8 2" xfId="17464" xr:uid="{BAB3C37B-814C-418A-BAD3-A9D22BF529BD}"/>
    <cellStyle name="Normal 4 6 2 2 3 9" xfId="8345" xr:uid="{E529D98D-BBEB-4D1E-BC27-C214690FFFAC}"/>
    <cellStyle name="Normal 4 6 2 2 3 9 2" xfId="18293" xr:uid="{AB51C732-6A3E-4675-A273-CA02A481CB27}"/>
    <cellStyle name="Normal 4 6 2 2 4" xfId="2126" xr:uid="{68F8EBB8-C0F9-45AA-9DF5-CF4A8B7528C3}"/>
    <cellStyle name="Normal 4 6 2 2 4 2" xfId="12074" xr:uid="{B079420D-CE65-4880-B4EE-E0FE1B3EC2A3}"/>
    <cellStyle name="Normal 4 6 2 2 5" xfId="2955" xr:uid="{D47E2AC3-397B-4AEC-8E93-17CC3EDD5182}"/>
    <cellStyle name="Normal 4 6 2 2 5 2" xfId="12903" xr:uid="{3764E4DA-A361-4440-94AD-6E5DD24E4551}"/>
    <cellStyle name="Normal 4 6 2 2 6" xfId="3784" xr:uid="{A014F7EF-73C4-46FC-B0D6-19292E1DD871}"/>
    <cellStyle name="Normal 4 6 2 2 6 2" xfId="13732" xr:uid="{705D3030-DC76-40A5-B78E-EAED4BF9299C}"/>
    <cellStyle name="Normal 4 6 2 2 7" xfId="4613" xr:uid="{A56B4A79-42C1-4E03-BDEE-DEC4A93786AC}"/>
    <cellStyle name="Normal 4 6 2 2 7 2" xfId="14561" xr:uid="{D6FF3768-0AF4-44BD-A8AE-D0BD45218259}"/>
    <cellStyle name="Normal 4 6 2 2 8" xfId="5442" xr:uid="{012D30AB-8023-4687-A3BB-4F6CBF948556}"/>
    <cellStyle name="Normal 4 6 2 2 8 2" xfId="15390" xr:uid="{6BD3E3CF-D981-4330-B0AF-692EC2770843}"/>
    <cellStyle name="Normal 4 6 2 2 9" xfId="6271" xr:uid="{B9295466-C5A3-4A3B-987C-C0B6B9AB0A91}"/>
    <cellStyle name="Normal 4 6 2 2 9 2" xfId="16219" xr:uid="{AF1B5076-15A0-4869-8F1B-86C1F6541757}"/>
    <cellStyle name="Normal 4 6 2 3" xfId="402" xr:uid="{00000000-0005-0000-0000-0000C2020000}"/>
    <cellStyle name="Normal 4 6 2 3 10" xfId="7931" xr:uid="{8D9007D5-BA14-4D62-9ED6-D954464281D2}"/>
    <cellStyle name="Normal 4 6 2 3 10 2" xfId="17879" xr:uid="{827F57AB-4476-490A-A737-3F46340888EA}"/>
    <cellStyle name="Normal 4 6 2 3 11" xfId="8760" xr:uid="{B451EC4C-D643-422B-8657-85E55161B892}"/>
    <cellStyle name="Normal 4 6 2 3 11 2" xfId="18708" xr:uid="{E7BB68B2-7D91-4FE7-9542-8F683BB816D8}"/>
    <cellStyle name="Normal 4 6 2 3 12" xfId="9589" xr:uid="{2D34F3DF-0BFA-4BA0-8972-EED51D0470FE}"/>
    <cellStyle name="Normal 4 6 2 3 12 2" xfId="19537" xr:uid="{F3096EC3-127A-48FB-9AAA-74116572B28C}"/>
    <cellStyle name="Normal 4 6 2 3 13" xfId="10418" xr:uid="{61920AF4-B23F-4D32-B808-7FBCAF06F559}"/>
    <cellStyle name="Normal 4 6 2 3 13 2" xfId="20366" xr:uid="{E265F2D8-C810-43C7-B707-559F1B337FEE}"/>
    <cellStyle name="Normal 4 6 2 3 14" xfId="1299" xr:uid="{42F11113-5E2E-475F-9EEA-9C4CCE70DDF2}"/>
    <cellStyle name="Normal 4 6 2 3 15" xfId="11247" xr:uid="{D9FE796D-B54C-43DF-9AB6-BCB30890DEDD}"/>
    <cellStyle name="Normal 4 6 2 3 2" xfId="881" xr:uid="{00000000-0005-0000-0000-0000C3020000}"/>
    <cellStyle name="Normal 4 6 2 3 2 10" xfId="9176" xr:uid="{ED0AE625-3A1D-44BC-8698-ADDBBFFD3421}"/>
    <cellStyle name="Normal 4 6 2 3 2 10 2" xfId="19124" xr:uid="{6F1D3CCA-3E9E-4266-A7C6-63AA6974F9FF}"/>
    <cellStyle name="Normal 4 6 2 3 2 11" xfId="10005" xr:uid="{6C67E8D4-8B37-49E6-AF53-E5414EC4993D}"/>
    <cellStyle name="Normal 4 6 2 3 2 11 2" xfId="19953" xr:uid="{32100E93-AF36-48C3-932F-AC2C1F70871A}"/>
    <cellStyle name="Normal 4 6 2 3 2 12" xfId="10834" xr:uid="{505715D2-243B-4701-AF92-513E3788BF0D}"/>
    <cellStyle name="Normal 4 6 2 3 2 12 2" xfId="20782" xr:uid="{E25DE5F3-E0ED-4FB1-B264-B74F6872E76A}"/>
    <cellStyle name="Normal 4 6 2 3 2 13" xfId="1715" xr:uid="{8E286823-1B31-4F7B-9B4B-ED78CD5BDF2C}"/>
    <cellStyle name="Normal 4 6 2 3 2 14" xfId="11663" xr:uid="{CC8E02BA-CE39-44BF-BC70-0A353CE0E857}"/>
    <cellStyle name="Normal 4 6 2 3 2 2" xfId="2544" xr:uid="{05C52E91-42B9-4122-B0E3-D6FB5EE4D78A}"/>
    <cellStyle name="Normal 4 6 2 3 2 2 2" xfId="12492" xr:uid="{19C1B358-8B39-487C-A68D-2ECE00D7A8D2}"/>
    <cellStyle name="Normal 4 6 2 3 2 3" xfId="3373" xr:uid="{FA6F067A-2A0C-4BFC-9378-E9ED5E30DBE6}"/>
    <cellStyle name="Normal 4 6 2 3 2 3 2" xfId="13321" xr:uid="{C7F49C2D-6943-4FB7-BEBF-65A617560DEB}"/>
    <cellStyle name="Normal 4 6 2 3 2 4" xfId="4202" xr:uid="{4B09809D-06C1-4F85-BE3D-163E14E66581}"/>
    <cellStyle name="Normal 4 6 2 3 2 4 2" xfId="14150" xr:uid="{CDBEC3DC-5B48-45C3-A379-708E97244CD4}"/>
    <cellStyle name="Normal 4 6 2 3 2 5" xfId="5031" xr:uid="{B9F84E03-06AE-4076-8F2D-91A2603FF36E}"/>
    <cellStyle name="Normal 4 6 2 3 2 5 2" xfId="14979" xr:uid="{98E1C7BD-E02E-4EA6-8BE8-E9357C78219C}"/>
    <cellStyle name="Normal 4 6 2 3 2 6" xfId="5860" xr:uid="{030501F0-CB01-47D9-96A7-108024B53F56}"/>
    <cellStyle name="Normal 4 6 2 3 2 6 2" xfId="15808" xr:uid="{E382A953-38DD-4F1F-BF74-B7953B7EE600}"/>
    <cellStyle name="Normal 4 6 2 3 2 7" xfId="6689" xr:uid="{69081C77-AB8A-4EDB-A1B0-FA28D8C8EAFD}"/>
    <cellStyle name="Normal 4 6 2 3 2 7 2" xfId="16637" xr:uid="{0C09FD45-AA66-48E4-A6C4-5A8F3A9721F2}"/>
    <cellStyle name="Normal 4 6 2 3 2 8" xfId="7518" xr:uid="{F94D58FB-7F52-45B7-AEC9-C5756EA9B4F5}"/>
    <cellStyle name="Normal 4 6 2 3 2 8 2" xfId="17466" xr:uid="{1BA9DDB3-A7F7-4DB1-835E-3519E379BD1B}"/>
    <cellStyle name="Normal 4 6 2 3 2 9" xfId="8347" xr:uid="{08D470DD-AA98-4230-9FAD-55E3CC777285}"/>
    <cellStyle name="Normal 4 6 2 3 2 9 2" xfId="18295" xr:uid="{DFB846AB-BB98-49BA-BA74-41F5D3AFDDF8}"/>
    <cellStyle name="Normal 4 6 2 3 3" xfId="2128" xr:uid="{0506A31F-3DE9-4EE8-8570-C39852480B7A}"/>
    <cellStyle name="Normal 4 6 2 3 3 2" xfId="12076" xr:uid="{ABE64523-206A-4E85-8114-BEE060E57287}"/>
    <cellStyle name="Normal 4 6 2 3 4" xfId="2957" xr:uid="{FFD0BD3A-B696-4DA6-9B32-A15F2673B153}"/>
    <cellStyle name="Normal 4 6 2 3 4 2" xfId="12905" xr:uid="{347B8B80-74C1-48A0-92D7-3B994FF568D0}"/>
    <cellStyle name="Normal 4 6 2 3 5" xfId="3786" xr:uid="{EC1CFB21-37DB-47F6-9678-06D3A23DA67D}"/>
    <cellStyle name="Normal 4 6 2 3 5 2" xfId="13734" xr:uid="{D3244620-BB39-40FC-BC49-D469F3C593B6}"/>
    <cellStyle name="Normal 4 6 2 3 6" xfId="4615" xr:uid="{01D4767E-DA6F-42F7-85C1-6372DA7EACDA}"/>
    <cellStyle name="Normal 4 6 2 3 6 2" xfId="14563" xr:uid="{AFA83C0E-9E64-475C-889B-0732F847D5CC}"/>
    <cellStyle name="Normal 4 6 2 3 7" xfId="5444" xr:uid="{3ABD2CA3-4DC1-4DB4-8211-A7D1D333572B}"/>
    <cellStyle name="Normal 4 6 2 3 7 2" xfId="15392" xr:uid="{EC02EC82-43D7-4DF4-A126-D356F9106899}"/>
    <cellStyle name="Normal 4 6 2 3 8" xfId="6273" xr:uid="{F6C1E737-6464-4DB9-A4EF-A24340E2A882}"/>
    <cellStyle name="Normal 4 6 2 3 8 2" xfId="16221" xr:uid="{B43B9DA0-BA11-4A34-ABB1-631B0558CBE0}"/>
    <cellStyle name="Normal 4 6 2 3 9" xfId="7102" xr:uid="{576FB254-CFFA-4D35-BA6E-906D1C0C4FB4}"/>
    <cellStyle name="Normal 4 6 2 3 9 2" xfId="17050" xr:uid="{0DE17F64-BB7C-4891-9211-16EAEF768341}"/>
    <cellStyle name="Normal 4 6 2 4" xfId="878" xr:uid="{00000000-0005-0000-0000-0000C4020000}"/>
    <cellStyle name="Normal 4 6 2 4 10" xfId="9173" xr:uid="{85DF9119-E6A4-4E26-8C73-15E2F1424FE9}"/>
    <cellStyle name="Normal 4 6 2 4 10 2" xfId="19121" xr:uid="{02C2B432-6C6D-4A50-AB89-D9CDFEF2DE27}"/>
    <cellStyle name="Normal 4 6 2 4 11" xfId="10002" xr:uid="{F26BE91B-BE3F-4112-B88D-B9A747F781E4}"/>
    <cellStyle name="Normal 4 6 2 4 11 2" xfId="19950" xr:uid="{3BC760AE-D245-4530-B1E1-A4D9F547A569}"/>
    <cellStyle name="Normal 4 6 2 4 12" xfId="10831" xr:uid="{F0E1CB52-6A13-4A61-A9EF-75BCD5D8947C}"/>
    <cellStyle name="Normal 4 6 2 4 12 2" xfId="20779" xr:uid="{3ADB3E58-B6C3-4277-9F8C-42948B5C5D71}"/>
    <cellStyle name="Normal 4 6 2 4 13" xfId="1712" xr:uid="{3DD52308-0D08-455E-BA87-C69F808C825E}"/>
    <cellStyle name="Normal 4 6 2 4 14" xfId="11660" xr:uid="{A309BAE0-2B6F-4790-A391-B0A14852FD90}"/>
    <cellStyle name="Normal 4 6 2 4 2" xfId="2541" xr:uid="{B55BF4A7-C60E-4A5E-BA58-D42EFC3B618D}"/>
    <cellStyle name="Normal 4 6 2 4 2 2" xfId="12489" xr:uid="{9F762D66-4A0C-4DD9-8116-A6A21EADB5CA}"/>
    <cellStyle name="Normal 4 6 2 4 3" xfId="3370" xr:uid="{728BC6C0-EF17-45C1-8249-E105DF0992AE}"/>
    <cellStyle name="Normal 4 6 2 4 3 2" xfId="13318" xr:uid="{2245D292-D3FF-4C61-8483-CE693B6E0428}"/>
    <cellStyle name="Normal 4 6 2 4 4" xfId="4199" xr:uid="{05F20B7B-8E86-4E60-AAE5-A56C5D2A2813}"/>
    <cellStyle name="Normal 4 6 2 4 4 2" xfId="14147" xr:uid="{3F22CB0D-DBF8-4565-8C7A-5DAE94E54C9D}"/>
    <cellStyle name="Normal 4 6 2 4 5" xfId="5028" xr:uid="{A6D9FE9D-F59D-46DE-98E2-7F8B5B4AA70E}"/>
    <cellStyle name="Normal 4 6 2 4 5 2" xfId="14976" xr:uid="{5AD8D79F-8AA1-457C-8C2B-631FDC8B65CC}"/>
    <cellStyle name="Normal 4 6 2 4 6" xfId="5857" xr:uid="{A1A742C0-9FD8-4573-B390-E61DA257D608}"/>
    <cellStyle name="Normal 4 6 2 4 6 2" xfId="15805" xr:uid="{4C692A0F-F6E3-47B2-82E3-21C8F60045A5}"/>
    <cellStyle name="Normal 4 6 2 4 7" xfId="6686" xr:uid="{39E84072-72A6-41A2-A6EC-15704BAE8B51}"/>
    <cellStyle name="Normal 4 6 2 4 7 2" xfId="16634" xr:uid="{E360C9CD-AAD4-4D00-9C7A-53D752DBADFF}"/>
    <cellStyle name="Normal 4 6 2 4 8" xfId="7515" xr:uid="{B914926F-AFC5-4E0E-95DF-E6BBA98B28CC}"/>
    <cellStyle name="Normal 4 6 2 4 8 2" xfId="17463" xr:uid="{25D275A5-A8C2-474E-86E0-393564155A0E}"/>
    <cellStyle name="Normal 4 6 2 4 9" xfId="8344" xr:uid="{DEC39768-B82A-4038-8A9C-0ACBBED084AE}"/>
    <cellStyle name="Normal 4 6 2 4 9 2" xfId="18292" xr:uid="{CD7EB3D4-E061-4015-B990-45A6B407C6E6}"/>
    <cellStyle name="Normal 4 6 2 5" xfId="2125" xr:uid="{E32B8612-CAE4-4548-BBE6-DFE7FBE8C32B}"/>
    <cellStyle name="Normal 4 6 2 5 2" xfId="12073" xr:uid="{86319507-3984-43CF-A4C1-AAF2E7DB43B1}"/>
    <cellStyle name="Normal 4 6 2 6" xfId="2954" xr:uid="{F201A5A9-AE6D-457E-BEEA-E6A952D3B32E}"/>
    <cellStyle name="Normal 4 6 2 6 2" xfId="12902" xr:uid="{3A85B300-09A8-49B0-BC0E-79E026239AF2}"/>
    <cellStyle name="Normal 4 6 2 7" xfId="3783" xr:uid="{CDD9A0C8-0BDB-4849-8F5C-0EA84E4EFB25}"/>
    <cellStyle name="Normal 4 6 2 7 2" xfId="13731" xr:uid="{DF528D04-9320-495B-8522-715CC8178579}"/>
    <cellStyle name="Normal 4 6 2 8" xfId="4612" xr:uid="{B9D42A63-ED98-4CE0-BC70-697E49C0146C}"/>
    <cellStyle name="Normal 4 6 2 8 2" xfId="14560" xr:uid="{630D9B53-48AB-4653-8910-7909761E5BC3}"/>
    <cellStyle name="Normal 4 6 2 9" xfId="5441" xr:uid="{59CA9091-20D2-4A62-903A-4AD29CF0159C}"/>
    <cellStyle name="Normal 4 6 2 9 2" xfId="15389" xr:uid="{09DBC644-48C8-46DB-A54C-CC6DAB6B65A1}"/>
    <cellStyle name="Normal 4 6 3" xfId="403" xr:uid="{00000000-0005-0000-0000-0000C5020000}"/>
    <cellStyle name="Normal 4 6 3 10" xfId="7103" xr:uid="{2510768C-72CD-4773-855B-770091EA6879}"/>
    <cellStyle name="Normal 4 6 3 10 2" xfId="17051" xr:uid="{6AE9DF96-EB53-43DC-8913-5057A272BA5E}"/>
    <cellStyle name="Normal 4 6 3 11" xfId="7932" xr:uid="{90DFF0D7-EE8A-4200-B6FD-B9301922F4B9}"/>
    <cellStyle name="Normal 4 6 3 11 2" xfId="17880" xr:uid="{12E01459-87CD-42ED-A9F5-9486F555CF90}"/>
    <cellStyle name="Normal 4 6 3 12" xfId="8761" xr:uid="{EBFF0404-011C-485C-B100-BC5D6B38E14F}"/>
    <cellStyle name="Normal 4 6 3 12 2" xfId="18709" xr:uid="{3CDCBB4C-C34D-42D5-8AE8-B881968BB8E1}"/>
    <cellStyle name="Normal 4 6 3 13" xfId="9590" xr:uid="{A8382F7D-E95C-4B59-9463-45DC31E93FDA}"/>
    <cellStyle name="Normal 4 6 3 13 2" xfId="19538" xr:uid="{B8CAF237-F359-4CB3-8166-8616CB8478F4}"/>
    <cellStyle name="Normal 4 6 3 14" xfId="10419" xr:uid="{C55347D3-0B86-4033-8C8F-BD6B76F20400}"/>
    <cellStyle name="Normal 4 6 3 14 2" xfId="20367" xr:uid="{18EA14C9-1A72-4EA0-8709-402DE2A22AA2}"/>
    <cellStyle name="Normal 4 6 3 15" xfId="1300" xr:uid="{1E69E9D7-AEA5-44F4-9ED1-5ED13DD4C773}"/>
    <cellStyle name="Normal 4 6 3 16" xfId="11248" xr:uid="{F61C7042-DF70-49CA-9B45-44F51B55A003}"/>
    <cellStyle name="Normal 4 6 3 2" xfId="404" xr:uid="{00000000-0005-0000-0000-0000C6020000}"/>
    <cellStyle name="Normal 4 6 3 2 10" xfId="7933" xr:uid="{6F68ABD2-7A93-44B7-8D22-B5BA2244E388}"/>
    <cellStyle name="Normal 4 6 3 2 10 2" xfId="17881" xr:uid="{B3A241FF-1F3A-4E6B-A4D4-DB226FA9081E}"/>
    <cellStyle name="Normal 4 6 3 2 11" xfId="8762" xr:uid="{EC6FF7D8-B45D-4E05-8F9F-FFBD25C3D82F}"/>
    <cellStyle name="Normal 4 6 3 2 11 2" xfId="18710" xr:uid="{2ECB009A-A73F-470B-884E-8A168DAAB412}"/>
    <cellStyle name="Normal 4 6 3 2 12" xfId="9591" xr:uid="{C01EAE12-0ECA-4547-A462-6A8EA722784C}"/>
    <cellStyle name="Normal 4 6 3 2 12 2" xfId="19539" xr:uid="{282E747A-4338-4420-A6FA-8B38F7131166}"/>
    <cellStyle name="Normal 4 6 3 2 13" xfId="10420" xr:uid="{3B7BEAC8-3E8E-42A9-A6BB-0BEBC4447132}"/>
    <cellStyle name="Normal 4 6 3 2 13 2" xfId="20368" xr:uid="{66C3B1F4-4AA3-46D6-A5EE-AC75F2AB500F}"/>
    <cellStyle name="Normal 4 6 3 2 14" xfId="1301" xr:uid="{C28678A0-6D1F-4CB5-8FA5-84CB83BF3345}"/>
    <cellStyle name="Normal 4 6 3 2 15" xfId="11249" xr:uid="{EBC2336D-2884-4F89-BC62-3DBB2563DBFC}"/>
    <cellStyle name="Normal 4 6 3 2 2" xfId="883" xr:uid="{00000000-0005-0000-0000-0000C7020000}"/>
    <cellStyle name="Normal 4 6 3 2 2 10" xfId="9178" xr:uid="{06910D93-F0E2-4BB1-BA59-4AEEE4C53D60}"/>
    <cellStyle name="Normal 4 6 3 2 2 10 2" xfId="19126" xr:uid="{E9033E48-AE97-4589-BB50-A7A4B9193305}"/>
    <cellStyle name="Normal 4 6 3 2 2 11" xfId="10007" xr:uid="{656CF639-2F9F-475B-A4D4-6A09B3134F5D}"/>
    <cellStyle name="Normal 4 6 3 2 2 11 2" xfId="19955" xr:uid="{2AAD697C-9446-4446-9DDB-01AF39D7F43F}"/>
    <cellStyle name="Normal 4 6 3 2 2 12" xfId="10836" xr:uid="{9CF29C59-1098-47C3-B9FB-BEC8D748BF99}"/>
    <cellStyle name="Normal 4 6 3 2 2 12 2" xfId="20784" xr:uid="{2EC06AFB-1AB5-4619-8F5E-259260305DBC}"/>
    <cellStyle name="Normal 4 6 3 2 2 13" xfId="1717" xr:uid="{1213769B-99D8-40ED-9136-BCEF982F414B}"/>
    <cellStyle name="Normal 4 6 3 2 2 14" xfId="11665" xr:uid="{09D74C7F-8686-4692-89D0-D2366F2FBA65}"/>
    <cellStyle name="Normal 4 6 3 2 2 2" xfId="2546" xr:uid="{8171508F-5288-4217-9612-3F5EF26AFD5A}"/>
    <cellStyle name="Normal 4 6 3 2 2 2 2" xfId="12494" xr:uid="{AA3AAD20-E0AF-4416-AB9F-60CF3A8116C0}"/>
    <cellStyle name="Normal 4 6 3 2 2 3" xfId="3375" xr:uid="{B0A8B76D-D718-421E-AF3E-ABC9559931AB}"/>
    <cellStyle name="Normal 4 6 3 2 2 3 2" xfId="13323" xr:uid="{97B5D446-978F-404D-B6F8-22C56997FE3E}"/>
    <cellStyle name="Normal 4 6 3 2 2 4" xfId="4204" xr:uid="{4D85212D-27E0-4B56-ABD2-46F1CFA5C477}"/>
    <cellStyle name="Normal 4 6 3 2 2 4 2" xfId="14152" xr:uid="{4F0AB2CB-4BD0-4E0F-9ED5-ACFBD6D27F67}"/>
    <cellStyle name="Normal 4 6 3 2 2 5" xfId="5033" xr:uid="{7C6AFEA7-8020-4C76-8F16-7BDE21AAA272}"/>
    <cellStyle name="Normal 4 6 3 2 2 5 2" xfId="14981" xr:uid="{51CC1C0C-BF26-456E-982E-099E7BD49D33}"/>
    <cellStyle name="Normal 4 6 3 2 2 6" xfId="5862" xr:uid="{B25EED88-38AA-4D7E-97F0-8292DB033E84}"/>
    <cellStyle name="Normal 4 6 3 2 2 6 2" xfId="15810" xr:uid="{61043899-D64F-4445-93F9-0279D4376851}"/>
    <cellStyle name="Normal 4 6 3 2 2 7" xfId="6691" xr:uid="{5F4460FE-705C-4EEE-A1BF-A6760F3BAD9D}"/>
    <cellStyle name="Normal 4 6 3 2 2 7 2" xfId="16639" xr:uid="{308E95A2-9C94-41C0-B886-3096AF3A3B92}"/>
    <cellStyle name="Normal 4 6 3 2 2 8" xfId="7520" xr:uid="{D97FB321-3E7D-4D2F-BC55-B9CFAB24F9FE}"/>
    <cellStyle name="Normal 4 6 3 2 2 8 2" xfId="17468" xr:uid="{F7C5A146-8231-438D-8951-5C822C9BE093}"/>
    <cellStyle name="Normal 4 6 3 2 2 9" xfId="8349" xr:uid="{D8C52947-F8EA-42EC-A0D0-C4E29D92DD77}"/>
    <cellStyle name="Normal 4 6 3 2 2 9 2" xfId="18297" xr:uid="{BF1B07DA-446A-4117-9FEC-9E1B91CA2F53}"/>
    <cellStyle name="Normal 4 6 3 2 3" xfId="2130" xr:uid="{9A33F2BB-E4E5-4DA5-BE67-BBB3FC5E14DA}"/>
    <cellStyle name="Normal 4 6 3 2 3 2" xfId="12078" xr:uid="{33549DC9-692B-4039-BB77-6967FB76C211}"/>
    <cellStyle name="Normal 4 6 3 2 4" xfId="2959" xr:uid="{3423133D-11CB-4E21-9023-85A1C7D571C0}"/>
    <cellStyle name="Normal 4 6 3 2 4 2" xfId="12907" xr:uid="{7E3CD0C0-D2E6-45E7-B984-DEE281CBBE64}"/>
    <cellStyle name="Normal 4 6 3 2 5" xfId="3788" xr:uid="{475E11C1-7CF9-4489-BECF-1D996A6E72D2}"/>
    <cellStyle name="Normal 4 6 3 2 5 2" xfId="13736" xr:uid="{443D502D-6483-4511-B008-8580B84C1701}"/>
    <cellStyle name="Normal 4 6 3 2 6" xfId="4617" xr:uid="{45DD56AA-F0CE-40B7-9E4F-90D871791FDB}"/>
    <cellStyle name="Normal 4 6 3 2 6 2" xfId="14565" xr:uid="{62091F84-629E-43EC-8AD1-DF055B81DFBE}"/>
    <cellStyle name="Normal 4 6 3 2 7" xfId="5446" xr:uid="{4E7D7228-C46E-453E-8BDC-D07A16304BB2}"/>
    <cellStyle name="Normal 4 6 3 2 7 2" xfId="15394" xr:uid="{8654EA5A-DC32-4F41-87C3-E7156E24990E}"/>
    <cellStyle name="Normal 4 6 3 2 8" xfId="6275" xr:uid="{4508D570-A8D3-4C87-A383-1C04E2F0B3EB}"/>
    <cellStyle name="Normal 4 6 3 2 8 2" xfId="16223" xr:uid="{446AF3E4-0111-4CE9-8E56-8677EE2B6147}"/>
    <cellStyle name="Normal 4 6 3 2 9" xfId="7104" xr:uid="{172F149A-B9F9-401B-B5F2-7A8BB6167243}"/>
    <cellStyle name="Normal 4 6 3 2 9 2" xfId="17052" xr:uid="{88C25502-64AD-4D32-98B1-CB5D544FA30C}"/>
    <cellStyle name="Normal 4 6 3 3" xfId="882" xr:uid="{00000000-0005-0000-0000-0000C8020000}"/>
    <cellStyle name="Normal 4 6 3 3 10" xfId="9177" xr:uid="{17FEF936-8F35-4018-B924-A0413F5D74D6}"/>
    <cellStyle name="Normal 4 6 3 3 10 2" xfId="19125" xr:uid="{8042FB23-E5AF-4962-92E5-6580C0A9E42E}"/>
    <cellStyle name="Normal 4 6 3 3 11" xfId="10006" xr:uid="{553CFBED-D512-41D5-BA9C-114C091D8C87}"/>
    <cellStyle name="Normal 4 6 3 3 11 2" xfId="19954" xr:uid="{3060FBEF-B865-4782-81F4-4BD8E8ABF3AC}"/>
    <cellStyle name="Normal 4 6 3 3 12" xfId="10835" xr:uid="{D05CA8FC-8324-4878-9F69-F261845329E8}"/>
    <cellStyle name="Normal 4 6 3 3 12 2" xfId="20783" xr:uid="{C7DDE53D-FD58-4C8B-9EB0-F843867E5F69}"/>
    <cellStyle name="Normal 4 6 3 3 13" xfId="1716" xr:uid="{A50DC1B0-CBA5-42C7-B3F4-A547F76976A8}"/>
    <cellStyle name="Normal 4 6 3 3 14" xfId="11664" xr:uid="{E1409347-1327-4081-93BE-D7FCD6FA7C18}"/>
    <cellStyle name="Normal 4 6 3 3 2" xfId="2545" xr:uid="{05B9AB6D-CB3C-40F9-8A58-90BA241ABDAE}"/>
    <cellStyle name="Normal 4 6 3 3 2 2" xfId="12493" xr:uid="{CFEB8588-0AD3-4C78-947A-F198BBD583E0}"/>
    <cellStyle name="Normal 4 6 3 3 3" xfId="3374" xr:uid="{7DB73C09-8CD7-4578-B567-E7CC0403DBEA}"/>
    <cellStyle name="Normal 4 6 3 3 3 2" xfId="13322" xr:uid="{3E95E9DA-E185-4A1E-9CD1-84093D4696C4}"/>
    <cellStyle name="Normal 4 6 3 3 4" xfId="4203" xr:uid="{E5DDF2C2-AA1B-4E11-8112-C691C34432CA}"/>
    <cellStyle name="Normal 4 6 3 3 4 2" xfId="14151" xr:uid="{4B803896-D0F7-435E-B746-85A99D57287B}"/>
    <cellStyle name="Normal 4 6 3 3 5" xfId="5032" xr:uid="{4719EE46-850F-4983-B2DF-C99CA5C72364}"/>
    <cellStyle name="Normal 4 6 3 3 5 2" xfId="14980" xr:uid="{68E664FB-7BE7-4CEE-949A-16F00109B18C}"/>
    <cellStyle name="Normal 4 6 3 3 6" xfId="5861" xr:uid="{DCE0F987-3406-41B5-8605-3CB010936F35}"/>
    <cellStyle name="Normal 4 6 3 3 6 2" xfId="15809" xr:uid="{B5E93665-D032-40ED-AD85-ED609F504B39}"/>
    <cellStyle name="Normal 4 6 3 3 7" xfId="6690" xr:uid="{F85EBFE3-6A1F-4DBD-A3AD-604F6AC53057}"/>
    <cellStyle name="Normal 4 6 3 3 7 2" xfId="16638" xr:uid="{CFCB3582-A69A-4235-9A66-5DC51DAC15EA}"/>
    <cellStyle name="Normal 4 6 3 3 8" xfId="7519" xr:uid="{A71F5AF7-1073-4B3D-9CB2-3A50CF0F68E0}"/>
    <cellStyle name="Normal 4 6 3 3 8 2" xfId="17467" xr:uid="{53F102B8-F169-4DE1-80A5-E5847BF1FC09}"/>
    <cellStyle name="Normal 4 6 3 3 9" xfId="8348" xr:uid="{2EA803AA-6D07-4DB9-8874-4E3A9DC5C64A}"/>
    <cellStyle name="Normal 4 6 3 3 9 2" xfId="18296" xr:uid="{375494D0-3341-4CF7-9930-CF90DA7B3F55}"/>
    <cellStyle name="Normal 4 6 3 4" xfId="2129" xr:uid="{EAAC76E8-BDCB-4C54-8818-62FCF53458FB}"/>
    <cellStyle name="Normal 4 6 3 4 2" xfId="12077" xr:uid="{F1A0C0B6-FE8A-41D1-8360-9ED48BF77935}"/>
    <cellStyle name="Normal 4 6 3 5" xfId="2958" xr:uid="{29DB21E3-FB34-46F9-85DD-BEA7544205D7}"/>
    <cellStyle name="Normal 4 6 3 5 2" xfId="12906" xr:uid="{588CC94A-3E84-471D-817B-C7B0BB47B152}"/>
    <cellStyle name="Normal 4 6 3 6" xfId="3787" xr:uid="{F26E2F95-2947-4197-957E-077EBCC2D0D1}"/>
    <cellStyle name="Normal 4 6 3 6 2" xfId="13735" xr:uid="{ADE21007-6F1F-4970-BCE1-4D8916D7C7B4}"/>
    <cellStyle name="Normal 4 6 3 7" xfId="4616" xr:uid="{33822AE2-4E92-498A-B1A7-5C211FED8F18}"/>
    <cellStyle name="Normal 4 6 3 7 2" xfId="14564" xr:uid="{BCD390AF-5707-4FCE-82F1-AD7B32389D04}"/>
    <cellStyle name="Normal 4 6 3 8" xfId="5445" xr:uid="{E99EC34F-DAD4-471F-9EC6-C01BC759D5BB}"/>
    <cellStyle name="Normal 4 6 3 8 2" xfId="15393" xr:uid="{19426464-93EF-49BD-A5C3-378600275168}"/>
    <cellStyle name="Normal 4 6 3 9" xfId="6274" xr:uid="{84FB7D17-DDA3-410F-8641-629281FD6D4C}"/>
    <cellStyle name="Normal 4 6 3 9 2" xfId="16222" xr:uid="{56C3C5B5-6A55-4139-ADB4-9728052231C5}"/>
    <cellStyle name="Normal 4 6 4" xfId="405" xr:uid="{00000000-0005-0000-0000-0000C9020000}"/>
    <cellStyle name="Normal 4 6 4 10" xfId="7934" xr:uid="{4208F3CB-AEE3-426E-9B4B-C49B1F65F9A6}"/>
    <cellStyle name="Normal 4 6 4 10 2" xfId="17882" xr:uid="{592A77D2-58B1-473A-A1EA-E98FB4479092}"/>
    <cellStyle name="Normal 4 6 4 11" xfId="8763" xr:uid="{2B1B0A46-024E-4A53-B1DF-7BBF5B6537C2}"/>
    <cellStyle name="Normal 4 6 4 11 2" xfId="18711" xr:uid="{33D99530-8355-42D7-BEA0-CB89BF2265E0}"/>
    <cellStyle name="Normal 4 6 4 12" xfId="9592" xr:uid="{4ACBB322-B941-4D22-82D6-B8B44A6D5C69}"/>
    <cellStyle name="Normal 4 6 4 12 2" xfId="19540" xr:uid="{4091D083-3A66-48B9-9BE9-94D535FA16B5}"/>
    <cellStyle name="Normal 4 6 4 13" xfId="10421" xr:uid="{738A1D2D-FA78-4E79-9699-031D73A669FF}"/>
    <cellStyle name="Normal 4 6 4 13 2" xfId="20369" xr:uid="{CC9C296F-4456-4D17-9BAB-D2D98A9A03BA}"/>
    <cellStyle name="Normal 4 6 4 14" xfId="1302" xr:uid="{552C26AB-04E9-4FEE-9071-2E02E1052E42}"/>
    <cellStyle name="Normal 4 6 4 15" xfId="11250" xr:uid="{68A6FF7D-5BDA-4EE7-A0ED-50C492EFD25D}"/>
    <cellStyle name="Normal 4 6 4 2" xfId="884" xr:uid="{00000000-0005-0000-0000-0000CA020000}"/>
    <cellStyle name="Normal 4 6 4 2 10" xfId="9179" xr:uid="{D99F1ACC-CDE0-4BD7-B52C-F5C54DFC2D8F}"/>
    <cellStyle name="Normal 4 6 4 2 10 2" xfId="19127" xr:uid="{DDD91435-A34E-4DD4-94E9-803877FE534C}"/>
    <cellStyle name="Normal 4 6 4 2 11" xfId="10008" xr:uid="{AAF7A81F-D2DC-4283-A331-9659716DF588}"/>
    <cellStyle name="Normal 4 6 4 2 11 2" xfId="19956" xr:uid="{4086962E-7528-456F-8E8E-12FDA6D863CA}"/>
    <cellStyle name="Normal 4 6 4 2 12" xfId="10837" xr:uid="{390EC367-5AD5-47CA-8D54-98D493E9C56E}"/>
    <cellStyle name="Normal 4 6 4 2 12 2" xfId="20785" xr:uid="{4E736A95-1C6E-465E-989A-AF646D37A5CC}"/>
    <cellStyle name="Normal 4 6 4 2 13" xfId="1718" xr:uid="{28DC00BB-AE6C-40A7-91D4-09FF678066A0}"/>
    <cellStyle name="Normal 4 6 4 2 14" xfId="11666" xr:uid="{D48BAC97-E68C-464F-9952-33B418651592}"/>
    <cellStyle name="Normal 4 6 4 2 2" xfId="2547" xr:uid="{B51D444E-B35C-4EF4-9B28-A1A220EF111E}"/>
    <cellStyle name="Normal 4 6 4 2 2 2" xfId="12495" xr:uid="{42A76845-1544-487E-B317-C755E86155FF}"/>
    <cellStyle name="Normal 4 6 4 2 3" xfId="3376" xr:uid="{0AD07CE7-DE33-4167-921C-F3A787E3355D}"/>
    <cellStyle name="Normal 4 6 4 2 3 2" xfId="13324" xr:uid="{F75C999B-7D78-477A-A71B-28B1BC471DAC}"/>
    <cellStyle name="Normal 4 6 4 2 4" xfId="4205" xr:uid="{D8DFE007-58DB-40EC-965F-C88330840D1B}"/>
    <cellStyle name="Normal 4 6 4 2 4 2" xfId="14153" xr:uid="{799E945F-4BA4-4969-8B25-05512072E3F7}"/>
    <cellStyle name="Normal 4 6 4 2 5" xfId="5034" xr:uid="{C88A85A9-9450-4FDE-9310-BFD8B76E4235}"/>
    <cellStyle name="Normal 4 6 4 2 5 2" xfId="14982" xr:uid="{FE2B66B7-1111-48CA-A0C3-50DCF513C0B3}"/>
    <cellStyle name="Normal 4 6 4 2 6" xfId="5863" xr:uid="{D11543B8-8699-4360-8EE1-44000C314505}"/>
    <cellStyle name="Normal 4 6 4 2 6 2" xfId="15811" xr:uid="{DDAF711F-D062-4755-BEEB-DE47330CBE1A}"/>
    <cellStyle name="Normal 4 6 4 2 7" xfId="6692" xr:uid="{90AF24D2-5145-4854-A0F4-F0CB67311CD0}"/>
    <cellStyle name="Normal 4 6 4 2 7 2" xfId="16640" xr:uid="{F231C030-6634-4FD8-B376-F869132CD9A4}"/>
    <cellStyle name="Normal 4 6 4 2 8" xfId="7521" xr:uid="{3D7C06F0-D5B7-4D67-B73F-97349753C41C}"/>
    <cellStyle name="Normal 4 6 4 2 8 2" xfId="17469" xr:uid="{7FE2403D-2303-4743-A3DB-22E607CDBEC6}"/>
    <cellStyle name="Normal 4 6 4 2 9" xfId="8350" xr:uid="{A9C7B7DF-9938-4ABC-9118-3050AE0328FB}"/>
    <cellStyle name="Normal 4 6 4 2 9 2" xfId="18298" xr:uid="{7FE184B9-4BD8-49F5-BA0F-C1579D79D563}"/>
    <cellStyle name="Normal 4 6 4 3" xfId="2131" xr:uid="{56063134-690B-4ACD-88BD-CE0B6811ED86}"/>
    <cellStyle name="Normal 4 6 4 3 2" xfId="12079" xr:uid="{3E2B49D2-7BE1-4F62-943B-A021781B83B5}"/>
    <cellStyle name="Normal 4 6 4 4" xfId="2960" xr:uid="{2E02DC24-00D4-4725-85CA-82C184E1D28A}"/>
    <cellStyle name="Normal 4 6 4 4 2" xfId="12908" xr:uid="{E63A01E5-4F3A-4426-83FD-574C3BE28831}"/>
    <cellStyle name="Normal 4 6 4 5" xfId="3789" xr:uid="{3F0532D0-CC39-4A39-AC90-385642729952}"/>
    <cellStyle name="Normal 4 6 4 5 2" xfId="13737" xr:uid="{BB70A060-3894-414E-AF92-215F7E52BBAC}"/>
    <cellStyle name="Normal 4 6 4 6" xfId="4618" xr:uid="{B684CBC7-E2D4-40FE-9AB7-F34E6B645AB2}"/>
    <cellStyle name="Normal 4 6 4 6 2" xfId="14566" xr:uid="{B62F569D-4AF3-4B0D-8856-89F34829E004}"/>
    <cellStyle name="Normal 4 6 4 7" xfId="5447" xr:uid="{EACD6CCA-71F1-4A9C-A5A2-85E0FB68D99B}"/>
    <cellStyle name="Normal 4 6 4 7 2" xfId="15395" xr:uid="{E012DFBB-8E88-4B48-97F4-99B8E0194C7C}"/>
    <cellStyle name="Normal 4 6 4 8" xfId="6276" xr:uid="{BF492C58-CD20-40BD-B0B3-8A691723DAC3}"/>
    <cellStyle name="Normal 4 6 4 8 2" xfId="16224" xr:uid="{01FA5A40-A444-45E7-AACC-0A95DDB86811}"/>
    <cellStyle name="Normal 4 6 4 9" xfId="7105" xr:uid="{61DFED0D-580A-4CB2-9B8C-AAB2B6923D3B}"/>
    <cellStyle name="Normal 4 6 4 9 2" xfId="17053" xr:uid="{33EE2A31-3132-4714-9B51-433D810B1789}"/>
    <cellStyle name="Normal 4 6 5" xfId="877" xr:uid="{00000000-0005-0000-0000-0000CB020000}"/>
    <cellStyle name="Normal 4 6 5 10" xfId="9172" xr:uid="{82D38A84-1D91-4EEB-8FE8-1E1DD7354653}"/>
    <cellStyle name="Normal 4 6 5 10 2" xfId="19120" xr:uid="{532ED0FA-9EFF-4BF4-AB2B-B9044E8A3681}"/>
    <cellStyle name="Normal 4 6 5 11" xfId="10001" xr:uid="{46545EED-1D06-4D9A-91EA-6DB40FB693BE}"/>
    <cellStyle name="Normal 4 6 5 11 2" xfId="19949" xr:uid="{D3EE627C-85C4-4914-8580-2E469E8A76CE}"/>
    <cellStyle name="Normal 4 6 5 12" xfId="10830" xr:uid="{338B3F30-0301-4E11-943A-1874960DA93C}"/>
    <cellStyle name="Normal 4 6 5 12 2" xfId="20778" xr:uid="{5CA5E786-BB75-4F13-BC32-A52058C5E5F4}"/>
    <cellStyle name="Normal 4 6 5 13" xfId="1711" xr:uid="{A14FA0CA-CE55-4D4A-9680-0B8D28220398}"/>
    <cellStyle name="Normal 4 6 5 14" xfId="11659" xr:uid="{81339539-EFD0-4DAF-860B-36F3D1E770DB}"/>
    <cellStyle name="Normal 4 6 5 2" xfId="2540" xr:uid="{9AFDD821-B3B1-43BA-9B9F-BE7BD3409019}"/>
    <cellStyle name="Normal 4 6 5 2 2" xfId="12488" xr:uid="{3B0EE593-49A6-4F4C-B1C4-92C60FFFA6F2}"/>
    <cellStyle name="Normal 4 6 5 3" xfId="3369" xr:uid="{C2311D01-875F-4F35-BFBE-3E260A004D23}"/>
    <cellStyle name="Normal 4 6 5 3 2" xfId="13317" xr:uid="{F6D1ED98-DF35-4020-891B-1395D26985BE}"/>
    <cellStyle name="Normal 4 6 5 4" xfId="4198" xr:uid="{05B79F09-0DE8-424C-A1EA-661919551064}"/>
    <cellStyle name="Normal 4 6 5 4 2" xfId="14146" xr:uid="{FF8F17BC-B83D-4C6F-AF31-7CCB9EFC261B}"/>
    <cellStyle name="Normal 4 6 5 5" xfId="5027" xr:uid="{C4EFB38E-3724-465F-B854-A219EAE70CC3}"/>
    <cellStyle name="Normal 4 6 5 5 2" xfId="14975" xr:uid="{CBDB9E43-C94E-4DB7-AEEC-660FD421150D}"/>
    <cellStyle name="Normal 4 6 5 6" xfId="5856" xr:uid="{3008CCCB-E35F-4CA2-917A-535992B8C39B}"/>
    <cellStyle name="Normal 4 6 5 6 2" xfId="15804" xr:uid="{10957434-8925-44A9-BC99-E8AE946D4780}"/>
    <cellStyle name="Normal 4 6 5 7" xfId="6685" xr:uid="{4A7412F5-E5B1-4597-B38F-3FB08B15BDDC}"/>
    <cellStyle name="Normal 4 6 5 7 2" xfId="16633" xr:uid="{64E85B52-6C3E-4DC8-A18B-F1F70554E3E2}"/>
    <cellStyle name="Normal 4 6 5 8" xfId="7514" xr:uid="{F0D66984-0605-4152-B3E9-01DBBA7E4532}"/>
    <cellStyle name="Normal 4 6 5 8 2" xfId="17462" xr:uid="{5C7CBBA2-159C-4B78-91DA-41C7A10B48B4}"/>
    <cellStyle name="Normal 4 6 5 9" xfId="8343" xr:uid="{0B5EC8B3-785F-460D-8BB8-6916D2323FDA}"/>
    <cellStyle name="Normal 4 6 5 9 2" xfId="18291" xr:uid="{BCDB1A34-2CCF-4815-A527-8EB9507499FB}"/>
    <cellStyle name="Normal 4 6 6" xfId="2124" xr:uid="{D60A8354-5196-4486-940F-8FA8542917A6}"/>
    <cellStyle name="Normal 4 6 6 2" xfId="12072" xr:uid="{314CA3F3-F41F-4C07-A0B8-E03CB385A5A6}"/>
    <cellStyle name="Normal 4 6 7" xfId="2953" xr:uid="{6D0B632B-D5BD-415C-9AAA-633A5FB67BB1}"/>
    <cellStyle name="Normal 4 6 7 2" xfId="12901" xr:uid="{2A61064A-AE72-48A9-A7CC-B8BB8A48EDFF}"/>
    <cellStyle name="Normal 4 6 8" xfId="3782" xr:uid="{42B40143-15C8-4E40-87CA-34D03FC4C3B6}"/>
    <cellStyle name="Normal 4 6 8 2" xfId="13730" xr:uid="{47C63141-D64C-41D8-A9E1-83CBF4B6F9C9}"/>
    <cellStyle name="Normal 4 6 9" xfId="4611" xr:uid="{AEF79999-0B43-4CE6-8962-A310AAB875AD}"/>
    <cellStyle name="Normal 4 6 9 2" xfId="14559" xr:uid="{1DC950C5-60C8-4946-9D3A-B5DEB99A470C}"/>
    <cellStyle name="Normal 4 7" xfId="406" xr:uid="{00000000-0005-0000-0000-0000CC020000}"/>
    <cellStyle name="Normal 4 7 10" xfId="7106" xr:uid="{591C5F6D-98D1-419D-A921-DEDA8357E33C}"/>
    <cellStyle name="Normal 4 7 10 2" xfId="17054" xr:uid="{1624F581-4458-467F-89A0-9609FC8E1FD8}"/>
    <cellStyle name="Normal 4 7 11" xfId="7935" xr:uid="{FC8ABD35-66B6-4A37-856B-B64F2B3F7DD6}"/>
    <cellStyle name="Normal 4 7 11 2" xfId="17883" xr:uid="{14E1DF73-04BD-40F9-A91D-4942A2EA0947}"/>
    <cellStyle name="Normal 4 7 12" xfId="8764" xr:uid="{EC8FEE66-7E60-4EBA-AAF2-A55256814A6D}"/>
    <cellStyle name="Normal 4 7 12 2" xfId="18712" xr:uid="{9E785E4F-8536-4445-B2CD-A747F2114371}"/>
    <cellStyle name="Normal 4 7 13" xfId="9593" xr:uid="{03280A28-EC14-446A-A33E-E4822000EC67}"/>
    <cellStyle name="Normal 4 7 13 2" xfId="19541" xr:uid="{6BB1C371-EB2D-43A5-974B-410F1667E3B1}"/>
    <cellStyle name="Normal 4 7 14" xfId="10422" xr:uid="{6A3C6358-5F89-4BD1-B1BB-58B9B1E67272}"/>
    <cellStyle name="Normal 4 7 14 2" xfId="20370" xr:uid="{4D70A6F9-34FF-4626-964E-1A43AA77BF47}"/>
    <cellStyle name="Normal 4 7 15" xfId="1303" xr:uid="{4E9E7678-6926-4797-9A4F-FE8AD4C590B1}"/>
    <cellStyle name="Normal 4 7 16" xfId="11251" xr:uid="{3314ACD1-366D-4CB6-9CE9-ADF025473F76}"/>
    <cellStyle name="Normal 4 7 2" xfId="407" xr:uid="{00000000-0005-0000-0000-0000CD020000}"/>
    <cellStyle name="Normal 4 7 2 10" xfId="7936" xr:uid="{B40F90F3-5DE5-4A8A-A0D4-84621CC73BB8}"/>
    <cellStyle name="Normal 4 7 2 10 2" xfId="17884" xr:uid="{5D03907B-7E9B-4420-9D7D-B3A681E4B2B0}"/>
    <cellStyle name="Normal 4 7 2 11" xfId="8765" xr:uid="{033482F1-F755-46CE-9927-CC0944D44589}"/>
    <cellStyle name="Normal 4 7 2 11 2" xfId="18713" xr:uid="{EA7B75FE-19DF-43E1-9D93-70A700498F38}"/>
    <cellStyle name="Normal 4 7 2 12" xfId="9594" xr:uid="{ECB17780-1632-41DE-98EE-09D0395CE141}"/>
    <cellStyle name="Normal 4 7 2 12 2" xfId="19542" xr:uid="{4742FF9C-F177-4930-ADDC-48E3B7EA1A19}"/>
    <cellStyle name="Normal 4 7 2 13" xfId="10423" xr:uid="{C36404F1-CA69-408B-AAA4-470A6A01C636}"/>
    <cellStyle name="Normal 4 7 2 13 2" xfId="20371" xr:uid="{9B1E59DD-C14F-4A58-B189-9730C4F72A4D}"/>
    <cellStyle name="Normal 4 7 2 14" xfId="1304" xr:uid="{F01E18C2-F8BB-4E53-AAFC-2375E7D3DA03}"/>
    <cellStyle name="Normal 4 7 2 15" xfId="11252" xr:uid="{5397C0E3-D371-45AE-AA5B-292288279703}"/>
    <cellStyle name="Normal 4 7 2 2" xfId="886" xr:uid="{00000000-0005-0000-0000-0000CE020000}"/>
    <cellStyle name="Normal 4 7 2 2 10" xfId="9181" xr:uid="{54835A9F-0F1F-4E5C-B321-8AD28ACD9888}"/>
    <cellStyle name="Normal 4 7 2 2 10 2" xfId="19129" xr:uid="{9F039B6C-ACC1-4B11-933B-C5FA2867684F}"/>
    <cellStyle name="Normal 4 7 2 2 11" xfId="10010" xr:uid="{79956C38-2EBE-49C0-AC02-A0968FB45436}"/>
    <cellStyle name="Normal 4 7 2 2 11 2" xfId="19958" xr:uid="{D7C46FF9-0F4F-4B11-BAA5-B1AB677EBD9B}"/>
    <cellStyle name="Normal 4 7 2 2 12" xfId="10839" xr:uid="{22C48DC3-CD44-4985-A652-C0BAB6A3CDF4}"/>
    <cellStyle name="Normal 4 7 2 2 12 2" xfId="20787" xr:uid="{4830E53E-DB52-4237-B990-4A0E91B1C082}"/>
    <cellStyle name="Normal 4 7 2 2 13" xfId="1720" xr:uid="{5F875048-7A3D-4679-8939-8F4BA3D1E574}"/>
    <cellStyle name="Normal 4 7 2 2 14" xfId="11668" xr:uid="{470A7B8A-A18B-47B5-8882-08F6359CFAEB}"/>
    <cellStyle name="Normal 4 7 2 2 2" xfId="2549" xr:uid="{0CFF04F2-0504-4287-B0B2-2C86730BB173}"/>
    <cellStyle name="Normal 4 7 2 2 2 2" xfId="12497" xr:uid="{574C3CEE-3581-45C4-A635-E5DA5E8E6BD9}"/>
    <cellStyle name="Normal 4 7 2 2 3" xfId="3378" xr:uid="{AEC7DCC8-DE49-4D47-8A72-060C637E46C4}"/>
    <cellStyle name="Normal 4 7 2 2 3 2" xfId="13326" xr:uid="{9B292A97-E354-42A5-84C5-1F810240C159}"/>
    <cellStyle name="Normal 4 7 2 2 4" xfId="4207" xr:uid="{128594C2-6B6B-4A87-88E4-AB774F23C1AD}"/>
    <cellStyle name="Normal 4 7 2 2 4 2" xfId="14155" xr:uid="{C931F125-AB97-421F-AF28-8C31E7564856}"/>
    <cellStyle name="Normal 4 7 2 2 5" xfId="5036" xr:uid="{3A95C2D7-D1CF-467E-BAC1-FA1439B4D802}"/>
    <cellStyle name="Normal 4 7 2 2 5 2" xfId="14984" xr:uid="{7865308A-5DF4-4B09-B6A1-E119645B216F}"/>
    <cellStyle name="Normal 4 7 2 2 6" xfId="5865" xr:uid="{68EDE9C7-2152-449A-AA9F-F99DD0A94705}"/>
    <cellStyle name="Normal 4 7 2 2 6 2" xfId="15813" xr:uid="{D96D1FC0-F5A5-4E3D-AF50-242E2FF77370}"/>
    <cellStyle name="Normal 4 7 2 2 7" xfId="6694" xr:uid="{91846236-11D4-4825-80F6-6BD212F2FC4D}"/>
    <cellStyle name="Normal 4 7 2 2 7 2" xfId="16642" xr:uid="{39C129B0-E279-4C41-BFA0-02A7A2DD2BE6}"/>
    <cellStyle name="Normal 4 7 2 2 8" xfId="7523" xr:uid="{59BD9E35-4082-48D2-A7C0-B83A2C282529}"/>
    <cellStyle name="Normal 4 7 2 2 8 2" xfId="17471" xr:uid="{88123D87-3294-4E96-97B9-7C15410CDE0F}"/>
    <cellStyle name="Normal 4 7 2 2 9" xfId="8352" xr:uid="{D5F2B0ED-81E6-49E2-BE36-92D1DAE78C7D}"/>
    <cellStyle name="Normal 4 7 2 2 9 2" xfId="18300" xr:uid="{5B3114CC-43B6-4F6B-91FE-0ED5BB7D3604}"/>
    <cellStyle name="Normal 4 7 2 3" xfId="2133" xr:uid="{58F8B839-EFDD-437B-AD57-A7A7D94D59FB}"/>
    <cellStyle name="Normal 4 7 2 3 2" xfId="12081" xr:uid="{CE18C859-6C63-4D4F-AA2F-4F96DE11F047}"/>
    <cellStyle name="Normal 4 7 2 4" xfId="2962" xr:uid="{A5B488A9-2495-4944-BCC4-C5003E6DDDF0}"/>
    <cellStyle name="Normal 4 7 2 4 2" xfId="12910" xr:uid="{6CBEE260-78EA-4B55-B6E9-BA13964A88F1}"/>
    <cellStyle name="Normal 4 7 2 5" xfId="3791" xr:uid="{943D9C2D-39F1-45A9-A08C-6206AD8EAD79}"/>
    <cellStyle name="Normal 4 7 2 5 2" xfId="13739" xr:uid="{C5892D9D-628C-4E63-8727-60A59567C7D8}"/>
    <cellStyle name="Normal 4 7 2 6" xfId="4620" xr:uid="{8BDAF082-7EA3-4A92-9EC6-33A182024083}"/>
    <cellStyle name="Normal 4 7 2 6 2" xfId="14568" xr:uid="{207D3EEE-851E-44FC-80CE-385BAD695D61}"/>
    <cellStyle name="Normal 4 7 2 7" xfId="5449" xr:uid="{12050B52-5F1B-4E84-944D-484594ADE9AF}"/>
    <cellStyle name="Normal 4 7 2 7 2" xfId="15397" xr:uid="{3FF6911E-84F5-4380-80C6-B3B99A620F11}"/>
    <cellStyle name="Normal 4 7 2 8" xfId="6278" xr:uid="{6130771A-0147-4D2E-855A-946F17307C90}"/>
    <cellStyle name="Normal 4 7 2 8 2" xfId="16226" xr:uid="{73FC03C7-EEB4-4C73-A41C-51088CD91105}"/>
    <cellStyle name="Normal 4 7 2 9" xfId="7107" xr:uid="{439C30A4-0135-4F6A-86F9-9B8DD195837A}"/>
    <cellStyle name="Normal 4 7 2 9 2" xfId="17055" xr:uid="{F7F35D56-D9CF-4F99-8AC9-53D72CF2FED4}"/>
    <cellStyle name="Normal 4 7 3" xfId="885" xr:uid="{00000000-0005-0000-0000-0000CF020000}"/>
    <cellStyle name="Normal 4 7 3 10" xfId="9180" xr:uid="{1BC41367-A8DE-44DC-9354-FE830A542817}"/>
    <cellStyle name="Normal 4 7 3 10 2" xfId="19128" xr:uid="{29F4540B-2AF3-44C0-9E6B-E8EC49C34CF1}"/>
    <cellStyle name="Normal 4 7 3 11" xfId="10009" xr:uid="{D76E6317-74AF-4528-A00F-F9C2D99590C0}"/>
    <cellStyle name="Normal 4 7 3 11 2" xfId="19957" xr:uid="{B41B6B0A-D786-41C2-926B-59F342D9B3EA}"/>
    <cellStyle name="Normal 4 7 3 12" xfId="10838" xr:uid="{928FC334-1D86-4B8F-8CB1-B4B354B3CE34}"/>
    <cellStyle name="Normal 4 7 3 12 2" xfId="20786" xr:uid="{78BC0850-0B22-4DFA-A6FF-25B9022FB704}"/>
    <cellStyle name="Normal 4 7 3 13" xfId="1719" xr:uid="{44F685CC-11BD-4542-A52C-5FA83C008722}"/>
    <cellStyle name="Normal 4 7 3 14" xfId="11667" xr:uid="{6882CA47-39F0-460B-A6B1-B594F5F15089}"/>
    <cellStyle name="Normal 4 7 3 2" xfId="2548" xr:uid="{D4F4FA8C-67D9-4334-965A-5A3F640DBC74}"/>
    <cellStyle name="Normal 4 7 3 2 2" xfId="12496" xr:uid="{C78639A3-55D5-4DBA-AFC6-27DD143F8EF4}"/>
    <cellStyle name="Normal 4 7 3 3" xfId="3377" xr:uid="{9C34F169-AF94-4AE4-8760-313E1A9EF92A}"/>
    <cellStyle name="Normal 4 7 3 3 2" xfId="13325" xr:uid="{B3DFC42D-0754-4B49-8A9F-5394C1EC4C44}"/>
    <cellStyle name="Normal 4 7 3 4" xfId="4206" xr:uid="{8E29E98A-4821-4509-9A17-C57536205B51}"/>
    <cellStyle name="Normal 4 7 3 4 2" xfId="14154" xr:uid="{08E6F2DB-26D5-4FBA-BD02-B79B52DB69B6}"/>
    <cellStyle name="Normal 4 7 3 5" xfId="5035" xr:uid="{F1851937-F241-4D0C-A856-E470E7724EAC}"/>
    <cellStyle name="Normal 4 7 3 5 2" xfId="14983" xr:uid="{6C7F4228-D2D6-4DE1-824C-EBE818481CD2}"/>
    <cellStyle name="Normal 4 7 3 6" xfId="5864" xr:uid="{411E7782-0D8B-4C6B-93AF-175357605D64}"/>
    <cellStyle name="Normal 4 7 3 6 2" xfId="15812" xr:uid="{F126BE95-E12C-4CE5-A23E-E412A8DD23EF}"/>
    <cellStyle name="Normal 4 7 3 7" xfId="6693" xr:uid="{E9341584-7282-4395-A475-77EC60B9871B}"/>
    <cellStyle name="Normal 4 7 3 7 2" xfId="16641" xr:uid="{7C034EAD-F5AC-4726-82E4-75DBF2623A79}"/>
    <cellStyle name="Normal 4 7 3 8" xfId="7522" xr:uid="{185A9C8F-47FB-480C-BC17-DC9AF428196A}"/>
    <cellStyle name="Normal 4 7 3 8 2" xfId="17470" xr:uid="{B2911232-BAF8-4F28-AE6A-2E7279DAEFC8}"/>
    <cellStyle name="Normal 4 7 3 9" xfId="8351" xr:uid="{F7C69671-2041-4D13-932D-6C5A7B1368FE}"/>
    <cellStyle name="Normal 4 7 3 9 2" xfId="18299" xr:uid="{11BD3BBF-00F7-4FA1-90B7-F8F0C25D7CB1}"/>
    <cellStyle name="Normal 4 7 4" xfId="2132" xr:uid="{7F54F827-55F8-46C0-9452-4C6097471F25}"/>
    <cellStyle name="Normal 4 7 4 2" xfId="12080" xr:uid="{24781FFF-A363-4E72-A0BE-079B5E0EBE06}"/>
    <cellStyle name="Normal 4 7 5" xfId="2961" xr:uid="{F8333B3F-2E93-4F5B-911D-8F49C0EB98DB}"/>
    <cellStyle name="Normal 4 7 5 2" xfId="12909" xr:uid="{63BD1DAB-D132-491F-8C4A-3AD52E5F7AA8}"/>
    <cellStyle name="Normal 4 7 6" xfId="3790" xr:uid="{D5F63447-5751-4A8E-A35D-C8DAA81A87FC}"/>
    <cellStyle name="Normal 4 7 6 2" xfId="13738" xr:uid="{4C7938CE-9EFA-4F69-9EB6-BB5BB1FFE2FC}"/>
    <cellStyle name="Normal 4 7 7" xfId="4619" xr:uid="{0407B3C1-3260-48EA-9E9E-EADD308BB938}"/>
    <cellStyle name="Normal 4 7 7 2" xfId="14567" xr:uid="{35663A5A-E2A7-4FD7-9390-E41D47A8C4DD}"/>
    <cellStyle name="Normal 4 7 8" xfId="5448" xr:uid="{6E645672-5D93-45DD-AC50-168039FFD7CF}"/>
    <cellStyle name="Normal 4 7 8 2" xfId="15396" xr:uid="{557B20AF-CD6A-4973-AFDC-F8BD70B386E0}"/>
    <cellStyle name="Normal 4 7 9" xfId="6277" xr:uid="{A64A24D2-D943-4122-826C-7833BC4C54BB}"/>
    <cellStyle name="Normal 4 7 9 2" xfId="16225" xr:uid="{F36ED2CF-54B1-4564-AA67-A1BBFA6DBF75}"/>
    <cellStyle name="Normal 4 8" xfId="408" xr:uid="{00000000-0005-0000-0000-0000D0020000}"/>
    <cellStyle name="Normal 4 8 10" xfId="7937" xr:uid="{4D9D8013-87D5-4140-8036-2EC71E7A9713}"/>
    <cellStyle name="Normal 4 8 10 2" xfId="17885" xr:uid="{F43AF07B-005C-44A3-8057-196BC492DD9E}"/>
    <cellStyle name="Normal 4 8 11" xfId="8766" xr:uid="{7D7BC8CA-F600-4B0F-AD53-0FB32DE4D3DB}"/>
    <cellStyle name="Normal 4 8 11 2" xfId="18714" xr:uid="{5D4C00AD-45B7-467A-935A-FFCED914E023}"/>
    <cellStyle name="Normal 4 8 12" xfId="9595" xr:uid="{2D6A7777-4FCD-49ED-BDD1-ABDCE0AACDD4}"/>
    <cellStyle name="Normal 4 8 12 2" xfId="19543" xr:uid="{2D4B96E4-9DBE-4AC9-96DB-54DBBB5C8483}"/>
    <cellStyle name="Normal 4 8 13" xfId="10424" xr:uid="{23F732EB-55D3-4251-AB58-B8831F76084E}"/>
    <cellStyle name="Normal 4 8 13 2" xfId="20372" xr:uid="{222BAF91-6915-465C-A6E1-2E4CD9C213FD}"/>
    <cellStyle name="Normal 4 8 14" xfId="1305" xr:uid="{421C5EEA-7406-4192-9F32-3808F9454A5C}"/>
    <cellStyle name="Normal 4 8 15" xfId="11253" xr:uid="{7F983CCD-C0C6-4A1A-A0F6-0A2DF9293AB8}"/>
    <cellStyle name="Normal 4 8 2" xfId="887" xr:uid="{00000000-0005-0000-0000-0000D1020000}"/>
    <cellStyle name="Normal 4 8 2 10" xfId="9182" xr:uid="{0D978B42-777F-4333-9779-0626C61D2947}"/>
    <cellStyle name="Normal 4 8 2 10 2" xfId="19130" xr:uid="{8C6193C8-B74D-4912-A48E-95EAB5A75F11}"/>
    <cellStyle name="Normal 4 8 2 11" xfId="10011" xr:uid="{14A1BC6B-365D-407E-AE4D-DEA5F0377E9B}"/>
    <cellStyle name="Normal 4 8 2 11 2" xfId="19959" xr:uid="{916C6610-E9E5-4DCC-B947-7BBC7A10ED5F}"/>
    <cellStyle name="Normal 4 8 2 12" xfId="10840" xr:uid="{718046B0-FDC7-4B68-8555-CC8DC2D22ABB}"/>
    <cellStyle name="Normal 4 8 2 12 2" xfId="20788" xr:uid="{D0CBE864-09BE-4744-BD90-D40D077ABD1D}"/>
    <cellStyle name="Normal 4 8 2 13" xfId="1721" xr:uid="{34A85DF8-7294-4D64-8E29-BAA8B22C18DE}"/>
    <cellStyle name="Normal 4 8 2 14" xfId="11669" xr:uid="{EBAC665B-5A71-48E0-ADE2-7FB2F093CEA8}"/>
    <cellStyle name="Normal 4 8 2 2" xfId="2550" xr:uid="{B9C0CA2A-F1AE-41F8-8808-46CB4A0CB4E9}"/>
    <cellStyle name="Normal 4 8 2 2 2" xfId="12498" xr:uid="{33A58E12-3F0F-4F48-8201-FAF60FB446E8}"/>
    <cellStyle name="Normal 4 8 2 3" xfId="3379" xr:uid="{342B0294-F928-4E16-873D-4786D8A78E57}"/>
    <cellStyle name="Normal 4 8 2 3 2" xfId="13327" xr:uid="{6407B22C-0303-4412-974E-00D8758BFFDC}"/>
    <cellStyle name="Normal 4 8 2 4" xfId="4208" xr:uid="{76933E58-AED1-4E60-A640-65524ECB8C3B}"/>
    <cellStyle name="Normal 4 8 2 4 2" xfId="14156" xr:uid="{EF681B27-AF74-4A2D-A97E-7ED9599BE7EA}"/>
    <cellStyle name="Normal 4 8 2 5" xfId="5037" xr:uid="{73FBBCDB-A208-46E9-8745-2A49F11E1463}"/>
    <cellStyle name="Normal 4 8 2 5 2" xfId="14985" xr:uid="{9C544897-A7DA-4C97-A620-BCDEEEFF97AF}"/>
    <cellStyle name="Normal 4 8 2 6" xfId="5866" xr:uid="{69F8722F-2527-480D-B589-873A0AE82B90}"/>
    <cellStyle name="Normal 4 8 2 6 2" xfId="15814" xr:uid="{17BB62C3-B778-49AE-A0C9-6BE5F9B12DDE}"/>
    <cellStyle name="Normal 4 8 2 7" xfId="6695" xr:uid="{B12370E8-346E-403F-81EE-7C870456A7E1}"/>
    <cellStyle name="Normal 4 8 2 7 2" xfId="16643" xr:uid="{E839473A-AF08-4190-97AD-67B35CF5644C}"/>
    <cellStyle name="Normal 4 8 2 8" xfId="7524" xr:uid="{B9165692-CE8C-4749-ADAD-08ADAE8E35C7}"/>
    <cellStyle name="Normal 4 8 2 8 2" xfId="17472" xr:uid="{FFED19F3-6E60-45CC-A1C9-AA8B6C3758C2}"/>
    <cellStyle name="Normal 4 8 2 9" xfId="8353" xr:uid="{831CB26C-44BC-4C16-A35D-4BA9B3E64C16}"/>
    <cellStyle name="Normal 4 8 2 9 2" xfId="18301" xr:uid="{334DBC98-DF19-4B16-ABA4-98887B6182CD}"/>
    <cellStyle name="Normal 4 8 3" xfId="2134" xr:uid="{EE8855CF-6960-4BBC-B8F9-612AAAA3AF70}"/>
    <cellStyle name="Normal 4 8 3 2" xfId="12082" xr:uid="{05E9E388-5C76-47BB-856A-3D7030B91310}"/>
    <cellStyle name="Normal 4 8 4" xfId="2963" xr:uid="{94405828-9409-49C7-A824-31D830C8AD18}"/>
    <cellStyle name="Normal 4 8 4 2" xfId="12911" xr:uid="{B9ECCE17-6081-468F-945A-86B61B246890}"/>
    <cellStyle name="Normal 4 8 5" xfId="3792" xr:uid="{C3FE7327-E2A3-4AC2-8D58-11FB0059B1B5}"/>
    <cellStyle name="Normal 4 8 5 2" xfId="13740" xr:uid="{32F8D494-19A0-4EB7-9867-431034490091}"/>
    <cellStyle name="Normal 4 8 6" xfId="4621" xr:uid="{2DC131B1-941D-476C-A17D-5980545DA2F4}"/>
    <cellStyle name="Normal 4 8 6 2" xfId="14569" xr:uid="{F6696481-5DB1-467F-B42D-999066826883}"/>
    <cellStyle name="Normal 4 8 7" xfId="5450" xr:uid="{C9E90C66-E36F-4CFD-8BB5-F3E48F3D8248}"/>
    <cellStyle name="Normal 4 8 7 2" xfId="15398" xr:uid="{D18087C2-9146-46C8-A0A5-206BE138945B}"/>
    <cellStyle name="Normal 4 8 8" xfId="6279" xr:uid="{0CE37C61-C1DC-46BA-872B-DAA0B1874597}"/>
    <cellStyle name="Normal 4 8 8 2" xfId="16227" xr:uid="{27324E87-53EA-4975-8A5B-E359DD857F8E}"/>
    <cellStyle name="Normal 4 8 9" xfId="7108" xr:uid="{8EFF6B7B-116F-4534-8902-9C6659968ACF}"/>
    <cellStyle name="Normal 4 8 9 2" xfId="17056" xr:uid="{3D454186-DDED-483B-ABC2-0237FBE5C8BA}"/>
    <cellStyle name="Normal 5" xfId="409" xr:uid="{00000000-0005-0000-0000-0000D2020000}"/>
    <cellStyle name="Normal 5 10" xfId="2964" xr:uid="{F5537FAA-1707-416B-8454-6152B96914DC}"/>
    <cellStyle name="Normal 5 10 2" xfId="12912" xr:uid="{B40BD513-E798-48ED-84AA-A58F4C39F826}"/>
    <cellStyle name="Normal 5 11" xfId="3793" xr:uid="{7DF2B157-7E61-4F2B-8A44-3A3FBB8A67F5}"/>
    <cellStyle name="Normal 5 11 2" xfId="13741" xr:uid="{8D89F116-A00C-4754-B7AC-E16386043186}"/>
    <cellStyle name="Normal 5 12" xfId="4622" xr:uid="{93DC12D8-2A4C-4363-A11E-E9446E07A79A}"/>
    <cellStyle name="Normal 5 12 2" xfId="14570" xr:uid="{0153CAD3-F09E-4536-A25F-802865F1E387}"/>
    <cellStyle name="Normal 5 13" xfId="5451" xr:uid="{7414EECF-B07B-4909-934E-DF7F21707029}"/>
    <cellStyle name="Normal 5 13 2" xfId="15399" xr:uid="{60256AFB-652F-420F-B718-EC365D9E8E39}"/>
    <cellStyle name="Normal 5 14" xfId="6280" xr:uid="{19CC9104-7EB6-4C2E-97CA-7392A099A367}"/>
    <cellStyle name="Normal 5 14 2" xfId="16228" xr:uid="{49715456-D01B-4C22-A1F7-1EE4DAD6EA1E}"/>
    <cellStyle name="Normal 5 15" xfId="7109" xr:uid="{2A1920F5-A0A6-4284-B466-F2824E20BF22}"/>
    <cellStyle name="Normal 5 15 2" xfId="17057" xr:uid="{C9F6184A-4A90-426C-A3D8-258B5D356C4C}"/>
    <cellStyle name="Normal 5 16" xfId="7938" xr:uid="{994072DE-A37A-427D-87E9-58AB2C230793}"/>
    <cellStyle name="Normal 5 16 2" xfId="17886" xr:uid="{F60C511D-0C63-4245-A3F4-4F5F4963A1D6}"/>
    <cellStyle name="Normal 5 17" xfId="8767" xr:uid="{5D1A3451-CF72-434A-8624-69243339DB1D}"/>
    <cellStyle name="Normal 5 17 2" xfId="18715" xr:uid="{EC10B496-8A12-4CE7-A9E4-ADE9A116E161}"/>
    <cellStyle name="Normal 5 18" xfId="9596" xr:uid="{19308D2D-4A6C-49DF-B23E-8C4EFBDF7D4A}"/>
    <cellStyle name="Normal 5 18 2" xfId="19544" xr:uid="{769F5731-FA2B-4BB1-9AC4-EB66D11F4F56}"/>
    <cellStyle name="Normal 5 19" xfId="10425" xr:uid="{C23B2EDB-C41C-4FE0-97D7-0F07C08F0F85}"/>
    <cellStyle name="Normal 5 19 2" xfId="20373" xr:uid="{4603867C-5FAF-4C65-B813-4FABCE96953D}"/>
    <cellStyle name="Normal 5 2" xfId="410" xr:uid="{00000000-0005-0000-0000-0000D3020000}"/>
    <cellStyle name="Normal 5 2 10" xfId="3794" xr:uid="{A8C96C2F-08DB-41EB-BA4F-0BF7C00AC862}"/>
    <cellStyle name="Normal 5 2 10 2" xfId="13742" xr:uid="{334891EF-6A4B-4563-A723-29F6E71A3C53}"/>
    <cellStyle name="Normal 5 2 11" xfId="4623" xr:uid="{9F4179A5-A243-42D8-ADA2-635ABA477AAF}"/>
    <cellStyle name="Normal 5 2 11 2" xfId="14571" xr:uid="{BDC1E65E-88BE-4CD4-BE18-21AC89B2E8C7}"/>
    <cellStyle name="Normal 5 2 12" xfId="5452" xr:uid="{3BF6011D-36B9-4065-A027-8877829C5F69}"/>
    <cellStyle name="Normal 5 2 12 2" xfId="15400" xr:uid="{4690F402-12AD-41A4-8ABD-6C5976CB53AD}"/>
    <cellStyle name="Normal 5 2 13" xfId="6281" xr:uid="{929855EB-7E37-425A-B55A-C1D10848856A}"/>
    <cellStyle name="Normal 5 2 13 2" xfId="16229" xr:uid="{0DF55392-C299-4042-B386-617E54232B9B}"/>
    <cellStyle name="Normal 5 2 14" xfId="7110" xr:uid="{1A636301-B704-4A39-94B3-ADE7DC132DDB}"/>
    <cellStyle name="Normal 5 2 14 2" xfId="17058" xr:uid="{D963EA86-769F-4C00-B6A3-7CF662DD473F}"/>
    <cellStyle name="Normal 5 2 15" xfId="7939" xr:uid="{A929F12F-5804-4F5E-A50A-A87117ABDF90}"/>
    <cellStyle name="Normal 5 2 15 2" xfId="17887" xr:uid="{0756FC40-206A-432F-AFCA-5770232EA25D}"/>
    <cellStyle name="Normal 5 2 16" xfId="8768" xr:uid="{645A7272-8533-4ED2-A073-1B14F6F605E3}"/>
    <cellStyle name="Normal 5 2 16 2" xfId="18716" xr:uid="{B97BB568-DC63-4C1A-8E69-6FF62D56EBBC}"/>
    <cellStyle name="Normal 5 2 17" xfId="9597" xr:uid="{68B5B5E9-A46B-4D71-97BF-3CB14737C7B3}"/>
    <cellStyle name="Normal 5 2 17 2" xfId="19545" xr:uid="{523A17D0-108D-48AA-B773-214E07D534CD}"/>
    <cellStyle name="Normal 5 2 18" xfId="10426" xr:uid="{ADC29288-B5E9-46B4-901F-1A53C4DED99C}"/>
    <cellStyle name="Normal 5 2 18 2" xfId="20374" xr:uid="{816D5194-4A86-4819-8039-8CA56D04BAEC}"/>
    <cellStyle name="Normal 5 2 19" xfId="1307" xr:uid="{C53D8D77-2697-4331-AF05-999FAD965967}"/>
    <cellStyle name="Normal 5 2 2" xfId="411" xr:uid="{00000000-0005-0000-0000-0000D4020000}"/>
    <cellStyle name="Normal 5 2 2 10" xfId="4624" xr:uid="{0A521550-D034-4609-AAB9-CA95331F2620}"/>
    <cellStyle name="Normal 5 2 2 10 2" xfId="14572" xr:uid="{116CD355-2DBA-4280-892F-180AC3A4D886}"/>
    <cellStyle name="Normal 5 2 2 11" xfId="5453" xr:uid="{35C43777-D8BC-4E62-9A7D-E943AFAB4CF1}"/>
    <cellStyle name="Normal 5 2 2 11 2" xfId="15401" xr:uid="{387927DC-B222-41F6-98EF-E352B283F8B9}"/>
    <cellStyle name="Normal 5 2 2 12" xfId="6282" xr:uid="{49D35157-E201-4368-B6D2-45FF442B5C0D}"/>
    <cellStyle name="Normal 5 2 2 12 2" xfId="16230" xr:uid="{73342EDC-FE2E-49A0-BA9B-F037FE73BA62}"/>
    <cellStyle name="Normal 5 2 2 13" xfId="7111" xr:uid="{7BC4670E-3C8B-4519-83F4-82F7F27FF265}"/>
    <cellStyle name="Normal 5 2 2 13 2" xfId="17059" xr:uid="{7A9F9266-184D-4A41-A0A1-4A095E3C3D2A}"/>
    <cellStyle name="Normal 5 2 2 14" xfId="7940" xr:uid="{C3FBF9E2-9651-4A9D-8A36-3B417BD1443F}"/>
    <cellStyle name="Normal 5 2 2 14 2" xfId="17888" xr:uid="{84B4D897-B2BB-4DC9-BFD0-48FC2F54419C}"/>
    <cellStyle name="Normal 5 2 2 15" xfId="8769" xr:uid="{FB7350D4-8D52-425F-BBBD-1A2F9177FAAB}"/>
    <cellStyle name="Normal 5 2 2 15 2" xfId="18717" xr:uid="{2C849AF0-64BF-4E66-B4DE-A42F0AE63FB9}"/>
    <cellStyle name="Normal 5 2 2 16" xfId="9598" xr:uid="{310CFB5E-B85B-473F-8B39-2406BA490F50}"/>
    <cellStyle name="Normal 5 2 2 16 2" xfId="19546" xr:uid="{FA2DBF24-BE94-4CA6-8FF9-2A6773D7D28A}"/>
    <cellStyle name="Normal 5 2 2 17" xfId="10427" xr:uid="{9EA885C7-3E00-4B26-B34B-130D9E04F40D}"/>
    <cellStyle name="Normal 5 2 2 17 2" xfId="20375" xr:uid="{FE7F40AC-CFE2-497A-A13A-F5CDE6DEA7E1}"/>
    <cellStyle name="Normal 5 2 2 18" xfId="1308" xr:uid="{5397C8C3-A265-4A97-8924-7EF4EBB4C4E4}"/>
    <cellStyle name="Normal 5 2 2 19" xfId="11256" xr:uid="{0214A20F-0671-4671-BAC4-F3AC1A45F0DB}"/>
    <cellStyle name="Normal 5 2 2 2" xfId="412" xr:uid="{00000000-0005-0000-0000-0000D5020000}"/>
    <cellStyle name="Normal 5 2 2 2 10" xfId="5454" xr:uid="{E1303509-E3A6-497F-AC88-DE9D328792B7}"/>
    <cellStyle name="Normal 5 2 2 2 10 2" xfId="15402" xr:uid="{9DEEED31-B484-4613-8641-84EEC84DA874}"/>
    <cellStyle name="Normal 5 2 2 2 11" xfId="6283" xr:uid="{20035C5D-BF3C-4BA5-BDDA-1921724BD2DF}"/>
    <cellStyle name="Normal 5 2 2 2 11 2" xfId="16231" xr:uid="{3A3D09B0-60C4-4D9D-92DD-C9D8ED707FB6}"/>
    <cellStyle name="Normal 5 2 2 2 12" xfId="7112" xr:uid="{098241AC-858D-466F-AB97-277CD8153740}"/>
    <cellStyle name="Normal 5 2 2 2 12 2" xfId="17060" xr:uid="{3C5B2806-6060-411F-96F6-10DB05F1E003}"/>
    <cellStyle name="Normal 5 2 2 2 13" xfId="7941" xr:uid="{6215DC5B-1005-4E39-B83B-A7A35A007A7A}"/>
    <cellStyle name="Normal 5 2 2 2 13 2" xfId="17889" xr:uid="{0D1C5718-F510-4BAC-965A-BF6463D70740}"/>
    <cellStyle name="Normal 5 2 2 2 14" xfId="8770" xr:uid="{62EA2366-3B0C-4229-8151-055B3E5190DB}"/>
    <cellStyle name="Normal 5 2 2 2 14 2" xfId="18718" xr:uid="{C2AFBC10-B2CA-4908-9B73-919D948585E2}"/>
    <cellStyle name="Normal 5 2 2 2 15" xfId="9599" xr:uid="{284CEDA0-C5EB-44F8-8B93-796ADF4CAB94}"/>
    <cellStyle name="Normal 5 2 2 2 15 2" xfId="19547" xr:uid="{AB7F48B0-6E4F-4FEF-B9AE-7D7A8622917C}"/>
    <cellStyle name="Normal 5 2 2 2 16" xfId="10428" xr:uid="{EB47BB98-76BE-457C-8D68-218D3BC986E6}"/>
    <cellStyle name="Normal 5 2 2 2 16 2" xfId="20376" xr:uid="{D3862567-9308-424B-8E29-123CA9C74030}"/>
    <cellStyle name="Normal 5 2 2 2 17" xfId="1309" xr:uid="{899C300C-B33E-4921-9EEA-24ACE4455D4C}"/>
    <cellStyle name="Normal 5 2 2 2 18" xfId="11257" xr:uid="{94457240-0684-4214-A4D0-078A6E8E3607}"/>
    <cellStyle name="Normal 5 2 2 2 2" xfId="413" xr:uid="{00000000-0005-0000-0000-0000D6020000}"/>
    <cellStyle name="Normal 5 2 2 2 2 10" xfId="6284" xr:uid="{BAE76EA2-C945-4738-BF0A-1F796670C364}"/>
    <cellStyle name="Normal 5 2 2 2 2 10 2" xfId="16232" xr:uid="{D52069D9-A5C6-4E42-965E-FE1E6E036CE8}"/>
    <cellStyle name="Normal 5 2 2 2 2 11" xfId="7113" xr:uid="{E182DF71-CE21-4354-BAD1-F4224FC4AE94}"/>
    <cellStyle name="Normal 5 2 2 2 2 11 2" xfId="17061" xr:uid="{CFBBA1DD-9418-4217-A227-0EE486CED707}"/>
    <cellStyle name="Normal 5 2 2 2 2 12" xfId="7942" xr:uid="{C539656A-0981-4878-9042-94E8F6EC12FD}"/>
    <cellStyle name="Normal 5 2 2 2 2 12 2" xfId="17890" xr:uid="{C24646A2-589D-4E92-99F7-43A63752AF21}"/>
    <cellStyle name="Normal 5 2 2 2 2 13" xfId="8771" xr:uid="{33A4929A-CECA-4B2A-805E-52594897CAF9}"/>
    <cellStyle name="Normal 5 2 2 2 2 13 2" xfId="18719" xr:uid="{23BF2A92-C024-46C1-9D61-010D8644BE68}"/>
    <cellStyle name="Normal 5 2 2 2 2 14" xfId="9600" xr:uid="{A2BD2B0C-AB3E-4E12-BC8B-2380DB2CD144}"/>
    <cellStyle name="Normal 5 2 2 2 2 14 2" xfId="19548" xr:uid="{9CA73322-7F55-451C-BB84-0936893DEF5C}"/>
    <cellStyle name="Normal 5 2 2 2 2 15" xfId="10429" xr:uid="{DFDA7E9D-04D6-4063-800F-0008B03C9AD1}"/>
    <cellStyle name="Normal 5 2 2 2 2 15 2" xfId="20377" xr:uid="{DAC2C624-1DB8-4E69-8ED7-6BEDD7A70791}"/>
    <cellStyle name="Normal 5 2 2 2 2 16" xfId="1310" xr:uid="{D519CFA8-CDFD-4FAE-9613-9D3A1ABF089C}"/>
    <cellStyle name="Normal 5 2 2 2 2 17" xfId="11258" xr:uid="{869A14BF-FD04-4596-B5E2-9B2AB02487E0}"/>
    <cellStyle name="Normal 5 2 2 2 2 2" xfId="414" xr:uid="{00000000-0005-0000-0000-0000D7020000}"/>
    <cellStyle name="Normal 5 2 2 2 2 2 10" xfId="7114" xr:uid="{591058EC-32A7-47AF-A53B-206AB0533D35}"/>
    <cellStyle name="Normal 5 2 2 2 2 2 10 2" xfId="17062" xr:uid="{2F5B100F-8AC6-4B90-B97F-ACE089F2DEA0}"/>
    <cellStyle name="Normal 5 2 2 2 2 2 11" xfId="7943" xr:uid="{5A883BF8-9C6B-46ED-B9A2-2858A3FF36C9}"/>
    <cellStyle name="Normal 5 2 2 2 2 2 11 2" xfId="17891" xr:uid="{37E26439-2D30-4A3B-91DB-6A0B0F29825E}"/>
    <cellStyle name="Normal 5 2 2 2 2 2 12" xfId="8772" xr:uid="{8B7E4B52-CDD7-460E-9DF5-36BE7E424329}"/>
    <cellStyle name="Normal 5 2 2 2 2 2 12 2" xfId="18720" xr:uid="{BF1DE3DA-50DD-428D-B719-D22CA3D11E5F}"/>
    <cellStyle name="Normal 5 2 2 2 2 2 13" xfId="9601" xr:uid="{FE8A3C40-4103-4579-A7C1-4120298C4492}"/>
    <cellStyle name="Normal 5 2 2 2 2 2 13 2" xfId="19549" xr:uid="{40C35F38-D969-499C-A534-88EE349F8B95}"/>
    <cellStyle name="Normal 5 2 2 2 2 2 14" xfId="10430" xr:uid="{D58B08FC-4DCE-4E49-917A-E74B06CDAC6C}"/>
    <cellStyle name="Normal 5 2 2 2 2 2 14 2" xfId="20378" xr:uid="{6BE53EC6-44F6-4171-9DBA-6AC74A266EB6}"/>
    <cellStyle name="Normal 5 2 2 2 2 2 15" xfId="1311" xr:uid="{7E169511-6BAF-4611-85BC-DF34BE566EFB}"/>
    <cellStyle name="Normal 5 2 2 2 2 2 16" xfId="11259" xr:uid="{C309A256-A38D-40F4-95FA-B7B4341261A5}"/>
    <cellStyle name="Normal 5 2 2 2 2 2 2" xfId="415" xr:uid="{00000000-0005-0000-0000-0000D8020000}"/>
    <cellStyle name="Normal 5 2 2 2 2 2 2 10" xfId="7944" xr:uid="{1260F816-3527-4E40-A573-F1D07E37B618}"/>
    <cellStyle name="Normal 5 2 2 2 2 2 2 10 2" xfId="17892" xr:uid="{43A4B4C2-F3F9-4BE7-B3DB-AB0714D33AE3}"/>
    <cellStyle name="Normal 5 2 2 2 2 2 2 11" xfId="8773" xr:uid="{D6F38CF8-E07B-410B-BF61-0B84E1614F4B}"/>
    <cellStyle name="Normal 5 2 2 2 2 2 2 11 2" xfId="18721" xr:uid="{6E56634D-A2AB-4181-8891-C8CB392A78B5}"/>
    <cellStyle name="Normal 5 2 2 2 2 2 2 12" xfId="9602" xr:uid="{D465C8EA-A88D-4CA5-9694-244965058A28}"/>
    <cellStyle name="Normal 5 2 2 2 2 2 2 12 2" xfId="19550" xr:uid="{4F842EA0-B0A3-4724-945E-C23A2DC0C18F}"/>
    <cellStyle name="Normal 5 2 2 2 2 2 2 13" xfId="10431" xr:uid="{86C7D291-0C0A-4141-8C9E-83C81EB802B7}"/>
    <cellStyle name="Normal 5 2 2 2 2 2 2 13 2" xfId="20379" xr:uid="{D43027F3-14BE-4936-89E5-455D931996B1}"/>
    <cellStyle name="Normal 5 2 2 2 2 2 2 14" xfId="1312" xr:uid="{18D48F5D-7B15-4FBF-ADED-DE053BA80CE3}"/>
    <cellStyle name="Normal 5 2 2 2 2 2 2 15" xfId="11260" xr:uid="{55CBD1E1-62BA-4FA8-957C-DDBF0E9643C4}"/>
    <cellStyle name="Normal 5 2 2 2 2 2 2 2" xfId="894" xr:uid="{00000000-0005-0000-0000-0000D9020000}"/>
    <cellStyle name="Normal 5 2 2 2 2 2 2 2 10" xfId="9189" xr:uid="{855321D6-81AA-44B7-89E1-E5CD2A1A541E}"/>
    <cellStyle name="Normal 5 2 2 2 2 2 2 2 10 2" xfId="19137" xr:uid="{3863C86B-C4CF-4585-A751-9D9D0E331AF1}"/>
    <cellStyle name="Normal 5 2 2 2 2 2 2 2 11" xfId="10018" xr:uid="{45B07A89-FF28-43F1-9738-AB2153644D18}"/>
    <cellStyle name="Normal 5 2 2 2 2 2 2 2 11 2" xfId="19966" xr:uid="{F4867EC6-B7B9-430D-8756-AD94CB776DFF}"/>
    <cellStyle name="Normal 5 2 2 2 2 2 2 2 12" xfId="10847" xr:uid="{D91018A3-73C3-47BF-8078-A04D97413C50}"/>
    <cellStyle name="Normal 5 2 2 2 2 2 2 2 12 2" xfId="20795" xr:uid="{37AB336A-028C-4EBB-97B8-3CCD2BDD6061}"/>
    <cellStyle name="Normal 5 2 2 2 2 2 2 2 13" xfId="1728" xr:uid="{CB9C975E-4A80-47B8-8D82-8D73C742C90C}"/>
    <cellStyle name="Normal 5 2 2 2 2 2 2 2 14" xfId="11676" xr:uid="{31E69CA1-86B3-4D3A-A7AB-6469D819A8A0}"/>
    <cellStyle name="Normal 5 2 2 2 2 2 2 2 2" xfId="2557" xr:uid="{C2A0F133-FA7A-48D2-96F6-F2F9B8C7E7F2}"/>
    <cellStyle name="Normal 5 2 2 2 2 2 2 2 2 2" xfId="12505" xr:uid="{E16D94CD-0731-40DA-B58D-DCACDB21F7D3}"/>
    <cellStyle name="Normal 5 2 2 2 2 2 2 2 3" xfId="3386" xr:uid="{C8C324DB-69E0-4D2A-A34E-B069B1E99286}"/>
    <cellStyle name="Normal 5 2 2 2 2 2 2 2 3 2" xfId="13334" xr:uid="{EFC31928-0E22-4919-A2CA-684070D162CF}"/>
    <cellStyle name="Normal 5 2 2 2 2 2 2 2 4" xfId="4215" xr:uid="{A43FF90E-B986-4257-BF59-BB024C01AA9F}"/>
    <cellStyle name="Normal 5 2 2 2 2 2 2 2 4 2" xfId="14163" xr:uid="{361B690F-913C-46BD-9659-1608712B7B5D}"/>
    <cellStyle name="Normal 5 2 2 2 2 2 2 2 5" xfId="5044" xr:uid="{74DF6954-24AF-44EB-8C8C-E6FC7F4722A5}"/>
    <cellStyle name="Normal 5 2 2 2 2 2 2 2 5 2" xfId="14992" xr:uid="{50046AB3-29DF-40D0-8D79-C30AC792DEEB}"/>
    <cellStyle name="Normal 5 2 2 2 2 2 2 2 6" xfId="5873" xr:uid="{677C6333-5C21-4E9C-AC9F-D76E36BD2B06}"/>
    <cellStyle name="Normal 5 2 2 2 2 2 2 2 6 2" xfId="15821" xr:uid="{E144BA6D-0367-45CE-BEB5-69264B0D9165}"/>
    <cellStyle name="Normal 5 2 2 2 2 2 2 2 7" xfId="6702" xr:uid="{997AFAF4-A36D-4CC2-A080-A38144756512}"/>
    <cellStyle name="Normal 5 2 2 2 2 2 2 2 7 2" xfId="16650" xr:uid="{375E3EC2-5096-40AE-8D78-83EF84B77515}"/>
    <cellStyle name="Normal 5 2 2 2 2 2 2 2 8" xfId="7531" xr:uid="{4D655B64-EA56-4A41-B1F5-36B5C846743C}"/>
    <cellStyle name="Normal 5 2 2 2 2 2 2 2 8 2" xfId="17479" xr:uid="{2FC26E95-74B8-4E2F-8FAE-1A524260E612}"/>
    <cellStyle name="Normal 5 2 2 2 2 2 2 2 9" xfId="8360" xr:uid="{8B569EB0-B4CC-4DA3-BF23-D838BA9042D9}"/>
    <cellStyle name="Normal 5 2 2 2 2 2 2 2 9 2" xfId="18308" xr:uid="{38FA62D4-8DE7-460D-A45E-D64066BA1FF8}"/>
    <cellStyle name="Normal 5 2 2 2 2 2 2 3" xfId="2141" xr:uid="{E9D7131D-5219-4F38-983D-DC3EC752BA1B}"/>
    <cellStyle name="Normal 5 2 2 2 2 2 2 3 2" xfId="12089" xr:uid="{95718CA8-7F13-4032-8D1F-C504358BF96C}"/>
    <cellStyle name="Normal 5 2 2 2 2 2 2 4" xfId="2970" xr:uid="{B441C692-C450-4C23-94C0-417F49AB7C8E}"/>
    <cellStyle name="Normal 5 2 2 2 2 2 2 4 2" xfId="12918" xr:uid="{860D3DFB-30E8-426C-86FB-F55EE4A3F9EE}"/>
    <cellStyle name="Normal 5 2 2 2 2 2 2 5" xfId="3799" xr:uid="{21C510DA-D8AC-41F1-81A1-712ACDE0AC29}"/>
    <cellStyle name="Normal 5 2 2 2 2 2 2 5 2" xfId="13747" xr:uid="{2BDFDDE7-178C-426F-980A-A99197109CD4}"/>
    <cellStyle name="Normal 5 2 2 2 2 2 2 6" xfId="4628" xr:uid="{B82A7616-686E-49DF-A627-7478712863F4}"/>
    <cellStyle name="Normal 5 2 2 2 2 2 2 6 2" xfId="14576" xr:uid="{B15FA80E-8BFC-4C1E-A8BD-94CBCB2AEEED}"/>
    <cellStyle name="Normal 5 2 2 2 2 2 2 7" xfId="5457" xr:uid="{68F8A0F4-EE99-4324-8C12-D4409A1B3A04}"/>
    <cellStyle name="Normal 5 2 2 2 2 2 2 7 2" xfId="15405" xr:uid="{C76B963C-9D34-44D4-9493-8CF43F01549A}"/>
    <cellStyle name="Normal 5 2 2 2 2 2 2 8" xfId="6286" xr:uid="{092B000B-6B40-41CD-A7B8-0F7400F4F168}"/>
    <cellStyle name="Normal 5 2 2 2 2 2 2 8 2" xfId="16234" xr:uid="{9815F87E-D191-46F1-BD2C-16C033B9670D}"/>
    <cellStyle name="Normal 5 2 2 2 2 2 2 9" xfId="7115" xr:uid="{9C353520-B1C5-47BD-A564-6B99862ACECC}"/>
    <cellStyle name="Normal 5 2 2 2 2 2 2 9 2" xfId="17063" xr:uid="{9FD0AD3E-097F-42B4-A384-3B2B812B32A9}"/>
    <cellStyle name="Normal 5 2 2 2 2 2 3" xfId="893" xr:uid="{00000000-0005-0000-0000-0000DA020000}"/>
    <cellStyle name="Normal 5 2 2 2 2 2 3 10" xfId="9188" xr:uid="{B7E77D59-7719-4E1A-8ED0-035CB8E0BB67}"/>
    <cellStyle name="Normal 5 2 2 2 2 2 3 10 2" xfId="19136" xr:uid="{8B75CBB7-7877-4918-B6CF-95A71C0BDE9E}"/>
    <cellStyle name="Normal 5 2 2 2 2 2 3 11" xfId="10017" xr:uid="{026F0A40-BFF6-4361-830D-15FE9B253981}"/>
    <cellStyle name="Normal 5 2 2 2 2 2 3 11 2" xfId="19965" xr:uid="{D295FB40-60B7-47C2-80A3-444CBE377619}"/>
    <cellStyle name="Normal 5 2 2 2 2 2 3 12" xfId="10846" xr:uid="{10AA4A60-E6A6-4B29-B430-70956776900B}"/>
    <cellStyle name="Normal 5 2 2 2 2 2 3 12 2" xfId="20794" xr:uid="{4D2B53FE-283E-4991-A63B-D7CD49A41902}"/>
    <cellStyle name="Normal 5 2 2 2 2 2 3 13" xfId="1727" xr:uid="{FC3B1E42-AE23-41BE-BDBB-0B5A8D5CD1C8}"/>
    <cellStyle name="Normal 5 2 2 2 2 2 3 14" xfId="11675" xr:uid="{8BB678F7-A5B2-40A0-95D6-751C70437874}"/>
    <cellStyle name="Normal 5 2 2 2 2 2 3 2" xfId="2556" xr:uid="{4E6FE5D4-27DD-4178-A8A2-C6CB86D980E2}"/>
    <cellStyle name="Normal 5 2 2 2 2 2 3 2 2" xfId="12504" xr:uid="{B20D929F-C583-4B42-ADF4-40CB1B648747}"/>
    <cellStyle name="Normal 5 2 2 2 2 2 3 3" xfId="3385" xr:uid="{75006980-FA6C-4C3A-8B5C-99872E1043BC}"/>
    <cellStyle name="Normal 5 2 2 2 2 2 3 3 2" xfId="13333" xr:uid="{58BE150A-DCBF-43BA-9E71-5D203986FD7B}"/>
    <cellStyle name="Normal 5 2 2 2 2 2 3 4" xfId="4214" xr:uid="{E251FC74-7390-4821-BCBD-FC00EAA249AC}"/>
    <cellStyle name="Normal 5 2 2 2 2 2 3 4 2" xfId="14162" xr:uid="{082CFF8C-BEB9-4569-9395-5D4C886C2B6D}"/>
    <cellStyle name="Normal 5 2 2 2 2 2 3 5" xfId="5043" xr:uid="{0B44397B-9238-4A0A-8755-B9E61C83F2AD}"/>
    <cellStyle name="Normal 5 2 2 2 2 2 3 5 2" xfId="14991" xr:uid="{323C2BF7-0AB4-4FE2-855F-5A91866620FD}"/>
    <cellStyle name="Normal 5 2 2 2 2 2 3 6" xfId="5872" xr:uid="{166B321F-0E04-4B5F-8453-3677CDE61937}"/>
    <cellStyle name="Normal 5 2 2 2 2 2 3 6 2" xfId="15820" xr:uid="{E876DB4D-B0D3-4867-9935-272E949FF57A}"/>
    <cellStyle name="Normal 5 2 2 2 2 2 3 7" xfId="6701" xr:uid="{8619C767-D58C-4249-BBC2-90877106CCFB}"/>
    <cellStyle name="Normal 5 2 2 2 2 2 3 7 2" xfId="16649" xr:uid="{241DBADE-6E22-4059-B79B-5C66946F3786}"/>
    <cellStyle name="Normal 5 2 2 2 2 2 3 8" xfId="7530" xr:uid="{57AD5AC9-CED2-42C9-85A2-1118A77D28D4}"/>
    <cellStyle name="Normal 5 2 2 2 2 2 3 8 2" xfId="17478" xr:uid="{3D521727-588C-4DD9-B5BC-BE074DDC538B}"/>
    <cellStyle name="Normal 5 2 2 2 2 2 3 9" xfId="8359" xr:uid="{9C8A5EFD-1417-4B0E-9CB7-6B9CBA490F52}"/>
    <cellStyle name="Normal 5 2 2 2 2 2 3 9 2" xfId="18307" xr:uid="{8DFFBF4A-11DF-4238-9806-9DBCC4391304}"/>
    <cellStyle name="Normal 5 2 2 2 2 2 4" xfId="2140" xr:uid="{67CAB669-9EE8-4FF9-8BA8-12017CCE2A89}"/>
    <cellStyle name="Normal 5 2 2 2 2 2 4 2" xfId="12088" xr:uid="{7DCA679A-DE49-4E69-B154-19B89C84D509}"/>
    <cellStyle name="Normal 5 2 2 2 2 2 5" xfId="2969" xr:uid="{87320867-213E-490D-AFB0-ECC1CCDA5B63}"/>
    <cellStyle name="Normal 5 2 2 2 2 2 5 2" xfId="12917" xr:uid="{DDB938E0-4884-4AF6-91C9-0677944F69E7}"/>
    <cellStyle name="Normal 5 2 2 2 2 2 6" xfId="3798" xr:uid="{2DC8D658-91D5-4F18-89A9-9A3429E74736}"/>
    <cellStyle name="Normal 5 2 2 2 2 2 6 2" xfId="13746" xr:uid="{EA3C443D-546B-4304-ADA3-1A0DF865805C}"/>
    <cellStyle name="Normal 5 2 2 2 2 2 7" xfId="4627" xr:uid="{E7740CEC-ADD3-4E08-AF5B-80C914A73C79}"/>
    <cellStyle name="Normal 5 2 2 2 2 2 7 2" xfId="14575" xr:uid="{CF43C45A-D83F-41C4-88FE-C3498424D617}"/>
    <cellStyle name="Normal 5 2 2 2 2 2 8" xfId="5456" xr:uid="{D0DD5CDE-2545-412B-AD25-57AD4E249B97}"/>
    <cellStyle name="Normal 5 2 2 2 2 2 8 2" xfId="15404" xr:uid="{B845D603-1208-4913-9447-11E1D3A1F6DB}"/>
    <cellStyle name="Normal 5 2 2 2 2 2 9" xfId="6285" xr:uid="{536B6333-C807-4834-8483-925B0C9327C3}"/>
    <cellStyle name="Normal 5 2 2 2 2 2 9 2" xfId="16233" xr:uid="{D5DA54F8-0292-4313-B79E-776FC4D2245C}"/>
    <cellStyle name="Normal 5 2 2 2 2 3" xfId="416" xr:uid="{00000000-0005-0000-0000-0000DB020000}"/>
    <cellStyle name="Normal 5 2 2 2 2 3 10" xfId="7945" xr:uid="{3FF85ADE-0522-4FB0-8E8C-DA015B92A2B0}"/>
    <cellStyle name="Normal 5 2 2 2 2 3 10 2" xfId="17893" xr:uid="{F2A471A1-6166-4EEC-8450-85CBB66916C1}"/>
    <cellStyle name="Normal 5 2 2 2 2 3 11" xfId="8774" xr:uid="{E639DB3B-86F8-4A61-9CC4-0618256E735D}"/>
    <cellStyle name="Normal 5 2 2 2 2 3 11 2" xfId="18722" xr:uid="{53809A23-2498-4C1A-9A32-A845E75F46A6}"/>
    <cellStyle name="Normal 5 2 2 2 2 3 12" xfId="9603" xr:uid="{C07581FD-F7B2-4BB3-965B-55DBE16EE08A}"/>
    <cellStyle name="Normal 5 2 2 2 2 3 12 2" xfId="19551" xr:uid="{1A89DF83-FD09-4BE6-B9DE-DCDCBB485BDC}"/>
    <cellStyle name="Normal 5 2 2 2 2 3 13" xfId="10432" xr:uid="{0E44EB2D-8A51-4A65-9240-1E2A480B822B}"/>
    <cellStyle name="Normal 5 2 2 2 2 3 13 2" xfId="20380" xr:uid="{B9D895D5-2807-490B-8717-2899F9EF882D}"/>
    <cellStyle name="Normal 5 2 2 2 2 3 14" xfId="1313" xr:uid="{FC2E1C21-1E3F-4032-905D-4BA93E8374E2}"/>
    <cellStyle name="Normal 5 2 2 2 2 3 15" xfId="11261" xr:uid="{E37105AC-692F-4742-86AB-176E299E4521}"/>
    <cellStyle name="Normal 5 2 2 2 2 3 2" xfId="895" xr:uid="{00000000-0005-0000-0000-0000DC020000}"/>
    <cellStyle name="Normal 5 2 2 2 2 3 2 10" xfId="9190" xr:uid="{A11DDBFD-54F6-4199-858A-25DC5773441E}"/>
    <cellStyle name="Normal 5 2 2 2 2 3 2 10 2" xfId="19138" xr:uid="{CB7B7073-66F7-4911-B70E-534F77E02EB4}"/>
    <cellStyle name="Normal 5 2 2 2 2 3 2 11" xfId="10019" xr:uid="{CCB2F68E-8A19-4DE1-B603-84D393330ABD}"/>
    <cellStyle name="Normal 5 2 2 2 2 3 2 11 2" xfId="19967" xr:uid="{A60F090E-98C0-4C3D-9826-04A0238C7E80}"/>
    <cellStyle name="Normal 5 2 2 2 2 3 2 12" xfId="10848" xr:uid="{35EE3285-28D1-4050-945E-3D0E20953838}"/>
    <cellStyle name="Normal 5 2 2 2 2 3 2 12 2" xfId="20796" xr:uid="{C88E48ED-4806-4BA0-AF40-4E482D804190}"/>
    <cellStyle name="Normal 5 2 2 2 2 3 2 13" xfId="1729" xr:uid="{1D48E7F9-6A9D-4592-9EF3-20FB040CC78E}"/>
    <cellStyle name="Normal 5 2 2 2 2 3 2 14" xfId="11677" xr:uid="{9CBE4A25-4CDB-4087-BD22-C46A1A121BDD}"/>
    <cellStyle name="Normal 5 2 2 2 2 3 2 2" xfId="2558" xr:uid="{9A31E14F-BD15-424C-ABEA-7F4BC21A435A}"/>
    <cellStyle name="Normal 5 2 2 2 2 3 2 2 2" xfId="12506" xr:uid="{0EE20AB7-E893-419C-9467-1147605CEE8D}"/>
    <cellStyle name="Normal 5 2 2 2 2 3 2 3" xfId="3387" xr:uid="{027C3BE9-F381-49CA-91CD-B9A60BA561B4}"/>
    <cellStyle name="Normal 5 2 2 2 2 3 2 3 2" xfId="13335" xr:uid="{C33CC3EB-8B58-456A-8946-9AC29F4F49D7}"/>
    <cellStyle name="Normal 5 2 2 2 2 3 2 4" xfId="4216" xr:uid="{5A8B88A6-ED69-4805-9ADE-49306384C9B7}"/>
    <cellStyle name="Normal 5 2 2 2 2 3 2 4 2" xfId="14164" xr:uid="{D3716379-7783-4DF6-B78D-80DAA0316C4E}"/>
    <cellStyle name="Normal 5 2 2 2 2 3 2 5" xfId="5045" xr:uid="{56141A0E-DB67-45D1-84B0-BFB3CE314AD0}"/>
    <cellStyle name="Normal 5 2 2 2 2 3 2 5 2" xfId="14993" xr:uid="{3BC50EED-7C1C-495B-ABD6-7B9F3B0A7A8F}"/>
    <cellStyle name="Normal 5 2 2 2 2 3 2 6" xfId="5874" xr:uid="{F5ED8B7D-075D-45AE-B95A-B22E722286B0}"/>
    <cellStyle name="Normal 5 2 2 2 2 3 2 6 2" xfId="15822" xr:uid="{C146BA34-1CDB-4076-AE3F-A92B46FFC546}"/>
    <cellStyle name="Normal 5 2 2 2 2 3 2 7" xfId="6703" xr:uid="{EF57A8C5-31ED-432F-B73F-547E927D1B63}"/>
    <cellStyle name="Normal 5 2 2 2 2 3 2 7 2" xfId="16651" xr:uid="{BD1C04B4-412B-4566-BC8F-722B28BEF823}"/>
    <cellStyle name="Normal 5 2 2 2 2 3 2 8" xfId="7532" xr:uid="{9AC8E264-F67E-4D6B-89D1-E031A1695872}"/>
    <cellStyle name="Normal 5 2 2 2 2 3 2 8 2" xfId="17480" xr:uid="{99FEF755-2E3D-49E4-BA4E-F7E8482190DE}"/>
    <cellStyle name="Normal 5 2 2 2 2 3 2 9" xfId="8361" xr:uid="{7E5298F4-4E67-4D60-A76D-C944B2BA8820}"/>
    <cellStyle name="Normal 5 2 2 2 2 3 2 9 2" xfId="18309" xr:uid="{8849991B-7519-4122-A117-1428667B4784}"/>
    <cellStyle name="Normal 5 2 2 2 2 3 3" xfId="2142" xr:uid="{C17AEEF7-3419-4750-9598-9E62C3404F00}"/>
    <cellStyle name="Normal 5 2 2 2 2 3 3 2" xfId="12090" xr:uid="{44112789-2161-45C5-9750-A6E25C1EA9DF}"/>
    <cellStyle name="Normal 5 2 2 2 2 3 4" xfId="2971" xr:uid="{8870DC84-6992-4116-BE04-016D1C3405B0}"/>
    <cellStyle name="Normal 5 2 2 2 2 3 4 2" xfId="12919" xr:uid="{424600D1-CAA8-42DE-B587-46B6338482AF}"/>
    <cellStyle name="Normal 5 2 2 2 2 3 5" xfId="3800" xr:uid="{7CE98355-3FFA-4B91-864D-2E5448A25EE6}"/>
    <cellStyle name="Normal 5 2 2 2 2 3 5 2" xfId="13748" xr:uid="{62F000CC-83FC-4B69-87DF-708EFE52AEC5}"/>
    <cellStyle name="Normal 5 2 2 2 2 3 6" xfId="4629" xr:uid="{26419B89-6B00-4163-83D5-0CA97D1ACFD4}"/>
    <cellStyle name="Normal 5 2 2 2 2 3 6 2" xfId="14577" xr:uid="{4FA48744-A52C-4F55-BE23-C9ADA4B1C502}"/>
    <cellStyle name="Normal 5 2 2 2 2 3 7" xfId="5458" xr:uid="{1D88038A-84A9-48DD-912D-67A7B2A48994}"/>
    <cellStyle name="Normal 5 2 2 2 2 3 7 2" xfId="15406" xr:uid="{11DB002B-9D89-4B04-BB59-C9B8E501509C}"/>
    <cellStyle name="Normal 5 2 2 2 2 3 8" xfId="6287" xr:uid="{C5BA3DEE-A8B0-4181-8113-D805DC68B311}"/>
    <cellStyle name="Normal 5 2 2 2 2 3 8 2" xfId="16235" xr:uid="{54996B3C-5FCB-4CE0-B9FC-8C6EF79560D7}"/>
    <cellStyle name="Normal 5 2 2 2 2 3 9" xfId="7116" xr:uid="{FD9A9426-716A-4440-8BDD-47EC778BB482}"/>
    <cellStyle name="Normal 5 2 2 2 2 3 9 2" xfId="17064" xr:uid="{B0A4FCF8-95E6-4D54-9CDA-959149C55E9D}"/>
    <cellStyle name="Normal 5 2 2 2 2 4" xfId="892" xr:uid="{00000000-0005-0000-0000-0000DD020000}"/>
    <cellStyle name="Normal 5 2 2 2 2 4 10" xfId="9187" xr:uid="{EA62159A-D450-48B7-9FE1-909E9B109020}"/>
    <cellStyle name="Normal 5 2 2 2 2 4 10 2" xfId="19135" xr:uid="{230BA74B-4514-4FF3-945D-1391D94FAA80}"/>
    <cellStyle name="Normal 5 2 2 2 2 4 11" xfId="10016" xr:uid="{BAC8E0FB-FBB7-40F2-ADFB-6F96FCAEE031}"/>
    <cellStyle name="Normal 5 2 2 2 2 4 11 2" xfId="19964" xr:uid="{C7E57DE0-1B57-49A2-8776-87A9AA5A487F}"/>
    <cellStyle name="Normal 5 2 2 2 2 4 12" xfId="10845" xr:uid="{B6828843-2865-4589-B6EC-286CE43CAF58}"/>
    <cellStyle name="Normal 5 2 2 2 2 4 12 2" xfId="20793" xr:uid="{43DAEBA1-F6AF-48D7-8DDB-D98CE8ABCDD1}"/>
    <cellStyle name="Normal 5 2 2 2 2 4 13" xfId="1726" xr:uid="{C647E767-510F-4177-AF2E-0FAC0457BB9D}"/>
    <cellStyle name="Normal 5 2 2 2 2 4 14" xfId="11674" xr:uid="{02A7A7DC-8AE3-42BE-90B9-688093519A2A}"/>
    <cellStyle name="Normal 5 2 2 2 2 4 2" xfId="2555" xr:uid="{2F0400C8-D17A-452A-AA4F-685E2A65609B}"/>
    <cellStyle name="Normal 5 2 2 2 2 4 2 2" xfId="12503" xr:uid="{ECB2110A-B592-4CFE-A3CE-530E26742CA3}"/>
    <cellStyle name="Normal 5 2 2 2 2 4 3" xfId="3384" xr:uid="{B1B6146F-5E6D-4713-9723-FFB6FA9A07BE}"/>
    <cellStyle name="Normal 5 2 2 2 2 4 3 2" xfId="13332" xr:uid="{884D6FD2-A230-432B-9050-21F30103FD2E}"/>
    <cellStyle name="Normal 5 2 2 2 2 4 4" xfId="4213" xr:uid="{058BC50D-C0B7-4053-A0D5-9643C5E780A8}"/>
    <cellStyle name="Normal 5 2 2 2 2 4 4 2" xfId="14161" xr:uid="{92956578-24EF-4C5C-8DE8-BD0A05D64C22}"/>
    <cellStyle name="Normal 5 2 2 2 2 4 5" xfId="5042" xr:uid="{79082366-2510-418E-8185-51300BB3DF1B}"/>
    <cellStyle name="Normal 5 2 2 2 2 4 5 2" xfId="14990" xr:uid="{F4F2B3EE-7908-4D8B-A2BE-9E85FCEB44AD}"/>
    <cellStyle name="Normal 5 2 2 2 2 4 6" xfId="5871" xr:uid="{2808153D-350E-4EDC-BB9F-97E16B191A86}"/>
    <cellStyle name="Normal 5 2 2 2 2 4 6 2" xfId="15819" xr:uid="{EDE90202-7F2F-4577-A366-6E559F0DECF8}"/>
    <cellStyle name="Normal 5 2 2 2 2 4 7" xfId="6700" xr:uid="{5E0CB5DE-A729-478B-8806-0BB40B78538A}"/>
    <cellStyle name="Normal 5 2 2 2 2 4 7 2" xfId="16648" xr:uid="{C40AA66D-DFD3-432A-896D-7D5379A88624}"/>
    <cellStyle name="Normal 5 2 2 2 2 4 8" xfId="7529" xr:uid="{DDA38571-FC5E-46B3-8EA8-BF3FE4CEA4AE}"/>
    <cellStyle name="Normal 5 2 2 2 2 4 8 2" xfId="17477" xr:uid="{AF66D1D1-30B0-4C69-B871-10C92F8EED31}"/>
    <cellStyle name="Normal 5 2 2 2 2 4 9" xfId="8358" xr:uid="{67C7F27B-5CCD-4DF1-B0DE-CD12A0C7CD85}"/>
    <cellStyle name="Normal 5 2 2 2 2 4 9 2" xfId="18306" xr:uid="{DBC78FB6-F49A-4418-B236-4015BC079AAA}"/>
    <cellStyle name="Normal 5 2 2 2 2 5" xfId="2139" xr:uid="{D6AAE05A-6754-40E4-9620-0067A6E1D8FE}"/>
    <cellStyle name="Normal 5 2 2 2 2 5 2" xfId="12087" xr:uid="{2A7E3D9E-D679-4FC7-BB7D-E571C2F44C1A}"/>
    <cellStyle name="Normal 5 2 2 2 2 6" xfId="2968" xr:uid="{982C00ED-D391-4F39-B79F-F2C1E3775329}"/>
    <cellStyle name="Normal 5 2 2 2 2 6 2" xfId="12916" xr:uid="{364D78BB-A8CE-45BD-95D7-C752C7C9551A}"/>
    <cellStyle name="Normal 5 2 2 2 2 7" xfId="3797" xr:uid="{0741669A-FE58-4245-A2A2-D961B17F6715}"/>
    <cellStyle name="Normal 5 2 2 2 2 7 2" xfId="13745" xr:uid="{8A225A66-44EB-49E9-AD7F-36D61895C738}"/>
    <cellStyle name="Normal 5 2 2 2 2 8" xfId="4626" xr:uid="{49E5A985-1795-45E0-A717-ED8BB7F8EC69}"/>
    <cellStyle name="Normal 5 2 2 2 2 8 2" xfId="14574" xr:uid="{03D64D67-9ED9-455D-BED2-0153E25BD79F}"/>
    <cellStyle name="Normal 5 2 2 2 2 9" xfId="5455" xr:uid="{63BB85FB-E547-4823-9240-D6310F79528F}"/>
    <cellStyle name="Normal 5 2 2 2 2 9 2" xfId="15403" xr:uid="{A57D3708-EABD-4FF9-89EE-C8E84095F11A}"/>
    <cellStyle name="Normal 5 2 2 2 3" xfId="417" xr:uid="{00000000-0005-0000-0000-0000DE020000}"/>
    <cellStyle name="Normal 5 2 2 2 3 10" xfId="7117" xr:uid="{BE0DF82F-E271-4535-9099-DEF9AE2A1E6E}"/>
    <cellStyle name="Normal 5 2 2 2 3 10 2" xfId="17065" xr:uid="{6DF1D572-DF81-4BB9-8C52-A31B5E1FD470}"/>
    <cellStyle name="Normal 5 2 2 2 3 11" xfId="7946" xr:uid="{2AC4AC38-E337-4C35-810E-5E58F033B4A2}"/>
    <cellStyle name="Normal 5 2 2 2 3 11 2" xfId="17894" xr:uid="{315DF0BF-1501-4E82-9A48-205E5D8594F6}"/>
    <cellStyle name="Normal 5 2 2 2 3 12" xfId="8775" xr:uid="{66041E0C-E878-431A-AA0A-47F5CF162E20}"/>
    <cellStyle name="Normal 5 2 2 2 3 12 2" xfId="18723" xr:uid="{351B1077-AAA3-4CF8-9103-7EFC09DF1BF7}"/>
    <cellStyle name="Normal 5 2 2 2 3 13" xfId="9604" xr:uid="{2AF2EE3D-9F97-421B-AE4C-76FAEF621E85}"/>
    <cellStyle name="Normal 5 2 2 2 3 13 2" xfId="19552" xr:uid="{A12133AF-9187-477B-BFB7-6523924731B1}"/>
    <cellStyle name="Normal 5 2 2 2 3 14" xfId="10433" xr:uid="{2303E2E8-0A8B-4C29-BE4A-C0B13F3BA27F}"/>
    <cellStyle name="Normal 5 2 2 2 3 14 2" xfId="20381" xr:uid="{7E42A8EC-CB58-4F3C-82A5-A8F9FF98C694}"/>
    <cellStyle name="Normal 5 2 2 2 3 15" xfId="1314" xr:uid="{941008D1-BF35-43A6-86F3-6A13A9BC9061}"/>
    <cellStyle name="Normal 5 2 2 2 3 16" xfId="11262" xr:uid="{992D1244-6E89-4684-BDB0-1F675208DCC3}"/>
    <cellStyle name="Normal 5 2 2 2 3 2" xfId="418" xr:uid="{00000000-0005-0000-0000-0000DF020000}"/>
    <cellStyle name="Normal 5 2 2 2 3 2 10" xfId="7947" xr:uid="{8BA23069-660C-45EE-B6E2-AE5CF0BDF41D}"/>
    <cellStyle name="Normal 5 2 2 2 3 2 10 2" xfId="17895" xr:uid="{687B1910-3D16-4297-876B-EF509B91BB34}"/>
    <cellStyle name="Normal 5 2 2 2 3 2 11" xfId="8776" xr:uid="{B0F29D88-2AD2-4FD3-94EF-A70DE75817BB}"/>
    <cellStyle name="Normal 5 2 2 2 3 2 11 2" xfId="18724" xr:uid="{7E122CC3-7BAF-4591-9A7C-BACFA95B9CD7}"/>
    <cellStyle name="Normal 5 2 2 2 3 2 12" xfId="9605" xr:uid="{3748E5EF-BDDD-4329-BF8D-56D54F3B0A1F}"/>
    <cellStyle name="Normal 5 2 2 2 3 2 12 2" xfId="19553" xr:uid="{FF644EAC-C6BA-47B8-8EA6-F2E2BADAA7DC}"/>
    <cellStyle name="Normal 5 2 2 2 3 2 13" xfId="10434" xr:uid="{27B248B5-99A4-45EC-A614-7C6C331CD44B}"/>
    <cellStyle name="Normal 5 2 2 2 3 2 13 2" xfId="20382" xr:uid="{6AA56806-F364-4D4F-A567-3CA467C617BB}"/>
    <cellStyle name="Normal 5 2 2 2 3 2 14" xfId="1315" xr:uid="{842A2C72-CBE3-48A0-A786-C8999577B624}"/>
    <cellStyle name="Normal 5 2 2 2 3 2 15" xfId="11263" xr:uid="{4CEF198E-2E38-43EE-AD97-9FFF1D9B8955}"/>
    <cellStyle name="Normal 5 2 2 2 3 2 2" xfId="897" xr:uid="{00000000-0005-0000-0000-0000E0020000}"/>
    <cellStyle name="Normal 5 2 2 2 3 2 2 10" xfId="9192" xr:uid="{204F2BD9-0A1F-4197-9ED7-3255CAA0F554}"/>
    <cellStyle name="Normal 5 2 2 2 3 2 2 10 2" xfId="19140" xr:uid="{47D43081-9EF3-4074-9224-32ACF8294140}"/>
    <cellStyle name="Normal 5 2 2 2 3 2 2 11" xfId="10021" xr:uid="{E90E09CC-67D6-495D-B764-DA2DC60EAEFF}"/>
    <cellStyle name="Normal 5 2 2 2 3 2 2 11 2" xfId="19969" xr:uid="{DCB78CF2-B09A-4861-8CDC-923CE3C54300}"/>
    <cellStyle name="Normal 5 2 2 2 3 2 2 12" xfId="10850" xr:uid="{BA2EB960-BE80-44B6-8B9F-A7C510DEA09E}"/>
    <cellStyle name="Normal 5 2 2 2 3 2 2 12 2" xfId="20798" xr:uid="{4474CD15-C3B8-4112-9012-2270F44495E5}"/>
    <cellStyle name="Normal 5 2 2 2 3 2 2 13" xfId="1731" xr:uid="{BBA1632D-C4C5-455B-BDB3-09B7F7B4CB7D}"/>
    <cellStyle name="Normal 5 2 2 2 3 2 2 14" xfId="11679" xr:uid="{FA46EA6A-874E-4827-A5D2-B00EA276120C}"/>
    <cellStyle name="Normal 5 2 2 2 3 2 2 2" xfId="2560" xr:uid="{D725884F-60E6-4460-970C-BD5F2FC8CBE3}"/>
    <cellStyle name="Normal 5 2 2 2 3 2 2 2 2" xfId="12508" xr:uid="{FD685C0D-6AC9-40B2-9BEE-A56BCA2EC2B7}"/>
    <cellStyle name="Normal 5 2 2 2 3 2 2 3" xfId="3389" xr:uid="{1112D8E2-AEDD-448D-8AC0-9C425915AB1C}"/>
    <cellStyle name="Normal 5 2 2 2 3 2 2 3 2" xfId="13337" xr:uid="{08AA309E-AE66-4E72-82FB-3710208D5087}"/>
    <cellStyle name="Normal 5 2 2 2 3 2 2 4" xfId="4218" xr:uid="{69C4D861-574A-49FB-ADCC-5C20A36B2E0C}"/>
    <cellStyle name="Normal 5 2 2 2 3 2 2 4 2" xfId="14166" xr:uid="{BC382BD7-E64E-4B17-B387-E617DF8230BF}"/>
    <cellStyle name="Normal 5 2 2 2 3 2 2 5" xfId="5047" xr:uid="{7BEA8278-E208-4CC1-B889-77052084A099}"/>
    <cellStyle name="Normal 5 2 2 2 3 2 2 5 2" xfId="14995" xr:uid="{98380319-465A-49DC-97F6-5665720E6696}"/>
    <cellStyle name="Normal 5 2 2 2 3 2 2 6" xfId="5876" xr:uid="{7D91FD00-DDD6-4229-AE4C-8B6C575AC51E}"/>
    <cellStyle name="Normal 5 2 2 2 3 2 2 6 2" xfId="15824" xr:uid="{909E3E8A-5847-43ED-880B-12C42B90D0D5}"/>
    <cellStyle name="Normal 5 2 2 2 3 2 2 7" xfId="6705" xr:uid="{F5CBAA0A-D4DB-47F2-B5E0-A2D1D8FAB45B}"/>
    <cellStyle name="Normal 5 2 2 2 3 2 2 7 2" xfId="16653" xr:uid="{D0D5092B-E98A-412A-8E2C-C1410E739995}"/>
    <cellStyle name="Normal 5 2 2 2 3 2 2 8" xfId="7534" xr:uid="{C3600151-5A71-4632-A2C0-6475A5BEC5C6}"/>
    <cellStyle name="Normal 5 2 2 2 3 2 2 8 2" xfId="17482" xr:uid="{5CB2F600-3245-41BB-828E-A97FF6F4EA04}"/>
    <cellStyle name="Normal 5 2 2 2 3 2 2 9" xfId="8363" xr:uid="{5D379ACB-63A1-46D0-9996-3542B2C176B5}"/>
    <cellStyle name="Normal 5 2 2 2 3 2 2 9 2" xfId="18311" xr:uid="{4EEB27FC-FDBA-42C2-B67C-186A6F13B961}"/>
    <cellStyle name="Normal 5 2 2 2 3 2 3" xfId="2144" xr:uid="{E46DF524-6D91-4D04-98E8-761364AEB2A0}"/>
    <cellStyle name="Normal 5 2 2 2 3 2 3 2" xfId="12092" xr:uid="{D0F30F11-49A7-4DD3-B1D0-84FF48829641}"/>
    <cellStyle name="Normal 5 2 2 2 3 2 4" xfId="2973" xr:uid="{08BCA7A0-F20C-4B0F-A129-174B7D3DD81E}"/>
    <cellStyle name="Normal 5 2 2 2 3 2 4 2" xfId="12921" xr:uid="{FAA7FB0E-6C93-4885-AB4F-4FBC698C7600}"/>
    <cellStyle name="Normal 5 2 2 2 3 2 5" xfId="3802" xr:uid="{109B3D8E-03C6-4716-9F4D-0E7D23EFB2F3}"/>
    <cellStyle name="Normal 5 2 2 2 3 2 5 2" xfId="13750" xr:uid="{17D760D5-2FE7-4497-95F2-BB42A2232065}"/>
    <cellStyle name="Normal 5 2 2 2 3 2 6" xfId="4631" xr:uid="{11326FC5-23DA-4B46-A6AB-0E0CAAEE7F18}"/>
    <cellStyle name="Normal 5 2 2 2 3 2 6 2" xfId="14579" xr:uid="{C5FFEB01-2864-4996-AD18-3576E75F21FD}"/>
    <cellStyle name="Normal 5 2 2 2 3 2 7" xfId="5460" xr:uid="{A582B995-0480-4984-9653-FF9A1FA49C5E}"/>
    <cellStyle name="Normal 5 2 2 2 3 2 7 2" xfId="15408" xr:uid="{CFCFFD04-D283-48E0-A8C6-92E2BAC8DB5A}"/>
    <cellStyle name="Normal 5 2 2 2 3 2 8" xfId="6289" xr:uid="{9DD5F2E5-E0DD-49CF-B12D-26ECE62E4D61}"/>
    <cellStyle name="Normal 5 2 2 2 3 2 8 2" xfId="16237" xr:uid="{837DAE97-2C6C-49EB-85E8-2B0BD5789C20}"/>
    <cellStyle name="Normal 5 2 2 2 3 2 9" xfId="7118" xr:uid="{FAD413EB-50D0-46B5-9B57-3E5434D3F257}"/>
    <cellStyle name="Normal 5 2 2 2 3 2 9 2" xfId="17066" xr:uid="{C921BDD9-5821-4074-8CED-BBDFC0F670D9}"/>
    <cellStyle name="Normal 5 2 2 2 3 3" xfId="896" xr:uid="{00000000-0005-0000-0000-0000E1020000}"/>
    <cellStyle name="Normal 5 2 2 2 3 3 10" xfId="9191" xr:uid="{EB784CC1-1691-4CBC-A13A-250E37C59CC4}"/>
    <cellStyle name="Normal 5 2 2 2 3 3 10 2" xfId="19139" xr:uid="{0BD40FD0-D57A-4BD8-BD91-1E167D9C021D}"/>
    <cellStyle name="Normal 5 2 2 2 3 3 11" xfId="10020" xr:uid="{BC861FC8-135A-4300-A686-CAC1A284AB9B}"/>
    <cellStyle name="Normal 5 2 2 2 3 3 11 2" xfId="19968" xr:uid="{D24C6260-5F32-46CB-8804-F2837BF3C788}"/>
    <cellStyle name="Normal 5 2 2 2 3 3 12" xfId="10849" xr:uid="{DB80A683-541B-427D-9F9E-DFAD02B9B072}"/>
    <cellStyle name="Normal 5 2 2 2 3 3 12 2" xfId="20797" xr:uid="{F8A09917-D808-43F9-80C6-98D0B34CA8E6}"/>
    <cellStyle name="Normal 5 2 2 2 3 3 13" xfId="1730" xr:uid="{B562EF61-90C9-42FD-A471-03E135DC68C3}"/>
    <cellStyle name="Normal 5 2 2 2 3 3 14" xfId="11678" xr:uid="{AA42A196-0BB7-4284-8512-6140C0C3D2D0}"/>
    <cellStyle name="Normal 5 2 2 2 3 3 2" xfId="2559" xr:uid="{BA8A7B7D-3009-40A1-AFA1-92C249D985A9}"/>
    <cellStyle name="Normal 5 2 2 2 3 3 2 2" xfId="12507" xr:uid="{87E2D174-6512-4544-B975-90162A6A6889}"/>
    <cellStyle name="Normal 5 2 2 2 3 3 3" xfId="3388" xr:uid="{65C637ED-0FA5-48AE-B3A5-6D4DEF4B444B}"/>
    <cellStyle name="Normal 5 2 2 2 3 3 3 2" xfId="13336" xr:uid="{2E306A99-5033-44F5-BEA3-299AE59C530A}"/>
    <cellStyle name="Normal 5 2 2 2 3 3 4" xfId="4217" xr:uid="{B6526A7B-74D4-49BC-8561-039FE42C51DE}"/>
    <cellStyle name="Normal 5 2 2 2 3 3 4 2" xfId="14165" xr:uid="{DACFBA29-187F-4360-8BD1-DEA83640181D}"/>
    <cellStyle name="Normal 5 2 2 2 3 3 5" xfId="5046" xr:uid="{EB5E612E-5A34-457F-9C8E-0F622AFBF81C}"/>
    <cellStyle name="Normal 5 2 2 2 3 3 5 2" xfId="14994" xr:uid="{85D13CB0-289C-4D92-8B2B-AA47C1F2D108}"/>
    <cellStyle name="Normal 5 2 2 2 3 3 6" xfId="5875" xr:uid="{E62BFE78-29D5-4080-B4F7-D6651A3C673B}"/>
    <cellStyle name="Normal 5 2 2 2 3 3 6 2" xfId="15823" xr:uid="{634BD096-1921-4E91-A611-10B8E11B158E}"/>
    <cellStyle name="Normal 5 2 2 2 3 3 7" xfId="6704" xr:uid="{2BEC2D73-25FF-40A5-9AB9-3CBB7878C7A4}"/>
    <cellStyle name="Normal 5 2 2 2 3 3 7 2" xfId="16652" xr:uid="{C4A37DFB-3898-4936-A27A-7DDB56474012}"/>
    <cellStyle name="Normal 5 2 2 2 3 3 8" xfId="7533" xr:uid="{1409F3CE-A3C0-404B-8BB2-07860EEFFE58}"/>
    <cellStyle name="Normal 5 2 2 2 3 3 8 2" xfId="17481" xr:uid="{C3E9185B-B94D-4F58-83A8-BBA9847C948D}"/>
    <cellStyle name="Normal 5 2 2 2 3 3 9" xfId="8362" xr:uid="{C4D3FB84-5C8C-4688-8E60-89C9C7BA7E6A}"/>
    <cellStyle name="Normal 5 2 2 2 3 3 9 2" xfId="18310" xr:uid="{88B1A850-1BC3-41D3-AFE7-539901B13640}"/>
    <cellStyle name="Normal 5 2 2 2 3 4" xfId="2143" xr:uid="{8C6DBCA4-19A8-442A-B999-E354D17F85DA}"/>
    <cellStyle name="Normal 5 2 2 2 3 4 2" xfId="12091" xr:uid="{441F67CF-1848-4A7F-A7E5-65C8DD8FE3EB}"/>
    <cellStyle name="Normal 5 2 2 2 3 5" xfId="2972" xr:uid="{A2616D9F-1B98-4228-9CDF-BB53DDA2B731}"/>
    <cellStyle name="Normal 5 2 2 2 3 5 2" xfId="12920" xr:uid="{72135BCA-4C25-4682-ACBD-3E3BF8F28165}"/>
    <cellStyle name="Normal 5 2 2 2 3 6" xfId="3801" xr:uid="{B0073E8C-6DFE-45FD-ADC0-0064CC7422F8}"/>
    <cellStyle name="Normal 5 2 2 2 3 6 2" xfId="13749" xr:uid="{EA72DBCB-CD75-4334-92B9-94180E704706}"/>
    <cellStyle name="Normal 5 2 2 2 3 7" xfId="4630" xr:uid="{F8FE12A1-8029-4D7E-ACAE-68A79EBDC8C7}"/>
    <cellStyle name="Normal 5 2 2 2 3 7 2" xfId="14578" xr:uid="{DA67A187-92B6-4C44-931D-ADAB261B8BB2}"/>
    <cellStyle name="Normal 5 2 2 2 3 8" xfId="5459" xr:uid="{74228871-F53E-4F7B-AE57-66A51AAE32B5}"/>
    <cellStyle name="Normal 5 2 2 2 3 8 2" xfId="15407" xr:uid="{CFF4DFD2-3A82-4739-A5BC-9AAFC0C1729C}"/>
    <cellStyle name="Normal 5 2 2 2 3 9" xfId="6288" xr:uid="{9DA3FB62-8545-4F4A-9F3A-A1DB4DC8C966}"/>
    <cellStyle name="Normal 5 2 2 2 3 9 2" xfId="16236" xr:uid="{3E19EAD7-A4C7-4C31-A65C-31FCA9E7EE41}"/>
    <cellStyle name="Normal 5 2 2 2 4" xfId="419" xr:uid="{00000000-0005-0000-0000-0000E2020000}"/>
    <cellStyle name="Normal 5 2 2 2 4 10" xfId="7948" xr:uid="{3A1D6353-B5BC-4897-99A7-7335DA4D88FC}"/>
    <cellStyle name="Normal 5 2 2 2 4 10 2" xfId="17896" xr:uid="{31382FBC-BC1F-440B-BE96-6C1EEA1329B9}"/>
    <cellStyle name="Normal 5 2 2 2 4 11" xfId="8777" xr:uid="{D9C7E26C-7CC7-4FD6-9A8F-702ECC4AAE8E}"/>
    <cellStyle name="Normal 5 2 2 2 4 11 2" xfId="18725" xr:uid="{2DAC1ABD-1F06-4B85-8052-BCA22F95DCD1}"/>
    <cellStyle name="Normal 5 2 2 2 4 12" xfId="9606" xr:uid="{E9205836-D1F4-4F4D-91A0-BD0395B4EABB}"/>
    <cellStyle name="Normal 5 2 2 2 4 12 2" xfId="19554" xr:uid="{8141074A-855B-48D7-BD77-4A2F5DF3581E}"/>
    <cellStyle name="Normal 5 2 2 2 4 13" xfId="10435" xr:uid="{08041C97-8CDE-41ED-9FB5-B0D9B9394A7C}"/>
    <cellStyle name="Normal 5 2 2 2 4 13 2" xfId="20383" xr:uid="{4E532AE7-37E6-4ACF-B34A-8F888F55202C}"/>
    <cellStyle name="Normal 5 2 2 2 4 14" xfId="1316" xr:uid="{BDE3113C-A423-4F5A-82D2-91569C084E24}"/>
    <cellStyle name="Normal 5 2 2 2 4 15" xfId="11264" xr:uid="{21D8D016-038F-4908-A3F0-9339F8DECC11}"/>
    <cellStyle name="Normal 5 2 2 2 4 2" xfId="898" xr:uid="{00000000-0005-0000-0000-0000E3020000}"/>
    <cellStyle name="Normal 5 2 2 2 4 2 10" xfId="9193" xr:uid="{85CAB7F7-DD0B-4678-A261-6A9237C7C835}"/>
    <cellStyle name="Normal 5 2 2 2 4 2 10 2" xfId="19141" xr:uid="{1CA15BD2-A2A0-4ABB-AFE5-5864D9BAB863}"/>
    <cellStyle name="Normal 5 2 2 2 4 2 11" xfId="10022" xr:uid="{BF4A001B-5BE6-4D6F-A9F0-4551E4C4D799}"/>
    <cellStyle name="Normal 5 2 2 2 4 2 11 2" xfId="19970" xr:uid="{680BE557-1722-4871-BBD8-1DBABEAFDA58}"/>
    <cellStyle name="Normal 5 2 2 2 4 2 12" xfId="10851" xr:uid="{D586A766-1883-43FC-8E86-0E61194E88C7}"/>
    <cellStyle name="Normal 5 2 2 2 4 2 12 2" xfId="20799" xr:uid="{736DD2EF-F002-4D7A-AC8F-95D034339D50}"/>
    <cellStyle name="Normal 5 2 2 2 4 2 13" xfId="1732" xr:uid="{BF4A5D6C-D1EC-414B-9707-29F26245AE8A}"/>
    <cellStyle name="Normal 5 2 2 2 4 2 14" xfId="11680" xr:uid="{84D4813B-6C6B-4A45-84FE-714CE7CA39A3}"/>
    <cellStyle name="Normal 5 2 2 2 4 2 2" xfId="2561" xr:uid="{CF3FA055-0F7C-4D1E-8910-6D777D286ED9}"/>
    <cellStyle name="Normal 5 2 2 2 4 2 2 2" xfId="12509" xr:uid="{764749C8-CC0D-48EC-B3F1-3B741A994447}"/>
    <cellStyle name="Normal 5 2 2 2 4 2 3" xfId="3390" xr:uid="{A2C44871-6615-4561-8B30-D95650794908}"/>
    <cellStyle name="Normal 5 2 2 2 4 2 3 2" xfId="13338" xr:uid="{64A4B43B-1A47-46A8-BE88-18DFD044AB1C}"/>
    <cellStyle name="Normal 5 2 2 2 4 2 4" xfId="4219" xr:uid="{0F4B1B5F-68CD-49B0-A92C-7FCF69451F6E}"/>
    <cellStyle name="Normal 5 2 2 2 4 2 4 2" xfId="14167" xr:uid="{8736501C-8258-45B0-BD8C-B9339B07086C}"/>
    <cellStyle name="Normal 5 2 2 2 4 2 5" xfId="5048" xr:uid="{C35FE04C-4DBA-473A-8333-DB07AB97DEEE}"/>
    <cellStyle name="Normal 5 2 2 2 4 2 5 2" xfId="14996" xr:uid="{7C4B1D3C-F400-47B2-9274-73AC67C90019}"/>
    <cellStyle name="Normal 5 2 2 2 4 2 6" xfId="5877" xr:uid="{D5B7799A-AD11-4800-99EB-1CCDF2195A21}"/>
    <cellStyle name="Normal 5 2 2 2 4 2 6 2" xfId="15825" xr:uid="{C7BAFC3F-3E9F-4C1D-A492-6FDA2CA4E5A5}"/>
    <cellStyle name="Normal 5 2 2 2 4 2 7" xfId="6706" xr:uid="{192A869D-6968-4885-B13F-E0E3ACEF94ED}"/>
    <cellStyle name="Normal 5 2 2 2 4 2 7 2" xfId="16654" xr:uid="{86A623B5-CCF6-40FF-9E8B-D47579934D40}"/>
    <cellStyle name="Normal 5 2 2 2 4 2 8" xfId="7535" xr:uid="{00CBE17A-4306-4A34-B7A7-573F618D25E6}"/>
    <cellStyle name="Normal 5 2 2 2 4 2 8 2" xfId="17483" xr:uid="{8D936955-8052-41EC-81A6-659E4FE64F50}"/>
    <cellStyle name="Normal 5 2 2 2 4 2 9" xfId="8364" xr:uid="{BD19F1B7-E9D9-4CC7-897E-8CDDFAF3C14E}"/>
    <cellStyle name="Normal 5 2 2 2 4 2 9 2" xfId="18312" xr:uid="{7F253941-54E8-4E91-A176-F5A5335A032E}"/>
    <cellStyle name="Normal 5 2 2 2 4 3" xfId="2145" xr:uid="{0F4B2BF3-DB77-4CAB-AF54-529D7608E4AB}"/>
    <cellStyle name="Normal 5 2 2 2 4 3 2" xfId="12093" xr:uid="{3852E28A-A094-43D0-A819-312352B52935}"/>
    <cellStyle name="Normal 5 2 2 2 4 4" xfId="2974" xr:uid="{A2A16927-37F9-43F2-A1AA-1B2B4BC8654B}"/>
    <cellStyle name="Normal 5 2 2 2 4 4 2" xfId="12922" xr:uid="{A6AD7268-3CC3-4A87-AD7E-A62FA52B1036}"/>
    <cellStyle name="Normal 5 2 2 2 4 5" xfId="3803" xr:uid="{EDC9072A-0DB0-46C5-AAE8-D9649505C202}"/>
    <cellStyle name="Normal 5 2 2 2 4 5 2" xfId="13751" xr:uid="{5F590F7C-C765-4FBD-91B4-F88AC308D6D9}"/>
    <cellStyle name="Normal 5 2 2 2 4 6" xfId="4632" xr:uid="{F601EF13-30FB-4644-9C68-F0BF37778645}"/>
    <cellStyle name="Normal 5 2 2 2 4 6 2" xfId="14580" xr:uid="{E276F6CA-B46C-4F3E-85A6-EBEE226E88C8}"/>
    <cellStyle name="Normal 5 2 2 2 4 7" xfId="5461" xr:uid="{FE8C5854-F97F-4EC3-83C8-67AB363696DC}"/>
    <cellStyle name="Normal 5 2 2 2 4 7 2" xfId="15409" xr:uid="{802FAEAE-DFF9-47C5-B71E-66C05BF89B60}"/>
    <cellStyle name="Normal 5 2 2 2 4 8" xfId="6290" xr:uid="{A8CF669F-E5EF-4BF7-BF3D-F4F6A8166E5C}"/>
    <cellStyle name="Normal 5 2 2 2 4 8 2" xfId="16238" xr:uid="{3BAAAC97-190A-4713-9F35-99BBE85E91EA}"/>
    <cellStyle name="Normal 5 2 2 2 4 9" xfId="7119" xr:uid="{0763D848-B847-4BBC-B698-407924AB2F37}"/>
    <cellStyle name="Normal 5 2 2 2 4 9 2" xfId="17067" xr:uid="{A18A13AA-F4ED-4543-8D8D-F1D9DF744023}"/>
    <cellStyle name="Normal 5 2 2 2 5" xfId="891" xr:uid="{00000000-0005-0000-0000-0000E4020000}"/>
    <cellStyle name="Normal 5 2 2 2 5 10" xfId="9186" xr:uid="{79CA7B5B-DC06-4F1E-B05D-4667B7851CC1}"/>
    <cellStyle name="Normal 5 2 2 2 5 10 2" xfId="19134" xr:uid="{6DCD90A5-7523-461F-9222-6927A292B96A}"/>
    <cellStyle name="Normal 5 2 2 2 5 11" xfId="10015" xr:uid="{4118E192-873D-4F38-9CE9-1DFF64B71BFB}"/>
    <cellStyle name="Normal 5 2 2 2 5 11 2" xfId="19963" xr:uid="{35958E7B-CEBA-4ED3-BB39-DEF4ACF9E589}"/>
    <cellStyle name="Normal 5 2 2 2 5 12" xfId="10844" xr:uid="{193B76E3-49FA-41B9-911B-116BAF3BD8D7}"/>
    <cellStyle name="Normal 5 2 2 2 5 12 2" xfId="20792" xr:uid="{C1D8757A-29C8-42F5-9744-1D383A42A319}"/>
    <cellStyle name="Normal 5 2 2 2 5 13" xfId="1725" xr:uid="{77B7259E-5E19-43D4-9054-F0781D527CE3}"/>
    <cellStyle name="Normal 5 2 2 2 5 14" xfId="11673" xr:uid="{94FDBDF0-77B8-4174-A9EF-7F6FD01F9917}"/>
    <cellStyle name="Normal 5 2 2 2 5 2" xfId="2554" xr:uid="{6F077C57-78B3-46A8-8263-A4C133A68DBA}"/>
    <cellStyle name="Normal 5 2 2 2 5 2 2" xfId="12502" xr:uid="{2A0DFB0F-69B6-4C72-805E-16A35A1E3C9E}"/>
    <cellStyle name="Normal 5 2 2 2 5 3" xfId="3383" xr:uid="{C68C5519-5D52-4ED3-B104-76F6BEF619F0}"/>
    <cellStyle name="Normal 5 2 2 2 5 3 2" xfId="13331" xr:uid="{DDBDFF71-F744-4604-8D9F-9B584F92BDBB}"/>
    <cellStyle name="Normal 5 2 2 2 5 4" xfId="4212" xr:uid="{533BFCE3-C9F9-43E5-A72D-D5C6A5C6216F}"/>
    <cellStyle name="Normal 5 2 2 2 5 4 2" xfId="14160" xr:uid="{F8BE423C-EA9F-44EA-93E8-2960ADA9C6D0}"/>
    <cellStyle name="Normal 5 2 2 2 5 5" xfId="5041" xr:uid="{442ED987-A03E-4CBB-A76E-35363525BEBA}"/>
    <cellStyle name="Normal 5 2 2 2 5 5 2" xfId="14989" xr:uid="{6EB58FDA-A035-4B5A-9CFA-AE0A8B956084}"/>
    <cellStyle name="Normal 5 2 2 2 5 6" xfId="5870" xr:uid="{E775E0B2-4C81-46CC-9799-77D527C3518D}"/>
    <cellStyle name="Normal 5 2 2 2 5 6 2" xfId="15818" xr:uid="{B4C5D94E-B70E-4365-857E-99727257BD84}"/>
    <cellStyle name="Normal 5 2 2 2 5 7" xfId="6699" xr:uid="{9006366F-693B-4272-A41C-80A466601E72}"/>
    <cellStyle name="Normal 5 2 2 2 5 7 2" xfId="16647" xr:uid="{D25FCA69-9D9B-4407-AF05-D52A793AB7A3}"/>
    <cellStyle name="Normal 5 2 2 2 5 8" xfId="7528" xr:uid="{D8B92D67-80EA-4102-92EC-D48B3CF81C6F}"/>
    <cellStyle name="Normal 5 2 2 2 5 8 2" xfId="17476" xr:uid="{2DE273AA-7C2C-46AC-9AFC-FF7CA26D1F6A}"/>
    <cellStyle name="Normal 5 2 2 2 5 9" xfId="8357" xr:uid="{71CFF978-11C2-4A13-B3AA-4BFD1DF2B09C}"/>
    <cellStyle name="Normal 5 2 2 2 5 9 2" xfId="18305" xr:uid="{9EFEC334-09A1-42BF-B91B-1F444A3D9A5C}"/>
    <cellStyle name="Normal 5 2 2 2 6" xfId="2138" xr:uid="{FC3D2836-1976-4DFA-9F3E-FA9B15C3485A}"/>
    <cellStyle name="Normal 5 2 2 2 6 2" xfId="12086" xr:uid="{D1EB43D2-DBB9-495F-8F0C-CAD9A9D0C1CF}"/>
    <cellStyle name="Normal 5 2 2 2 7" xfId="2967" xr:uid="{2A469B42-F28F-487B-A474-93B4BA7CDE06}"/>
    <cellStyle name="Normal 5 2 2 2 7 2" xfId="12915" xr:uid="{6E5BB4FA-80E0-4CD7-8F36-33256C4FE230}"/>
    <cellStyle name="Normal 5 2 2 2 8" xfId="3796" xr:uid="{4BC45D60-6F61-4482-B797-0097505A9B78}"/>
    <cellStyle name="Normal 5 2 2 2 8 2" xfId="13744" xr:uid="{54E1202C-D539-45F5-9BF1-D551CE00F5FF}"/>
    <cellStyle name="Normal 5 2 2 2 9" xfId="4625" xr:uid="{70412420-FD40-48A7-98B6-6FD05E6243F7}"/>
    <cellStyle name="Normal 5 2 2 2 9 2" xfId="14573" xr:uid="{F9F249D2-E598-4E4E-AD12-DE11C83A2523}"/>
    <cellStyle name="Normal 5 2 2 3" xfId="420" xr:uid="{00000000-0005-0000-0000-0000E5020000}"/>
    <cellStyle name="Normal 5 2 2 3 10" xfId="6291" xr:uid="{9F398D89-8918-4217-BA24-67BC3348C146}"/>
    <cellStyle name="Normal 5 2 2 3 10 2" xfId="16239" xr:uid="{2568CD72-0F79-4211-B0E7-439456F42DD1}"/>
    <cellStyle name="Normal 5 2 2 3 11" xfId="7120" xr:uid="{2CCCC3D4-BCAB-4A8E-BFDF-2187CF564E94}"/>
    <cellStyle name="Normal 5 2 2 3 11 2" xfId="17068" xr:uid="{7F2C7EA9-4FDD-4620-9E98-9460CFFBAB7B}"/>
    <cellStyle name="Normal 5 2 2 3 12" xfId="7949" xr:uid="{98D553A7-A2AD-4871-93DF-520CAC681343}"/>
    <cellStyle name="Normal 5 2 2 3 12 2" xfId="17897" xr:uid="{9F2A763A-AF5D-4AA0-A6AF-6A4D21769E2F}"/>
    <cellStyle name="Normal 5 2 2 3 13" xfId="8778" xr:uid="{6951DB4A-F257-4D59-8EFF-0A5DCF557106}"/>
    <cellStyle name="Normal 5 2 2 3 13 2" xfId="18726" xr:uid="{2FC474DF-61BA-4595-8B4B-436E44BF2D63}"/>
    <cellStyle name="Normal 5 2 2 3 14" xfId="9607" xr:uid="{9EF23686-6026-4E94-8E56-B0F14B9CEADE}"/>
    <cellStyle name="Normal 5 2 2 3 14 2" xfId="19555" xr:uid="{B03BC535-E6A3-4C8D-B62B-AA5C1ADF2FE1}"/>
    <cellStyle name="Normal 5 2 2 3 15" xfId="10436" xr:uid="{A88775F9-04C2-4F11-8FD5-2E59DC5A8006}"/>
    <cellStyle name="Normal 5 2 2 3 15 2" xfId="20384" xr:uid="{FD72E2E6-1CEB-4C36-B262-A4C74617F5E4}"/>
    <cellStyle name="Normal 5 2 2 3 16" xfId="1317" xr:uid="{CE2F63AE-078A-4252-AA26-3B9EEA7DDA43}"/>
    <cellStyle name="Normal 5 2 2 3 17" xfId="11265" xr:uid="{8A17809C-A59C-4E65-8244-97D020F812AB}"/>
    <cellStyle name="Normal 5 2 2 3 2" xfId="421" xr:uid="{00000000-0005-0000-0000-0000E6020000}"/>
    <cellStyle name="Normal 5 2 2 3 2 10" xfId="7121" xr:uid="{64C421BF-8E3F-43CB-A93B-1EADEEF77BC0}"/>
    <cellStyle name="Normal 5 2 2 3 2 10 2" xfId="17069" xr:uid="{46CA42F8-32BB-4C85-894B-CE6E4DDB2C69}"/>
    <cellStyle name="Normal 5 2 2 3 2 11" xfId="7950" xr:uid="{6FFC448C-9192-4F0E-B2A5-9FF771DFAE55}"/>
    <cellStyle name="Normal 5 2 2 3 2 11 2" xfId="17898" xr:uid="{6A030BA2-F3FE-4E9A-BB23-51282388B37C}"/>
    <cellStyle name="Normal 5 2 2 3 2 12" xfId="8779" xr:uid="{577C20BA-8176-4C54-BC53-827EB495FB23}"/>
    <cellStyle name="Normal 5 2 2 3 2 12 2" xfId="18727" xr:uid="{7B0E0C08-950D-4AF3-92E8-90067BD7A1A2}"/>
    <cellStyle name="Normal 5 2 2 3 2 13" xfId="9608" xr:uid="{1EC454CC-E850-4765-8F10-0F50D090DDF1}"/>
    <cellStyle name="Normal 5 2 2 3 2 13 2" xfId="19556" xr:uid="{9496A8B9-F3BE-40A8-892C-DD99892C45C5}"/>
    <cellStyle name="Normal 5 2 2 3 2 14" xfId="10437" xr:uid="{A003ED1F-644A-4F7C-B1CC-F626F03EC319}"/>
    <cellStyle name="Normal 5 2 2 3 2 14 2" xfId="20385" xr:uid="{49FD94D1-0EA8-4676-A1B6-FDF45FCB0236}"/>
    <cellStyle name="Normal 5 2 2 3 2 15" xfId="1318" xr:uid="{393BA9E1-C404-4C7B-BF3F-D33A64A423A4}"/>
    <cellStyle name="Normal 5 2 2 3 2 16" xfId="11266" xr:uid="{F4CCAF09-3F48-48B5-B548-33FE9E6E9D86}"/>
    <cellStyle name="Normal 5 2 2 3 2 2" xfId="422" xr:uid="{00000000-0005-0000-0000-0000E7020000}"/>
    <cellStyle name="Normal 5 2 2 3 2 2 10" xfId="7951" xr:uid="{99D08293-84C7-4B58-B0CC-EAAB0625E817}"/>
    <cellStyle name="Normal 5 2 2 3 2 2 10 2" xfId="17899" xr:uid="{06924842-636C-45B1-9557-E98862B1384A}"/>
    <cellStyle name="Normal 5 2 2 3 2 2 11" xfId="8780" xr:uid="{20EF170D-E352-45D8-B728-CBEBFB4193E5}"/>
    <cellStyle name="Normal 5 2 2 3 2 2 11 2" xfId="18728" xr:uid="{51968870-F498-438A-9E43-239FBE57D0CD}"/>
    <cellStyle name="Normal 5 2 2 3 2 2 12" xfId="9609" xr:uid="{CD52A5B2-A1BF-45CD-B934-C3DC54FD5F39}"/>
    <cellStyle name="Normal 5 2 2 3 2 2 12 2" xfId="19557" xr:uid="{2C6E0A00-32B3-4616-8989-9F8E74A8BE78}"/>
    <cellStyle name="Normal 5 2 2 3 2 2 13" xfId="10438" xr:uid="{05C1910D-D5B4-4BFD-9A7E-7CEAFF9695DC}"/>
    <cellStyle name="Normal 5 2 2 3 2 2 13 2" xfId="20386" xr:uid="{26C4F6F9-4501-4A51-AACB-A908834B7AD7}"/>
    <cellStyle name="Normal 5 2 2 3 2 2 14" xfId="1319" xr:uid="{D09D5929-5E6C-455A-B729-88CB3FE60617}"/>
    <cellStyle name="Normal 5 2 2 3 2 2 15" xfId="11267" xr:uid="{00C25668-89F0-4CC8-9CA4-62379069D0C0}"/>
    <cellStyle name="Normal 5 2 2 3 2 2 2" xfId="901" xr:uid="{00000000-0005-0000-0000-0000E8020000}"/>
    <cellStyle name="Normal 5 2 2 3 2 2 2 10" xfId="9196" xr:uid="{8CB9F7CF-754B-40F8-A368-10B482968A79}"/>
    <cellStyle name="Normal 5 2 2 3 2 2 2 10 2" xfId="19144" xr:uid="{EF345D6E-EB95-4322-92CA-30149AFB21E0}"/>
    <cellStyle name="Normal 5 2 2 3 2 2 2 11" xfId="10025" xr:uid="{5F85D134-AFEE-443F-B4BD-0BA3267AE806}"/>
    <cellStyle name="Normal 5 2 2 3 2 2 2 11 2" xfId="19973" xr:uid="{20DB6B98-7E53-4854-A66B-F871A5681214}"/>
    <cellStyle name="Normal 5 2 2 3 2 2 2 12" xfId="10854" xr:uid="{2A9FC02E-C800-42ED-8723-5C832D50E3E2}"/>
    <cellStyle name="Normal 5 2 2 3 2 2 2 12 2" xfId="20802" xr:uid="{A9B9AD94-C7E5-4DC8-B964-73BBBA76988A}"/>
    <cellStyle name="Normal 5 2 2 3 2 2 2 13" xfId="1735" xr:uid="{EE802B81-E695-4D33-911D-9C91590B33D2}"/>
    <cellStyle name="Normal 5 2 2 3 2 2 2 14" xfId="11683" xr:uid="{C7010EE5-806C-4EA7-AB3C-9244E85B5FB9}"/>
    <cellStyle name="Normal 5 2 2 3 2 2 2 2" xfId="2564" xr:uid="{7E26FF5A-7ED9-4203-9DD7-A42D04DA40EA}"/>
    <cellStyle name="Normal 5 2 2 3 2 2 2 2 2" xfId="12512" xr:uid="{BF064B3A-A239-4AB3-972A-C81C34847AEB}"/>
    <cellStyle name="Normal 5 2 2 3 2 2 2 3" xfId="3393" xr:uid="{9213F982-EC37-415F-BD9C-8EA9D4161C53}"/>
    <cellStyle name="Normal 5 2 2 3 2 2 2 3 2" xfId="13341" xr:uid="{EF84462E-FA52-46B4-9099-0F1226ABC771}"/>
    <cellStyle name="Normal 5 2 2 3 2 2 2 4" xfId="4222" xr:uid="{5C4E7A11-4DA3-4552-A527-4F4F06FBB488}"/>
    <cellStyle name="Normal 5 2 2 3 2 2 2 4 2" xfId="14170" xr:uid="{C23B9FDE-92A5-47AF-93C5-CF0A297F8ED1}"/>
    <cellStyle name="Normal 5 2 2 3 2 2 2 5" xfId="5051" xr:uid="{4E06E3C9-524C-491B-B12E-9514226849B7}"/>
    <cellStyle name="Normal 5 2 2 3 2 2 2 5 2" xfId="14999" xr:uid="{01E9A935-CDA1-41DA-88B8-8CE672C8DC02}"/>
    <cellStyle name="Normal 5 2 2 3 2 2 2 6" xfId="5880" xr:uid="{D609F026-5736-4409-B310-0785C894CE2C}"/>
    <cellStyle name="Normal 5 2 2 3 2 2 2 6 2" xfId="15828" xr:uid="{ECF0E537-9437-4D9B-B85D-9478C6256532}"/>
    <cellStyle name="Normal 5 2 2 3 2 2 2 7" xfId="6709" xr:uid="{7B667B12-B1BF-4D50-82FC-9BE6EC649720}"/>
    <cellStyle name="Normal 5 2 2 3 2 2 2 7 2" xfId="16657" xr:uid="{F51BF5A7-5708-405E-8C88-824EA1D62092}"/>
    <cellStyle name="Normal 5 2 2 3 2 2 2 8" xfId="7538" xr:uid="{B1FFCADD-EABB-4FB2-93F7-F709F79BFF3A}"/>
    <cellStyle name="Normal 5 2 2 3 2 2 2 8 2" xfId="17486" xr:uid="{E292458D-840C-43B1-BB3D-CAE30B1B7EC8}"/>
    <cellStyle name="Normal 5 2 2 3 2 2 2 9" xfId="8367" xr:uid="{33747368-BD01-4B2D-8A21-602A74CAF435}"/>
    <cellStyle name="Normal 5 2 2 3 2 2 2 9 2" xfId="18315" xr:uid="{049EA970-77D0-40C0-8177-22492B72FE8C}"/>
    <cellStyle name="Normal 5 2 2 3 2 2 3" xfId="2148" xr:uid="{4C01DEF2-6B46-4679-BAEE-1A7D39703CAD}"/>
    <cellStyle name="Normal 5 2 2 3 2 2 3 2" xfId="12096" xr:uid="{A118DAC4-7113-409B-964D-496D5AFFF5B0}"/>
    <cellStyle name="Normal 5 2 2 3 2 2 4" xfId="2977" xr:uid="{7176A8ED-81B9-4387-8A05-6602D8E87135}"/>
    <cellStyle name="Normal 5 2 2 3 2 2 4 2" xfId="12925" xr:uid="{D7B6A7A2-7EDF-423C-B02B-26CA56AD5D21}"/>
    <cellStyle name="Normal 5 2 2 3 2 2 5" xfId="3806" xr:uid="{3D518C3D-1E7E-4FC9-A7F9-B1D908A9B1F2}"/>
    <cellStyle name="Normal 5 2 2 3 2 2 5 2" xfId="13754" xr:uid="{41463B6F-BE2A-4345-A945-20E2A8A4F77E}"/>
    <cellStyle name="Normal 5 2 2 3 2 2 6" xfId="4635" xr:uid="{BE6FC5FD-3E5B-4DBA-ABAA-F55E756A277E}"/>
    <cellStyle name="Normal 5 2 2 3 2 2 6 2" xfId="14583" xr:uid="{7AABF8EF-CEAD-403E-B495-B5EF51DE3487}"/>
    <cellStyle name="Normal 5 2 2 3 2 2 7" xfId="5464" xr:uid="{0904D1C4-C448-49D0-B4C5-39761F9B7448}"/>
    <cellStyle name="Normal 5 2 2 3 2 2 7 2" xfId="15412" xr:uid="{4D3ECAEC-F8D2-4B9E-AD5C-15CA5F02C16B}"/>
    <cellStyle name="Normal 5 2 2 3 2 2 8" xfId="6293" xr:uid="{2D28866B-A405-4198-9FDB-3B4C566599F8}"/>
    <cellStyle name="Normal 5 2 2 3 2 2 8 2" xfId="16241" xr:uid="{904566DF-6386-4BCF-8E77-B1F1664661E6}"/>
    <cellStyle name="Normal 5 2 2 3 2 2 9" xfId="7122" xr:uid="{01126EFE-5198-4AC3-9167-E09370B31FB7}"/>
    <cellStyle name="Normal 5 2 2 3 2 2 9 2" xfId="17070" xr:uid="{CF6D2EC0-E7BD-4109-975E-B13291A53CAE}"/>
    <cellStyle name="Normal 5 2 2 3 2 3" xfId="900" xr:uid="{00000000-0005-0000-0000-0000E9020000}"/>
    <cellStyle name="Normal 5 2 2 3 2 3 10" xfId="9195" xr:uid="{B5E7036F-9E35-40C7-A2E1-CE73AF4B6358}"/>
    <cellStyle name="Normal 5 2 2 3 2 3 10 2" xfId="19143" xr:uid="{3FBB16F9-AFFE-4BBA-8CD5-36917E9C2BB0}"/>
    <cellStyle name="Normal 5 2 2 3 2 3 11" xfId="10024" xr:uid="{16D94421-609C-4127-8114-DBE9BEBECBB0}"/>
    <cellStyle name="Normal 5 2 2 3 2 3 11 2" xfId="19972" xr:uid="{313EEF31-6476-4ECC-9EC2-EE50C6E5B417}"/>
    <cellStyle name="Normal 5 2 2 3 2 3 12" xfId="10853" xr:uid="{6BF9A49E-ADA0-4240-B8D4-7FDEC5507AB7}"/>
    <cellStyle name="Normal 5 2 2 3 2 3 12 2" xfId="20801" xr:uid="{49B3E0D0-0229-4DBF-A888-2EF78BD4BEC7}"/>
    <cellStyle name="Normal 5 2 2 3 2 3 13" xfId="1734" xr:uid="{C206C627-528F-4EDC-8654-0D5AEF21821A}"/>
    <cellStyle name="Normal 5 2 2 3 2 3 14" xfId="11682" xr:uid="{C7480245-8769-4239-BD70-D6056BF67D98}"/>
    <cellStyle name="Normal 5 2 2 3 2 3 2" xfId="2563" xr:uid="{0DD08F8B-EB87-4D8C-B9D0-AD11F66B4535}"/>
    <cellStyle name="Normal 5 2 2 3 2 3 2 2" xfId="12511" xr:uid="{2CC01A75-9E6A-4165-9194-2F1D46E75091}"/>
    <cellStyle name="Normal 5 2 2 3 2 3 3" xfId="3392" xr:uid="{EF4BCD9E-D2CD-42FE-BDA8-F5387D9EB584}"/>
    <cellStyle name="Normal 5 2 2 3 2 3 3 2" xfId="13340" xr:uid="{95695F57-A7FD-4BF4-A484-AE9434DA097A}"/>
    <cellStyle name="Normal 5 2 2 3 2 3 4" xfId="4221" xr:uid="{0A7178B6-57EE-4357-830B-D672C2DDDCC6}"/>
    <cellStyle name="Normal 5 2 2 3 2 3 4 2" xfId="14169" xr:uid="{A7D282FD-5AC5-4029-BF3C-5E17CC41B70B}"/>
    <cellStyle name="Normal 5 2 2 3 2 3 5" xfId="5050" xr:uid="{6C45FA42-91EF-4BA2-9436-1FC460AFDE7B}"/>
    <cellStyle name="Normal 5 2 2 3 2 3 5 2" xfId="14998" xr:uid="{F6514984-755B-4A6E-8E4A-B57FDDF9C52A}"/>
    <cellStyle name="Normal 5 2 2 3 2 3 6" xfId="5879" xr:uid="{1A30B3F0-9B41-4DDB-B6B7-0F390D06D0F2}"/>
    <cellStyle name="Normal 5 2 2 3 2 3 6 2" xfId="15827" xr:uid="{A03A945F-DF20-4223-89D6-CAEA807A0D16}"/>
    <cellStyle name="Normal 5 2 2 3 2 3 7" xfId="6708" xr:uid="{84A0149A-C326-4DBB-B305-9B70133CEC8B}"/>
    <cellStyle name="Normal 5 2 2 3 2 3 7 2" xfId="16656" xr:uid="{8E341A97-151B-46E3-9C0D-03106957207D}"/>
    <cellStyle name="Normal 5 2 2 3 2 3 8" xfId="7537" xr:uid="{B7E8E21C-2646-436A-B061-76236A265180}"/>
    <cellStyle name="Normal 5 2 2 3 2 3 8 2" xfId="17485" xr:uid="{244D2E94-1ED0-4F83-9908-44A97786FF06}"/>
    <cellStyle name="Normal 5 2 2 3 2 3 9" xfId="8366" xr:uid="{4FF9D519-92B0-43F9-B57E-E8788E7E9F50}"/>
    <cellStyle name="Normal 5 2 2 3 2 3 9 2" xfId="18314" xr:uid="{B26ACA74-35F1-4802-8C45-BF660AC25615}"/>
    <cellStyle name="Normal 5 2 2 3 2 4" xfId="2147" xr:uid="{F88777BC-E1DA-4493-B727-CF8707487CB8}"/>
    <cellStyle name="Normal 5 2 2 3 2 4 2" xfId="12095" xr:uid="{27A49365-2468-4E36-BB80-A55710188219}"/>
    <cellStyle name="Normal 5 2 2 3 2 5" xfId="2976" xr:uid="{F03F55CB-9952-47EF-B020-F1344AE0BF8C}"/>
    <cellStyle name="Normal 5 2 2 3 2 5 2" xfId="12924" xr:uid="{7693B244-A1DF-465D-B93F-1C415852D94C}"/>
    <cellStyle name="Normal 5 2 2 3 2 6" xfId="3805" xr:uid="{86C6EE67-18DF-48B9-83D6-3E53B5A859EE}"/>
    <cellStyle name="Normal 5 2 2 3 2 6 2" xfId="13753" xr:uid="{2734C753-8E51-47F8-B8AA-B62EC4F9AC7C}"/>
    <cellStyle name="Normal 5 2 2 3 2 7" xfId="4634" xr:uid="{D0671463-D768-43DF-90CA-CA349A2A8958}"/>
    <cellStyle name="Normal 5 2 2 3 2 7 2" xfId="14582" xr:uid="{6C348ABF-3757-4F19-8004-AD49060FEC93}"/>
    <cellStyle name="Normal 5 2 2 3 2 8" xfId="5463" xr:uid="{7F66EE11-4AF8-497D-942E-923C6ABB16CA}"/>
    <cellStyle name="Normal 5 2 2 3 2 8 2" xfId="15411" xr:uid="{81516614-171D-40F5-9731-52F82B10779F}"/>
    <cellStyle name="Normal 5 2 2 3 2 9" xfId="6292" xr:uid="{5167CB87-F9BA-4CA7-940A-84BD9CE2FF16}"/>
    <cellStyle name="Normal 5 2 2 3 2 9 2" xfId="16240" xr:uid="{BB85CCAE-5243-45E6-A7E4-68EE8F8651BB}"/>
    <cellStyle name="Normal 5 2 2 3 3" xfId="423" xr:uid="{00000000-0005-0000-0000-0000EA020000}"/>
    <cellStyle name="Normal 5 2 2 3 3 10" xfId="7952" xr:uid="{A57EF7BF-2D89-4700-B6B8-A905F7FCB01F}"/>
    <cellStyle name="Normal 5 2 2 3 3 10 2" xfId="17900" xr:uid="{51E2006A-136D-4848-B047-4D19EEB5E5C4}"/>
    <cellStyle name="Normal 5 2 2 3 3 11" xfId="8781" xr:uid="{AC7A93AA-01B9-414F-8E36-06D0D7648049}"/>
    <cellStyle name="Normal 5 2 2 3 3 11 2" xfId="18729" xr:uid="{C59795F9-ADEE-4005-9AA2-782ADE3DF0DC}"/>
    <cellStyle name="Normal 5 2 2 3 3 12" xfId="9610" xr:uid="{605F7CB0-0A14-4340-A130-D79234A3A036}"/>
    <cellStyle name="Normal 5 2 2 3 3 12 2" xfId="19558" xr:uid="{767524D1-6DB0-4968-A522-A147FD8629AF}"/>
    <cellStyle name="Normal 5 2 2 3 3 13" xfId="10439" xr:uid="{A10A7DB7-568E-4889-8FA2-33D4CEDDCD08}"/>
    <cellStyle name="Normal 5 2 2 3 3 13 2" xfId="20387" xr:uid="{80064777-F8EB-4416-A878-ACB4C569CAE5}"/>
    <cellStyle name="Normal 5 2 2 3 3 14" xfId="1320" xr:uid="{1CA083FB-24C9-4387-A39B-C817BFB23C64}"/>
    <cellStyle name="Normal 5 2 2 3 3 15" xfId="11268" xr:uid="{1708ECD5-A1A2-4344-9992-E0A584034B1E}"/>
    <cellStyle name="Normal 5 2 2 3 3 2" xfId="902" xr:uid="{00000000-0005-0000-0000-0000EB020000}"/>
    <cellStyle name="Normal 5 2 2 3 3 2 10" xfId="9197" xr:uid="{D8AC845A-A313-47AA-8956-93657273C10C}"/>
    <cellStyle name="Normal 5 2 2 3 3 2 10 2" xfId="19145" xr:uid="{14B042C1-501F-47F9-AEDA-36D1F829D197}"/>
    <cellStyle name="Normal 5 2 2 3 3 2 11" xfId="10026" xr:uid="{7B00B827-7D84-44C6-A68D-A01DB248EB3A}"/>
    <cellStyle name="Normal 5 2 2 3 3 2 11 2" xfId="19974" xr:uid="{3357748B-AC83-42E5-9E7F-7030DBA004C9}"/>
    <cellStyle name="Normal 5 2 2 3 3 2 12" xfId="10855" xr:uid="{B0DE5A9E-2DF4-47BE-AAE0-62CAD8AF9986}"/>
    <cellStyle name="Normal 5 2 2 3 3 2 12 2" xfId="20803" xr:uid="{750AA90B-10BE-447E-8261-5DBB89B92562}"/>
    <cellStyle name="Normal 5 2 2 3 3 2 13" xfId="1736" xr:uid="{759E7746-13FC-4384-B34B-B2F0762D6CF5}"/>
    <cellStyle name="Normal 5 2 2 3 3 2 14" xfId="11684" xr:uid="{60D7EBA7-E292-48F9-8203-14FA2E82AA76}"/>
    <cellStyle name="Normal 5 2 2 3 3 2 2" xfId="2565" xr:uid="{7BA4EEEC-FA85-476B-A39E-6216F2995CCC}"/>
    <cellStyle name="Normal 5 2 2 3 3 2 2 2" xfId="12513" xr:uid="{CD3618D1-BED6-4279-B5CB-1F38649F2117}"/>
    <cellStyle name="Normal 5 2 2 3 3 2 3" xfId="3394" xr:uid="{081A4E67-B77F-47EC-BD91-B30C9724E3AE}"/>
    <cellStyle name="Normal 5 2 2 3 3 2 3 2" xfId="13342" xr:uid="{19BE185B-BA47-4F43-B788-FA16B5ED4ABA}"/>
    <cellStyle name="Normal 5 2 2 3 3 2 4" xfId="4223" xr:uid="{CF42D110-566A-4A4E-97E5-4C223AE8D76C}"/>
    <cellStyle name="Normal 5 2 2 3 3 2 4 2" xfId="14171" xr:uid="{3CACEB0D-847D-4369-86D6-426F91905E2D}"/>
    <cellStyle name="Normal 5 2 2 3 3 2 5" xfId="5052" xr:uid="{372FEA74-9AC8-4631-AED5-270DF1B86981}"/>
    <cellStyle name="Normal 5 2 2 3 3 2 5 2" xfId="15000" xr:uid="{B4C04114-81B5-464A-822B-0F7B6027F519}"/>
    <cellStyle name="Normal 5 2 2 3 3 2 6" xfId="5881" xr:uid="{FCE72C53-A96A-417D-AB72-AFF26AE53A6A}"/>
    <cellStyle name="Normal 5 2 2 3 3 2 6 2" xfId="15829" xr:uid="{6E7B4306-730E-4994-8E78-19E7FE428B78}"/>
    <cellStyle name="Normal 5 2 2 3 3 2 7" xfId="6710" xr:uid="{EE93D17A-5DC8-4354-8A4B-7F582006AD96}"/>
    <cellStyle name="Normal 5 2 2 3 3 2 7 2" xfId="16658" xr:uid="{7C063EEB-0C3E-445B-B89B-641140812A2B}"/>
    <cellStyle name="Normal 5 2 2 3 3 2 8" xfId="7539" xr:uid="{75E30EC6-E94C-419A-8B0A-DCC0A3A38CD8}"/>
    <cellStyle name="Normal 5 2 2 3 3 2 8 2" xfId="17487" xr:uid="{686E4A5D-AEFD-463F-8BDC-DD75B2EB5B92}"/>
    <cellStyle name="Normal 5 2 2 3 3 2 9" xfId="8368" xr:uid="{55F963C0-209A-4669-B728-7A706D7EEEF1}"/>
    <cellStyle name="Normal 5 2 2 3 3 2 9 2" xfId="18316" xr:uid="{07ADA3C6-B0C4-49AD-BFFF-9C64C5F68429}"/>
    <cellStyle name="Normal 5 2 2 3 3 3" xfId="2149" xr:uid="{2697B670-51D4-4FD2-A28B-6632FB91F2DB}"/>
    <cellStyle name="Normal 5 2 2 3 3 3 2" xfId="12097" xr:uid="{C6D14F12-99A9-44DD-9F42-5969E03B0463}"/>
    <cellStyle name="Normal 5 2 2 3 3 4" xfId="2978" xr:uid="{C137A239-B602-42E8-BFA9-8925C05DD989}"/>
    <cellStyle name="Normal 5 2 2 3 3 4 2" xfId="12926" xr:uid="{2D068049-E5DD-4A44-95C1-6180A1F60ED0}"/>
    <cellStyle name="Normal 5 2 2 3 3 5" xfId="3807" xr:uid="{F52B7DA3-FFF4-47A3-A410-663966E7A051}"/>
    <cellStyle name="Normal 5 2 2 3 3 5 2" xfId="13755" xr:uid="{221589F5-527A-45AF-B937-2202F4EA4FE5}"/>
    <cellStyle name="Normal 5 2 2 3 3 6" xfId="4636" xr:uid="{E641E466-B75A-43B8-AE1D-563AB9305EEF}"/>
    <cellStyle name="Normal 5 2 2 3 3 6 2" xfId="14584" xr:uid="{BA2C61C7-655A-41E8-8F94-EFC9CCB19D9B}"/>
    <cellStyle name="Normal 5 2 2 3 3 7" xfId="5465" xr:uid="{7B8D68DA-4E83-4B67-8F57-AE1463DBB648}"/>
    <cellStyle name="Normal 5 2 2 3 3 7 2" xfId="15413" xr:uid="{648DC799-6902-42EF-A149-BAA9EB25E00B}"/>
    <cellStyle name="Normal 5 2 2 3 3 8" xfId="6294" xr:uid="{C0EE855B-407D-42C3-886C-62C0A177FF34}"/>
    <cellStyle name="Normal 5 2 2 3 3 8 2" xfId="16242" xr:uid="{6AD85D9A-2A46-451F-9306-4322CE8ACCB3}"/>
    <cellStyle name="Normal 5 2 2 3 3 9" xfId="7123" xr:uid="{17FA3CC8-0A12-4F48-9C25-7600B20C1762}"/>
    <cellStyle name="Normal 5 2 2 3 3 9 2" xfId="17071" xr:uid="{92791720-9818-4AB0-AAD1-4892D85DE4DF}"/>
    <cellStyle name="Normal 5 2 2 3 4" xfId="899" xr:uid="{00000000-0005-0000-0000-0000EC020000}"/>
    <cellStyle name="Normal 5 2 2 3 4 10" xfId="9194" xr:uid="{D435DDA2-D8FB-4447-8D5C-3856992B37FF}"/>
    <cellStyle name="Normal 5 2 2 3 4 10 2" xfId="19142" xr:uid="{2EB1C60F-FF04-46FE-BDE0-1F034C50D3B7}"/>
    <cellStyle name="Normal 5 2 2 3 4 11" xfId="10023" xr:uid="{983AA8DC-6307-4F3F-A4E9-F90591964EDA}"/>
    <cellStyle name="Normal 5 2 2 3 4 11 2" xfId="19971" xr:uid="{070367CD-2D96-464E-BA08-A2AEE7DEDEF6}"/>
    <cellStyle name="Normal 5 2 2 3 4 12" xfId="10852" xr:uid="{4847CFC8-7007-4451-BC2E-56FA6218E912}"/>
    <cellStyle name="Normal 5 2 2 3 4 12 2" xfId="20800" xr:uid="{7D282E2C-CD3E-48C0-AD2E-8F6EB92A10CA}"/>
    <cellStyle name="Normal 5 2 2 3 4 13" xfId="1733" xr:uid="{017B8E8D-E0D9-4751-B3E7-185B573CCD10}"/>
    <cellStyle name="Normal 5 2 2 3 4 14" xfId="11681" xr:uid="{591FC98B-AAD7-4ABB-B1A2-BA3CC0A4B390}"/>
    <cellStyle name="Normal 5 2 2 3 4 2" xfId="2562" xr:uid="{ADB30C16-965C-4E45-916F-7BFEE6E3AEDB}"/>
    <cellStyle name="Normal 5 2 2 3 4 2 2" xfId="12510" xr:uid="{1AC88E64-1227-4A99-B97F-652C0D961D0C}"/>
    <cellStyle name="Normal 5 2 2 3 4 3" xfId="3391" xr:uid="{52A99A8B-B3C6-48C6-931D-4E5603CEAFA8}"/>
    <cellStyle name="Normal 5 2 2 3 4 3 2" xfId="13339" xr:uid="{396AA319-D4DB-4BB2-AAF0-2E63EF1364F4}"/>
    <cellStyle name="Normal 5 2 2 3 4 4" xfId="4220" xr:uid="{2FD1513A-0BE5-4BB0-8B26-D3C48C44928E}"/>
    <cellStyle name="Normal 5 2 2 3 4 4 2" xfId="14168" xr:uid="{DE854D85-A4C2-4CE4-ABBB-84187C41417F}"/>
    <cellStyle name="Normal 5 2 2 3 4 5" xfId="5049" xr:uid="{95A60D8D-F510-43E6-AADF-03CED27047ED}"/>
    <cellStyle name="Normal 5 2 2 3 4 5 2" xfId="14997" xr:uid="{BBD1B93E-35BC-4406-83DF-35E10221AD3D}"/>
    <cellStyle name="Normal 5 2 2 3 4 6" xfId="5878" xr:uid="{24DFD928-D567-4DB3-8EF9-2752CA1145B1}"/>
    <cellStyle name="Normal 5 2 2 3 4 6 2" xfId="15826" xr:uid="{0AE6EC25-6565-4445-B26A-20BF9F53C0C1}"/>
    <cellStyle name="Normal 5 2 2 3 4 7" xfId="6707" xr:uid="{C3CD6923-3BA1-4B27-8BFD-3138626A847D}"/>
    <cellStyle name="Normal 5 2 2 3 4 7 2" xfId="16655" xr:uid="{263722D3-7030-4AAE-B758-804337CAEF91}"/>
    <cellStyle name="Normal 5 2 2 3 4 8" xfId="7536" xr:uid="{883568A5-668E-41BC-94E5-03BE124CDB57}"/>
    <cellStyle name="Normal 5 2 2 3 4 8 2" xfId="17484" xr:uid="{F63BA28E-5B65-4849-A1BD-A6F0C67A3DA0}"/>
    <cellStyle name="Normal 5 2 2 3 4 9" xfId="8365" xr:uid="{BA5D7C66-420A-4152-8190-69FD6ECD35D9}"/>
    <cellStyle name="Normal 5 2 2 3 4 9 2" xfId="18313" xr:uid="{B60A0C03-B20C-4FE2-9AB9-6199B7D61314}"/>
    <cellStyle name="Normal 5 2 2 3 5" xfId="2146" xr:uid="{0F2E02A4-E7BD-4E3F-BFFD-5FDD86E580FD}"/>
    <cellStyle name="Normal 5 2 2 3 5 2" xfId="12094" xr:uid="{835D239D-3D10-417D-9A7A-6F158CE3F9AB}"/>
    <cellStyle name="Normal 5 2 2 3 6" xfId="2975" xr:uid="{2F64DC0E-8D46-4B9F-81DF-97945E1A7AEF}"/>
    <cellStyle name="Normal 5 2 2 3 6 2" xfId="12923" xr:uid="{58DC0DF3-A767-48F2-B86C-FF598120A280}"/>
    <cellStyle name="Normal 5 2 2 3 7" xfId="3804" xr:uid="{8C26802E-C952-466B-98DD-B19C5ED904D1}"/>
    <cellStyle name="Normal 5 2 2 3 7 2" xfId="13752" xr:uid="{5510F194-081D-42D8-A8C3-21D3B1FC60E9}"/>
    <cellStyle name="Normal 5 2 2 3 8" xfId="4633" xr:uid="{0C0B9096-D825-4789-8ACB-744EDD954F15}"/>
    <cellStyle name="Normal 5 2 2 3 8 2" xfId="14581" xr:uid="{10EFB319-0AC5-4542-A5BF-D00826A582E7}"/>
    <cellStyle name="Normal 5 2 2 3 9" xfId="5462" xr:uid="{738FA3E8-5521-478A-B3DD-B5FA5E8900C6}"/>
    <cellStyle name="Normal 5 2 2 3 9 2" xfId="15410" xr:uid="{7E522016-7707-4AEF-B8C8-39D7A01E4917}"/>
    <cellStyle name="Normal 5 2 2 4" xfId="424" xr:uid="{00000000-0005-0000-0000-0000ED020000}"/>
    <cellStyle name="Normal 5 2 2 4 10" xfId="7124" xr:uid="{4E7537C9-36E5-47F6-8618-64B8AD24B318}"/>
    <cellStyle name="Normal 5 2 2 4 10 2" xfId="17072" xr:uid="{D998CEFC-6C2D-48D4-871C-AC015BC360A9}"/>
    <cellStyle name="Normal 5 2 2 4 11" xfId="7953" xr:uid="{02C0C9C8-37CA-47E8-A76B-C925B11CE5A2}"/>
    <cellStyle name="Normal 5 2 2 4 11 2" xfId="17901" xr:uid="{F79D7005-4F48-44AD-A4E6-4C1FCDBD9C83}"/>
    <cellStyle name="Normal 5 2 2 4 12" xfId="8782" xr:uid="{B0DA8DAE-66CF-4649-97EF-4C7A88358A4C}"/>
    <cellStyle name="Normal 5 2 2 4 12 2" xfId="18730" xr:uid="{BD6351EF-805C-4518-8B09-539DB64942C9}"/>
    <cellStyle name="Normal 5 2 2 4 13" xfId="9611" xr:uid="{92DAB8BC-4E65-462F-B4B6-ED9E082FC68B}"/>
    <cellStyle name="Normal 5 2 2 4 13 2" xfId="19559" xr:uid="{B3178A2A-EA43-405A-B7DE-13DBDCF2D9B4}"/>
    <cellStyle name="Normal 5 2 2 4 14" xfId="10440" xr:uid="{86C51F8C-B31E-47D6-8D3B-52E2017BB57C}"/>
    <cellStyle name="Normal 5 2 2 4 14 2" xfId="20388" xr:uid="{1CBD4059-7D87-498E-9E5E-7D14F8DE8586}"/>
    <cellStyle name="Normal 5 2 2 4 15" xfId="1321" xr:uid="{DCD0A54D-67C3-4554-8EFF-EFBCAA035080}"/>
    <cellStyle name="Normal 5 2 2 4 16" xfId="11269" xr:uid="{A51BC7A3-1FC8-4657-A28C-7FE22BA20524}"/>
    <cellStyle name="Normal 5 2 2 4 2" xfId="425" xr:uid="{00000000-0005-0000-0000-0000EE020000}"/>
    <cellStyle name="Normal 5 2 2 4 2 10" xfId="7954" xr:uid="{69FCF1D6-15FA-4F7B-80E6-8E0543D71AFE}"/>
    <cellStyle name="Normal 5 2 2 4 2 10 2" xfId="17902" xr:uid="{729488A4-C39E-4028-BD60-D5486BC73C0C}"/>
    <cellStyle name="Normal 5 2 2 4 2 11" xfId="8783" xr:uid="{02E9617E-88B7-45C2-8047-4D9B6B19134D}"/>
    <cellStyle name="Normal 5 2 2 4 2 11 2" xfId="18731" xr:uid="{A1ADC0BD-62E6-4FAC-B2AD-319DF7652890}"/>
    <cellStyle name="Normal 5 2 2 4 2 12" xfId="9612" xr:uid="{EC4B9FAB-3DB5-42A0-95B4-2A62D894870D}"/>
    <cellStyle name="Normal 5 2 2 4 2 12 2" xfId="19560" xr:uid="{6A3DD6D0-2F0F-4B0C-A467-4BCA0489AAFB}"/>
    <cellStyle name="Normal 5 2 2 4 2 13" xfId="10441" xr:uid="{B0531475-8554-4883-AB73-65C248360217}"/>
    <cellStyle name="Normal 5 2 2 4 2 13 2" xfId="20389" xr:uid="{8A52D17A-9918-462C-9B9B-79722C5CCFB2}"/>
    <cellStyle name="Normal 5 2 2 4 2 14" xfId="1322" xr:uid="{3E94AFA9-48D1-4573-B896-E51DE8EEE9E1}"/>
    <cellStyle name="Normal 5 2 2 4 2 15" xfId="11270" xr:uid="{28E6E4A0-A072-47F7-8C7D-F4CE91874616}"/>
    <cellStyle name="Normal 5 2 2 4 2 2" xfId="904" xr:uid="{00000000-0005-0000-0000-0000EF020000}"/>
    <cellStyle name="Normal 5 2 2 4 2 2 10" xfId="9199" xr:uid="{CC94344C-EB06-4A47-84BA-DD2F04CFA258}"/>
    <cellStyle name="Normal 5 2 2 4 2 2 10 2" xfId="19147" xr:uid="{5DF3B10A-531F-4A45-A69F-AF2A208C5096}"/>
    <cellStyle name="Normal 5 2 2 4 2 2 11" xfId="10028" xr:uid="{1981F5EF-A426-4ABB-A5F0-F91AE1930F52}"/>
    <cellStyle name="Normal 5 2 2 4 2 2 11 2" xfId="19976" xr:uid="{B8E2BA0B-D9C0-4E94-8426-95CFA34E1392}"/>
    <cellStyle name="Normal 5 2 2 4 2 2 12" xfId="10857" xr:uid="{52ACB647-2277-4904-8BA1-A84822D10874}"/>
    <cellStyle name="Normal 5 2 2 4 2 2 12 2" xfId="20805" xr:uid="{0EE9F100-277B-4C3D-BE18-E55E1055FBC3}"/>
    <cellStyle name="Normal 5 2 2 4 2 2 13" xfId="1738" xr:uid="{AA3E3FC5-6E4D-4E6E-847C-3F3971C42D55}"/>
    <cellStyle name="Normal 5 2 2 4 2 2 14" xfId="11686" xr:uid="{A4DC6CD8-16D2-4D00-A1FD-D63EE02C8496}"/>
    <cellStyle name="Normal 5 2 2 4 2 2 2" xfId="2567" xr:uid="{6947C341-B39A-47AB-82F1-901D932D77CF}"/>
    <cellStyle name="Normal 5 2 2 4 2 2 2 2" xfId="12515" xr:uid="{936ACE45-04E5-4660-948E-E6C3FC308B6C}"/>
    <cellStyle name="Normal 5 2 2 4 2 2 3" xfId="3396" xr:uid="{F624F354-2EDF-47DC-9FDA-C67D3FBD749E}"/>
    <cellStyle name="Normal 5 2 2 4 2 2 3 2" xfId="13344" xr:uid="{30E77BF8-FFDB-4654-987F-0672F5381816}"/>
    <cellStyle name="Normal 5 2 2 4 2 2 4" xfId="4225" xr:uid="{814FA83B-318A-41CC-BF03-0F1308A2BDC7}"/>
    <cellStyle name="Normal 5 2 2 4 2 2 4 2" xfId="14173" xr:uid="{93DAF740-B87C-4F3E-B43A-8B8E168CC897}"/>
    <cellStyle name="Normal 5 2 2 4 2 2 5" xfId="5054" xr:uid="{B4728791-A757-4777-901A-69EFB45142BA}"/>
    <cellStyle name="Normal 5 2 2 4 2 2 5 2" xfId="15002" xr:uid="{E5343A8F-1057-458F-B17C-8C17834067DC}"/>
    <cellStyle name="Normal 5 2 2 4 2 2 6" xfId="5883" xr:uid="{7B38A375-3937-4132-A894-AB37373C7CA6}"/>
    <cellStyle name="Normal 5 2 2 4 2 2 6 2" xfId="15831" xr:uid="{96DBB6FF-E8F1-43C0-8E88-100D296B67CB}"/>
    <cellStyle name="Normal 5 2 2 4 2 2 7" xfId="6712" xr:uid="{0EAD6A77-3EE6-4AB5-A3A0-4378797FB09F}"/>
    <cellStyle name="Normal 5 2 2 4 2 2 7 2" xfId="16660" xr:uid="{F51DAB8F-8010-47DC-9B2E-B2690CF171BC}"/>
    <cellStyle name="Normal 5 2 2 4 2 2 8" xfId="7541" xr:uid="{37857C0C-CB55-463D-BA5E-792AF3B84AF4}"/>
    <cellStyle name="Normal 5 2 2 4 2 2 8 2" xfId="17489" xr:uid="{E3BD528B-F7E5-477B-9177-29789EEA6CBB}"/>
    <cellStyle name="Normal 5 2 2 4 2 2 9" xfId="8370" xr:uid="{092D296B-90AE-4432-BF20-0532A999C636}"/>
    <cellStyle name="Normal 5 2 2 4 2 2 9 2" xfId="18318" xr:uid="{B68A6A85-DD67-4A0F-AE10-A56B748C3F44}"/>
    <cellStyle name="Normal 5 2 2 4 2 3" xfId="2151" xr:uid="{F8542AFE-C959-43B5-A17C-794877AFC993}"/>
    <cellStyle name="Normal 5 2 2 4 2 3 2" xfId="12099" xr:uid="{AA829340-6151-4FF4-AAD6-848343D2D2B5}"/>
    <cellStyle name="Normal 5 2 2 4 2 4" xfId="2980" xr:uid="{A5FE870B-29B0-4926-8911-F50DE7C3D21F}"/>
    <cellStyle name="Normal 5 2 2 4 2 4 2" xfId="12928" xr:uid="{558B3CE6-8B1D-4ED4-A2E5-069ADB7A9DE2}"/>
    <cellStyle name="Normal 5 2 2 4 2 5" xfId="3809" xr:uid="{647CD37B-2817-4CC5-9A4D-63D5AC9F57B3}"/>
    <cellStyle name="Normal 5 2 2 4 2 5 2" xfId="13757" xr:uid="{F3541990-D44C-43C5-B282-D0CD045FBE0F}"/>
    <cellStyle name="Normal 5 2 2 4 2 6" xfId="4638" xr:uid="{B7AA291F-5F41-4BDE-AA79-5966CDD54AA0}"/>
    <cellStyle name="Normal 5 2 2 4 2 6 2" xfId="14586" xr:uid="{ECD4FB58-72C2-48AF-926B-95D8C4518E27}"/>
    <cellStyle name="Normal 5 2 2 4 2 7" xfId="5467" xr:uid="{F85D3A93-1E31-403D-9CDF-9493FC2BE252}"/>
    <cellStyle name="Normal 5 2 2 4 2 7 2" xfId="15415" xr:uid="{8ADFDE3E-A1B4-4B0E-8F7F-CAFFDEE33FA5}"/>
    <cellStyle name="Normal 5 2 2 4 2 8" xfId="6296" xr:uid="{9B467F13-7D5A-4361-B1AC-B1799F13BA4E}"/>
    <cellStyle name="Normal 5 2 2 4 2 8 2" xfId="16244" xr:uid="{E5C5A23C-1514-4E56-AFEA-151391280957}"/>
    <cellStyle name="Normal 5 2 2 4 2 9" xfId="7125" xr:uid="{AB721F35-E2D4-45AB-AA7F-7FD576432E38}"/>
    <cellStyle name="Normal 5 2 2 4 2 9 2" xfId="17073" xr:uid="{978271B8-F41A-4FB2-BFC1-A5788D3F56E0}"/>
    <cellStyle name="Normal 5 2 2 4 3" xfId="903" xr:uid="{00000000-0005-0000-0000-0000F0020000}"/>
    <cellStyle name="Normal 5 2 2 4 3 10" xfId="9198" xr:uid="{D45493FF-FA35-48AA-A546-20B20573C596}"/>
    <cellStyle name="Normal 5 2 2 4 3 10 2" xfId="19146" xr:uid="{922EE0FA-B7E6-42DA-8B82-454506A3F1D0}"/>
    <cellStyle name="Normal 5 2 2 4 3 11" xfId="10027" xr:uid="{E6DD6F54-5F22-4061-809C-335293E56A47}"/>
    <cellStyle name="Normal 5 2 2 4 3 11 2" xfId="19975" xr:uid="{4DED5882-B6D5-4F2C-80A4-0C2D5723D470}"/>
    <cellStyle name="Normal 5 2 2 4 3 12" xfId="10856" xr:uid="{326CEEA3-6136-4295-BD8E-99416DF4D539}"/>
    <cellStyle name="Normal 5 2 2 4 3 12 2" xfId="20804" xr:uid="{02295865-638D-4EBD-B060-FD9B4AA4A9CF}"/>
    <cellStyle name="Normal 5 2 2 4 3 13" xfId="1737" xr:uid="{3FEA4E99-9952-48E1-A074-2D84B8CEE9F8}"/>
    <cellStyle name="Normal 5 2 2 4 3 14" xfId="11685" xr:uid="{78D580A6-FD21-4445-8047-83E1E4D58626}"/>
    <cellStyle name="Normal 5 2 2 4 3 2" xfId="2566" xr:uid="{5B8B9562-1FFD-4337-8BC3-0D1AD8A74CDF}"/>
    <cellStyle name="Normal 5 2 2 4 3 2 2" xfId="12514" xr:uid="{D82A0908-456B-4BD1-A7F3-25FAA638C171}"/>
    <cellStyle name="Normal 5 2 2 4 3 3" xfId="3395" xr:uid="{FC83A8A3-3F33-4407-88D2-921F15C164FF}"/>
    <cellStyle name="Normal 5 2 2 4 3 3 2" xfId="13343" xr:uid="{0C77471B-9370-4923-951E-58EBCFCDD677}"/>
    <cellStyle name="Normal 5 2 2 4 3 4" xfId="4224" xr:uid="{4E8615B4-65CC-449C-8ED2-CECBD19F60F4}"/>
    <cellStyle name="Normal 5 2 2 4 3 4 2" xfId="14172" xr:uid="{3BD948CC-BEA9-4F6E-8BC1-4A2EA27C2E4D}"/>
    <cellStyle name="Normal 5 2 2 4 3 5" xfId="5053" xr:uid="{B2E69419-15F0-4E63-8C3E-2532CDEA9F35}"/>
    <cellStyle name="Normal 5 2 2 4 3 5 2" xfId="15001" xr:uid="{FD4426FB-BA3C-4878-A6AE-E8E29BB14CB5}"/>
    <cellStyle name="Normal 5 2 2 4 3 6" xfId="5882" xr:uid="{09089AE5-717A-4A83-B06F-6DE4F0C905E8}"/>
    <cellStyle name="Normal 5 2 2 4 3 6 2" xfId="15830" xr:uid="{F7DBC751-5EED-4663-A89E-47A05CF09EBB}"/>
    <cellStyle name="Normal 5 2 2 4 3 7" xfId="6711" xr:uid="{A2C89BF9-2F47-4ADB-99AA-7D50D4C5DBE8}"/>
    <cellStyle name="Normal 5 2 2 4 3 7 2" xfId="16659" xr:uid="{1DC498D3-B1D3-4ABB-871C-1863C89FA20A}"/>
    <cellStyle name="Normal 5 2 2 4 3 8" xfId="7540" xr:uid="{01191117-AB7C-4761-B9AA-C553B29C3903}"/>
    <cellStyle name="Normal 5 2 2 4 3 8 2" xfId="17488" xr:uid="{FDA04480-B6DA-46D1-9F6D-1096F658846A}"/>
    <cellStyle name="Normal 5 2 2 4 3 9" xfId="8369" xr:uid="{E18B1C23-EFEC-4E1E-A57A-668FD41DD7AA}"/>
    <cellStyle name="Normal 5 2 2 4 3 9 2" xfId="18317" xr:uid="{2F98E06A-EF40-4DA3-9C76-249C9629F84E}"/>
    <cellStyle name="Normal 5 2 2 4 4" xfId="2150" xr:uid="{0C083B34-0FB4-46D6-AC3E-3D638B2DD009}"/>
    <cellStyle name="Normal 5 2 2 4 4 2" xfId="12098" xr:uid="{A4A5DE13-6D10-4EA1-900E-7400B59596CC}"/>
    <cellStyle name="Normal 5 2 2 4 5" xfId="2979" xr:uid="{8F6FC7B7-1E90-4FB9-8B1F-5E117353426B}"/>
    <cellStyle name="Normal 5 2 2 4 5 2" xfId="12927" xr:uid="{92692DDB-BAF2-46E4-A713-96AC1F9C788F}"/>
    <cellStyle name="Normal 5 2 2 4 6" xfId="3808" xr:uid="{C2FB64E1-FF89-48B9-AAD2-1F35DE8C9BDF}"/>
    <cellStyle name="Normal 5 2 2 4 6 2" xfId="13756" xr:uid="{AAE7E35C-92B5-4402-AE44-3C2FA5022E7B}"/>
    <cellStyle name="Normal 5 2 2 4 7" xfId="4637" xr:uid="{4EC22902-3BE8-4DBA-A174-33CAD60821B9}"/>
    <cellStyle name="Normal 5 2 2 4 7 2" xfId="14585" xr:uid="{047612CB-E6DF-490C-B09A-5E4F31025D8F}"/>
    <cellStyle name="Normal 5 2 2 4 8" xfId="5466" xr:uid="{B4BEE55F-546E-4417-B2AB-50A4E53A1A52}"/>
    <cellStyle name="Normal 5 2 2 4 8 2" xfId="15414" xr:uid="{75FDED2F-39E0-439D-AD7A-B30B445C5282}"/>
    <cellStyle name="Normal 5 2 2 4 9" xfId="6295" xr:uid="{95112538-FD41-4216-AA6D-870DBE4A1617}"/>
    <cellStyle name="Normal 5 2 2 4 9 2" xfId="16243" xr:uid="{E6205E61-C0C2-4185-82AD-1E98BA9506F1}"/>
    <cellStyle name="Normal 5 2 2 5" xfId="426" xr:uid="{00000000-0005-0000-0000-0000F1020000}"/>
    <cellStyle name="Normal 5 2 2 5 10" xfId="7955" xr:uid="{64BCC6D2-D6D5-49BF-A249-C6933909B86C}"/>
    <cellStyle name="Normal 5 2 2 5 10 2" xfId="17903" xr:uid="{27C83D16-E147-4E52-B945-6964454043AC}"/>
    <cellStyle name="Normal 5 2 2 5 11" xfId="8784" xr:uid="{60E5D623-D5BE-4524-971B-2E6F403ABD26}"/>
    <cellStyle name="Normal 5 2 2 5 11 2" xfId="18732" xr:uid="{D36ECB43-0467-4922-94C3-CA5B370BC572}"/>
    <cellStyle name="Normal 5 2 2 5 12" xfId="9613" xr:uid="{1CB03AD6-D115-4BB8-AA38-E75AB893428C}"/>
    <cellStyle name="Normal 5 2 2 5 12 2" xfId="19561" xr:uid="{DC7BDEC1-48B5-494D-81BC-D189ED7E3BF1}"/>
    <cellStyle name="Normal 5 2 2 5 13" xfId="10442" xr:uid="{C51EFE08-D98D-4F5A-B8D5-546F17392FF6}"/>
    <cellStyle name="Normal 5 2 2 5 13 2" xfId="20390" xr:uid="{FF8C5FEF-2764-4C60-A645-FBAD34848F00}"/>
    <cellStyle name="Normal 5 2 2 5 14" xfId="1323" xr:uid="{21EAF3B4-3062-455B-8A8F-3DC635EDCE04}"/>
    <cellStyle name="Normal 5 2 2 5 15" xfId="11271" xr:uid="{738CC546-427D-4DF5-9F94-285EF290A800}"/>
    <cellStyle name="Normal 5 2 2 5 2" xfId="905" xr:uid="{00000000-0005-0000-0000-0000F2020000}"/>
    <cellStyle name="Normal 5 2 2 5 2 10" xfId="9200" xr:uid="{2196D197-0CF7-4526-9943-C9F9B4C602A6}"/>
    <cellStyle name="Normal 5 2 2 5 2 10 2" xfId="19148" xr:uid="{BC15ECD2-0B47-4CF3-9558-1FE63552C931}"/>
    <cellStyle name="Normal 5 2 2 5 2 11" xfId="10029" xr:uid="{E91AD99F-5B91-4AA9-AA21-2E3AF3E964DF}"/>
    <cellStyle name="Normal 5 2 2 5 2 11 2" xfId="19977" xr:uid="{397A545D-52B3-4A53-AC12-0B6370950A50}"/>
    <cellStyle name="Normal 5 2 2 5 2 12" xfId="10858" xr:uid="{2BA490E7-FF7D-4B92-94D0-59B6F6B5B652}"/>
    <cellStyle name="Normal 5 2 2 5 2 12 2" xfId="20806" xr:uid="{ECFCA6A4-E28C-4709-BCC7-FC520088F751}"/>
    <cellStyle name="Normal 5 2 2 5 2 13" xfId="1739" xr:uid="{3192431E-BE20-4066-8D72-D5A9738D4DBC}"/>
    <cellStyle name="Normal 5 2 2 5 2 14" xfId="11687" xr:uid="{71DE7CBE-EEDD-4517-B214-75EE4E45E54F}"/>
    <cellStyle name="Normal 5 2 2 5 2 2" xfId="2568" xr:uid="{5AB8ACCB-8EDA-43E2-8A4D-DBB71F532AE7}"/>
    <cellStyle name="Normal 5 2 2 5 2 2 2" xfId="12516" xr:uid="{73C26AF6-70FA-4D23-A86B-29470CA9561D}"/>
    <cellStyle name="Normal 5 2 2 5 2 3" xfId="3397" xr:uid="{2624394D-86B0-48FB-B40D-DD916E511D3B}"/>
    <cellStyle name="Normal 5 2 2 5 2 3 2" xfId="13345" xr:uid="{1B2EDFA0-15B0-486C-981B-25B247F0CAEE}"/>
    <cellStyle name="Normal 5 2 2 5 2 4" xfId="4226" xr:uid="{C6FACB09-5C4D-45EE-8F6F-2444A2D6F94E}"/>
    <cellStyle name="Normal 5 2 2 5 2 4 2" xfId="14174" xr:uid="{165F5344-0B19-4994-A23D-339F688C9C1C}"/>
    <cellStyle name="Normal 5 2 2 5 2 5" xfId="5055" xr:uid="{88834E59-3A8B-4784-B516-F0D6FF1C8373}"/>
    <cellStyle name="Normal 5 2 2 5 2 5 2" xfId="15003" xr:uid="{F9B74D05-6F87-4CEE-A735-7D6DF0DC3663}"/>
    <cellStyle name="Normal 5 2 2 5 2 6" xfId="5884" xr:uid="{D465896A-646F-4C2B-AB68-D0AD1958BF9E}"/>
    <cellStyle name="Normal 5 2 2 5 2 6 2" xfId="15832" xr:uid="{73CC592B-2AFE-4F97-B5AB-F7B3F54F590C}"/>
    <cellStyle name="Normal 5 2 2 5 2 7" xfId="6713" xr:uid="{28E61F65-85EB-4D6C-83E2-71E595174131}"/>
    <cellStyle name="Normal 5 2 2 5 2 7 2" xfId="16661" xr:uid="{A4DEE3E9-7572-4163-88A2-DF4F075D21B8}"/>
    <cellStyle name="Normal 5 2 2 5 2 8" xfId="7542" xr:uid="{3C44E19A-771E-4513-B1FF-7181D484BB1A}"/>
    <cellStyle name="Normal 5 2 2 5 2 8 2" xfId="17490" xr:uid="{149FE7D6-B101-424E-B84C-F2102DFA183D}"/>
    <cellStyle name="Normal 5 2 2 5 2 9" xfId="8371" xr:uid="{15D46603-22A8-42F6-9B25-652FA511CF05}"/>
    <cellStyle name="Normal 5 2 2 5 2 9 2" xfId="18319" xr:uid="{01207FE1-27E7-49E0-805E-C7402CA9074E}"/>
    <cellStyle name="Normal 5 2 2 5 3" xfId="2152" xr:uid="{2F335C07-21FC-47A8-8495-573ABE0D7C10}"/>
    <cellStyle name="Normal 5 2 2 5 3 2" xfId="12100" xr:uid="{F9299B94-DD0B-4530-943E-44E5FAE984CA}"/>
    <cellStyle name="Normal 5 2 2 5 4" xfId="2981" xr:uid="{0D49EFC3-83FD-4CFC-AEB8-C4FB2401A45D}"/>
    <cellStyle name="Normal 5 2 2 5 4 2" xfId="12929" xr:uid="{28FB5951-2C3A-478C-94AB-B74BEFE9B11C}"/>
    <cellStyle name="Normal 5 2 2 5 5" xfId="3810" xr:uid="{645B31C4-088B-4AB7-ABAF-B415493D2A36}"/>
    <cellStyle name="Normal 5 2 2 5 5 2" xfId="13758" xr:uid="{8FD365BC-6644-45D9-8AF9-988D1312BA28}"/>
    <cellStyle name="Normal 5 2 2 5 6" xfId="4639" xr:uid="{4BFA80D1-0FA6-499A-845D-3BDCA7071CB7}"/>
    <cellStyle name="Normal 5 2 2 5 6 2" xfId="14587" xr:uid="{B9D4FB63-1245-47CA-8C29-A0352838EBB4}"/>
    <cellStyle name="Normal 5 2 2 5 7" xfId="5468" xr:uid="{CEF5D1A5-1C03-4C40-9841-DC7113E1CB8D}"/>
    <cellStyle name="Normal 5 2 2 5 7 2" xfId="15416" xr:uid="{74622033-2CCF-413A-A287-A612261FF97B}"/>
    <cellStyle name="Normal 5 2 2 5 8" xfId="6297" xr:uid="{5FB6462A-1FAB-4196-97F6-AB1049C95A2D}"/>
    <cellStyle name="Normal 5 2 2 5 8 2" xfId="16245" xr:uid="{05234B3E-2D48-406C-A2BF-B68D842220D6}"/>
    <cellStyle name="Normal 5 2 2 5 9" xfId="7126" xr:uid="{61C289BB-5C19-4F73-B2EB-0698BC1F98AB}"/>
    <cellStyle name="Normal 5 2 2 5 9 2" xfId="17074" xr:uid="{1CF91727-5A6A-46B4-97E5-3E9959C5FC4B}"/>
    <cellStyle name="Normal 5 2 2 6" xfId="890" xr:uid="{00000000-0005-0000-0000-0000F3020000}"/>
    <cellStyle name="Normal 5 2 2 6 10" xfId="9185" xr:uid="{B48BCDD4-753A-4419-8AA2-21642588E67C}"/>
    <cellStyle name="Normal 5 2 2 6 10 2" xfId="19133" xr:uid="{81C474F8-3806-428A-BE1E-6E05D225E53B}"/>
    <cellStyle name="Normal 5 2 2 6 11" xfId="10014" xr:uid="{EC894C8D-2B11-4BF7-B986-E49608786AB9}"/>
    <cellStyle name="Normal 5 2 2 6 11 2" xfId="19962" xr:uid="{4633C75B-D3F7-400F-ADB1-ADD467146B06}"/>
    <cellStyle name="Normal 5 2 2 6 12" xfId="10843" xr:uid="{9A180FBC-FB80-41DF-9BB0-49AFEF08DA3F}"/>
    <cellStyle name="Normal 5 2 2 6 12 2" xfId="20791" xr:uid="{B803433D-054A-4037-A63B-66BC6BC5982E}"/>
    <cellStyle name="Normal 5 2 2 6 13" xfId="1724" xr:uid="{AAEB3910-E7F0-44CA-AA70-32AA32936C6D}"/>
    <cellStyle name="Normal 5 2 2 6 14" xfId="11672" xr:uid="{73BC3276-86CD-448F-8563-76D9BB0D71F6}"/>
    <cellStyle name="Normal 5 2 2 6 2" xfId="2553" xr:uid="{050CA458-D73E-4E40-A83F-93569DEBF3BB}"/>
    <cellStyle name="Normal 5 2 2 6 2 2" xfId="12501" xr:uid="{155B0025-2B31-4CA5-8BA4-918CEA211846}"/>
    <cellStyle name="Normal 5 2 2 6 3" xfId="3382" xr:uid="{4BE961B8-3FE3-4BC8-B84D-252B8B972EE1}"/>
    <cellStyle name="Normal 5 2 2 6 3 2" xfId="13330" xr:uid="{04179037-382D-4129-A8D7-B6B4293BC8AF}"/>
    <cellStyle name="Normal 5 2 2 6 4" xfId="4211" xr:uid="{F7E2EB41-7104-4F40-9F75-9ED882666E69}"/>
    <cellStyle name="Normal 5 2 2 6 4 2" xfId="14159" xr:uid="{17EE6420-DEFF-4F9A-BADA-DF09F5808730}"/>
    <cellStyle name="Normal 5 2 2 6 5" xfId="5040" xr:uid="{46D36CBB-52D9-43D2-B236-24E143CD04EE}"/>
    <cellStyle name="Normal 5 2 2 6 5 2" xfId="14988" xr:uid="{114987CD-98FE-4174-A812-17CE56C8A109}"/>
    <cellStyle name="Normal 5 2 2 6 6" xfId="5869" xr:uid="{9C1A194E-293E-4094-B290-8FEEE8B47E71}"/>
    <cellStyle name="Normal 5 2 2 6 6 2" xfId="15817" xr:uid="{2B33E481-7320-4E9C-93EF-3B53BF436AEA}"/>
    <cellStyle name="Normal 5 2 2 6 7" xfId="6698" xr:uid="{D35C3D8C-38DE-41B7-BFEA-99E29DDDC102}"/>
    <cellStyle name="Normal 5 2 2 6 7 2" xfId="16646" xr:uid="{DF869689-8776-4382-AA7A-E7DB56E05E46}"/>
    <cellStyle name="Normal 5 2 2 6 8" xfId="7527" xr:uid="{F6C1AE68-B63E-42F7-9A2F-944A72206FD4}"/>
    <cellStyle name="Normal 5 2 2 6 8 2" xfId="17475" xr:uid="{6DC3F2EC-FAC7-4284-AD6A-0B10EEEB9B4A}"/>
    <cellStyle name="Normal 5 2 2 6 9" xfId="8356" xr:uid="{D59BEBD8-56F4-43AD-8E89-4646846286A9}"/>
    <cellStyle name="Normal 5 2 2 6 9 2" xfId="18304" xr:uid="{40122DC3-E85C-49F6-855A-7B1FB5EE6AF0}"/>
    <cellStyle name="Normal 5 2 2 7" xfId="2137" xr:uid="{EC6563C1-48B4-4254-BA4D-24D39AB1AAA7}"/>
    <cellStyle name="Normal 5 2 2 7 2" xfId="12085" xr:uid="{2A0291C0-1CB0-4E8F-9FBF-587BB24D4E19}"/>
    <cellStyle name="Normal 5 2 2 8" xfId="2966" xr:uid="{149D6DE7-5D22-48C6-BF09-91D6D24FFC1F}"/>
    <cellStyle name="Normal 5 2 2 8 2" xfId="12914" xr:uid="{338DD634-F237-4E24-8F20-3F8E2B0D4140}"/>
    <cellStyle name="Normal 5 2 2 9" xfId="3795" xr:uid="{B70EFF16-C5EA-4ECA-AA23-B11DF3BBE3EB}"/>
    <cellStyle name="Normal 5 2 2 9 2" xfId="13743" xr:uid="{70C9DEE8-D842-4D50-91D3-25DBC4F31CC3}"/>
    <cellStyle name="Normal 5 2 20" xfId="11255" xr:uid="{A6E94726-D562-435A-8EB7-58BB6890605B}"/>
    <cellStyle name="Normal 5 2 3" xfId="427" xr:uid="{00000000-0005-0000-0000-0000F4020000}"/>
    <cellStyle name="Normal 5 2 3 10" xfId="5469" xr:uid="{E122D875-FC07-42F2-BED1-E594EFC69672}"/>
    <cellStyle name="Normal 5 2 3 10 2" xfId="15417" xr:uid="{E95469D1-4E4D-43FF-8F54-FDC562807D99}"/>
    <cellStyle name="Normal 5 2 3 11" xfId="6298" xr:uid="{0462828F-2CBC-4A3C-B096-D25BEA2C7D65}"/>
    <cellStyle name="Normal 5 2 3 11 2" xfId="16246" xr:uid="{752E1168-E6FE-4C4A-83A2-B4748D95AD1D}"/>
    <cellStyle name="Normal 5 2 3 12" xfId="7127" xr:uid="{B8FC5E34-4F94-4008-9250-7356B555A5AF}"/>
    <cellStyle name="Normal 5 2 3 12 2" xfId="17075" xr:uid="{F1021CB0-399C-4822-9202-6B93B5859E18}"/>
    <cellStyle name="Normal 5 2 3 13" xfId="7956" xr:uid="{7136C35A-8A07-4A9C-959C-D322B089E905}"/>
    <cellStyle name="Normal 5 2 3 13 2" xfId="17904" xr:uid="{0C667DEF-1D64-4F68-AF14-E271E4F68D69}"/>
    <cellStyle name="Normal 5 2 3 14" xfId="8785" xr:uid="{2653ED0F-FE60-4C6F-BF19-BD0C751915F6}"/>
    <cellStyle name="Normal 5 2 3 14 2" xfId="18733" xr:uid="{880BBF84-07EB-4B56-A679-2293FBDF9F5A}"/>
    <cellStyle name="Normal 5 2 3 15" xfId="9614" xr:uid="{D8CA7629-3534-438C-A7DE-2B200574A247}"/>
    <cellStyle name="Normal 5 2 3 15 2" xfId="19562" xr:uid="{5CD36E7C-66D7-4FC6-9D0C-7F79AA33D146}"/>
    <cellStyle name="Normal 5 2 3 16" xfId="10443" xr:uid="{4B11AE41-FE40-4582-86B3-FAAED24E8C58}"/>
    <cellStyle name="Normal 5 2 3 16 2" xfId="20391" xr:uid="{DCAC6224-06B0-4E0D-9780-8FB5972C5EB4}"/>
    <cellStyle name="Normal 5 2 3 17" xfId="1324" xr:uid="{0BAEAABA-FFCB-444B-81DA-0124595C3E19}"/>
    <cellStyle name="Normal 5 2 3 18" xfId="11272" xr:uid="{AEE242BF-99A1-4828-B985-FC29D86FA298}"/>
    <cellStyle name="Normal 5 2 3 2" xfId="428" xr:uid="{00000000-0005-0000-0000-0000F5020000}"/>
    <cellStyle name="Normal 5 2 3 2 10" xfId="6299" xr:uid="{AA59D140-4892-44DE-BA4F-76C44E93AA81}"/>
    <cellStyle name="Normal 5 2 3 2 10 2" xfId="16247" xr:uid="{6ED38320-A80D-4B7B-9BED-FD806E898A2F}"/>
    <cellStyle name="Normal 5 2 3 2 11" xfId="7128" xr:uid="{0E771B9C-F80C-4084-ADD2-68BA16E72DF4}"/>
    <cellStyle name="Normal 5 2 3 2 11 2" xfId="17076" xr:uid="{D7DCFDAC-A266-4CCA-9951-1A739C742EFE}"/>
    <cellStyle name="Normal 5 2 3 2 12" xfId="7957" xr:uid="{2DB9212C-15D6-4109-92A5-E0F2E52FAE88}"/>
    <cellStyle name="Normal 5 2 3 2 12 2" xfId="17905" xr:uid="{5D0E6382-7103-4BEA-A083-63D6F4E51C3F}"/>
    <cellStyle name="Normal 5 2 3 2 13" xfId="8786" xr:uid="{FDC8D3A9-788C-4E7B-84CE-A5457920058F}"/>
    <cellStyle name="Normal 5 2 3 2 13 2" xfId="18734" xr:uid="{8AEEF328-818E-4965-B9D6-11CC1F992CDC}"/>
    <cellStyle name="Normal 5 2 3 2 14" xfId="9615" xr:uid="{50B1C722-4A4E-433D-B9C8-4BD93802E711}"/>
    <cellStyle name="Normal 5 2 3 2 14 2" xfId="19563" xr:uid="{6667EAB4-F8C5-428A-A76B-1CA63E886F5C}"/>
    <cellStyle name="Normal 5 2 3 2 15" xfId="10444" xr:uid="{85677C53-2BE0-4BB7-AA4A-90930289D056}"/>
    <cellStyle name="Normal 5 2 3 2 15 2" xfId="20392" xr:uid="{4BECACEF-F0C1-4FD5-B7EB-12DA6C58BC34}"/>
    <cellStyle name="Normal 5 2 3 2 16" xfId="1325" xr:uid="{EF413201-A262-4587-B118-219DA8480EB8}"/>
    <cellStyle name="Normal 5 2 3 2 17" xfId="11273" xr:uid="{2D543739-50DB-4475-8EB9-57456CFF9E67}"/>
    <cellStyle name="Normal 5 2 3 2 2" xfId="429" xr:uid="{00000000-0005-0000-0000-0000F6020000}"/>
    <cellStyle name="Normal 5 2 3 2 2 10" xfId="7129" xr:uid="{94071627-CE55-4F0F-A00B-06E12634C024}"/>
    <cellStyle name="Normal 5 2 3 2 2 10 2" xfId="17077" xr:uid="{0BF2F292-1CEF-4B47-9713-C52E42CE2AF4}"/>
    <cellStyle name="Normal 5 2 3 2 2 11" xfId="7958" xr:uid="{66564729-335C-4A52-8353-9924D05D5F30}"/>
    <cellStyle name="Normal 5 2 3 2 2 11 2" xfId="17906" xr:uid="{A6B3F7E1-C6C2-4CA1-8739-F24DED0F1E93}"/>
    <cellStyle name="Normal 5 2 3 2 2 12" xfId="8787" xr:uid="{489F817F-3785-4D3D-8404-559CC57625A2}"/>
    <cellStyle name="Normal 5 2 3 2 2 12 2" xfId="18735" xr:uid="{5E95CF13-B3F3-481A-9F54-AB935A134D2D}"/>
    <cellStyle name="Normal 5 2 3 2 2 13" xfId="9616" xr:uid="{3D190A00-A323-430B-BEA8-3DC6AB584D41}"/>
    <cellStyle name="Normal 5 2 3 2 2 13 2" xfId="19564" xr:uid="{C193F2AF-477C-4AED-AEE5-79133BEE259E}"/>
    <cellStyle name="Normal 5 2 3 2 2 14" xfId="10445" xr:uid="{FBB72C4A-D384-4A5C-9ED7-1841D6D25396}"/>
    <cellStyle name="Normal 5 2 3 2 2 14 2" xfId="20393" xr:uid="{A6711D7C-E950-4572-87AE-1B8A41B87B4D}"/>
    <cellStyle name="Normal 5 2 3 2 2 15" xfId="1326" xr:uid="{B15FC4C2-E189-4BE7-87D8-4A790D0A7D00}"/>
    <cellStyle name="Normal 5 2 3 2 2 16" xfId="11274" xr:uid="{308A7DD1-42F6-4A5D-995E-537D6725A132}"/>
    <cellStyle name="Normal 5 2 3 2 2 2" xfId="430" xr:uid="{00000000-0005-0000-0000-0000F7020000}"/>
    <cellStyle name="Normal 5 2 3 2 2 2 10" xfId="7959" xr:uid="{01A839C8-A46D-42DF-9236-81D75367671D}"/>
    <cellStyle name="Normal 5 2 3 2 2 2 10 2" xfId="17907" xr:uid="{D5C1D833-5475-419A-A57C-5A3385E17B71}"/>
    <cellStyle name="Normal 5 2 3 2 2 2 11" xfId="8788" xr:uid="{76491EAB-B618-4D7C-9257-66F1D21AF58E}"/>
    <cellStyle name="Normal 5 2 3 2 2 2 11 2" xfId="18736" xr:uid="{E51D4DB4-38D9-44ED-935C-9302E833B9F3}"/>
    <cellStyle name="Normal 5 2 3 2 2 2 12" xfId="9617" xr:uid="{FB8AC4EE-C40A-493F-B4B4-EB598FB5A70D}"/>
    <cellStyle name="Normal 5 2 3 2 2 2 12 2" xfId="19565" xr:uid="{CA9A0E0B-1CA2-4289-8094-1C6B1B7E0FD1}"/>
    <cellStyle name="Normal 5 2 3 2 2 2 13" xfId="10446" xr:uid="{B02E9F33-8AD8-4F13-B5BF-87254D55136E}"/>
    <cellStyle name="Normal 5 2 3 2 2 2 13 2" xfId="20394" xr:uid="{C7DF80DA-AEA8-45B3-A508-8FBA02608D0E}"/>
    <cellStyle name="Normal 5 2 3 2 2 2 14" xfId="1327" xr:uid="{1DDA6C37-7B22-45F7-A9BA-779D946A485F}"/>
    <cellStyle name="Normal 5 2 3 2 2 2 15" xfId="11275" xr:uid="{EE00B10C-385F-41CB-866D-F828BBF3AC4C}"/>
    <cellStyle name="Normal 5 2 3 2 2 2 2" xfId="909" xr:uid="{00000000-0005-0000-0000-0000F8020000}"/>
    <cellStyle name="Normal 5 2 3 2 2 2 2 10" xfId="9204" xr:uid="{64831C6D-B358-453D-96EE-D6359AA94DC2}"/>
    <cellStyle name="Normal 5 2 3 2 2 2 2 10 2" xfId="19152" xr:uid="{B0D2084B-75FF-4118-A209-DD25063387CF}"/>
    <cellStyle name="Normal 5 2 3 2 2 2 2 11" xfId="10033" xr:uid="{A2FDA230-8C0D-4E6D-8776-A982D837B797}"/>
    <cellStyle name="Normal 5 2 3 2 2 2 2 11 2" xfId="19981" xr:uid="{54C3B353-104B-4B2E-963A-FCBFDE02B325}"/>
    <cellStyle name="Normal 5 2 3 2 2 2 2 12" xfId="10862" xr:uid="{315B97FA-E324-4455-9ED4-8677B7B39D53}"/>
    <cellStyle name="Normal 5 2 3 2 2 2 2 12 2" xfId="20810" xr:uid="{9C1CD075-63AC-4094-9543-524485A60B04}"/>
    <cellStyle name="Normal 5 2 3 2 2 2 2 13" xfId="1743" xr:uid="{FD0628CA-2387-429B-ADED-71011F8FAB7A}"/>
    <cellStyle name="Normal 5 2 3 2 2 2 2 14" xfId="11691" xr:uid="{88DAA588-A841-4D0A-99D1-57CEBC26C64E}"/>
    <cellStyle name="Normal 5 2 3 2 2 2 2 2" xfId="2572" xr:uid="{114106CD-A002-4C75-910A-723909CBAEE0}"/>
    <cellStyle name="Normal 5 2 3 2 2 2 2 2 2" xfId="12520" xr:uid="{1E8A61E3-00D2-4244-963D-0CBFBE911DA3}"/>
    <cellStyle name="Normal 5 2 3 2 2 2 2 3" xfId="3401" xr:uid="{C0F6DDDF-EB20-4DA9-8C16-6F19CB64F3B5}"/>
    <cellStyle name="Normal 5 2 3 2 2 2 2 3 2" xfId="13349" xr:uid="{4A5F569F-B823-49FA-AF97-AAC588B60CED}"/>
    <cellStyle name="Normal 5 2 3 2 2 2 2 4" xfId="4230" xr:uid="{87DD0191-C4F3-4F57-86F5-F4BE4D3B2C22}"/>
    <cellStyle name="Normal 5 2 3 2 2 2 2 4 2" xfId="14178" xr:uid="{2A72DDB1-F01B-4FEA-A271-987C197CB77F}"/>
    <cellStyle name="Normal 5 2 3 2 2 2 2 5" xfId="5059" xr:uid="{7EE00A4F-1D31-4E3C-B147-670868DF91AF}"/>
    <cellStyle name="Normal 5 2 3 2 2 2 2 5 2" xfId="15007" xr:uid="{86F385F1-D811-422B-BD04-9336FDEB4D6F}"/>
    <cellStyle name="Normal 5 2 3 2 2 2 2 6" xfId="5888" xr:uid="{B5B76881-0FF3-4619-84B3-BF03E6882C63}"/>
    <cellStyle name="Normal 5 2 3 2 2 2 2 6 2" xfId="15836" xr:uid="{ABB553D8-283B-4554-8047-34681034D2C5}"/>
    <cellStyle name="Normal 5 2 3 2 2 2 2 7" xfId="6717" xr:uid="{3AD3C709-4603-4FF2-A21E-61582EC540BE}"/>
    <cellStyle name="Normal 5 2 3 2 2 2 2 7 2" xfId="16665" xr:uid="{A1F2A37F-301D-4ED4-8CD3-A1F4B7CDD9D9}"/>
    <cellStyle name="Normal 5 2 3 2 2 2 2 8" xfId="7546" xr:uid="{4E7E791D-9162-4126-9A29-4176C6D92044}"/>
    <cellStyle name="Normal 5 2 3 2 2 2 2 8 2" xfId="17494" xr:uid="{0851BA12-EBA7-422A-A578-8332792EDBBB}"/>
    <cellStyle name="Normal 5 2 3 2 2 2 2 9" xfId="8375" xr:uid="{7E961DC2-3C3B-40B6-B42B-4EC31EB24045}"/>
    <cellStyle name="Normal 5 2 3 2 2 2 2 9 2" xfId="18323" xr:uid="{BC050E4F-063D-4ABE-8B95-01ABF57983FB}"/>
    <cellStyle name="Normal 5 2 3 2 2 2 3" xfId="2156" xr:uid="{DDF4451D-A34A-488D-B8C3-CF445B88B7F8}"/>
    <cellStyle name="Normal 5 2 3 2 2 2 3 2" xfId="12104" xr:uid="{5EF4034E-91AB-41BE-920F-666D27B766B1}"/>
    <cellStyle name="Normal 5 2 3 2 2 2 4" xfId="2985" xr:uid="{F01D06F0-E9E5-40BF-A044-9C4312FD6160}"/>
    <cellStyle name="Normal 5 2 3 2 2 2 4 2" xfId="12933" xr:uid="{9BE62025-4067-4C05-B87B-62DE952F3388}"/>
    <cellStyle name="Normal 5 2 3 2 2 2 5" xfId="3814" xr:uid="{CDF5157F-09EA-4B38-8B2E-A48FBE43399C}"/>
    <cellStyle name="Normal 5 2 3 2 2 2 5 2" xfId="13762" xr:uid="{E2AEE5B2-E213-4E3F-A8CB-412AC2B3D079}"/>
    <cellStyle name="Normal 5 2 3 2 2 2 6" xfId="4643" xr:uid="{DEE25E4B-5601-4EC3-A34A-2957E7DE8F5D}"/>
    <cellStyle name="Normal 5 2 3 2 2 2 6 2" xfId="14591" xr:uid="{C6D96D88-1FA8-4E09-8F07-FB6BFFC9A36C}"/>
    <cellStyle name="Normal 5 2 3 2 2 2 7" xfId="5472" xr:uid="{5E1BAE7D-EC25-4924-B396-5801F5E093C6}"/>
    <cellStyle name="Normal 5 2 3 2 2 2 7 2" xfId="15420" xr:uid="{E39391E0-AD40-4488-8D8B-D3037DF7007E}"/>
    <cellStyle name="Normal 5 2 3 2 2 2 8" xfId="6301" xr:uid="{A06CE16E-885C-422C-AC25-6A232189CA3C}"/>
    <cellStyle name="Normal 5 2 3 2 2 2 8 2" xfId="16249" xr:uid="{F7D61C3E-C128-43E9-9BD4-D31445AF77FB}"/>
    <cellStyle name="Normal 5 2 3 2 2 2 9" xfId="7130" xr:uid="{8C77E71B-2C43-43DB-A8B1-254736C9CB06}"/>
    <cellStyle name="Normal 5 2 3 2 2 2 9 2" xfId="17078" xr:uid="{494DF025-37B7-4655-B849-919809C18124}"/>
    <cellStyle name="Normal 5 2 3 2 2 3" xfId="908" xr:uid="{00000000-0005-0000-0000-0000F9020000}"/>
    <cellStyle name="Normal 5 2 3 2 2 3 10" xfId="9203" xr:uid="{A255FCFB-D671-43CC-9E1B-E6C0077CF5FE}"/>
    <cellStyle name="Normal 5 2 3 2 2 3 10 2" xfId="19151" xr:uid="{3F8A224E-967C-4083-8611-67B8A2C1ABCD}"/>
    <cellStyle name="Normal 5 2 3 2 2 3 11" xfId="10032" xr:uid="{ABE30A52-C590-4352-AF0C-497C69402D76}"/>
    <cellStyle name="Normal 5 2 3 2 2 3 11 2" xfId="19980" xr:uid="{0D2061D4-C271-40BA-8D72-476B71A515B5}"/>
    <cellStyle name="Normal 5 2 3 2 2 3 12" xfId="10861" xr:uid="{4F7DAAEF-883C-4DE8-85F8-061662E6E548}"/>
    <cellStyle name="Normal 5 2 3 2 2 3 12 2" xfId="20809" xr:uid="{E7A206CB-9E93-42EC-8AC1-FC8A6DC7902D}"/>
    <cellStyle name="Normal 5 2 3 2 2 3 13" xfId="1742" xr:uid="{600A7933-050E-4DF8-A2DF-708B573C683D}"/>
    <cellStyle name="Normal 5 2 3 2 2 3 14" xfId="11690" xr:uid="{D3FA5F58-0B2A-444C-9163-473FD296708E}"/>
    <cellStyle name="Normal 5 2 3 2 2 3 2" xfId="2571" xr:uid="{8AB8831A-37C2-4272-BC84-958F4962E5C1}"/>
    <cellStyle name="Normal 5 2 3 2 2 3 2 2" xfId="12519" xr:uid="{8010BF5F-76BC-48CE-A7C9-8DDDCE64F153}"/>
    <cellStyle name="Normal 5 2 3 2 2 3 3" xfId="3400" xr:uid="{3ABBD181-4992-4763-8DDF-8F08DC1B531C}"/>
    <cellStyle name="Normal 5 2 3 2 2 3 3 2" xfId="13348" xr:uid="{31ED292C-6D5A-4B16-A23D-CF149D360C65}"/>
    <cellStyle name="Normal 5 2 3 2 2 3 4" xfId="4229" xr:uid="{68109752-81F1-45D7-B823-0DF66902AD7D}"/>
    <cellStyle name="Normal 5 2 3 2 2 3 4 2" xfId="14177" xr:uid="{D1B2818D-7E66-4854-B43C-77B37579ECE6}"/>
    <cellStyle name="Normal 5 2 3 2 2 3 5" xfId="5058" xr:uid="{EE80B9DF-594A-4BB6-9AAA-12D03EF76DA5}"/>
    <cellStyle name="Normal 5 2 3 2 2 3 5 2" xfId="15006" xr:uid="{5791A115-1A1C-467D-837F-7865D8ED3568}"/>
    <cellStyle name="Normal 5 2 3 2 2 3 6" xfId="5887" xr:uid="{AE438C83-1763-48EB-A1E3-46FA8386DB24}"/>
    <cellStyle name="Normal 5 2 3 2 2 3 6 2" xfId="15835" xr:uid="{8D152384-F15D-4AA6-82D8-C69236A07A9D}"/>
    <cellStyle name="Normal 5 2 3 2 2 3 7" xfId="6716" xr:uid="{11892F18-11B7-4FF6-B7C8-03C627AF2B80}"/>
    <cellStyle name="Normal 5 2 3 2 2 3 7 2" xfId="16664" xr:uid="{90AF5C60-70C6-446E-902A-29BF89266CA7}"/>
    <cellStyle name="Normal 5 2 3 2 2 3 8" xfId="7545" xr:uid="{0024FD92-C6F3-4F19-8C74-ECF3448B58FB}"/>
    <cellStyle name="Normal 5 2 3 2 2 3 8 2" xfId="17493" xr:uid="{3CBC53AB-8B22-445B-A73F-1FF0953E5748}"/>
    <cellStyle name="Normal 5 2 3 2 2 3 9" xfId="8374" xr:uid="{164C6CC3-EF70-44B6-AC6D-FB26C8B6952E}"/>
    <cellStyle name="Normal 5 2 3 2 2 3 9 2" xfId="18322" xr:uid="{E1884356-C580-4C9E-AE5E-6B628BA6EE12}"/>
    <cellStyle name="Normal 5 2 3 2 2 4" xfId="2155" xr:uid="{087CC58A-2BBD-4156-B6CE-4B5A27CAA1DC}"/>
    <cellStyle name="Normal 5 2 3 2 2 4 2" xfId="12103" xr:uid="{BBD20023-BA7D-431F-AA3F-C0E3E43B8BE3}"/>
    <cellStyle name="Normal 5 2 3 2 2 5" xfId="2984" xr:uid="{105373FF-344D-4024-8CD6-597F1CADA343}"/>
    <cellStyle name="Normal 5 2 3 2 2 5 2" xfId="12932" xr:uid="{28A43038-F22F-4594-8AB7-09D5C38FA378}"/>
    <cellStyle name="Normal 5 2 3 2 2 6" xfId="3813" xr:uid="{E61FF2FB-8954-4514-80DF-9EE53A0ACF4E}"/>
    <cellStyle name="Normal 5 2 3 2 2 6 2" xfId="13761" xr:uid="{DCC51C2A-E185-4F26-8110-3CDD26150375}"/>
    <cellStyle name="Normal 5 2 3 2 2 7" xfId="4642" xr:uid="{8BE5C582-4734-4117-AC47-5AB7192FF9F3}"/>
    <cellStyle name="Normal 5 2 3 2 2 7 2" xfId="14590" xr:uid="{58589FCB-00A8-456F-935D-3BB7AE2A7E8E}"/>
    <cellStyle name="Normal 5 2 3 2 2 8" xfId="5471" xr:uid="{51A058BD-5C00-452C-9BB3-58A7409A9DA2}"/>
    <cellStyle name="Normal 5 2 3 2 2 8 2" xfId="15419" xr:uid="{FEECC279-0A8E-4743-A443-0C74417F57DE}"/>
    <cellStyle name="Normal 5 2 3 2 2 9" xfId="6300" xr:uid="{A6B6A528-1DD5-42E4-9B2B-16B10CC676E4}"/>
    <cellStyle name="Normal 5 2 3 2 2 9 2" xfId="16248" xr:uid="{035CA6AE-4303-498D-92C6-EB01AB2FD8C1}"/>
    <cellStyle name="Normal 5 2 3 2 3" xfId="431" xr:uid="{00000000-0005-0000-0000-0000FA020000}"/>
    <cellStyle name="Normal 5 2 3 2 3 10" xfId="7960" xr:uid="{EA538CB6-3A08-44D0-8F75-2A7729219CFC}"/>
    <cellStyle name="Normal 5 2 3 2 3 10 2" xfId="17908" xr:uid="{D4D7BA63-96EE-4C96-A883-67C17ACB6037}"/>
    <cellStyle name="Normal 5 2 3 2 3 11" xfId="8789" xr:uid="{C5C74C9B-6534-4192-B112-532EEFDCE840}"/>
    <cellStyle name="Normal 5 2 3 2 3 11 2" xfId="18737" xr:uid="{66FA9768-F62B-47EC-8798-764C4ECD4861}"/>
    <cellStyle name="Normal 5 2 3 2 3 12" xfId="9618" xr:uid="{7FB326DB-A72C-48D6-9527-A73F1E2FDF92}"/>
    <cellStyle name="Normal 5 2 3 2 3 12 2" xfId="19566" xr:uid="{6BE37C5F-8F39-4BF5-A7DA-FD5A853B02A9}"/>
    <cellStyle name="Normal 5 2 3 2 3 13" xfId="10447" xr:uid="{4F790380-227E-4032-82E3-E8723350C3EE}"/>
    <cellStyle name="Normal 5 2 3 2 3 13 2" xfId="20395" xr:uid="{5B16482F-EA04-49FC-B69E-1FFC3AFEF753}"/>
    <cellStyle name="Normal 5 2 3 2 3 14" xfId="1328" xr:uid="{7D6F74E2-F846-4A02-989A-2B26F18FDDC8}"/>
    <cellStyle name="Normal 5 2 3 2 3 15" xfId="11276" xr:uid="{225E1665-13A2-481D-A03B-479E083E4C36}"/>
    <cellStyle name="Normal 5 2 3 2 3 2" xfId="910" xr:uid="{00000000-0005-0000-0000-0000FB020000}"/>
    <cellStyle name="Normal 5 2 3 2 3 2 10" xfId="9205" xr:uid="{437CCE89-92D2-4CD1-964D-87120B838511}"/>
    <cellStyle name="Normal 5 2 3 2 3 2 10 2" xfId="19153" xr:uid="{E6CBA4B5-EA05-451D-9360-6E8735F17723}"/>
    <cellStyle name="Normal 5 2 3 2 3 2 11" xfId="10034" xr:uid="{C0DC0CEC-5929-4B7D-AA61-52240012FA8D}"/>
    <cellStyle name="Normal 5 2 3 2 3 2 11 2" xfId="19982" xr:uid="{D99EE0AB-8A80-4BD0-A0CD-FDD7021BEF40}"/>
    <cellStyle name="Normal 5 2 3 2 3 2 12" xfId="10863" xr:uid="{D0A9E7E7-FC50-4D86-ACEC-77EA1BE6A4DF}"/>
    <cellStyle name="Normal 5 2 3 2 3 2 12 2" xfId="20811" xr:uid="{227ED900-7A1C-4438-8978-34E54E6DD3C7}"/>
    <cellStyle name="Normal 5 2 3 2 3 2 13" xfId="1744" xr:uid="{5759170F-4E6B-471E-B7FD-1C0FD68EE3DD}"/>
    <cellStyle name="Normal 5 2 3 2 3 2 14" xfId="11692" xr:uid="{5EB20425-EEA7-418D-A986-2B326BF68822}"/>
    <cellStyle name="Normal 5 2 3 2 3 2 2" xfId="2573" xr:uid="{4D250A44-8C22-4E5F-BDFC-9BF6109F3568}"/>
    <cellStyle name="Normal 5 2 3 2 3 2 2 2" xfId="12521" xr:uid="{ED39B6F2-C601-40F1-9AA9-F0D1B0C8798D}"/>
    <cellStyle name="Normal 5 2 3 2 3 2 3" xfId="3402" xr:uid="{2A3A025E-F8EF-402B-B0EB-74DADDB73E83}"/>
    <cellStyle name="Normal 5 2 3 2 3 2 3 2" xfId="13350" xr:uid="{8D22E2F8-BF30-4FCB-A383-0AA2E22218C7}"/>
    <cellStyle name="Normal 5 2 3 2 3 2 4" xfId="4231" xr:uid="{AA4A57EC-776A-47A7-ADEC-4D17A9ADB387}"/>
    <cellStyle name="Normal 5 2 3 2 3 2 4 2" xfId="14179" xr:uid="{6DDE3284-C826-4BA0-85E5-5D89EFC47933}"/>
    <cellStyle name="Normal 5 2 3 2 3 2 5" xfId="5060" xr:uid="{85D0A462-6C02-4301-95A5-F753FE4CD8E1}"/>
    <cellStyle name="Normal 5 2 3 2 3 2 5 2" xfId="15008" xr:uid="{AF520496-0525-41CC-B340-33215950F2F4}"/>
    <cellStyle name="Normal 5 2 3 2 3 2 6" xfId="5889" xr:uid="{07F4D09E-931B-400B-A412-728FD336A5E9}"/>
    <cellStyle name="Normal 5 2 3 2 3 2 6 2" xfId="15837" xr:uid="{8122B0EE-64A7-4B3F-9C3E-A814F150E874}"/>
    <cellStyle name="Normal 5 2 3 2 3 2 7" xfId="6718" xr:uid="{42F63BE0-2230-48FA-9D82-E011D2DE3FE5}"/>
    <cellStyle name="Normal 5 2 3 2 3 2 7 2" xfId="16666" xr:uid="{CD2A4A6B-B4B6-44E7-BF00-582BB1982525}"/>
    <cellStyle name="Normal 5 2 3 2 3 2 8" xfId="7547" xr:uid="{65B069E9-D464-40A8-AF9C-589DFAC6930B}"/>
    <cellStyle name="Normal 5 2 3 2 3 2 8 2" xfId="17495" xr:uid="{D7B3260C-59E5-4D81-8219-BDE81E5B3EAD}"/>
    <cellStyle name="Normal 5 2 3 2 3 2 9" xfId="8376" xr:uid="{E7EDDC1C-6831-4CCB-AB3F-FA6BF4AEDEAE}"/>
    <cellStyle name="Normal 5 2 3 2 3 2 9 2" xfId="18324" xr:uid="{5E193213-1678-41A4-AF1B-47C3F89BCB07}"/>
    <cellStyle name="Normal 5 2 3 2 3 3" xfId="2157" xr:uid="{9A52B34C-9B21-42F2-8D6C-B46367A77B24}"/>
    <cellStyle name="Normal 5 2 3 2 3 3 2" xfId="12105" xr:uid="{23E27D67-4985-4ED2-899F-FA6EE30F772D}"/>
    <cellStyle name="Normal 5 2 3 2 3 4" xfId="2986" xr:uid="{1AD91CA5-6F69-4067-A492-6BB803B8605F}"/>
    <cellStyle name="Normal 5 2 3 2 3 4 2" xfId="12934" xr:uid="{E7E1FD31-534B-4FDA-A108-99A5B9B973F9}"/>
    <cellStyle name="Normal 5 2 3 2 3 5" xfId="3815" xr:uid="{D1033BAF-23E5-47D9-BF0F-0D53CFD777F8}"/>
    <cellStyle name="Normal 5 2 3 2 3 5 2" xfId="13763" xr:uid="{760C73CA-1BE5-429F-9510-D068BAD3092F}"/>
    <cellStyle name="Normal 5 2 3 2 3 6" xfId="4644" xr:uid="{F8DD0FB9-BF51-4AF6-BF7F-12F5F20DE10E}"/>
    <cellStyle name="Normal 5 2 3 2 3 6 2" xfId="14592" xr:uid="{2B54EA70-E51A-4DE9-8511-42BDFE44C09B}"/>
    <cellStyle name="Normal 5 2 3 2 3 7" xfId="5473" xr:uid="{43826A4E-43F2-413C-BCCB-BDC5F3170277}"/>
    <cellStyle name="Normal 5 2 3 2 3 7 2" xfId="15421" xr:uid="{A5C28500-B733-450F-A531-685775DA941C}"/>
    <cellStyle name="Normal 5 2 3 2 3 8" xfId="6302" xr:uid="{AAFB9AF3-B587-4071-8FD6-F032E5C1EBA0}"/>
    <cellStyle name="Normal 5 2 3 2 3 8 2" xfId="16250" xr:uid="{ABC1EF9C-027D-4888-B045-A67334BC6CEE}"/>
    <cellStyle name="Normal 5 2 3 2 3 9" xfId="7131" xr:uid="{57AC0B73-567E-4C27-A04B-B581B3160BE0}"/>
    <cellStyle name="Normal 5 2 3 2 3 9 2" xfId="17079" xr:uid="{CB54A3AE-56FE-4911-A7AC-1949010A2EE4}"/>
    <cellStyle name="Normal 5 2 3 2 4" xfId="907" xr:uid="{00000000-0005-0000-0000-0000FC020000}"/>
    <cellStyle name="Normal 5 2 3 2 4 10" xfId="9202" xr:uid="{AECD80A4-A6D1-44C5-AF00-4EB2E7E8E774}"/>
    <cellStyle name="Normal 5 2 3 2 4 10 2" xfId="19150" xr:uid="{B0C6007F-FDD5-45A6-9F6A-96F10C182192}"/>
    <cellStyle name="Normal 5 2 3 2 4 11" xfId="10031" xr:uid="{0660B844-1B7A-4BD9-8721-F5AF530E1C7C}"/>
    <cellStyle name="Normal 5 2 3 2 4 11 2" xfId="19979" xr:uid="{9EE1B0EA-7083-4073-92F3-B33568EC08F6}"/>
    <cellStyle name="Normal 5 2 3 2 4 12" xfId="10860" xr:uid="{CBC01244-D75D-4751-A3DA-532FD4BC5B68}"/>
    <cellStyle name="Normal 5 2 3 2 4 12 2" xfId="20808" xr:uid="{B06A0F59-47E3-4627-8B22-F95C0384AAF5}"/>
    <cellStyle name="Normal 5 2 3 2 4 13" xfId="1741" xr:uid="{EEE0C7B8-2AA4-4901-B0DA-0B57819B8DBC}"/>
    <cellStyle name="Normal 5 2 3 2 4 14" xfId="11689" xr:uid="{88113023-817A-4010-A9BD-D1F3EA221C24}"/>
    <cellStyle name="Normal 5 2 3 2 4 2" xfId="2570" xr:uid="{AD570F1E-B5E4-4FAD-9657-9251CB26BD25}"/>
    <cellStyle name="Normal 5 2 3 2 4 2 2" xfId="12518" xr:uid="{999EBB3D-64F9-4C0D-AECC-DCF799AC3E1C}"/>
    <cellStyle name="Normal 5 2 3 2 4 3" xfId="3399" xr:uid="{049651EB-745F-4EC2-BBB2-EAF14AA1CBEB}"/>
    <cellStyle name="Normal 5 2 3 2 4 3 2" xfId="13347" xr:uid="{610CF270-90C2-41B7-B23B-8CC3D06DF938}"/>
    <cellStyle name="Normal 5 2 3 2 4 4" xfId="4228" xr:uid="{101AA02A-4F04-415C-80FB-13B2836DE0EC}"/>
    <cellStyle name="Normal 5 2 3 2 4 4 2" xfId="14176" xr:uid="{014EDA19-6165-4C06-8E38-BCFEA9099155}"/>
    <cellStyle name="Normal 5 2 3 2 4 5" xfId="5057" xr:uid="{245A3825-939E-433F-82D1-F558E3F74C93}"/>
    <cellStyle name="Normal 5 2 3 2 4 5 2" xfId="15005" xr:uid="{CD3AB110-BBAD-40ED-8ABA-AE2296F6B988}"/>
    <cellStyle name="Normal 5 2 3 2 4 6" xfId="5886" xr:uid="{9BAB3EB9-28E3-4274-8809-63665788156A}"/>
    <cellStyle name="Normal 5 2 3 2 4 6 2" xfId="15834" xr:uid="{35F10C0B-05D1-4956-ACCA-4664C362F381}"/>
    <cellStyle name="Normal 5 2 3 2 4 7" xfId="6715" xr:uid="{FE23AF40-BB3D-4403-B998-C69AC8D7C066}"/>
    <cellStyle name="Normal 5 2 3 2 4 7 2" xfId="16663" xr:uid="{3D378654-F2D9-4340-B5E9-91B6625FE9C3}"/>
    <cellStyle name="Normal 5 2 3 2 4 8" xfId="7544" xr:uid="{7AEC5D77-E2BE-4CB9-BFA4-1FCD89348A26}"/>
    <cellStyle name="Normal 5 2 3 2 4 8 2" xfId="17492" xr:uid="{6ECAFDC2-449A-42AE-8481-61B80C7CBC29}"/>
    <cellStyle name="Normal 5 2 3 2 4 9" xfId="8373" xr:uid="{529E7BD4-07FE-47F0-B07B-FAE94466C029}"/>
    <cellStyle name="Normal 5 2 3 2 4 9 2" xfId="18321" xr:uid="{806AB859-48A8-47D8-8EC8-C7D7BB65F583}"/>
    <cellStyle name="Normal 5 2 3 2 5" xfId="2154" xr:uid="{61C2020D-8ABF-45AE-8B08-7997E0252B66}"/>
    <cellStyle name="Normal 5 2 3 2 5 2" xfId="12102" xr:uid="{23213088-C480-4729-BD17-44778C8C370F}"/>
    <cellStyle name="Normal 5 2 3 2 6" xfId="2983" xr:uid="{BC9841BC-58B9-41A0-A4B4-5AB42AAA9E79}"/>
    <cellStyle name="Normal 5 2 3 2 6 2" xfId="12931" xr:uid="{E2CF2DCC-6F09-4BAE-8922-8287E9201708}"/>
    <cellStyle name="Normal 5 2 3 2 7" xfId="3812" xr:uid="{8126515A-F87D-470D-BF2B-64A50DFA0162}"/>
    <cellStyle name="Normal 5 2 3 2 7 2" xfId="13760" xr:uid="{E581A1F0-DB2A-4A14-BDC9-080A922CB759}"/>
    <cellStyle name="Normal 5 2 3 2 8" xfId="4641" xr:uid="{649F9FEB-FEB5-44A9-813B-51E5EB5C403A}"/>
    <cellStyle name="Normal 5 2 3 2 8 2" xfId="14589" xr:uid="{17293072-02EB-4869-929E-02D53CC0C2C0}"/>
    <cellStyle name="Normal 5 2 3 2 9" xfId="5470" xr:uid="{52627AB4-5488-4A65-AC58-FCB42ACE6AC4}"/>
    <cellStyle name="Normal 5 2 3 2 9 2" xfId="15418" xr:uid="{BAE71859-EE36-450B-AD88-6C77353A373E}"/>
    <cellStyle name="Normal 5 2 3 3" xfId="432" xr:uid="{00000000-0005-0000-0000-0000FD020000}"/>
    <cellStyle name="Normal 5 2 3 3 10" xfId="7132" xr:uid="{A3637A37-FF9D-4021-ABC1-37669A23C884}"/>
    <cellStyle name="Normal 5 2 3 3 10 2" xfId="17080" xr:uid="{DF358A90-C0C0-4B77-ABD1-251D37786EFE}"/>
    <cellStyle name="Normal 5 2 3 3 11" xfId="7961" xr:uid="{1E1121D6-B0D5-4668-9A76-A9B4E763728C}"/>
    <cellStyle name="Normal 5 2 3 3 11 2" xfId="17909" xr:uid="{676ED6E7-6AB9-4B2B-95DA-E8939F15C30D}"/>
    <cellStyle name="Normal 5 2 3 3 12" xfId="8790" xr:uid="{EB3486A9-43FD-4339-B042-E9728AE65306}"/>
    <cellStyle name="Normal 5 2 3 3 12 2" xfId="18738" xr:uid="{44756F49-F3FF-4ED3-88D9-75AA48808AD9}"/>
    <cellStyle name="Normal 5 2 3 3 13" xfId="9619" xr:uid="{FBD46C4E-F35A-4CA5-BF31-D249D58FB069}"/>
    <cellStyle name="Normal 5 2 3 3 13 2" xfId="19567" xr:uid="{CF28989E-B3F4-4ABF-BA1E-846A4553994D}"/>
    <cellStyle name="Normal 5 2 3 3 14" xfId="10448" xr:uid="{33BA1248-EE9A-4FA1-8A19-DC755DFCEA3D}"/>
    <cellStyle name="Normal 5 2 3 3 14 2" xfId="20396" xr:uid="{1B9CF4B6-6276-4449-BBAA-C93A3EB4A5C5}"/>
    <cellStyle name="Normal 5 2 3 3 15" xfId="1329" xr:uid="{0FDAF284-E7B6-48BD-B4EE-BEDA55B7DB69}"/>
    <cellStyle name="Normal 5 2 3 3 16" xfId="11277" xr:uid="{1CA6C730-B6B8-4E07-BA24-1D6410C07E48}"/>
    <cellStyle name="Normal 5 2 3 3 2" xfId="433" xr:uid="{00000000-0005-0000-0000-0000FE020000}"/>
    <cellStyle name="Normal 5 2 3 3 2 10" xfId="7962" xr:uid="{CC71317B-94ED-4A54-8970-F30E1BC93FDC}"/>
    <cellStyle name="Normal 5 2 3 3 2 10 2" xfId="17910" xr:uid="{D8056B7F-27C5-471D-AAB4-074252D0AA4B}"/>
    <cellStyle name="Normal 5 2 3 3 2 11" xfId="8791" xr:uid="{7ED43909-88A1-44A4-91D0-31808B0E2E81}"/>
    <cellStyle name="Normal 5 2 3 3 2 11 2" xfId="18739" xr:uid="{46D6D4F2-B788-4DCC-B3EA-33BA0879E88D}"/>
    <cellStyle name="Normal 5 2 3 3 2 12" xfId="9620" xr:uid="{74FF959D-0BD4-4BA0-AEB6-EF28D8246C31}"/>
    <cellStyle name="Normal 5 2 3 3 2 12 2" xfId="19568" xr:uid="{CCF9A8A2-AC5A-4357-9314-EF71A68E1796}"/>
    <cellStyle name="Normal 5 2 3 3 2 13" xfId="10449" xr:uid="{8018FB06-7520-4FEE-9897-6085551D1FDE}"/>
    <cellStyle name="Normal 5 2 3 3 2 13 2" xfId="20397" xr:uid="{2D98FB9E-9727-4EFF-9852-B7F5A802E9EE}"/>
    <cellStyle name="Normal 5 2 3 3 2 14" xfId="1330" xr:uid="{15C150B4-10CB-4D0A-A50A-D32CD06C4A8D}"/>
    <cellStyle name="Normal 5 2 3 3 2 15" xfId="11278" xr:uid="{186A3F1B-8A8F-4C25-9E72-959CD54C6E2D}"/>
    <cellStyle name="Normal 5 2 3 3 2 2" xfId="912" xr:uid="{00000000-0005-0000-0000-0000FF020000}"/>
    <cellStyle name="Normal 5 2 3 3 2 2 10" xfId="9207" xr:uid="{FF99C85A-20F4-42EC-9607-F28F5965BFD2}"/>
    <cellStyle name="Normal 5 2 3 3 2 2 10 2" xfId="19155" xr:uid="{05F0F585-D59F-4C86-B341-5CC5BCBEBED0}"/>
    <cellStyle name="Normal 5 2 3 3 2 2 11" xfId="10036" xr:uid="{09F6BDE7-E975-4D93-A265-B7AE12886953}"/>
    <cellStyle name="Normal 5 2 3 3 2 2 11 2" xfId="19984" xr:uid="{DFEA212D-C044-4ED6-8CE8-173F1528A367}"/>
    <cellStyle name="Normal 5 2 3 3 2 2 12" xfId="10865" xr:uid="{93DADDEB-9EC6-4A51-AA90-12EE58E9D5D1}"/>
    <cellStyle name="Normal 5 2 3 3 2 2 12 2" xfId="20813" xr:uid="{EE54F563-79F3-43B3-8875-DE0A5EB603ED}"/>
    <cellStyle name="Normal 5 2 3 3 2 2 13" xfId="1746" xr:uid="{313BA55C-50DE-444A-A9B4-B0E0C26F6A62}"/>
    <cellStyle name="Normal 5 2 3 3 2 2 14" xfId="11694" xr:uid="{A871DE02-2085-4461-904E-EEE69F0F3BA9}"/>
    <cellStyle name="Normal 5 2 3 3 2 2 2" xfId="2575" xr:uid="{07A962AE-F91F-4054-A59A-D075ADB11585}"/>
    <cellStyle name="Normal 5 2 3 3 2 2 2 2" xfId="12523" xr:uid="{F97C39B3-ADA1-4149-8C65-2281FA1249E7}"/>
    <cellStyle name="Normal 5 2 3 3 2 2 3" xfId="3404" xr:uid="{ADBD8A03-9D30-4C09-8A4B-51053247B358}"/>
    <cellStyle name="Normal 5 2 3 3 2 2 3 2" xfId="13352" xr:uid="{EA6DA9F9-6D61-4CA5-BDAA-04DBBAC84EF4}"/>
    <cellStyle name="Normal 5 2 3 3 2 2 4" xfId="4233" xr:uid="{BFBCAD22-8B4C-4C9C-91AA-6CC2BCC20811}"/>
    <cellStyle name="Normal 5 2 3 3 2 2 4 2" xfId="14181" xr:uid="{4F4A1AEB-77A7-4FFF-B342-0C66A1FCB859}"/>
    <cellStyle name="Normal 5 2 3 3 2 2 5" xfId="5062" xr:uid="{A8A4A24E-46A6-41BB-BE9C-964EE78CCE62}"/>
    <cellStyle name="Normal 5 2 3 3 2 2 5 2" xfId="15010" xr:uid="{D6258CD3-575A-4085-B503-0832FCCF3896}"/>
    <cellStyle name="Normal 5 2 3 3 2 2 6" xfId="5891" xr:uid="{A23AEF98-16EF-402C-9358-0F707A2FDE98}"/>
    <cellStyle name="Normal 5 2 3 3 2 2 6 2" xfId="15839" xr:uid="{9395874F-7DB2-4381-97C8-FB393A283CF7}"/>
    <cellStyle name="Normal 5 2 3 3 2 2 7" xfId="6720" xr:uid="{F1D33841-E904-49CA-8C79-95567C8C4109}"/>
    <cellStyle name="Normal 5 2 3 3 2 2 7 2" xfId="16668" xr:uid="{E34956EB-153F-4863-BDFD-BFFFAB2855CB}"/>
    <cellStyle name="Normal 5 2 3 3 2 2 8" xfId="7549" xr:uid="{2C66E000-06E9-4455-A30A-5EECA395C9EC}"/>
    <cellStyle name="Normal 5 2 3 3 2 2 8 2" xfId="17497" xr:uid="{59CED8AC-270B-460A-92F5-BA0811E6A052}"/>
    <cellStyle name="Normal 5 2 3 3 2 2 9" xfId="8378" xr:uid="{26ED6954-D8EF-42AA-8A32-F96B71A178CE}"/>
    <cellStyle name="Normal 5 2 3 3 2 2 9 2" xfId="18326" xr:uid="{DC1AEA0E-D482-46DF-858D-47E94FD783C3}"/>
    <cellStyle name="Normal 5 2 3 3 2 3" xfId="2159" xr:uid="{5ECC8BC6-92F6-4015-B51B-2BD2FFEB4792}"/>
    <cellStyle name="Normal 5 2 3 3 2 3 2" xfId="12107" xr:uid="{0BA51FF4-DD79-4A9C-94D5-3A3A7AEE2E83}"/>
    <cellStyle name="Normal 5 2 3 3 2 4" xfId="2988" xr:uid="{FD9CCFC0-050B-4AC5-922E-A280D2843A10}"/>
    <cellStyle name="Normal 5 2 3 3 2 4 2" xfId="12936" xr:uid="{4CFFFEDD-2292-4353-A244-3B840B5B111A}"/>
    <cellStyle name="Normal 5 2 3 3 2 5" xfId="3817" xr:uid="{BDAAA59B-4194-4776-872C-0EBAA57877FA}"/>
    <cellStyle name="Normal 5 2 3 3 2 5 2" xfId="13765" xr:uid="{494C7B16-F280-45C0-91D9-90A0A48968BB}"/>
    <cellStyle name="Normal 5 2 3 3 2 6" xfId="4646" xr:uid="{53CCA1FB-5A2F-400E-AA94-F846C91C04EA}"/>
    <cellStyle name="Normal 5 2 3 3 2 6 2" xfId="14594" xr:uid="{C02E9402-83D7-4074-B36E-CFB02E65B4E9}"/>
    <cellStyle name="Normal 5 2 3 3 2 7" xfId="5475" xr:uid="{210610E0-501E-4AA8-B67E-35857A0FD5B3}"/>
    <cellStyle name="Normal 5 2 3 3 2 7 2" xfId="15423" xr:uid="{2C7EB6B4-993B-4D39-AE3C-17A3ADA990D5}"/>
    <cellStyle name="Normal 5 2 3 3 2 8" xfId="6304" xr:uid="{44A7B812-352F-46EB-BDC7-48E4E71DD8F5}"/>
    <cellStyle name="Normal 5 2 3 3 2 8 2" xfId="16252" xr:uid="{E80F12A5-7090-443E-AC1F-910DFC9AE1B0}"/>
    <cellStyle name="Normal 5 2 3 3 2 9" xfId="7133" xr:uid="{129EE2FF-B0F2-4563-AAC4-D0003968966F}"/>
    <cellStyle name="Normal 5 2 3 3 2 9 2" xfId="17081" xr:uid="{D00846AA-E0ED-4086-9922-59E865DB2402}"/>
    <cellStyle name="Normal 5 2 3 3 3" xfId="911" xr:uid="{00000000-0005-0000-0000-000000030000}"/>
    <cellStyle name="Normal 5 2 3 3 3 10" xfId="9206" xr:uid="{19C68E20-8053-4B71-8447-F2A60FBA2EA3}"/>
    <cellStyle name="Normal 5 2 3 3 3 10 2" xfId="19154" xr:uid="{E51D4F5E-9CAA-4FA7-92D7-BB2FEAB119D9}"/>
    <cellStyle name="Normal 5 2 3 3 3 11" xfId="10035" xr:uid="{DA61A9A5-60F8-4860-9EFF-F55D125EAA81}"/>
    <cellStyle name="Normal 5 2 3 3 3 11 2" xfId="19983" xr:uid="{7DE00A87-7187-49B5-98EF-9C10FDD77AD8}"/>
    <cellStyle name="Normal 5 2 3 3 3 12" xfId="10864" xr:uid="{8DCB1100-ACC2-4B57-A1FE-2147C95ADC0E}"/>
    <cellStyle name="Normal 5 2 3 3 3 12 2" xfId="20812" xr:uid="{FC9B3780-AA9C-45EC-AC23-A367BD9F1A76}"/>
    <cellStyle name="Normal 5 2 3 3 3 13" xfId="1745" xr:uid="{44B44443-F387-4CDD-B1B2-2CC5B194AE60}"/>
    <cellStyle name="Normal 5 2 3 3 3 14" xfId="11693" xr:uid="{A383E3B1-F8A5-4F8E-92B9-B976288B7115}"/>
    <cellStyle name="Normal 5 2 3 3 3 2" xfId="2574" xr:uid="{F7B02ADD-2DEC-473E-BD03-13EC67462F7F}"/>
    <cellStyle name="Normal 5 2 3 3 3 2 2" xfId="12522" xr:uid="{42A622C2-1DBB-43EA-BDC9-297A66A943DB}"/>
    <cellStyle name="Normal 5 2 3 3 3 3" xfId="3403" xr:uid="{8A7E63FB-A8E5-457A-AF89-06A6590D4271}"/>
    <cellStyle name="Normal 5 2 3 3 3 3 2" xfId="13351" xr:uid="{6641C0DD-6FC3-4595-B292-4989DF9D3E91}"/>
    <cellStyle name="Normal 5 2 3 3 3 4" xfId="4232" xr:uid="{0F609C1C-5689-4FF0-A3DC-3DCD86DCA773}"/>
    <cellStyle name="Normal 5 2 3 3 3 4 2" xfId="14180" xr:uid="{300358C7-585C-4E4C-854F-3C31A2A6C3D8}"/>
    <cellStyle name="Normal 5 2 3 3 3 5" xfId="5061" xr:uid="{687B457F-C717-469D-979D-59695FCE6296}"/>
    <cellStyle name="Normal 5 2 3 3 3 5 2" xfId="15009" xr:uid="{58FE3398-5D1D-4ADB-96D7-553B0A535C17}"/>
    <cellStyle name="Normal 5 2 3 3 3 6" xfId="5890" xr:uid="{1F9422BF-F4A5-4582-B033-1E9BE120117E}"/>
    <cellStyle name="Normal 5 2 3 3 3 6 2" xfId="15838" xr:uid="{CC063667-8104-4BC5-B292-A58422204096}"/>
    <cellStyle name="Normal 5 2 3 3 3 7" xfId="6719" xr:uid="{556250B2-AC2F-4E2E-9027-FA1B369688F0}"/>
    <cellStyle name="Normal 5 2 3 3 3 7 2" xfId="16667" xr:uid="{96237051-CD5C-4E7B-97D8-ABDCA9E180D1}"/>
    <cellStyle name="Normal 5 2 3 3 3 8" xfId="7548" xr:uid="{EF421889-6E08-4EE7-9095-84269C482E6A}"/>
    <cellStyle name="Normal 5 2 3 3 3 8 2" xfId="17496" xr:uid="{CA5106FD-8BB4-4CE4-AAB1-38D0C0EE30B6}"/>
    <cellStyle name="Normal 5 2 3 3 3 9" xfId="8377" xr:uid="{CA8D06EE-3C28-4DF4-AA6E-728755E6CB73}"/>
    <cellStyle name="Normal 5 2 3 3 3 9 2" xfId="18325" xr:uid="{D8A20F18-EE4A-4DA1-A170-CDAFEAD2AC51}"/>
    <cellStyle name="Normal 5 2 3 3 4" xfId="2158" xr:uid="{3DE387A7-1CC6-47DC-B788-46FC263F0B36}"/>
    <cellStyle name="Normal 5 2 3 3 4 2" xfId="12106" xr:uid="{E6426F3D-211A-4A05-9220-7FA3120339F6}"/>
    <cellStyle name="Normal 5 2 3 3 5" xfId="2987" xr:uid="{2E1EE08F-2EA8-4E29-9FED-48BB4BCC04C9}"/>
    <cellStyle name="Normal 5 2 3 3 5 2" xfId="12935" xr:uid="{6B1D2DB9-AF0E-4B47-A97A-1FF864A92FCB}"/>
    <cellStyle name="Normal 5 2 3 3 6" xfId="3816" xr:uid="{5E0FCB56-7EE5-4462-96A3-B8CB7E5829F6}"/>
    <cellStyle name="Normal 5 2 3 3 6 2" xfId="13764" xr:uid="{89C952A7-5FD6-4D3E-AD79-A513EC2D9FDF}"/>
    <cellStyle name="Normal 5 2 3 3 7" xfId="4645" xr:uid="{1DE95883-4FD1-4A01-8062-5EF2E3BF366A}"/>
    <cellStyle name="Normal 5 2 3 3 7 2" xfId="14593" xr:uid="{71C639E8-7EC0-4758-8AEB-BD1F0026D84A}"/>
    <cellStyle name="Normal 5 2 3 3 8" xfId="5474" xr:uid="{2446F5EF-A90E-463B-85F6-814193F5CD1A}"/>
    <cellStyle name="Normal 5 2 3 3 8 2" xfId="15422" xr:uid="{26D62C43-1922-4B80-858A-BA8C6B1FBC87}"/>
    <cellStyle name="Normal 5 2 3 3 9" xfId="6303" xr:uid="{F9E4A7B7-8303-45DF-8084-28E5993AFF15}"/>
    <cellStyle name="Normal 5 2 3 3 9 2" xfId="16251" xr:uid="{660E52BA-3DA3-458C-B322-D55E838987C1}"/>
    <cellStyle name="Normal 5 2 3 4" xfId="434" xr:uid="{00000000-0005-0000-0000-000001030000}"/>
    <cellStyle name="Normal 5 2 3 4 10" xfId="7963" xr:uid="{2004791A-6729-4216-BCC4-A9CD732091A5}"/>
    <cellStyle name="Normal 5 2 3 4 10 2" xfId="17911" xr:uid="{91F176C1-0A18-4C50-9280-E094F0E47640}"/>
    <cellStyle name="Normal 5 2 3 4 11" xfId="8792" xr:uid="{E4D0F873-FAA6-4195-9FD8-CCAD912E8817}"/>
    <cellStyle name="Normal 5 2 3 4 11 2" xfId="18740" xr:uid="{1BDBB5FC-827C-48E4-A333-E48CB4D30249}"/>
    <cellStyle name="Normal 5 2 3 4 12" xfId="9621" xr:uid="{D8F209BF-62F8-489F-AA15-265171B078DC}"/>
    <cellStyle name="Normal 5 2 3 4 12 2" xfId="19569" xr:uid="{C304E803-3799-4D72-BBE1-F1A1C528F256}"/>
    <cellStyle name="Normal 5 2 3 4 13" xfId="10450" xr:uid="{B8684D06-D281-4A8A-8FA6-9094A1E7E2B8}"/>
    <cellStyle name="Normal 5 2 3 4 13 2" xfId="20398" xr:uid="{DEC239DA-9C76-441B-8331-E509EC4ED5A6}"/>
    <cellStyle name="Normal 5 2 3 4 14" xfId="1331" xr:uid="{7F2620CF-0FE4-4C12-8F82-FC64B8573A82}"/>
    <cellStyle name="Normal 5 2 3 4 15" xfId="11279" xr:uid="{95D5C9D4-CBCF-46C0-9724-A3D6C10AEA55}"/>
    <cellStyle name="Normal 5 2 3 4 2" xfId="913" xr:uid="{00000000-0005-0000-0000-000002030000}"/>
    <cellStyle name="Normal 5 2 3 4 2 10" xfId="9208" xr:uid="{3821AA7E-BE54-4DBC-8C4C-A8E70FA6A2E4}"/>
    <cellStyle name="Normal 5 2 3 4 2 10 2" xfId="19156" xr:uid="{2B323C8D-1623-43B4-ADCF-5EA2AD1CC935}"/>
    <cellStyle name="Normal 5 2 3 4 2 11" xfId="10037" xr:uid="{B47CD167-21A3-4372-8E1D-4CBA118CCB40}"/>
    <cellStyle name="Normal 5 2 3 4 2 11 2" xfId="19985" xr:uid="{7CE29A8F-5060-4E38-B178-67C676052D6A}"/>
    <cellStyle name="Normal 5 2 3 4 2 12" xfId="10866" xr:uid="{306B061A-3717-4A2F-AE98-3746E05FFAEF}"/>
    <cellStyle name="Normal 5 2 3 4 2 12 2" xfId="20814" xr:uid="{7B6D3FC8-CD3B-466B-87A6-C00B6C55675B}"/>
    <cellStyle name="Normal 5 2 3 4 2 13" xfId="1747" xr:uid="{00444A29-A011-41FF-9B8B-1CA1313357F4}"/>
    <cellStyle name="Normal 5 2 3 4 2 14" xfId="11695" xr:uid="{3310656D-A6FA-41C4-85C2-223D270B6EE4}"/>
    <cellStyle name="Normal 5 2 3 4 2 2" xfId="2576" xr:uid="{06BE361D-BA92-4C90-B2FE-C9CD968E294A}"/>
    <cellStyle name="Normal 5 2 3 4 2 2 2" xfId="12524" xr:uid="{076BAFE2-FFE9-4823-AADF-BE00731C4C5C}"/>
    <cellStyle name="Normal 5 2 3 4 2 3" xfId="3405" xr:uid="{E7E94ECB-7A99-48CF-A5C1-022E30259A19}"/>
    <cellStyle name="Normal 5 2 3 4 2 3 2" xfId="13353" xr:uid="{052B7A33-91D0-4113-9A3C-947B9C43A7DF}"/>
    <cellStyle name="Normal 5 2 3 4 2 4" xfId="4234" xr:uid="{5F4065BD-5507-4AEB-8D4D-2E226ABD63BF}"/>
    <cellStyle name="Normal 5 2 3 4 2 4 2" xfId="14182" xr:uid="{E402B9ED-04AC-4FE9-86DF-5F4FF2CBFA24}"/>
    <cellStyle name="Normal 5 2 3 4 2 5" xfId="5063" xr:uid="{7164809F-8523-46EA-A082-4430B3AC541B}"/>
    <cellStyle name="Normal 5 2 3 4 2 5 2" xfId="15011" xr:uid="{26128E90-24CD-4834-9C20-71B1BCAD0100}"/>
    <cellStyle name="Normal 5 2 3 4 2 6" xfId="5892" xr:uid="{FBB12C9A-CECA-40DF-A0CC-5ECC7717574C}"/>
    <cellStyle name="Normal 5 2 3 4 2 6 2" xfId="15840" xr:uid="{EEFB04E3-BF0B-4AA0-AE7C-E65573CEEA74}"/>
    <cellStyle name="Normal 5 2 3 4 2 7" xfId="6721" xr:uid="{4C729480-F2FB-45A3-BFB1-FC61DE637474}"/>
    <cellStyle name="Normal 5 2 3 4 2 7 2" xfId="16669" xr:uid="{858C7EBC-9672-4702-8B23-49DB6E5C7B9D}"/>
    <cellStyle name="Normal 5 2 3 4 2 8" xfId="7550" xr:uid="{246A61F4-FDE6-4988-9AEE-D040AC50C442}"/>
    <cellStyle name="Normal 5 2 3 4 2 8 2" xfId="17498" xr:uid="{40A7A007-7AA8-409A-BB6B-C3753D7C8714}"/>
    <cellStyle name="Normal 5 2 3 4 2 9" xfId="8379" xr:uid="{866A62FC-F483-4868-ACA2-82E958F3BD57}"/>
    <cellStyle name="Normal 5 2 3 4 2 9 2" xfId="18327" xr:uid="{13ED0037-66D4-41F2-B13B-4749277DA672}"/>
    <cellStyle name="Normal 5 2 3 4 3" xfId="2160" xr:uid="{17EE171A-AB38-4FCB-813D-7AB8B9C1F161}"/>
    <cellStyle name="Normal 5 2 3 4 3 2" xfId="12108" xr:uid="{37FEF731-B3A8-4DE7-9EAF-26E6EFB9D10E}"/>
    <cellStyle name="Normal 5 2 3 4 4" xfId="2989" xr:uid="{B06CEE80-A411-4282-8C20-8A27B6F5F016}"/>
    <cellStyle name="Normal 5 2 3 4 4 2" xfId="12937" xr:uid="{A8C2FA59-B00E-475D-9ECB-7C090B5B1063}"/>
    <cellStyle name="Normal 5 2 3 4 5" xfId="3818" xr:uid="{5E3903F4-C7CC-4C9C-957B-5F343A56861C}"/>
    <cellStyle name="Normal 5 2 3 4 5 2" xfId="13766" xr:uid="{2EDA5F4C-A66A-4231-9DA8-3D416F8AA324}"/>
    <cellStyle name="Normal 5 2 3 4 6" xfId="4647" xr:uid="{10447AC7-5143-4B53-A6EC-EAD0C8A9B6DA}"/>
    <cellStyle name="Normal 5 2 3 4 6 2" xfId="14595" xr:uid="{E32D247E-A493-41FD-AD18-3C5DEE51BA78}"/>
    <cellStyle name="Normal 5 2 3 4 7" xfId="5476" xr:uid="{81487574-A378-485B-9A13-DCFF30D53118}"/>
    <cellStyle name="Normal 5 2 3 4 7 2" xfId="15424" xr:uid="{E7EECC7A-CC21-48EF-90FC-BF3B9A8A2399}"/>
    <cellStyle name="Normal 5 2 3 4 8" xfId="6305" xr:uid="{3474A109-99A7-462B-BCCE-4D7207184A1B}"/>
    <cellStyle name="Normal 5 2 3 4 8 2" xfId="16253" xr:uid="{92771EF5-1B11-42CF-AD0C-B4BAC0E14711}"/>
    <cellStyle name="Normal 5 2 3 4 9" xfId="7134" xr:uid="{274D51E9-D5FE-480B-A4A2-DFC0BE701B38}"/>
    <cellStyle name="Normal 5 2 3 4 9 2" xfId="17082" xr:uid="{7A7433FE-7446-49E8-91D2-48AEEA25CF18}"/>
    <cellStyle name="Normal 5 2 3 5" xfId="906" xr:uid="{00000000-0005-0000-0000-000003030000}"/>
    <cellStyle name="Normal 5 2 3 5 10" xfId="9201" xr:uid="{956466F6-0693-4470-B4F4-458885121008}"/>
    <cellStyle name="Normal 5 2 3 5 10 2" xfId="19149" xr:uid="{EABFBFC9-7F46-4F7F-9721-804FA92C6A68}"/>
    <cellStyle name="Normal 5 2 3 5 11" xfId="10030" xr:uid="{FCC75DEE-67A3-4D0D-906C-8F67B09129B7}"/>
    <cellStyle name="Normal 5 2 3 5 11 2" xfId="19978" xr:uid="{9C34B0C9-5D62-44EF-8A2A-C60F2E24DE0B}"/>
    <cellStyle name="Normal 5 2 3 5 12" xfId="10859" xr:uid="{EA0CF199-B881-4BA1-9F36-AA9CFD944D2C}"/>
    <cellStyle name="Normal 5 2 3 5 12 2" xfId="20807" xr:uid="{3F52095D-5A9C-4EDC-BB0A-F0AB2A0D2FB1}"/>
    <cellStyle name="Normal 5 2 3 5 13" xfId="1740" xr:uid="{0007F03D-4D25-44B9-B960-F85E4DED6A23}"/>
    <cellStyle name="Normal 5 2 3 5 14" xfId="11688" xr:uid="{548CF4DD-6A96-4019-8E6F-0E492AF27F4B}"/>
    <cellStyle name="Normal 5 2 3 5 2" xfId="2569" xr:uid="{43B87ACB-F8B5-444B-8792-11490471ECD9}"/>
    <cellStyle name="Normal 5 2 3 5 2 2" xfId="12517" xr:uid="{95824B29-D893-4031-8E7D-399F556A1E3E}"/>
    <cellStyle name="Normal 5 2 3 5 3" xfId="3398" xr:uid="{FCA64329-3414-49EE-8FCD-8CF6690F5ED8}"/>
    <cellStyle name="Normal 5 2 3 5 3 2" xfId="13346" xr:uid="{1696B76B-62A8-4F15-8878-D94E3099FF17}"/>
    <cellStyle name="Normal 5 2 3 5 4" xfId="4227" xr:uid="{32C5B2EB-773E-49C3-BFA7-6BB42715B447}"/>
    <cellStyle name="Normal 5 2 3 5 4 2" xfId="14175" xr:uid="{BF311AAA-FA71-46BF-8452-C44ED1A5BF85}"/>
    <cellStyle name="Normal 5 2 3 5 5" xfId="5056" xr:uid="{3594AF73-0452-4339-A23A-FDF117ABECCC}"/>
    <cellStyle name="Normal 5 2 3 5 5 2" xfId="15004" xr:uid="{D51B563E-16FA-45D1-8765-A5C377589217}"/>
    <cellStyle name="Normal 5 2 3 5 6" xfId="5885" xr:uid="{DC817924-E512-4815-AA96-32AA4C2F4C2B}"/>
    <cellStyle name="Normal 5 2 3 5 6 2" xfId="15833" xr:uid="{B221BF5C-E7B7-4B64-ADA0-564DFFA92B89}"/>
    <cellStyle name="Normal 5 2 3 5 7" xfId="6714" xr:uid="{11DF85ED-2FC8-4462-9DE8-20E1727979BF}"/>
    <cellStyle name="Normal 5 2 3 5 7 2" xfId="16662" xr:uid="{679633EF-EFF7-471C-8D56-0E1B897D2FF4}"/>
    <cellStyle name="Normal 5 2 3 5 8" xfId="7543" xr:uid="{1E0C1429-16EA-415A-AAEF-4399F322A48C}"/>
    <cellStyle name="Normal 5 2 3 5 8 2" xfId="17491" xr:uid="{5CC2322E-D394-40ED-8987-72E5E7A49EA9}"/>
    <cellStyle name="Normal 5 2 3 5 9" xfId="8372" xr:uid="{FD8F48F6-CC54-4F85-84C9-AAF69234BBFD}"/>
    <cellStyle name="Normal 5 2 3 5 9 2" xfId="18320" xr:uid="{F1D47262-3906-4F86-89D5-2563DF2482A1}"/>
    <cellStyle name="Normal 5 2 3 6" xfId="2153" xr:uid="{94F08BD1-9EF6-4437-8DF6-03BE903BBB02}"/>
    <cellStyle name="Normal 5 2 3 6 2" xfId="12101" xr:uid="{2949C2E3-0788-4DCA-AFD5-765B13A438B9}"/>
    <cellStyle name="Normal 5 2 3 7" xfId="2982" xr:uid="{CA4DD332-1232-4A2C-830E-EBCD7A64143B}"/>
    <cellStyle name="Normal 5 2 3 7 2" xfId="12930" xr:uid="{1BAFA7B0-CA60-47D1-BD84-0653E734DB5F}"/>
    <cellStyle name="Normal 5 2 3 8" xfId="3811" xr:uid="{64DA8A33-11E4-4480-B53B-FB927C66B54C}"/>
    <cellStyle name="Normal 5 2 3 8 2" xfId="13759" xr:uid="{2862D939-70FB-42A2-AB20-C5719C369A82}"/>
    <cellStyle name="Normal 5 2 3 9" xfId="4640" xr:uid="{D8B5D476-FAEC-4B64-9967-0B611F683E6B}"/>
    <cellStyle name="Normal 5 2 3 9 2" xfId="14588" xr:uid="{F23F1CCB-E648-4106-89AB-FB8966875B95}"/>
    <cellStyle name="Normal 5 2 4" xfId="435" xr:uid="{00000000-0005-0000-0000-000004030000}"/>
    <cellStyle name="Normal 5 2 4 10" xfId="6306" xr:uid="{22833176-A9EF-464C-BE52-CE62C6661212}"/>
    <cellStyle name="Normal 5 2 4 10 2" xfId="16254" xr:uid="{0639926A-A167-4123-89B2-FD68A6E5D87B}"/>
    <cellStyle name="Normal 5 2 4 11" xfId="7135" xr:uid="{D02E70EC-8257-4822-8D06-E7E109E7C606}"/>
    <cellStyle name="Normal 5 2 4 11 2" xfId="17083" xr:uid="{638818BA-282F-4C6B-979F-5732B7742846}"/>
    <cellStyle name="Normal 5 2 4 12" xfId="7964" xr:uid="{3345D9E6-EFAF-45B6-86A4-03D50682A931}"/>
    <cellStyle name="Normal 5 2 4 12 2" xfId="17912" xr:uid="{F7AF4C15-1A11-49D6-BCC0-AE0E269403E7}"/>
    <cellStyle name="Normal 5 2 4 13" xfId="8793" xr:uid="{CD31841D-C0F5-4A67-B6A4-616F7BD1F380}"/>
    <cellStyle name="Normal 5 2 4 13 2" xfId="18741" xr:uid="{F7DA7DC8-BE2E-467E-A748-61EB64969635}"/>
    <cellStyle name="Normal 5 2 4 14" xfId="9622" xr:uid="{431ED060-099A-4916-9F77-04D12E2754E7}"/>
    <cellStyle name="Normal 5 2 4 14 2" xfId="19570" xr:uid="{471B0773-62EC-4C7F-9220-A266A944D042}"/>
    <cellStyle name="Normal 5 2 4 15" xfId="10451" xr:uid="{CA28380F-7B54-47F4-84D7-ADFEED1EEBE1}"/>
    <cellStyle name="Normal 5 2 4 15 2" xfId="20399" xr:uid="{A17E21FC-12AF-4FF9-9EE5-A82AEC388C98}"/>
    <cellStyle name="Normal 5 2 4 16" xfId="1332" xr:uid="{62A3DC5F-13D3-4E2C-8159-3489BF1BACAF}"/>
    <cellStyle name="Normal 5 2 4 17" xfId="11280" xr:uid="{89C95FDE-3684-409A-9070-6475FA0BE7DF}"/>
    <cellStyle name="Normal 5 2 4 2" xfId="436" xr:uid="{00000000-0005-0000-0000-000005030000}"/>
    <cellStyle name="Normal 5 2 4 2 10" xfId="7136" xr:uid="{18238899-CF78-4B3D-B39A-4F4BA7DA8666}"/>
    <cellStyle name="Normal 5 2 4 2 10 2" xfId="17084" xr:uid="{70B60DED-03CC-49DB-80AE-710AA034CDFC}"/>
    <cellStyle name="Normal 5 2 4 2 11" xfId="7965" xr:uid="{800F8D5D-D2BF-41D1-9CB6-13D63EB59DE5}"/>
    <cellStyle name="Normal 5 2 4 2 11 2" xfId="17913" xr:uid="{9468EE55-7502-4F03-A34C-1CDA4A398236}"/>
    <cellStyle name="Normal 5 2 4 2 12" xfId="8794" xr:uid="{44A56603-536C-4E16-92FB-592D590F4265}"/>
    <cellStyle name="Normal 5 2 4 2 12 2" xfId="18742" xr:uid="{70BE19D7-5718-459E-9839-806D6CC52E11}"/>
    <cellStyle name="Normal 5 2 4 2 13" xfId="9623" xr:uid="{BCEFF1CC-5B57-490D-AD8F-CCF58A64A9B2}"/>
    <cellStyle name="Normal 5 2 4 2 13 2" xfId="19571" xr:uid="{75DF91EC-DBB2-417B-A2DC-CB7FD97C068B}"/>
    <cellStyle name="Normal 5 2 4 2 14" xfId="10452" xr:uid="{FA3F6812-C38C-41CD-86BE-752ABF7576FD}"/>
    <cellStyle name="Normal 5 2 4 2 14 2" xfId="20400" xr:uid="{2A37D54B-4792-455E-A484-EE26BD662493}"/>
    <cellStyle name="Normal 5 2 4 2 15" xfId="1333" xr:uid="{FBBE8F82-3ACE-49DC-96CD-ED9AFE201E8D}"/>
    <cellStyle name="Normal 5 2 4 2 16" xfId="11281" xr:uid="{D36A4D0A-1D3A-4187-9684-5D2225CDCB2D}"/>
    <cellStyle name="Normal 5 2 4 2 2" xfId="437" xr:uid="{00000000-0005-0000-0000-000006030000}"/>
    <cellStyle name="Normal 5 2 4 2 2 10" xfId="7966" xr:uid="{461C62B3-AFC7-4526-A5D5-D089C0FB2915}"/>
    <cellStyle name="Normal 5 2 4 2 2 10 2" xfId="17914" xr:uid="{3A5675AE-74DE-468C-BDCA-D9585DE9B67D}"/>
    <cellStyle name="Normal 5 2 4 2 2 11" xfId="8795" xr:uid="{04140F44-CE16-479A-A0A4-F22C8C9892EC}"/>
    <cellStyle name="Normal 5 2 4 2 2 11 2" xfId="18743" xr:uid="{841C0966-253B-4C2A-91E5-E986D92BFA12}"/>
    <cellStyle name="Normal 5 2 4 2 2 12" xfId="9624" xr:uid="{D5263A79-9A54-447B-BC4F-2B3687651786}"/>
    <cellStyle name="Normal 5 2 4 2 2 12 2" xfId="19572" xr:uid="{B4702F78-8D01-4D15-9E26-51D4394B88AA}"/>
    <cellStyle name="Normal 5 2 4 2 2 13" xfId="10453" xr:uid="{E7AEA25A-02F1-4282-976D-D78760C71D57}"/>
    <cellStyle name="Normal 5 2 4 2 2 13 2" xfId="20401" xr:uid="{2B029F49-8F37-4971-B704-889E72B3EB36}"/>
    <cellStyle name="Normal 5 2 4 2 2 14" xfId="1334" xr:uid="{6DBA3C4D-08C1-4184-99FB-421162E78D49}"/>
    <cellStyle name="Normal 5 2 4 2 2 15" xfId="11282" xr:uid="{5098AA31-27FF-404E-9415-08B8DC4EBFF4}"/>
    <cellStyle name="Normal 5 2 4 2 2 2" xfId="916" xr:uid="{00000000-0005-0000-0000-000007030000}"/>
    <cellStyle name="Normal 5 2 4 2 2 2 10" xfId="9211" xr:uid="{E4125B6B-EAEB-4665-A879-8DF8F80EA467}"/>
    <cellStyle name="Normal 5 2 4 2 2 2 10 2" xfId="19159" xr:uid="{E6E68178-A21B-4AAB-A55F-08FF1D528678}"/>
    <cellStyle name="Normal 5 2 4 2 2 2 11" xfId="10040" xr:uid="{72188F83-B2C9-4CA9-BEC2-36D8A59EA9DC}"/>
    <cellStyle name="Normal 5 2 4 2 2 2 11 2" xfId="19988" xr:uid="{844931E4-3074-417A-A29F-727D5F837F6A}"/>
    <cellStyle name="Normal 5 2 4 2 2 2 12" xfId="10869" xr:uid="{6AF340DE-CE45-43D9-831E-F4EA664371C3}"/>
    <cellStyle name="Normal 5 2 4 2 2 2 12 2" xfId="20817" xr:uid="{879AA14E-075D-488C-9BE5-4D91924B6CA2}"/>
    <cellStyle name="Normal 5 2 4 2 2 2 13" xfId="1750" xr:uid="{B32371E0-1CAD-4C77-89D3-01B79B65C1D5}"/>
    <cellStyle name="Normal 5 2 4 2 2 2 14" xfId="11698" xr:uid="{DCB530F0-61A2-4DC6-86B2-666AC8ED1A0A}"/>
    <cellStyle name="Normal 5 2 4 2 2 2 2" xfId="2579" xr:uid="{0FFBB5D6-79C7-4F25-8AB7-84D59D03EC3D}"/>
    <cellStyle name="Normal 5 2 4 2 2 2 2 2" xfId="12527" xr:uid="{939DEC9C-453E-4BDF-8FC0-C170EA6C9B03}"/>
    <cellStyle name="Normal 5 2 4 2 2 2 3" xfId="3408" xr:uid="{3FE4AAC4-6585-46E5-8761-6CCF0A7C5CA7}"/>
    <cellStyle name="Normal 5 2 4 2 2 2 3 2" xfId="13356" xr:uid="{4C58C36F-CA53-40CF-82A8-EA3AD8C37A58}"/>
    <cellStyle name="Normal 5 2 4 2 2 2 4" xfId="4237" xr:uid="{8BD3A0F8-D740-4D50-AD3D-B496AC33A9B1}"/>
    <cellStyle name="Normal 5 2 4 2 2 2 4 2" xfId="14185" xr:uid="{70F592FF-6FCB-4F03-A8B1-699C8992E7FD}"/>
    <cellStyle name="Normal 5 2 4 2 2 2 5" xfId="5066" xr:uid="{C82255BE-0CAF-48D6-994D-1FBE8EFF79AC}"/>
    <cellStyle name="Normal 5 2 4 2 2 2 5 2" xfId="15014" xr:uid="{1203A4A4-BBE0-42AA-81C3-0F1633635D4B}"/>
    <cellStyle name="Normal 5 2 4 2 2 2 6" xfId="5895" xr:uid="{0A0FF54C-CB21-4188-A10D-8D33B059E46D}"/>
    <cellStyle name="Normal 5 2 4 2 2 2 6 2" xfId="15843" xr:uid="{0DC7CFB8-973F-4835-833B-586ED805AC36}"/>
    <cellStyle name="Normal 5 2 4 2 2 2 7" xfId="6724" xr:uid="{05CF268D-28DC-4156-89C9-72B38B90ABFD}"/>
    <cellStyle name="Normal 5 2 4 2 2 2 7 2" xfId="16672" xr:uid="{D711C0A2-EAF0-4557-92C2-45455DB302CA}"/>
    <cellStyle name="Normal 5 2 4 2 2 2 8" xfId="7553" xr:uid="{27AF4825-89E6-402D-8F7D-CEC41A0FACE7}"/>
    <cellStyle name="Normal 5 2 4 2 2 2 8 2" xfId="17501" xr:uid="{61158140-48B4-4B8C-8FFE-5721345B0096}"/>
    <cellStyle name="Normal 5 2 4 2 2 2 9" xfId="8382" xr:uid="{D461642A-4C62-48D7-8A53-8A00DE1691D6}"/>
    <cellStyle name="Normal 5 2 4 2 2 2 9 2" xfId="18330" xr:uid="{990DA0BE-AADC-43A3-8026-A0C32B630DB5}"/>
    <cellStyle name="Normal 5 2 4 2 2 3" xfId="2163" xr:uid="{951CA899-B66D-41E1-85A1-91037B97591B}"/>
    <cellStyle name="Normal 5 2 4 2 2 3 2" xfId="12111" xr:uid="{46947E58-3D6D-4F3B-B0FE-7551593DD18F}"/>
    <cellStyle name="Normal 5 2 4 2 2 4" xfId="2992" xr:uid="{3EB0BC16-C879-419A-9900-4E99DDBB9BFF}"/>
    <cellStyle name="Normal 5 2 4 2 2 4 2" xfId="12940" xr:uid="{72EE12CA-817E-4311-8777-2C65DF397FB2}"/>
    <cellStyle name="Normal 5 2 4 2 2 5" xfId="3821" xr:uid="{60C26535-1789-4ED8-B00D-30EEF97B30A7}"/>
    <cellStyle name="Normal 5 2 4 2 2 5 2" xfId="13769" xr:uid="{941102DF-D18E-4344-8A5D-CAF7D9C47784}"/>
    <cellStyle name="Normal 5 2 4 2 2 6" xfId="4650" xr:uid="{8EB174A9-7D7F-427E-91C7-1E82AEE1259A}"/>
    <cellStyle name="Normal 5 2 4 2 2 6 2" xfId="14598" xr:uid="{3EB4F16A-663F-4288-B321-AB16B7920068}"/>
    <cellStyle name="Normal 5 2 4 2 2 7" xfId="5479" xr:uid="{CBCE743E-FDD7-4805-B2A0-61ECACB6F2F9}"/>
    <cellStyle name="Normal 5 2 4 2 2 7 2" xfId="15427" xr:uid="{AD2743BA-23D1-4C49-B1C4-0CD41C1649F3}"/>
    <cellStyle name="Normal 5 2 4 2 2 8" xfId="6308" xr:uid="{BFD8C129-9F79-4BFF-8035-E89A14932102}"/>
    <cellStyle name="Normal 5 2 4 2 2 8 2" xfId="16256" xr:uid="{2CE97F13-A407-4772-8CF3-71F3963443B8}"/>
    <cellStyle name="Normal 5 2 4 2 2 9" xfId="7137" xr:uid="{16425C73-0295-4266-BCA7-D55104C3654D}"/>
    <cellStyle name="Normal 5 2 4 2 2 9 2" xfId="17085" xr:uid="{CB529980-2717-4290-996E-7FA4127F4435}"/>
    <cellStyle name="Normal 5 2 4 2 3" xfId="915" xr:uid="{00000000-0005-0000-0000-000008030000}"/>
    <cellStyle name="Normal 5 2 4 2 3 10" xfId="9210" xr:uid="{A15D2C0E-7BB9-429A-B37C-B39FB5FEA2DD}"/>
    <cellStyle name="Normal 5 2 4 2 3 10 2" xfId="19158" xr:uid="{D12B2D8E-4196-4841-8831-D6DD05F23FC2}"/>
    <cellStyle name="Normal 5 2 4 2 3 11" xfId="10039" xr:uid="{1D67657E-7067-46D7-B71B-9F823D7E5059}"/>
    <cellStyle name="Normal 5 2 4 2 3 11 2" xfId="19987" xr:uid="{819D2647-CAF4-4535-95A3-526ED798ADDD}"/>
    <cellStyle name="Normal 5 2 4 2 3 12" xfId="10868" xr:uid="{7A2CD2C7-EE85-4DB0-A9A4-2DBA2F952A03}"/>
    <cellStyle name="Normal 5 2 4 2 3 12 2" xfId="20816" xr:uid="{3ED10B19-C058-44B1-80B5-BF0D5310CED3}"/>
    <cellStyle name="Normal 5 2 4 2 3 13" xfId="1749" xr:uid="{ADA7A8B8-7092-4902-B4AE-767F082C1924}"/>
    <cellStyle name="Normal 5 2 4 2 3 14" xfId="11697" xr:uid="{EF88D8BE-08B4-4576-A069-20C828EB7639}"/>
    <cellStyle name="Normal 5 2 4 2 3 2" xfId="2578" xr:uid="{354B8B62-8957-4DEF-91D9-91E2747A1945}"/>
    <cellStyle name="Normal 5 2 4 2 3 2 2" xfId="12526" xr:uid="{19DA960B-E8CC-4AE0-8481-0868B5F08E7E}"/>
    <cellStyle name="Normal 5 2 4 2 3 3" xfId="3407" xr:uid="{E03C10C3-AD07-4E2C-BE67-892C4DB4BBBB}"/>
    <cellStyle name="Normal 5 2 4 2 3 3 2" xfId="13355" xr:uid="{25BCB4D3-8C8A-4B6B-B00B-E0556BC26962}"/>
    <cellStyle name="Normal 5 2 4 2 3 4" xfId="4236" xr:uid="{CD0C2DCB-A8D4-47C7-BFF0-CDD8CD5D0C89}"/>
    <cellStyle name="Normal 5 2 4 2 3 4 2" xfId="14184" xr:uid="{DC5889E6-EAD4-4901-8FB1-33B6B9A0A140}"/>
    <cellStyle name="Normal 5 2 4 2 3 5" xfId="5065" xr:uid="{C88637AE-C3F8-4787-B31F-FBCCAEEC3C37}"/>
    <cellStyle name="Normal 5 2 4 2 3 5 2" xfId="15013" xr:uid="{AA3E08D3-2386-4885-BBDB-FA410F097B77}"/>
    <cellStyle name="Normal 5 2 4 2 3 6" xfId="5894" xr:uid="{AC40573C-FE7E-4F8F-86D2-5586EADCAB74}"/>
    <cellStyle name="Normal 5 2 4 2 3 6 2" xfId="15842" xr:uid="{4FDB29AB-AFF6-42F8-9804-05805B28656A}"/>
    <cellStyle name="Normal 5 2 4 2 3 7" xfId="6723" xr:uid="{09B98673-A4F6-490E-9AED-CA848FAC32B5}"/>
    <cellStyle name="Normal 5 2 4 2 3 7 2" xfId="16671" xr:uid="{3BA3525C-B2FE-4B11-9FA8-D019DA06E026}"/>
    <cellStyle name="Normal 5 2 4 2 3 8" xfId="7552" xr:uid="{2BA987FA-3206-46F8-B080-A2032F467B1D}"/>
    <cellStyle name="Normal 5 2 4 2 3 8 2" xfId="17500" xr:uid="{467B10D7-3E21-4D79-A108-40D0EFF4843A}"/>
    <cellStyle name="Normal 5 2 4 2 3 9" xfId="8381" xr:uid="{EB7E6726-A6E3-4D0C-A577-C8DC4698CC7A}"/>
    <cellStyle name="Normal 5 2 4 2 3 9 2" xfId="18329" xr:uid="{8C8E3254-C98C-43CD-A07D-980AA0C48378}"/>
    <cellStyle name="Normal 5 2 4 2 4" xfId="2162" xr:uid="{95C184F4-D664-4C85-B9AD-4794BE64EB3E}"/>
    <cellStyle name="Normal 5 2 4 2 4 2" xfId="12110" xr:uid="{93537EDD-D11F-4E5F-91A9-BDBCC4EA6901}"/>
    <cellStyle name="Normal 5 2 4 2 5" xfId="2991" xr:uid="{F95B8200-2E34-4130-A173-B757B4EB7682}"/>
    <cellStyle name="Normal 5 2 4 2 5 2" xfId="12939" xr:uid="{BAA58233-74FF-42F5-BCB2-19C44786F1D1}"/>
    <cellStyle name="Normal 5 2 4 2 6" xfId="3820" xr:uid="{0207E333-D0FF-4A0B-B3F7-CBB0282D5587}"/>
    <cellStyle name="Normal 5 2 4 2 6 2" xfId="13768" xr:uid="{2A8FD388-759A-4B81-BF30-02F7BC98BAF7}"/>
    <cellStyle name="Normal 5 2 4 2 7" xfId="4649" xr:uid="{888EF1EF-4BAE-4724-8529-171A8180A890}"/>
    <cellStyle name="Normal 5 2 4 2 7 2" xfId="14597" xr:uid="{5946A9F8-3342-4FAD-8C75-AC6705A46A52}"/>
    <cellStyle name="Normal 5 2 4 2 8" xfId="5478" xr:uid="{3E75916B-04DB-4626-A16D-8A08460D6A95}"/>
    <cellStyle name="Normal 5 2 4 2 8 2" xfId="15426" xr:uid="{450DBC12-D712-4DD8-AA5B-A0092AF6400E}"/>
    <cellStyle name="Normal 5 2 4 2 9" xfId="6307" xr:uid="{C036DF9E-3F3C-41A1-9251-35274A3AB33D}"/>
    <cellStyle name="Normal 5 2 4 2 9 2" xfId="16255" xr:uid="{47A86D51-1F72-4ED2-B2A6-2655CCCCA561}"/>
    <cellStyle name="Normal 5 2 4 3" xfId="438" xr:uid="{00000000-0005-0000-0000-000009030000}"/>
    <cellStyle name="Normal 5 2 4 3 10" xfId="7967" xr:uid="{716A527E-22DC-40EC-9443-BD944367F770}"/>
    <cellStyle name="Normal 5 2 4 3 10 2" xfId="17915" xr:uid="{FDCBB15D-E431-4633-846A-0C43AEEC32CE}"/>
    <cellStyle name="Normal 5 2 4 3 11" xfId="8796" xr:uid="{FF7E3AE3-D2D6-4871-9A68-1DCD12576CEA}"/>
    <cellStyle name="Normal 5 2 4 3 11 2" xfId="18744" xr:uid="{D998883E-380D-4195-8B75-15E63A991129}"/>
    <cellStyle name="Normal 5 2 4 3 12" xfId="9625" xr:uid="{242CC818-63E5-4619-94DB-EEC5C8AF9C31}"/>
    <cellStyle name="Normal 5 2 4 3 12 2" xfId="19573" xr:uid="{1B55A22C-92AB-4CF6-8C82-11A6772EEDC3}"/>
    <cellStyle name="Normal 5 2 4 3 13" xfId="10454" xr:uid="{C157E864-4822-45AC-9525-A28718781EF3}"/>
    <cellStyle name="Normal 5 2 4 3 13 2" xfId="20402" xr:uid="{DEAC72A0-950E-4A98-9D3C-B89912F9CE02}"/>
    <cellStyle name="Normal 5 2 4 3 14" xfId="1335" xr:uid="{D265B6D4-8741-435C-8A74-9BEB78945BF3}"/>
    <cellStyle name="Normal 5 2 4 3 15" xfId="11283" xr:uid="{3CEFB430-A628-4B15-9934-CBA9DF191B43}"/>
    <cellStyle name="Normal 5 2 4 3 2" xfId="917" xr:uid="{00000000-0005-0000-0000-00000A030000}"/>
    <cellStyle name="Normal 5 2 4 3 2 10" xfId="9212" xr:uid="{86FE1353-E970-42A4-9D1B-7E3CAABAD6C2}"/>
    <cellStyle name="Normal 5 2 4 3 2 10 2" xfId="19160" xr:uid="{14A771EF-5B6D-4953-8C08-E7C64E9BDAA2}"/>
    <cellStyle name="Normal 5 2 4 3 2 11" xfId="10041" xr:uid="{F03C5DA2-FAD0-442F-BF75-8EA373E2299F}"/>
    <cellStyle name="Normal 5 2 4 3 2 11 2" xfId="19989" xr:uid="{1097D879-7921-436C-959C-3E7892A2EC98}"/>
    <cellStyle name="Normal 5 2 4 3 2 12" xfId="10870" xr:uid="{00EAED75-C371-49BE-ADDC-2D649E468D6A}"/>
    <cellStyle name="Normal 5 2 4 3 2 12 2" xfId="20818" xr:uid="{F5F19367-75D3-46AF-B508-DAD5455F9EBB}"/>
    <cellStyle name="Normal 5 2 4 3 2 13" xfId="1751" xr:uid="{DA61D914-B1F9-4FC7-B516-909F12DE9FE4}"/>
    <cellStyle name="Normal 5 2 4 3 2 14" xfId="11699" xr:uid="{ABA01AA1-AE76-4994-AF3B-56755FD2F961}"/>
    <cellStyle name="Normal 5 2 4 3 2 2" xfId="2580" xr:uid="{8D1F2CC4-E290-4514-AFF4-9A9D157A0ED0}"/>
    <cellStyle name="Normal 5 2 4 3 2 2 2" xfId="12528" xr:uid="{45F96083-40F4-4AFD-8A2A-3253DC793819}"/>
    <cellStyle name="Normal 5 2 4 3 2 3" xfId="3409" xr:uid="{5891D7C7-C789-498A-A519-834C0DA1CE8C}"/>
    <cellStyle name="Normal 5 2 4 3 2 3 2" xfId="13357" xr:uid="{6B15D989-00BB-4E07-9B83-97641EE181EC}"/>
    <cellStyle name="Normal 5 2 4 3 2 4" xfId="4238" xr:uid="{509EC5CA-F55F-4E10-B996-FF33B86A385E}"/>
    <cellStyle name="Normal 5 2 4 3 2 4 2" xfId="14186" xr:uid="{F7AAC055-5797-4A40-880D-1923BCFB700D}"/>
    <cellStyle name="Normal 5 2 4 3 2 5" xfId="5067" xr:uid="{07074905-9C3C-48CD-A75A-EF25F5D99F0D}"/>
    <cellStyle name="Normal 5 2 4 3 2 5 2" xfId="15015" xr:uid="{94328A43-62DE-4554-A62F-B90724046CEC}"/>
    <cellStyle name="Normal 5 2 4 3 2 6" xfId="5896" xr:uid="{714FCCF4-E66D-4F27-A600-8D3007C0BDE6}"/>
    <cellStyle name="Normal 5 2 4 3 2 6 2" xfId="15844" xr:uid="{3D6E750B-67DC-4EAE-9579-2A748CA72BF7}"/>
    <cellStyle name="Normal 5 2 4 3 2 7" xfId="6725" xr:uid="{56A44910-9F3A-424E-B677-BF835736E6D5}"/>
    <cellStyle name="Normal 5 2 4 3 2 7 2" xfId="16673" xr:uid="{422FFF6F-2C03-4416-9E0E-309B1DE5B5BD}"/>
    <cellStyle name="Normal 5 2 4 3 2 8" xfId="7554" xr:uid="{32ACB29C-A755-43B7-B407-E5F886DF98FF}"/>
    <cellStyle name="Normal 5 2 4 3 2 8 2" xfId="17502" xr:uid="{47CC9FC5-3355-4709-83C3-A0B117CEBE73}"/>
    <cellStyle name="Normal 5 2 4 3 2 9" xfId="8383" xr:uid="{3AFEA876-C158-423F-BC81-8E6785004CF7}"/>
    <cellStyle name="Normal 5 2 4 3 2 9 2" xfId="18331" xr:uid="{34217BCE-3399-42DB-A067-B72796EB9B29}"/>
    <cellStyle name="Normal 5 2 4 3 3" xfId="2164" xr:uid="{F54F7102-49DF-47A0-BF06-0164DD189CFD}"/>
    <cellStyle name="Normal 5 2 4 3 3 2" xfId="12112" xr:uid="{4ED421B3-9513-4B7B-B809-2C83819FDC37}"/>
    <cellStyle name="Normal 5 2 4 3 4" xfId="2993" xr:uid="{AF725767-DC54-45CD-B58B-52F1B2DC7131}"/>
    <cellStyle name="Normal 5 2 4 3 4 2" xfId="12941" xr:uid="{CC3A37F1-6681-4B03-93C5-C3D9FB024C27}"/>
    <cellStyle name="Normal 5 2 4 3 5" xfId="3822" xr:uid="{21506FAE-4E52-47B5-A205-DCB874E50140}"/>
    <cellStyle name="Normal 5 2 4 3 5 2" xfId="13770" xr:uid="{A6A202EA-009F-4942-A4F8-0F6191375638}"/>
    <cellStyle name="Normal 5 2 4 3 6" xfId="4651" xr:uid="{683F32E5-3681-4DC9-AEB0-33DC9872D0C8}"/>
    <cellStyle name="Normal 5 2 4 3 6 2" xfId="14599" xr:uid="{9247FE3F-2F69-449D-953B-F8F96FF25214}"/>
    <cellStyle name="Normal 5 2 4 3 7" xfId="5480" xr:uid="{36F3356B-645B-45D0-B119-D38F671C348F}"/>
    <cellStyle name="Normal 5 2 4 3 7 2" xfId="15428" xr:uid="{C27535B3-9724-413E-91E0-44B1A900B985}"/>
    <cellStyle name="Normal 5 2 4 3 8" xfId="6309" xr:uid="{F46B40A2-58DA-45AF-B5EB-5631FED24BB9}"/>
    <cellStyle name="Normal 5 2 4 3 8 2" xfId="16257" xr:uid="{25689032-3F8A-414D-855D-A3A4810586C6}"/>
    <cellStyle name="Normal 5 2 4 3 9" xfId="7138" xr:uid="{393CAF82-736A-4084-B3FB-22462A0ED300}"/>
    <cellStyle name="Normal 5 2 4 3 9 2" xfId="17086" xr:uid="{CC98E11C-FD53-4123-AF19-CF9381F605D3}"/>
    <cellStyle name="Normal 5 2 4 4" xfId="914" xr:uid="{00000000-0005-0000-0000-00000B030000}"/>
    <cellStyle name="Normal 5 2 4 4 10" xfId="9209" xr:uid="{3EEAD61C-2EC8-48B7-8F34-E404EE3008DF}"/>
    <cellStyle name="Normal 5 2 4 4 10 2" xfId="19157" xr:uid="{82E91CC6-7E9C-4E38-AD46-5BC07936993D}"/>
    <cellStyle name="Normal 5 2 4 4 11" xfId="10038" xr:uid="{A5EB1780-0DF4-4B4C-80B3-2AA349AE8968}"/>
    <cellStyle name="Normal 5 2 4 4 11 2" xfId="19986" xr:uid="{EE61E023-7763-4FA3-AFA4-BBF31A28DC35}"/>
    <cellStyle name="Normal 5 2 4 4 12" xfId="10867" xr:uid="{AEEBE10A-D509-4682-9D62-43CB9578A027}"/>
    <cellStyle name="Normal 5 2 4 4 12 2" xfId="20815" xr:uid="{6E175F0D-0AC4-4F91-8733-6E0EA2F908EF}"/>
    <cellStyle name="Normal 5 2 4 4 13" xfId="1748" xr:uid="{98E00B2E-EACC-4894-9EEA-CFD8B8911D28}"/>
    <cellStyle name="Normal 5 2 4 4 14" xfId="11696" xr:uid="{121CFFD4-19C5-4A17-8F41-E42D5004A5D2}"/>
    <cellStyle name="Normal 5 2 4 4 2" xfId="2577" xr:uid="{8F75D3E3-8A11-4144-9793-E54F39D449FE}"/>
    <cellStyle name="Normal 5 2 4 4 2 2" xfId="12525" xr:uid="{30AA7DFE-D153-4582-8CB5-F55AB3835486}"/>
    <cellStyle name="Normal 5 2 4 4 3" xfId="3406" xr:uid="{A8D1B5D7-DB0C-43B5-B21C-D7E32E7474D7}"/>
    <cellStyle name="Normal 5 2 4 4 3 2" xfId="13354" xr:uid="{1CBD6BDC-1777-4874-82E3-9272D89FF89B}"/>
    <cellStyle name="Normal 5 2 4 4 4" xfId="4235" xr:uid="{115BE053-2AD2-44F0-8D3C-62CB19FFECA6}"/>
    <cellStyle name="Normal 5 2 4 4 4 2" xfId="14183" xr:uid="{FF08B0CE-CFBE-4601-8903-FEFA86DA2363}"/>
    <cellStyle name="Normal 5 2 4 4 5" xfId="5064" xr:uid="{9BA6DFDE-E99B-4B4D-B193-AE27601B07AF}"/>
    <cellStyle name="Normal 5 2 4 4 5 2" xfId="15012" xr:uid="{0C0A2466-1FCA-4942-9CE2-FCABB24E3272}"/>
    <cellStyle name="Normal 5 2 4 4 6" xfId="5893" xr:uid="{06C61ED9-5FF6-430A-AC34-126CB86D9073}"/>
    <cellStyle name="Normal 5 2 4 4 6 2" xfId="15841" xr:uid="{B549B90D-96B7-44D5-BD9D-9DCC166FDD07}"/>
    <cellStyle name="Normal 5 2 4 4 7" xfId="6722" xr:uid="{EFF33B41-99F0-4CDF-BB37-5284F9AB7142}"/>
    <cellStyle name="Normal 5 2 4 4 7 2" xfId="16670" xr:uid="{47E0BC29-68D5-47E3-9205-26D6AB992F84}"/>
    <cellStyle name="Normal 5 2 4 4 8" xfId="7551" xr:uid="{06E3FDA8-DAD6-4A34-B964-9672407BA899}"/>
    <cellStyle name="Normal 5 2 4 4 8 2" xfId="17499" xr:uid="{DB07EDF0-8FD4-4784-9E4B-79672451E895}"/>
    <cellStyle name="Normal 5 2 4 4 9" xfId="8380" xr:uid="{2893E79C-8771-48BB-BDE2-B4299B36530F}"/>
    <cellStyle name="Normal 5 2 4 4 9 2" xfId="18328" xr:uid="{11DBE478-7D66-40F6-8344-4D228D81F71B}"/>
    <cellStyle name="Normal 5 2 4 5" xfId="2161" xr:uid="{BCBC31FF-3E50-4B31-B8BC-4BF0E3EE26DF}"/>
    <cellStyle name="Normal 5 2 4 5 2" xfId="12109" xr:uid="{E80A9DA1-E291-4299-82C4-4BE622C729E2}"/>
    <cellStyle name="Normal 5 2 4 6" xfId="2990" xr:uid="{B92F20C9-8288-41B4-8E36-65E7F7531F45}"/>
    <cellStyle name="Normal 5 2 4 6 2" xfId="12938" xr:uid="{DE923BAD-2C60-4BD3-A96F-E701AB2EEECF}"/>
    <cellStyle name="Normal 5 2 4 7" xfId="3819" xr:uid="{337B903C-4667-4364-9708-E0B5B4A4219E}"/>
    <cellStyle name="Normal 5 2 4 7 2" xfId="13767" xr:uid="{1DF07C87-54EF-4430-9C9E-3296C4D3A4E9}"/>
    <cellStyle name="Normal 5 2 4 8" xfId="4648" xr:uid="{1DC24FE5-DF66-4ED8-B7DC-7E33A02CBF80}"/>
    <cellStyle name="Normal 5 2 4 8 2" xfId="14596" xr:uid="{39044E9B-6B12-48CB-901A-4115A9C879B1}"/>
    <cellStyle name="Normal 5 2 4 9" xfId="5477" xr:uid="{06CA64BF-94E8-44D7-9BBA-22C8D57D8D50}"/>
    <cellStyle name="Normal 5 2 4 9 2" xfId="15425" xr:uid="{9E81AA7A-C8FF-4573-9E35-F6929E606857}"/>
    <cellStyle name="Normal 5 2 5" xfId="439" xr:uid="{00000000-0005-0000-0000-00000C030000}"/>
    <cellStyle name="Normal 5 2 5 10" xfId="7139" xr:uid="{C2654D45-E9BF-4B61-9BBA-254ED10B67A4}"/>
    <cellStyle name="Normal 5 2 5 10 2" xfId="17087" xr:uid="{A9B8B273-C114-4C00-9DE7-8A56527A1F9F}"/>
    <cellStyle name="Normal 5 2 5 11" xfId="7968" xr:uid="{478C78C8-CB3A-4150-8389-F6488E94010E}"/>
    <cellStyle name="Normal 5 2 5 11 2" xfId="17916" xr:uid="{9DDD65D3-5062-40A4-B056-93908EADE8C8}"/>
    <cellStyle name="Normal 5 2 5 12" xfId="8797" xr:uid="{08D18F38-96ED-4298-8FA2-8C8E8211AE81}"/>
    <cellStyle name="Normal 5 2 5 12 2" xfId="18745" xr:uid="{D254564E-10E4-4B67-AA02-4A24981C2CC5}"/>
    <cellStyle name="Normal 5 2 5 13" xfId="9626" xr:uid="{97102A26-A774-44EF-B3C6-4C8C95D92584}"/>
    <cellStyle name="Normal 5 2 5 13 2" xfId="19574" xr:uid="{A16EB9A2-DCEC-48FF-97E6-DB665C98F581}"/>
    <cellStyle name="Normal 5 2 5 14" xfId="10455" xr:uid="{6ACBDDCD-1630-4EDD-B4DA-24ED4D69AC46}"/>
    <cellStyle name="Normal 5 2 5 14 2" xfId="20403" xr:uid="{7DD39318-CE2B-48F7-B480-A3FC0D406CC6}"/>
    <cellStyle name="Normal 5 2 5 15" xfId="1336" xr:uid="{8F99217B-563B-4073-B812-EC6516BF4123}"/>
    <cellStyle name="Normal 5 2 5 16" xfId="11284" xr:uid="{D2BFC5BE-0E09-4C9C-8976-AF533CC391DD}"/>
    <cellStyle name="Normal 5 2 5 2" xfId="440" xr:uid="{00000000-0005-0000-0000-00000D030000}"/>
    <cellStyle name="Normal 5 2 5 2 10" xfId="7969" xr:uid="{EB8BF7E3-3D2B-4C2A-8F64-98B8CAF1C993}"/>
    <cellStyle name="Normal 5 2 5 2 10 2" xfId="17917" xr:uid="{F9C092FD-ACBE-4438-BF9C-B2323F497B46}"/>
    <cellStyle name="Normal 5 2 5 2 11" xfId="8798" xr:uid="{B1802132-DA01-4D1F-A3C5-AC8BE15CFDDB}"/>
    <cellStyle name="Normal 5 2 5 2 11 2" xfId="18746" xr:uid="{E8F3C19D-E380-4BA2-ACE6-C60132AE669E}"/>
    <cellStyle name="Normal 5 2 5 2 12" xfId="9627" xr:uid="{C7CD184A-55A8-4393-BF19-0CA7717F15DD}"/>
    <cellStyle name="Normal 5 2 5 2 12 2" xfId="19575" xr:uid="{B098F210-8E3F-4156-8683-A5E2E6519C2A}"/>
    <cellStyle name="Normal 5 2 5 2 13" xfId="10456" xr:uid="{7E03D92C-995B-415C-A6DD-EA3B09284C89}"/>
    <cellStyle name="Normal 5 2 5 2 13 2" xfId="20404" xr:uid="{48AD1891-0F38-47B7-AA4A-B3396B9B4B05}"/>
    <cellStyle name="Normal 5 2 5 2 14" xfId="1337" xr:uid="{4D347A12-50BC-407D-B723-9196A94D39B6}"/>
    <cellStyle name="Normal 5 2 5 2 15" xfId="11285" xr:uid="{8E061953-F8B7-4075-9AFE-9F8ED7C5475D}"/>
    <cellStyle name="Normal 5 2 5 2 2" xfId="919" xr:uid="{00000000-0005-0000-0000-00000E030000}"/>
    <cellStyle name="Normal 5 2 5 2 2 10" xfId="9214" xr:uid="{B2CA5BED-DF0F-4EE5-966E-8337FA268A6C}"/>
    <cellStyle name="Normal 5 2 5 2 2 10 2" xfId="19162" xr:uid="{FFF88C60-2E36-475E-BEFE-2BC07E148E2D}"/>
    <cellStyle name="Normal 5 2 5 2 2 11" xfId="10043" xr:uid="{DD4D9D81-B106-4D11-8EBB-6B21C1C88646}"/>
    <cellStyle name="Normal 5 2 5 2 2 11 2" xfId="19991" xr:uid="{0893CA72-759B-4086-A152-3484B87765E9}"/>
    <cellStyle name="Normal 5 2 5 2 2 12" xfId="10872" xr:uid="{804CA500-A00E-4DCA-992D-C0AAD718E476}"/>
    <cellStyle name="Normal 5 2 5 2 2 12 2" xfId="20820" xr:uid="{53974FFF-98C2-43C3-8221-AC3BE0B0CD48}"/>
    <cellStyle name="Normal 5 2 5 2 2 13" xfId="1753" xr:uid="{F6B47D62-A86A-4055-B4DF-F231A71425A1}"/>
    <cellStyle name="Normal 5 2 5 2 2 14" xfId="11701" xr:uid="{A49F5ED0-6551-4886-8F25-BAF495241F25}"/>
    <cellStyle name="Normal 5 2 5 2 2 2" xfId="2582" xr:uid="{E2EDB3BB-6DEF-41CB-9BE9-F47C61389ED6}"/>
    <cellStyle name="Normal 5 2 5 2 2 2 2" xfId="12530" xr:uid="{E32151D6-71D3-4638-869C-85023C54FD2F}"/>
    <cellStyle name="Normal 5 2 5 2 2 3" xfId="3411" xr:uid="{341B9F81-7D09-4049-9C54-EF8E68118704}"/>
    <cellStyle name="Normal 5 2 5 2 2 3 2" xfId="13359" xr:uid="{8478768D-5ACA-44CB-AFE4-17421354D5C7}"/>
    <cellStyle name="Normal 5 2 5 2 2 4" xfId="4240" xr:uid="{C8922C30-5749-4595-B37F-E7D52F3E02D9}"/>
    <cellStyle name="Normal 5 2 5 2 2 4 2" xfId="14188" xr:uid="{DADC2174-81C0-4AD4-97ED-E636382976CD}"/>
    <cellStyle name="Normal 5 2 5 2 2 5" xfId="5069" xr:uid="{2A7CDD69-0C7A-4530-B7C6-B342A361ACDC}"/>
    <cellStyle name="Normal 5 2 5 2 2 5 2" xfId="15017" xr:uid="{CA6B7BDD-D4E4-45B0-81A2-EA111E1D7BB4}"/>
    <cellStyle name="Normal 5 2 5 2 2 6" xfId="5898" xr:uid="{7E9E0070-E555-4FE0-8840-9F9EEA166651}"/>
    <cellStyle name="Normal 5 2 5 2 2 6 2" xfId="15846" xr:uid="{760180BD-39E8-4F80-9F4F-34A4876E67F1}"/>
    <cellStyle name="Normal 5 2 5 2 2 7" xfId="6727" xr:uid="{AF6E0D2C-9DE7-4C18-875A-66E47952F801}"/>
    <cellStyle name="Normal 5 2 5 2 2 7 2" xfId="16675" xr:uid="{94A95E05-B54D-4187-82DC-7123E71A8992}"/>
    <cellStyle name="Normal 5 2 5 2 2 8" xfId="7556" xr:uid="{091534A5-16B6-4F46-B5CE-D2E7130104D8}"/>
    <cellStyle name="Normal 5 2 5 2 2 8 2" xfId="17504" xr:uid="{4F77A28C-A562-4613-89CA-7B750309E3A9}"/>
    <cellStyle name="Normal 5 2 5 2 2 9" xfId="8385" xr:uid="{E06760C5-A5F2-4AF0-865D-BE3D346D0250}"/>
    <cellStyle name="Normal 5 2 5 2 2 9 2" xfId="18333" xr:uid="{573CCE06-FEA9-462B-93BE-FBFB40FB2E51}"/>
    <cellStyle name="Normal 5 2 5 2 3" xfId="2166" xr:uid="{0DA32376-0AE6-42C7-817D-5738C57C1DB7}"/>
    <cellStyle name="Normal 5 2 5 2 3 2" xfId="12114" xr:uid="{DA4C4079-B5F0-43B6-88C3-6F969DE82A0A}"/>
    <cellStyle name="Normal 5 2 5 2 4" xfId="2995" xr:uid="{9D537FDF-37D1-4CE4-B65A-24524C5A0D1D}"/>
    <cellStyle name="Normal 5 2 5 2 4 2" xfId="12943" xr:uid="{E68E522E-FB11-46CE-906F-980866AA9DEC}"/>
    <cellStyle name="Normal 5 2 5 2 5" xfId="3824" xr:uid="{4675909C-E76B-485C-93FF-65603B19C2AF}"/>
    <cellStyle name="Normal 5 2 5 2 5 2" xfId="13772" xr:uid="{A50BEE25-750E-4192-BE48-61577ECD605F}"/>
    <cellStyle name="Normal 5 2 5 2 6" xfId="4653" xr:uid="{3825A52C-4F54-4D3F-99F2-A41A9041EAD8}"/>
    <cellStyle name="Normal 5 2 5 2 6 2" xfId="14601" xr:uid="{CCAFBB4E-CE62-436A-B382-D0A063A94E35}"/>
    <cellStyle name="Normal 5 2 5 2 7" xfId="5482" xr:uid="{D0B9EFDD-EB6A-46ED-95E9-DBE3A851ADA4}"/>
    <cellStyle name="Normal 5 2 5 2 7 2" xfId="15430" xr:uid="{7AF394AC-5F6E-46EA-8673-9FCC3051DF5D}"/>
    <cellStyle name="Normal 5 2 5 2 8" xfId="6311" xr:uid="{608E8637-0CAD-41BA-AE01-B3B4E29DEADA}"/>
    <cellStyle name="Normal 5 2 5 2 8 2" xfId="16259" xr:uid="{0B360572-9E4F-4075-9778-FF8A6E4C7494}"/>
    <cellStyle name="Normal 5 2 5 2 9" xfId="7140" xr:uid="{2D7A3648-0E13-492A-AE53-5C7EEA071188}"/>
    <cellStyle name="Normal 5 2 5 2 9 2" xfId="17088" xr:uid="{70706A77-6BCE-4D91-BFE0-6E66700823D5}"/>
    <cellStyle name="Normal 5 2 5 3" xfId="918" xr:uid="{00000000-0005-0000-0000-00000F030000}"/>
    <cellStyle name="Normal 5 2 5 3 10" xfId="9213" xr:uid="{D0139788-6D93-45FE-B3DB-F8FBD417571C}"/>
    <cellStyle name="Normal 5 2 5 3 10 2" xfId="19161" xr:uid="{27572BCE-489E-4AB5-A83C-FD63D8BC0E35}"/>
    <cellStyle name="Normal 5 2 5 3 11" xfId="10042" xr:uid="{55A98114-D3A4-4E5A-A06A-5FFBC2CBC519}"/>
    <cellStyle name="Normal 5 2 5 3 11 2" xfId="19990" xr:uid="{B61395AD-DCC8-42FC-B343-37645A72D27D}"/>
    <cellStyle name="Normal 5 2 5 3 12" xfId="10871" xr:uid="{BEDE7282-6EA4-4F62-A669-9272DF09DF94}"/>
    <cellStyle name="Normal 5 2 5 3 12 2" xfId="20819" xr:uid="{42D8BC57-C367-4D3E-94AD-919E11DBFF6C}"/>
    <cellStyle name="Normal 5 2 5 3 13" xfId="1752" xr:uid="{022F7A90-46B3-4BB3-82D9-6A141CBD9863}"/>
    <cellStyle name="Normal 5 2 5 3 14" xfId="11700" xr:uid="{526076C3-EB11-476C-B03A-A389E640763C}"/>
    <cellStyle name="Normal 5 2 5 3 2" xfId="2581" xr:uid="{93C7A246-EB38-445E-8973-F0FDC365A912}"/>
    <cellStyle name="Normal 5 2 5 3 2 2" xfId="12529" xr:uid="{F9AEE5F1-69BB-470E-B95A-651CFDA35944}"/>
    <cellStyle name="Normal 5 2 5 3 3" xfId="3410" xr:uid="{79F2960E-66BD-42B4-A912-7F872938612E}"/>
    <cellStyle name="Normal 5 2 5 3 3 2" xfId="13358" xr:uid="{11C5EDC0-4724-4E7C-9D0C-72501B2B17D0}"/>
    <cellStyle name="Normal 5 2 5 3 4" xfId="4239" xr:uid="{C989965A-FE0C-4F1C-A50D-33AEBF487978}"/>
    <cellStyle name="Normal 5 2 5 3 4 2" xfId="14187" xr:uid="{6BD48743-CFB5-489A-AAAB-2D2F3AB1C3B4}"/>
    <cellStyle name="Normal 5 2 5 3 5" xfId="5068" xr:uid="{7E84E43A-D41B-4797-9BBD-9D7DB41C1F31}"/>
    <cellStyle name="Normal 5 2 5 3 5 2" xfId="15016" xr:uid="{D4957F4B-40BF-4E37-B07C-C1775D3FB06C}"/>
    <cellStyle name="Normal 5 2 5 3 6" xfId="5897" xr:uid="{3E9481DC-067E-413D-B21F-F2363DFD6B3D}"/>
    <cellStyle name="Normal 5 2 5 3 6 2" xfId="15845" xr:uid="{6D806406-3111-45FB-8CF9-3F6968C20257}"/>
    <cellStyle name="Normal 5 2 5 3 7" xfId="6726" xr:uid="{D743694B-BD18-4090-9F13-377786B929D9}"/>
    <cellStyle name="Normal 5 2 5 3 7 2" xfId="16674" xr:uid="{76C84D48-0F0F-49D7-8219-8D2A0024FC71}"/>
    <cellStyle name="Normal 5 2 5 3 8" xfId="7555" xr:uid="{7BCBDD5B-71C3-4051-8DA0-C5D118266378}"/>
    <cellStyle name="Normal 5 2 5 3 8 2" xfId="17503" xr:uid="{B15050A1-359A-43F6-8D24-F40C439C8A5C}"/>
    <cellStyle name="Normal 5 2 5 3 9" xfId="8384" xr:uid="{B96D8600-A6DE-4C9A-ABDA-BCC77D3CA22B}"/>
    <cellStyle name="Normal 5 2 5 3 9 2" xfId="18332" xr:uid="{7840F9E9-4C42-4B96-8044-F8850B8D2769}"/>
    <cellStyle name="Normal 5 2 5 4" xfId="2165" xr:uid="{C3C9C9C3-48A3-4C92-8B11-418E99FF23A8}"/>
    <cellStyle name="Normal 5 2 5 4 2" xfId="12113" xr:uid="{7FE3C5C8-4396-4A2A-AC47-B02F7041A53B}"/>
    <cellStyle name="Normal 5 2 5 5" xfId="2994" xr:uid="{52A589D0-1CCC-4C25-BB27-5E0A14CAFA94}"/>
    <cellStyle name="Normal 5 2 5 5 2" xfId="12942" xr:uid="{DE651106-4A4F-4DA4-BDBB-BAF658CAC998}"/>
    <cellStyle name="Normal 5 2 5 6" xfId="3823" xr:uid="{34589E7D-92C7-493B-AB0E-2E59374441AD}"/>
    <cellStyle name="Normal 5 2 5 6 2" xfId="13771" xr:uid="{E3E44905-7365-42A9-885B-6486A8C94BFA}"/>
    <cellStyle name="Normal 5 2 5 7" xfId="4652" xr:uid="{5F977532-01D1-4026-9CB8-93A1171396BA}"/>
    <cellStyle name="Normal 5 2 5 7 2" xfId="14600" xr:uid="{3F74FF45-0B38-4607-B4F8-E3336E41FE47}"/>
    <cellStyle name="Normal 5 2 5 8" xfId="5481" xr:uid="{7E847752-AF43-450F-8D2A-FE7D46F30149}"/>
    <cellStyle name="Normal 5 2 5 8 2" xfId="15429" xr:uid="{BB4F5C3D-54D9-4BB8-B0A1-0F8C8761D052}"/>
    <cellStyle name="Normal 5 2 5 9" xfId="6310" xr:uid="{B500D5DA-C6B5-472D-9D33-693969AC0B0B}"/>
    <cellStyle name="Normal 5 2 5 9 2" xfId="16258" xr:uid="{B10C3F0A-4E24-487C-A2A4-D75FB7CA8CC8}"/>
    <cellStyle name="Normal 5 2 6" xfId="441" xr:uid="{00000000-0005-0000-0000-000010030000}"/>
    <cellStyle name="Normal 5 2 6 10" xfId="7970" xr:uid="{60BCCAF4-B8A4-4093-BC9A-2BFE2B96FCA1}"/>
    <cellStyle name="Normal 5 2 6 10 2" xfId="17918" xr:uid="{0BB0E2C7-AC76-4374-9A48-691631ADBC3C}"/>
    <cellStyle name="Normal 5 2 6 11" xfId="8799" xr:uid="{3CFAC707-FBB7-4E0B-AE1A-2E31D84F3D51}"/>
    <cellStyle name="Normal 5 2 6 11 2" xfId="18747" xr:uid="{AF23E3DC-EBD0-43FA-A819-5CC004090010}"/>
    <cellStyle name="Normal 5 2 6 12" xfId="9628" xr:uid="{B89AAACE-8E8D-4245-9859-FDE0AC90F268}"/>
    <cellStyle name="Normal 5 2 6 12 2" xfId="19576" xr:uid="{E63BFA7B-8E6E-4B13-910F-A84AE90D3B39}"/>
    <cellStyle name="Normal 5 2 6 13" xfId="10457" xr:uid="{DC64C725-67D7-4841-84A7-57B5CC44F0E8}"/>
    <cellStyle name="Normal 5 2 6 13 2" xfId="20405" xr:uid="{4C41123A-EAE2-4E29-9A88-7137E6C94912}"/>
    <cellStyle name="Normal 5 2 6 14" xfId="1338" xr:uid="{CB30D995-3737-4CB7-8452-28D14675B81F}"/>
    <cellStyle name="Normal 5 2 6 15" xfId="11286" xr:uid="{DD956FA5-C69A-4767-BF83-D79A8C690BFB}"/>
    <cellStyle name="Normal 5 2 6 2" xfId="920" xr:uid="{00000000-0005-0000-0000-000011030000}"/>
    <cellStyle name="Normal 5 2 6 2 10" xfId="9215" xr:uid="{21403414-EF63-493F-AA24-37679803BD23}"/>
    <cellStyle name="Normal 5 2 6 2 10 2" xfId="19163" xr:uid="{82D390C8-F97B-4A23-BAD6-8E4B39AB8C12}"/>
    <cellStyle name="Normal 5 2 6 2 11" xfId="10044" xr:uid="{7AE2E018-392D-4A6E-839E-34F6114A783B}"/>
    <cellStyle name="Normal 5 2 6 2 11 2" xfId="19992" xr:uid="{D95883D2-A876-4B96-A924-381357865C56}"/>
    <cellStyle name="Normal 5 2 6 2 12" xfId="10873" xr:uid="{6D8BDD0A-E8A6-428D-9246-50053F9F1EBE}"/>
    <cellStyle name="Normal 5 2 6 2 12 2" xfId="20821" xr:uid="{043E1449-DC2B-44A6-AFE5-10ACA1407B62}"/>
    <cellStyle name="Normal 5 2 6 2 13" xfId="1754" xr:uid="{F721EF23-27AA-43D2-8D6E-2AF21AA49EDD}"/>
    <cellStyle name="Normal 5 2 6 2 14" xfId="11702" xr:uid="{3DC8FF77-EFC8-40D1-B2B7-75772FAD9FE4}"/>
    <cellStyle name="Normal 5 2 6 2 2" xfId="2583" xr:uid="{B93A854B-273B-4A61-9252-627EB2F914B0}"/>
    <cellStyle name="Normal 5 2 6 2 2 2" xfId="12531" xr:uid="{D8490EE3-D04F-4C29-A7D8-304C312D4E3A}"/>
    <cellStyle name="Normal 5 2 6 2 3" xfId="3412" xr:uid="{E61BBE53-A1D0-44EF-BFB7-06CE009DD227}"/>
    <cellStyle name="Normal 5 2 6 2 3 2" xfId="13360" xr:uid="{776E8EBC-AC97-4CC9-ADB4-B108AA66AB20}"/>
    <cellStyle name="Normal 5 2 6 2 4" xfId="4241" xr:uid="{591BEEF9-A032-47C7-B858-E7EA8C19DC0B}"/>
    <cellStyle name="Normal 5 2 6 2 4 2" xfId="14189" xr:uid="{F7B983E8-3C92-4594-B81F-A4EB82B29F42}"/>
    <cellStyle name="Normal 5 2 6 2 5" xfId="5070" xr:uid="{72F0F233-F175-4030-A607-2C1A9C9DB6C8}"/>
    <cellStyle name="Normal 5 2 6 2 5 2" xfId="15018" xr:uid="{BF9D1A50-66D6-41FA-BF0A-514DD7F19F50}"/>
    <cellStyle name="Normal 5 2 6 2 6" xfId="5899" xr:uid="{1D54476A-B8CE-40C8-BE6F-8AF8B53345D7}"/>
    <cellStyle name="Normal 5 2 6 2 6 2" xfId="15847" xr:uid="{AB664864-6EE6-418B-BA1C-BF610D374E8D}"/>
    <cellStyle name="Normal 5 2 6 2 7" xfId="6728" xr:uid="{129534AC-C1C9-4EB5-9A83-18E8942D3FCB}"/>
    <cellStyle name="Normal 5 2 6 2 7 2" xfId="16676" xr:uid="{D720D5F2-B0D9-42B4-986F-10BA6166D7B1}"/>
    <cellStyle name="Normal 5 2 6 2 8" xfId="7557" xr:uid="{23CC99CE-8E52-42CB-AECE-4A909E24999E}"/>
    <cellStyle name="Normal 5 2 6 2 8 2" xfId="17505" xr:uid="{84B0EEB3-5A0C-4A5F-BDDB-3C77A62F456B}"/>
    <cellStyle name="Normal 5 2 6 2 9" xfId="8386" xr:uid="{40E91113-E470-4AC8-8016-790ADA07403F}"/>
    <cellStyle name="Normal 5 2 6 2 9 2" xfId="18334" xr:uid="{18DA7F0B-54EF-4707-BCAA-1C67283D49CA}"/>
    <cellStyle name="Normal 5 2 6 3" xfId="2167" xr:uid="{557B9CAB-CB2F-4976-8718-732C82A0B024}"/>
    <cellStyle name="Normal 5 2 6 3 2" xfId="12115" xr:uid="{4207AE7D-0593-4373-ABCB-C81947D2FAD7}"/>
    <cellStyle name="Normal 5 2 6 4" xfId="2996" xr:uid="{8859EE5B-EDE2-41F0-A81F-A51552BA5844}"/>
    <cellStyle name="Normal 5 2 6 4 2" xfId="12944" xr:uid="{ED890A67-CC6C-4B02-9957-415BE6764F78}"/>
    <cellStyle name="Normal 5 2 6 5" xfId="3825" xr:uid="{2E40D3D6-9A2A-4A70-8973-842A3CEB39A6}"/>
    <cellStyle name="Normal 5 2 6 5 2" xfId="13773" xr:uid="{DC47B592-0181-40D5-B1E8-198471AF4AE7}"/>
    <cellStyle name="Normal 5 2 6 6" xfId="4654" xr:uid="{D8450C19-B54B-42AB-BBCC-BDD07FA50ABB}"/>
    <cellStyle name="Normal 5 2 6 6 2" xfId="14602" xr:uid="{394E1F4B-4853-4E3B-B527-02B7AD1D2CF6}"/>
    <cellStyle name="Normal 5 2 6 7" xfId="5483" xr:uid="{478AAA73-A895-40E8-B572-277DD20D9FA7}"/>
    <cellStyle name="Normal 5 2 6 7 2" xfId="15431" xr:uid="{5482B389-2A9C-4FD8-8CFD-7612597325E9}"/>
    <cellStyle name="Normal 5 2 6 8" xfId="6312" xr:uid="{87513933-8E30-43FC-9631-3BE33185E302}"/>
    <cellStyle name="Normal 5 2 6 8 2" xfId="16260" xr:uid="{737B9D94-B8EC-4D28-A395-A76E1B187447}"/>
    <cellStyle name="Normal 5 2 6 9" xfId="7141" xr:uid="{73E85940-6E2A-481C-987C-7CD982E72E37}"/>
    <cellStyle name="Normal 5 2 6 9 2" xfId="17089" xr:uid="{BFEA7E88-4557-4113-ACA4-1ED0236AC194}"/>
    <cellStyle name="Normal 5 2 7" xfId="889" xr:uid="{00000000-0005-0000-0000-000012030000}"/>
    <cellStyle name="Normal 5 2 7 10" xfId="9184" xr:uid="{2C611678-634F-49F5-9A01-0E0432350317}"/>
    <cellStyle name="Normal 5 2 7 10 2" xfId="19132" xr:uid="{8C441E95-7B75-4F14-A537-64084360AB31}"/>
    <cellStyle name="Normal 5 2 7 11" xfId="10013" xr:uid="{D3BE6AEF-353E-4548-B2F9-22B1DC8A0FE9}"/>
    <cellStyle name="Normal 5 2 7 11 2" xfId="19961" xr:uid="{401B3AB9-2DCA-4DD0-8FBD-A7F459EF5C85}"/>
    <cellStyle name="Normal 5 2 7 12" xfId="10842" xr:uid="{4508D0B6-3283-4E1A-AE69-EED1C1AB0B6F}"/>
    <cellStyle name="Normal 5 2 7 12 2" xfId="20790" xr:uid="{580B682E-F0F2-4B3C-B4E2-9CB007CC5E7C}"/>
    <cellStyle name="Normal 5 2 7 13" xfId="1723" xr:uid="{6067AFF2-A5C0-4128-9A23-99F36B9B138A}"/>
    <cellStyle name="Normal 5 2 7 14" xfId="11671" xr:uid="{21D5CF73-4A76-4238-9590-84E251E31C43}"/>
    <cellStyle name="Normal 5 2 7 2" xfId="2552" xr:uid="{BCEA92AE-C294-4CBA-97F6-BBB758342B8A}"/>
    <cellStyle name="Normal 5 2 7 2 2" xfId="12500" xr:uid="{73A0ACA7-3FE7-4959-8969-2743F60DF887}"/>
    <cellStyle name="Normal 5 2 7 3" xfId="3381" xr:uid="{A1624F7B-0B41-4959-A3FF-15D5646B2C95}"/>
    <cellStyle name="Normal 5 2 7 3 2" xfId="13329" xr:uid="{6CE5E7D5-CF3C-407C-A220-7DF763C2CCB5}"/>
    <cellStyle name="Normal 5 2 7 4" xfId="4210" xr:uid="{1A3E4A19-F4A0-4D6B-9B8B-887D653F9D4E}"/>
    <cellStyle name="Normal 5 2 7 4 2" xfId="14158" xr:uid="{43D2E960-FC50-4700-A917-FB001C289217}"/>
    <cellStyle name="Normal 5 2 7 5" xfId="5039" xr:uid="{8A56A531-EE74-4039-89F2-1EBE7ECA93C0}"/>
    <cellStyle name="Normal 5 2 7 5 2" xfId="14987" xr:uid="{37B79EE9-CB29-4DBA-8EF3-FC2B89EFEF13}"/>
    <cellStyle name="Normal 5 2 7 6" xfId="5868" xr:uid="{A9AEDD4F-9C76-438F-B7A0-034E6B5CD620}"/>
    <cellStyle name="Normal 5 2 7 6 2" xfId="15816" xr:uid="{3770A60E-3603-4723-8A06-7DDBDB8A98B8}"/>
    <cellStyle name="Normal 5 2 7 7" xfId="6697" xr:uid="{A3C25DAA-259B-4D81-8AC7-209E4FFF8C39}"/>
    <cellStyle name="Normal 5 2 7 7 2" xfId="16645" xr:uid="{65EB3BF3-590B-4D14-80C7-E05F04E66F7A}"/>
    <cellStyle name="Normal 5 2 7 8" xfId="7526" xr:uid="{601E0211-2365-48FD-BF84-1F1322849889}"/>
    <cellStyle name="Normal 5 2 7 8 2" xfId="17474" xr:uid="{62987E3C-2834-4E68-9F38-274147527980}"/>
    <cellStyle name="Normal 5 2 7 9" xfId="8355" xr:uid="{A13FA5EE-B433-4B7A-956C-87E2934B9189}"/>
    <cellStyle name="Normal 5 2 7 9 2" xfId="18303" xr:uid="{6B588DAC-482E-4B61-9F1E-C399134CF06C}"/>
    <cellStyle name="Normal 5 2 8" xfId="2136" xr:uid="{60BB852A-73D6-4CA7-9509-5D5F0E80B07D}"/>
    <cellStyle name="Normal 5 2 8 2" xfId="12084" xr:uid="{3719B57B-FFC9-43D9-9CBF-C1C292BB375E}"/>
    <cellStyle name="Normal 5 2 9" xfId="2965" xr:uid="{B0637690-181B-4670-A07B-0B0F8A7BA91D}"/>
    <cellStyle name="Normal 5 2 9 2" xfId="12913" xr:uid="{8847B075-13A2-4F2D-B19B-22E0D246682C}"/>
    <cellStyle name="Normal 5 20" xfId="1306" xr:uid="{275C4BF8-575A-4BB4-80C7-D6AC82F3ECB8}"/>
    <cellStyle name="Normal 5 21" xfId="11254" xr:uid="{E2B28F27-41C2-4971-8786-8C8027D21324}"/>
    <cellStyle name="Normal 5 3" xfId="442" xr:uid="{00000000-0005-0000-0000-000013030000}"/>
    <cellStyle name="Normal 5 3 10" xfId="3826" xr:uid="{A53C6DA9-9F45-457D-9E97-AB3850BF3CEE}"/>
    <cellStyle name="Normal 5 3 10 2" xfId="13774" xr:uid="{C5592C90-90ED-4CED-BA95-A63CE0167A5A}"/>
    <cellStyle name="Normal 5 3 11" xfId="4655" xr:uid="{50638987-3EDB-45B3-908C-C068C5A23487}"/>
    <cellStyle name="Normal 5 3 11 2" xfId="14603" xr:uid="{35B545D0-1177-437E-90FF-1786977E86E0}"/>
    <cellStyle name="Normal 5 3 12" xfId="5484" xr:uid="{5561FF76-B058-4D22-9374-730EA8F14259}"/>
    <cellStyle name="Normal 5 3 12 2" xfId="15432" xr:uid="{1E0050AA-4E46-471C-947C-4BE84BB6370A}"/>
    <cellStyle name="Normal 5 3 13" xfId="6313" xr:uid="{DDF56622-1E75-4FA4-8D54-B958998DEBC0}"/>
    <cellStyle name="Normal 5 3 13 2" xfId="16261" xr:uid="{90042D1F-A24D-4182-A908-DB214D9310ED}"/>
    <cellStyle name="Normal 5 3 14" xfId="7142" xr:uid="{F23336C1-BDA6-408C-9947-63DEFF2BB403}"/>
    <cellStyle name="Normal 5 3 14 2" xfId="17090" xr:uid="{C46FC063-56AA-4B55-A316-AF49152BDCE9}"/>
    <cellStyle name="Normal 5 3 15" xfId="7971" xr:uid="{6A51ABAC-4106-4DC8-A05C-7D414AD6D475}"/>
    <cellStyle name="Normal 5 3 15 2" xfId="17919" xr:uid="{0DC66159-9456-4012-B13E-A2BAD5D84FAC}"/>
    <cellStyle name="Normal 5 3 16" xfId="8800" xr:uid="{29683F07-9D0E-41C5-8A6F-6CD52C40E6F9}"/>
    <cellStyle name="Normal 5 3 16 2" xfId="18748" xr:uid="{DE082A78-FCFF-4AC3-A5DE-A0560E724AC3}"/>
    <cellStyle name="Normal 5 3 17" xfId="9629" xr:uid="{9E13832A-3F44-4C4D-99A7-46190E8A5EA1}"/>
    <cellStyle name="Normal 5 3 17 2" xfId="19577" xr:uid="{98261777-2321-48D2-AFE7-AF84C6CCA9DB}"/>
    <cellStyle name="Normal 5 3 18" xfId="10458" xr:uid="{13F29DF6-6765-4E09-BE5C-6EED0F9C4F6B}"/>
    <cellStyle name="Normal 5 3 18 2" xfId="20406" xr:uid="{8AE0782C-67DB-4E8E-9FDF-8C6E73D543B2}"/>
    <cellStyle name="Normal 5 3 19" xfId="1339" xr:uid="{BF7E334D-27C8-429F-833A-BB3A7F0BD4D2}"/>
    <cellStyle name="Normal 5 3 2" xfId="443" xr:uid="{00000000-0005-0000-0000-000014030000}"/>
    <cellStyle name="Normal 5 3 2 2" xfId="922" xr:uid="{00000000-0005-0000-0000-000015030000}"/>
    <cellStyle name="Normal 5 3 20" xfId="11287" xr:uid="{E01157DE-C27D-4975-844D-E74DA4DA1982}"/>
    <cellStyle name="Normal 5 3 3" xfId="444" xr:uid="{00000000-0005-0000-0000-000016030000}"/>
    <cellStyle name="Normal 5 3 3 10" xfId="5485" xr:uid="{97EB0CD9-4860-4CF0-B54C-B282987CA945}"/>
    <cellStyle name="Normal 5 3 3 10 2" xfId="15433" xr:uid="{2C2C992C-9F8F-4E02-A7DF-D3DC0BA48315}"/>
    <cellStyle name="Normal 5 3 3 11" xfId="6314" xr:uid="{F77F823A-6B69-421B-9E8E-AF95DE7442E0}"/>
    <cellStyle name="Normal 5 3 3 11 2" xfId="16262" xr:uid="{CAC4033B-6553-460E-A4EA-AA0F35B76974}"/>
    <cellStyle name="Normal 5 3 3 12" xfId="7143" xr:uid="{46271A10-8C86-41DF-95B2-A04829CDF04C}"/>
    <cellStyle name="Normal 5 3 3 12 2" xfId="17091" xr:uid="{83D3587B-1B11-405A-8432-117E010FBF97}"/>
    <cellStyle name="Normal 5 3 3 13" xfId="7972" xr:uid="{D73C13B9-111F-4859-88B7-31A6BBBCFB91}"/>
    <cellStyle name="Normal 5 3 3 13 2" xfId="17920" xr:uid="{CCAE1CDE-6691-4E18-8B8E-5107728A7F95}"/>
    <cellStyle name="Normal 5 3 3 14" xfId="8801" xr:uid="{9E089391-4DED-40D9-AB20-DBF416D3671B}"/>
    <cellStyle name="Normal 5 3 3 14 2" xfId="18749" xr:uid="{C1C12192-7044-47A3-A794-34EB6D6816D3}"/>
    <cellStyle name="Normal 5 3 3 15" xfId="9630" xr:uid="{8032938D-38CB-4D7A-9D97-D48D29D7F39B}"/>
    <cellStyle name="Normal 5 3 3 15 2" xfId="19578" xr:uid="{E6146CE8-CCD8-4853-B478-8E1EBA088A9B}"/>
    <cellStyle name="Normal 5 3 3 16" xfId="10459" xr:uid="{D7ED8AED-6AE7-45AA-9E4E-3F426645AC73}"/>
    <cellStyle name="Normal 5 3 3 16 2" xfId="20407" xr:uid="{BA5F054F-F8E0-4149-867F-370E89687C76}"/>
    <cellStyle name="Normal 5 3 3 17" xfId="1340" xr:uid="{E5B04E13-1F4E-405C-A253-63982BC15145}"/>
    <cellStyle name="Normal 5 3 3 18" xfId="11288" xr:uid="{21B8ABB9-8978-4F80-8D57-83DEFFCCCD15}"/>
    <cellStyle name="Normal 5 3 3 2" xfId="445" xr:uid="{00000000-0005-0000-0000-000017030000}"/>
    <cellStyle name="Normal 5 3 3 2 10" xfId="6315" xr:uid="{9083C4FF-1C85-42CE-BEB6-6276DF57D22F}"/>
    <cellStyle name="Normal 5 3 3 2 10 2" xfId="16263" xr:uid="{F63254CE-FCA8-4AEC-B85D-17119B12E7C1}"/>
    <cellStyle name="Normal 5 3 3 2 11" xfId="7144" xr:uid="{F957FE15-7B7F-44DD-AFC5-2A1136465F5A}"/>
    <cellStyle name="Normal 5 3 3 2 11 2" xfId="17092" xr:uid="{2C22C325-7996-4F64-97BB-17247E87E552}"/>
    <cellStyle name="Normal 5 3 3 2 12" xfId="7973" xr:uid="{43EF3433-6DF6-4A26-A9DA-19F893D44AEA}"/>
    <cellStyle name="Normal 5 3 3 2 12 2" xfId="17921" xr:uid="{9841A09A-DC44-478B-91FE-4B6BB9BD9A72}"/>
    <cellStyle name="Normal 5 3 3 2 13" xfId="8802" xr:uid="{56DE49B3-3885-4223-BDAB-17C1B7774B6F}"/>
    <cellStyle name="Normal 5 3 3 2 13 2" xfId="18750" xr:uid="{51E9B198-2376-4191-957D-0557AFEFA775}"/>
    <cellStyle name="Normal 5 3 3 2 14" xfId="9631" xr:uid="{9544D01D-C276-426E-B3BB-29145B30B668}"/>
    <cellStyle name="Normal 5 3 3 2 14 2" xfId="19579" xr:uid="{8096F2C4-F3DB-41F1-B3F1-E097D2A313F9}"/>
    <cellStyle name="Normal 5 3 3 2 15" xfId="10460" xr:uid="{A9D83B26-19D1-4604-8885-C5A529F421F7}"/>
    <cellStyle name="Normal 5 3 3 2 15 2" xfId="20408" xr:uid="{1E4F1B5B-2698-4FCF-AE6E-5DFB7F478BD7}"/>
    <cellStyle name="Normal 5 3 3 2 16" xfId="1341" xr:uid="{5F3DFA5C-F403-4A80-A2DA-41124863CB41}"/>
    <cellStyle name="Normal 5 3 3 2 17" xfId="11289" xr:uid="{F845D17B-5925-46DF-8C3D-8719009BAB89}"/>
    <cellStyle name="Normal 5 3 3 2 2" xfId="446" xr:uid="{00000000-0005-0000-0000-000018030000}"/>
    <cellStyle name="Normal 5 3 3 2 2 10" xfId="7145" xr:uid="{3679264B-303A-42F3-94F4-89329B5D59C0}"/>
    <cellStyle name="Normal 5 3 3 2 2 10 2" xfId="17093" xr:uid="{902355DF-0DFF-44D7-B14B-E30C97FAD172}"/>
    <cellStyle name="Normal 5 3 3 2 2 11" xfId="7974" xr:uid="{30C08E9F-7634-4328-B261-CA9E939B739F}"/>
    <cellStyle name="Normal 5 3 3 2 2 11 2" xfId="17922" xr:uid="{BA109A9C-9020-4D22-B6E6-0BCEBE9C314A}"/>
    <cellStyle name="Normal 5 3 3 2 2 12" xfId="8803" xr:uid="{9523E422-83D7-4746-A3A5-29DF245E628B}"/>
    <cellStyle name="Normal 5 3 3 2 2 12 2" xfId="18751" xr:uid="{353CAEC7-7E4D-4B7C-888D-EC64072C1755}"/>
    <cellStyle name="Normal 5 3 3 2 2 13" xfId="9632" xr:uid="{73575E16-B361-4614-AA09-525931DC57F1}"/>
    <cellStyle name="Normal 5 3 3 2 2 13 2" xfId="19580" xr:uid="{072DBA6E-C9D8-4CAE-942B-84CD35140D40}"/>
    <cellStyle name="Normal 5 3 3 2 2 14" xfId="10461" xr:uid="{60A57045-BA4C-42FF-AE2F-0B5BE1007565}"/>
    <cellStyle name="Normal 5 3 3 2 2 14 2" xfId="20409" xr:uid="{73B07D6D-43F6-4FF0-AEA8-311E21ACC0F3}"/>
    <cellStyle name="Normal 5 3 3 2 2 15" xfId="1342" xr:uid="{3F3A943A-0B45-4FDC-AFC9-D230C1525BF2}"/>
    <cellStyle name="Normal 5 3 3 2 2 16" xfId="11290" xr:uid="{9AC1A407-3F2D-4E0D-A5BE-DAE469854852}"/>
    <cellStyle name="Normal 5 3 3 2 2 2" xfId="447" xr:uid="{00000000-0005-0000-0000-000019030000}"/>
    <cellStyle name="Normal 5 3 3 2 2 2 10" xfId="7975" xr:uid="{519D7FC1-447D-4C3E-97AB-40E57D436AAB}"/>
    <cellStyle name="Normal 5 3 3 2 2 2 10 2" xfId="17923" xr:uid="{BADB7E8A-70E3-4A20-927F-2A8246F8B590}"/>
    <cellStyle name="Normal 5 3 3 2 2 2 11" xfId="8804" xr:uid="{0E15807C-A502-42D9-B34D-0561FD893DF9}"/>
    <cellStyle name="Normal 5 3 3 2 2 2 11 2" xfId="18752" xr:uid="{0E732ABA-2207-4926-B56F-F57165838AA5}"/>
    <cellStyle name="Normal 5 3 3 2 2 2 12" xfId="9633" xr:uid="{0E9F647B-2D36-43DE-8544-87CE0CCFD37B}"/>
    <cellStyle name="Normal 5 3 3 2 2 2 12 2" xfId="19581" xr:uid="{9C7A48D0-3079-44B0-A80A-DEBBC2C08567}"/>
    <cellStyle name="Normal 5 3 3 2 2 2 13" xfId="10462" xr:uid="{D536A0F7-10C5-454B-A088-416BF93EE131}"/>
    <cellStyle name="Normal 5 3 3 2 2 2 13 2" xfId="20410" xr:uid="{284A8B51-D9BA-4FCF-8E07-C01E8D7AD785}"/>
    <cellStyle name="Normal 5 3 3 2 2 2 14" xfId="1343" xr:uid="{B227F91E-DD1F-4959-8396-C3738A6AE065}"/>
    <cellStyle name="Normal 5 3 3 2 2 2 15" xfId="11291" xr:uid="{C236247C-601A-41A7-BB9B-07365A2CD91C}"/>
    <cellStyle name="Normal 5 3 3 2 2 2 2" xfId="926" xr:uid="{00000000-0005-0000-0000-00001A030000}"/>
    <cellStyle name="Normal 5 3 3 2 2 2 2 10" xfId="9220" xr:uid="{120E221B-72AF-40D6-B431-E697DFE3FB3C}"/>
    <cellStyle name="Normal 5 3 3 2 2 2 2 10 2" xfId="19168" xr:uid="{735F6C4C-1B01-460A-BE61-118F96848A40}"/>
    <cellStyle name="Normal 5 3 3 2 2 2 2 11" xfId="10049" xr:uid="{967B12FE-2597-4C51-AF20-03DA0550B907}"/>
    <cellStyle name="Normal 5 3 3 2 2 2 2 11 2" xfId="19997" xr:uid="{681DBE80-B1B9-4FC3-93A5-0DD6F00AB140}"/>
    <cellStyle name="Normal 5 3 3 2 2 2 2 12" xfId="10878" xr:uid="{7C9C0E46-4A6F-4B71-A3BE-12E8143F3964}"/>
    <cellStyle name="Normal 5 3 3 2 2 2 2 12 2" xfId="20826" xr:uid="{9E4498C0-8CB6-4A8F-9D78-DEC72B53E445}"/>
    <cellStyle name="Normal 5 3 3 2 2 2 2 13" xfId="1759" xr:uid="{5F8B3109-E6B1-4F13-900B-DA1A6351621A}"/>
    <cellStyle name="Normal 5 3 3 2 2 2 2 14" xfId="11707" xr:uid="{AFB9011B-CE02-46DC-8943-C095ED35A750}"/>
    <cellStyle name="Normal 5 3 3 2 2 2 2 2" xfId="2588" xr:uid="{E59D3FBC-1FCF-4D8F-BD6A-77A0E0BB500E}"/>
    <cellStyle name="Normal 5 3 3 2 2 2 2 2 2" xfId="12536" xr:uid="{52CEBF41-1C7C-4402-B02E-10598D860C48}"/>
    <cellStyle name="Normal 5 3 3 2 2 2 2 3" xfId="3417" xr:uid="{234CE36F-8AE8-4B80-B7D2-F7EB6EF322C5}"/>
    <cellStyle name="Normal 5 3 3 2 2 2 2 3 2" xfId="13365" xr:uid="{592F6ACE-8656-4B9C-8630-11D0244E344A}"/>
    <cellStyle name="Normal 5 3 3 2 2 2 2 4" xfId="4246" xr:uid="{44FD8AB5-48B0-4716-B71A-85AEA718060D}"/>
    <cellStyle name="Normal 5 3 3 2 2 2 2 4 2" xfId="14194" xr:uid="{798D3341-C054-43BB-A3CA-B26513CA952F}"/>
    <cellStyle name="Normal 5 3 3 2 2 2 2 5" xfId="5075" xr:uid="{BB221B8E-AFC5-4048-BC89-990BD5A954BE}"/>
    <cellStyle name="Normal 5 3 3 2 2 2 2 5 2" xfId="15023" xr:uid="{7EDC6307-4B8C-4279-A631-B721A8278A13}"/>
    <cellStyle name="Normal 5 3 3 2 2 2 2 6" xfId="5904" xr:uid="{684C8533-ED46-4FAC-9F49-678A73B91031}"/>
    <cellStyle name="Normal 5 3 3 2 2 2 2 6 2" xfId="15852" xr:uid="{394AF736-148E-4341-8481-B2A5DE50C446}"/>
    <cellStyle name="Normal 5 3 3 2 2 2 2 7" xfId="6733" xr:uid="{9DC70352-5D57-477C-8416-597E41BB4BF7}"/>
    <cellStyle name="Normal 5 3 3 2 2 2 2 7 2" xfId="16681" xr:uid="{E06E6B9D-C73C-4503-B043-E7C1530A3FC3}"/>
    <cellStyle name="Normal 5 3 3 2 2 2 2 8" xfId="7562" xr:uid="{D747F4E2-CD47-473F-88F9-185AD54F2B43}"/>
    <cellStyle name="Normal 5 3 3 2 2 2 2 8 2" xfId="17510" xr:uid="{2D7B5E7E-4DEF-4A9F-8456-09510AF43E9B}"/>
    <cellStyle name="Normal 5 3 3 2 2 2 2 9" xfId="8391" xr:uid="{53AD7690-1221-49B1-8E05-D28529DE2040}"/>
    <cellStyle name="Normal 5 3 3 2 2 2 2 9 2" xfId="18339" xr:uid="{667EA5DE-9790-4710-B100-F718C906F4E6}"/>
    <cellStyle name="Normal 5 3 3 2 2 2 3" xfId="2172" xr:uid="{801DFEC0-1B50-4322-AA1C-E83CC9155CF7}"/>
    <cellStyle name="Normal 5 3 3 2 2 2 3 2" xfId="12120" xr:uid="{891166CF-67E3-4AF2-B83E-E746482A8E5C}"/>
    <cellStyle name="Normal 5 3 3 2 2 2 4" xfId="3001" xr:uid="{57A936FC-1004-4618-B590-ECB25460AA54}"/>
    <cellStyle name="Normal 5 3 3 2 2 2 4 2" xfId="12949" xr:uid="{43A9AFD1-EA20-47B2-8C40-0DA0989BCAA6}"/>
    <cellStyle name="Normal 5 3 3 2 2 2 5" xfId="3830" xr:uid="{4C21AD85-BBE0-484F-9C39-BBF6AD404778}"/>
    <cellStyle name="Normal 5 3 3 2 2 2 5 2" xfId="13778" xr:uid="{51684E4D-2870-48C1-97EF-223A7698216B}"/>
    <cellStyle name="Normal 5 3 3 2 2 2 6" xfId="4659" xr:uid="{3E5CE762-1982-449E-90E3-4CD1767A24C6}"/>
    <cellStyle name="Normal 5 3 3 2 2 2 6 2" xfId="14607" xr:uid="{8D872A4E-915B-4FEE-BDB7-7852402CDCF2}"/>
    <cellStyle name="Normal 5 3 3 2 2 2 7" xfId="5488" xr:uid="{3BAD8B64-0A22-4BB2-919C-640622DF1771}"/>
    <cellStyle name="Normal 5 3 3 2 2 2 7 2" xfId="15436" xr:uid="{413DBDBE-BAB8-4CC0-A223-A5FD207A7218}"/>
    <cellStyle name="Normal 5 3 3 2 2 2 8" xfId="6317" xr:uid="{E1BDB787-1B88-4C56-832B-8178F27CEB74}"/>
    <cellStyle name="Normal 5 3 3 2 2 2 8 2" xfId="16265" xr:uid="{AA5CD4E3-077A-41CC-AF7D-80D114DEEE43}"/>
    <cellStyle name="Normal 5 3 3 2 2 2 9" xfId="7146" xr:uid="{960583E5-9E94-438A-99F7-5C6F9B609460}"/>
    <cellStyle name="Normal 5 3 3 2 2 2 9 2" xfId="17094" xr:uid="{240F840B-877D-461A-9625-7C2C4AE7FB5D}"/>
    <cellStyle name="Normal 5 3 3 2 2 3" xfId="925" xr:uid="{00000000-0005-0000-0000-00001B030000}"/>
    <cellStyle name="Normal 5 3 3 2 2 3 10" xfId="9219" xr:uid="{AE396070-5DFB-4A98-9075-DA9210BBC3FD}"/>
    <cellStyle name="Normal 5 3 3 2 2 3 10 2" xfId="19167" xr:uid="{881ADC02-D1D5-49E9-BA5D-B7EA2DA9C5E8}"/>
    <cellStyle name="Normal 5 3 3 2 2 3 11" xfId="10048" xr:uid="{B28F5014-D640-41DE-AD88-EA89C0F1A9C8}"/>
    <cellStyle name="Normal 5 3 3 2 2 3 11 2" xfId="19996" xr:uid="{F7200B10-601A-4010-9CD8-AE0BBDB8875E}"/>
    <cellStyle name="Normal 5 3 3 2 2 3 12" xfId="10877" xr:uid="{936E249B-BCAB-4777-BAAD-6FC914975864}"/>
    <cellStyle name="Normal 5 3 3 2 2 3 12 2" xfId="20825" xr:uid="{FC8460B2-8D37-420E-A45D-D6BC5C163C5D}"/>
    <cellStyle name="Normal 5 3 3 2 2 3 13" xfId="1758" xr:uid="{C1CDE5A8-5A5F-48B3-8BBF-B02DE330A015}"/>
    <cellStyle name="Normal 5 3 3 2 2 3 14" xfId="11706" xr:uid="{DADFEE91-0499-43B4-A292-EF63CE6100B2}"/>
    <cellStyle name="Normal 5 3 3 2 2 3 2" xfId="2587" xr:uid="{2060977C-FEE4-4895-A920-D98266A5B01D}"/>
    <cellStyle name="Normal 5 3 3 2 2 3 2 2" xfId="12535" xr:uid="{00EF07CF-EBF0-48E0-BD3D-E9B240F5CBA3}"/>
    <cellStyle name="Normal 5 3 3 2 2 3 3" xfId="3416" xr:uid="{436A0F23-48FC-47BC-A0F5-5550123D187E}"/>
    <cellStyle name="Normal 5 3 3 2 2 3 3 2" xfId="13364" xr:uid="{566E6D21-C7FE-4681-B9E3-1CBCD9D42959}"/>
    <cellStyle name="Normal 5 3 3 2 2 3 4" xfId="4245" xr:uid="{AA2C67E1-B208-4EC7-80A0-19FAA66E5347}"/>
    <cellStyle name="Normal 5 3 3 2 2 3 4 2" xfId="14193" xr:uid="{4086D385-5297-424E-BF1F-728D7A4FE3AF}"/>
    <cellStyle name="Normal 5 3 3 2 2 3 5" xfId="5074" xr:uid="{E52468DD-6D4E-41E4-9410-2F92689BB80A}"/>
    <cellStyle name="Normal 5 3 3 2 2 3 5 2" xfId="15022" xr:uid="{E9B27C73-6462-496D-BE57-247890727BF8}"/>
    <cellStyle name="Normal 5 3 3 2 2 3 6" xfId="5903" xr:uid="{922ACD21-3410-407C-9020-8A27A45C662F}"/>
    <cellStyle name="Normal 5 3 3 2 2 3 6 2" xfId="15851" xr:uid="{6100D0A9-ECFD-4464-A135-794CE23E0762}"/>
    <cellStyle name="Normal 5 3 3 2 2 3 7" xfId="6732" xr:uid="{18A48502-DFAF-40D1-A15D-7125EB405E55}"/>
    <cellStyle name="Normal 5 3 3 2 2 3 7 2" xfId="16680" xr:uid="{6B2C9AE8-EF5F-492C-B0AB-9CFBCFF8046E}"/>
    <cellStyle name="Normal 5 3 3 2 2 3 8" xfId="7561" xr:uid="{E7825D3D-C245-434B-B927-67D54ADD6C00}"/>
    <cellStyle name="Normal 5 3 3 2 2 3 8 2" xfId="17509" xr:uid="{FE809F65-2E33-4794-B90A-484984BCFA06}"/>
    <cellStyle name="Normal 5 3 3 2 2 3 9" xfId="8390" xr:uid="{44CA282F-F22A-4CE2-9A48-609C77FF0067}"/>
    <cellStyle name="Normal 5 3 3 2 2 3 9 2" xfId="18338" xr:uid="{B87C838E-C3C5-4F4F-8BBA-FF7DF080BA11}"/>
    <cellStyle name="Normal 5 3 3 2 2 4" xfId="2171" xr:uid="{0A0C128F-7B30-415C-B401-CF2952032DAE}"/>
    <cellStyle name="Normal 5 3 3 2 2 4 2" xfId="12119" xr:uid="{4B464BD6-7CA0-4677-8BAB-0DC35EA37C02}"/>
    <cellStyle name="Normal 5 3 3 2 2 5" xfId="3000" xr:uid="{F33A426D-7F74-48D0-958F-6CE94C9C2EF1}"/>
    <cellStyle name="Normal 5 3 3 2 2 5 2" xfId="12948" xr:uid="{66388BE5-BAB5-4040-813A-6CFB70F7E96D}"/>
    <cellStyle name="Normal 5 3 3 2 2 6" xfId="3829" xr:uid="{8E682276-A4FC-4260-8607-BBB2A08FDD2D}"/>
    <cellStyle name="Normal 5 3 3 2 2 6 2" xfId="13777" xr:uid="{3B3D11D1-DFB6-445D-AC67-01F6CBA0B98F}"/>
    <cellStyle name="Normal 5 3 3 2 2 7" xfId="4658" xr:uid="{15A574B1-ECDA-4EEC-9755-6D678E1C9CD5}"/>
    <cellStyle name="Normal 5 3 3 2 2 7 2" xfId="14606" xr:uid="{B4C27248-27A3-4496-95E2-F2966B25EA31}"/>
    <cellStyle name="Normal 5 3 3 2 2 8" xfId="5487" xr:uid="{E8F510A1-E506-4169-9BD2-862416B584B6}"/>
    <cellStyle name="Normal 5 3 3 2 2 8 2" xfId="15435" xr:uid="{8760EB78-C98E-4157-AE13-0FCF5E9CDBC3}"/>
    <cellStyle name="Normal 5 3 3 2 2 9" xfId="6316" xr:uid="{286CBCDA-F1FB-4CC3-BF36-5CCBB114A379}"/>
    <cellStyle name="Normal 5 3 3 2 2 9 2" xfId="16264" xr:uid="{2DB3B08F-FD24-4886-A152-C17F03A09F5D}"/>
    <cellStyle name="Normal 5 3 3 2 3" xfId="448" xr:uid="{00000000-0005-0000-0000-00001C030000}"/>
    <cellStyle name="Normal 5 3 3 2 3 10" xfId="7976" xr:uid="{5EFF5EE0-7B4D-41A8-83D0-EE412C2892BC}"/>
    <cellStyle name="Normal 5 3 3 2 3 10 2" xfId="17924" xr:uid="{21E45324-2A13-415B-A488-A9FAFBBC1423}"/>
    <cellStyle name="Normal 5 3 3 2 3 11" xfId="8805" xr:uid="{894BEDE6-251B-4BE8-97E0-4F09E6910354}"/>
    <cellStyle name="Normal 5 3 3 2 3 11 2" xfId="18753" xr:uid="{B9FB196D-8340-493C-95EF-4DEEBD75E6FE}"/>
    <cellStyle name="Normal 5 3 3 2 3 12" xfId="9634" xr:uid="{E420D136-7B40-4ACB-BE34-D908AE654F48}"/>
    <cellStyle name="Normal 5 3 3 2 3 12 2" xfId="19582" xr:uid="{929D655D-A157-43F6-8ABB-DD5C82945E47}"/>
    <cellStyle name="Normal 5 3 3 2 3 13" xfId="10463" xr:uid="{0A0AF24D-0852-48AD-A149-3833693D5820}"/>
    <cellStyle name="Normal 5 3 3 2 3 13 2" xfId="20411" xr:uid="{BB52C237-BB49-461A-8E79-0D03FEE45ECC}"/>
    <cellStyle name="Normal 5 3 3 2 3 14" xfId="1344" xr:uid="{8BF71F81-6B33-4B93-9107-34737B8DEB1B}"/>
    <cellStyle name="Normal 5 3 3 2 3 15" xfId="11292" xr:uid="{61ACBE23-B24A-4966-A53D-81F9D0506166}"/>
    <cellStyle name="Normal 5 3 3 2 3 2" xfId="927" xr:uid="{00000000-0005-0000-0000-00001D030000}"/>
    <cellStyle name="Normal 5 3 3 2 3 2 10" xfId="9221" xr:uid="{C8E667FD-F861-4106-82AF-DBB2D1CA859F}"/>
    <cellStyle name="Normal 5 3 3 2 3 2 10 2" xfId="19169" xr:uid="{0B44FB9C-461A-45F7-BA9D-FDEFD3342CBA}"/>
    <cellStyle name="Normal 5 3 3 2 3 2 11" xfId="10050" xr:uid="{896584DC-04D5-465E-A759-F52BD8D90217}"/>
    <cellStyle name="Normal 5 3 3 2 3 2 11 2" xfId="19998" xr:uid="{7F732A52-1DCD-4CD0-880C-AE50C412E3BC}"/>
    <cellStyle name="Normal 5 3 3 2 3 2 12" xfId="10879" xr:uid="{B51C26EE-564A-45BA-A955-F5042F27F765}"/>
    <cellStyle name="Normal 5 3 3 2 3 2 12 2" xfId="20827" xr:uid="{9659C17D-25FD-428C-915B-EC2B4ACFA45F}"/>
    <cellStyle name="Normal 5 3 3 2 3 2 13" xfId="1760" xr:uid="{875281E9-9734-404E-9ACB-81952B1FE3EE}"/>
    <cellStyle name="Normal 5 3 3 2 3 2 14" xfId="11708" xr:uid="{28049C7D-670A-4060-BB58-B34A5A363304}"/>
    <cellStyle name="Normal 5 3 3 2 3 2 2" xfId="2589" xr:uid="{5293BAE7-6878-4E7E-881B-3C8257D061B2}"/>
    <cellStyle name="Normal 5 3 3 2 3 2 2 2" xfId="12537" xr:uid="{785FAD4D-44D5-490C-AFB1-55AC7C8B7ADB}"/>
    <cellStyle name="Normal 5 3 3 2 3 2 3" xfId="3418" xr:uid="{7EA35114-C763-4F2B-9862-FFF179EDBE39}"/>
    <cellStyle name="Normal 5 3 3 2 3 2 3 2" xfId="13366" xr:uid="{8A65A708-93DF-4386-A93E-36FDCCE1F12F}"/>
    <cellStyle name="Normal 5 3 3 2 3 2 4" xfId="4247" xr:uid="{7213589A-2EC7-47AC-80FC-DA5127D54F81}"/>
    <cellStyle name="Normal 5 3 3 2 3 2 4 2" xfId="14195" xr:uid="{B3D2C087-4866-4347-9D11-7223C4D396E8}"/>
    <cellStyle name="Normal 5 3 3 2 3 2 5" xfId="5076" xr:uid="{AF87CDE1-C5AA-4FB5-9517-0A2C6BD2741A}"/>
    <cellStyle name="Normal 5 3 3 2 3 2 5 2" xfId="15024" xr:uid="{D94D24FA-0DDF-46C7-8948-9842A11FC477}"/>
    <cellStyle name="Normal 5 3 3 2 3 2 6" xfId="5905" xr:uid="{BBBDF048-85D6-4389-892B-99E36EE18115}"/>
    <cellStyle name="Normal 5 3 3 2 3 2 6 2" xfId="15853" xr:uid="{BE902C94-25E1-4AD6-8827-1168DA6C7CB3}"/>
    <cellStyle name="Normal 5 3 3 2 3 2 7" xfId="6734" xr:uid="{6028928F-9148-418F-A8E7-DAB622F27DA9}"/>
    <cellStyle name="Normal 5 3 3 2 3 2 7 2" xfId="16682" xr:uid="{89FDCFD5-E056-4699-B057-8E05DD51C8DC}"/>
    <cellStyle name="Normal 5 3 3 2 3 2 8" xfId="7563" xr:uid="{2E005646-BFCB-4318-AC0E-EBA63A7094F6}"/>
    <cellStyle name="Normal 5 3 3 2 3 2 8 2" xfId="17511" xr:uid="{C189A55F-E4FB-45A3-8D5A-CFE5ABC0289D}"/>
    <cellStyle name="Normal 5 3 3 2 3 2 9" xfId="8392" xr:uid="{BF8216E8-040A-4D26-8E44-5682582687C3}"/>
    <cellStyle name="Normal 5 3 3 2 3 2 9 2" xfId="18340" xr:uid="{820C6DA5-A314-4809-9BC8-7455A64616B0}"/>
    <cellStyle name="Normal 5 3 3 2 3 3" xfId="2173" xr:uid="{DACEA9FF-A892-4D46-8A63-2C951906499D}"/>
    <cellStyle name="Normal 5 3 3 2 3 3 2" xfId="12121" xr:uid="{31567CA5-4277-4F2D-AF8F-67511DA68D45}"/>
    <cellStyle name="Normal 5 3 3 2 3 4" xfId="3002" xr:uid="{CB0C1E29-5092-4319-B213-E3C3A528465C}"/>
    <cellStyle name="Normal 5 3 3 2 3 4 2" xfId="12950" xr:uid="{99B27D92-3A04-42B0-8DCC-E894521CB0B8}"/>
    <cellStyle name="Normal 5 3 3 2 3 5" xfId="3831" xr:uid="{15B39365-0ED1-4591-9864-C4C13740028F}"/>
    <cellStyle name="Normal 5 3 3 2 3 5 2" xfId="13779" xr:uid="{CCB00FAC-FF82-4746-892C-3AABA164DC65}"/>
    <cellStyle name="Normal 5 3 3 2 3 6" xfId="4660" xr:uid="{40FE85DF-FF32-424F-9691-45FF7234DC0D}"/>
    <cellStyle name="Normal 5 3 3 2 3 6 2" xfId="14608" xr:uid="{72E338C8-C07E-4154-8F5A-D25AE1C8575B}"/>
    <cellStyle name="Normal 5 3 3 2 3 7" xfId="5489" xr:uid="{CC5872A5-5879-4AF4-8286-85EFD486509E}"/>
    <cellStyle name="Normal 5 3 3 2 3 7 2" xfId="15437" xr:uid="{33EC6E3B-E956-43DA-9456-7D6EA52C7466}"/>
    <cellStyle name="Normal 5 3 3 2 3 8" xfId="6318" xr:uid="{B3391717-2CED-46EF-9AA6-C8BB52C00429}"/>
    <cellStyle name="Normal 5 3 3 2 3 8 2" xfId="16266" xr:uid="{978FDFEE-10CC-488E-93F2-BE8D2CDEA768}"/>
    <cellStyle name="Normal 5 3 3 2 3 9" xfId="7147" xr:uid="{B6775205-3CC9-418F-917A-AB1AD689D252}"/>
    <cellStyle name="Normal 5 3 3 2 3 9 2" xfId="17095" xr:uid="{2C10587E-5119-4E52-979C-5C14EBCCEC02}"/>
    <cellStyle name="Normal 5 3 3 2 4" xfId="924" xr:uid="{00000000-0005-0000-0000-00001E030000}"/>
    <cellStyle name="Normal 5 3 3 2 4 10" xfId="9218" xr:uid="{CB92ECD2-44A0-4E0F-83F1-C85CB4080EDF}"/>
    <cellStyle name="Normal 5 3 3 2 4 10 2" xfId="19166" xr:uid="{2D129048-6A37-43AD-8DCB-49512C9EF13F}"/>
    <cellStyle name="Normal 5 3 3 2 4 11" xfId="10047" xr:uid="{144C7937-6886-4E94-A064-A9FF69F2DC71}"/>
    <cellStyle name="Normal 5 3 3 2 4 11 2" xfId="19995" xr:uid="{01B45AA7-88DF-4A63-B995-F2CB1B9D15DB}"/>
    <cellStyle name="Normal 5 3 3 2 4 12" xfId="10876" xr:uid="{6B26604D-828B-485D-A741-35B6BEC18098}"/>
    <cellStyle name="Normal 5 3 3 2 4 12 2" xfId="20824" xr:uid="{F62DC69F-6F23-4B4F-A7B2-5BDC0CD7E98D}"/>
    <cellStyle name="Normal 5 3 3 2 4 13" xfId="1757" xr:uid="{83ECF40E-F782-411F-8106-5FAE78916C3F}"/>
    <cellStyle name="Normal 5 3 3 2 4 14" xfId="11705" xr:uid="{CF7E4330-812A-408A-AADE-C6A548BEF732}"/>
    <cellStyle name="Normal 5 3 3 2 4 2" xfId="2586" xr:uid="{E5E96A3A-929B-40D3-8C75-9EFBDCB471FD}"/>
    <cellStyle name="Normal 5 3 3 2 4 2 2" xfId="12534" xr:uid="{5F5F439F-A2A1-418B-846C-E1D65A928396}"/>
    <cellStyle name="Normal 5 3 3 2 4 3" xfId="3415" xr:uid="{57E452B1-6AA5-4E91-B998-774FA54857C1}"/>
    <cellStyle name="Normal 5 3 3 2 4 3 2" xfId="13363" xr:uid="{98EF5B7C-2787-414A-9E93-0737D7A71F95}"/>
    <cellStyle name="Normal 5 3 3 2 4 4" xfId="4244" xr:uid="{B46035EA-5572-4088-9E71-1468FC74ED2E}"/>
    <cellStyle name="Normal 5 3 3 2 4 4 2" xfId="14192" xr:uid="{43B94B72-6CB5-4BC0-A8C9-C1C8EA61C729}"/>
    <cellStyle name="Normal 5 3 3 2 4 5" xfId="5073" xr:uid="{E7DAAE53-D77E-4650-B94B-D8D7473DFC22}"/>
    <cellStyle name="Normal 5 3 3 2 4 5 2" xfId="15021" xr:uid="{E7ABDEE8-EF5C-4FEF-AC2C-F0728611CB44}"/>
    <cellStyle name="Normal 5 3 3 2 4 6" xfId="5902" xr:uid="{80BBC420-8C6D-471D-84DA-DBC0F33C789F}"/>
    <cellStyle name="Normal 5 3 3 2 4 6 2" xfId="15850" xr:uid="{CF63728E-BBEC-48A6-A905-D26C4294CED1}"/>
    <cellStyle name="Normal 5 3 3 2 4 7" xfId="6731" xr:uid="{F0D53A2F-BEE1-4961-BA6D-1BEC4B790D07}"/>
    <cellStyle name="Normal 5 3 3 2 4 7 2" xfId="16679" xr:uid="{8763448A-4A6E-4892-A0CD-A0A72A7269BD}"/>
    <cellStyle name="Normal 5 3 3 2 4 8" xfId="7560" xr:uid="{94EF9D7C-3B9B-4B05-B977-A5A6FE78AF9F}"/>
    <cellStyle name="Normal 5 3 3 2 4 8 2" xfId="17508" xr:uid="{9CF1B059-3613-46A0-A026-EADAB0081E18}"/>
    <cellStyle name="Normal 5 3 3 2 4 9" xfId="8389" xr:uid="{D8ECE36C-5732-4D2D-A734-F9D8D2E2C6CA}"/>
    <cellStyle name="Normal 5 3 3 2 4 9 2" xfId="18337" xr:uid="{55BE24E7-3B45-431A-B032-6CC616C4E9B3}"/>
    <cellStyle name="Normal 5 3 3 2 5" xfId="2170" xr:uid="{4FDBE8CB-12B4-470B-B7CB-71D254B3B6A2}"/>
    <cellStyle name="Normal 5 3 3 2 5 2" xfId="12118" xr:uid="{6064DCFB-51D7-4B2A-A87C-76727D82C952}"/>
    <cellStyle name="Normal 5 3 3 2 6" xfId="2999" xr:uid="{1793164A-9B41-46DF-B28D-A326CD5DADB0}"/>
    <cellStyle name="Normal 5 3 3 2 6 2" xfId="12947" xr:uid="{DC6C7655-CBAB-437B-A28C-9A0C2FA6E44D}"/>
    <cellStyle name="Normal 5 3 3 2 7" xfId="3828" xr:uid="{6CCCE914-C20B-4202-B452-51F744BBB223}"/>
    <cellStyle name="Normal 5 3 3 2 7 2" xfId="13776" xr:uid="{D2575CAF-DE9A-4A04-9B41-9ACFBC4E0DF6}"/>
    <cellStyle name="Normal 5 3 3 2 8" xfId="4657" xr:uid="{D585DA6C-3908-4035-9B85-7F74F63FB587}"/>
    <cellStyle name="Normal 5 3 3 2 8 2" xfId="14605" xr:uid="{31EABE37-1C0E-44D5-AD12-E4E03464039B}"/>
    <cellStyle name="Normal 5 3 3 2 9" xfId="5486" xr:uid="{E8CE2F2F-8CCD-47FC-A2DF-D429E992EC7D}"/>
    <cellStyle name="Normal 5 3 3 2 9 2" xfId="15434" xr:uid="{6D6436BA-925F-45D5-8ACC-89F8702692A0}"/>
    <cellStyle name="Normal 5 3 3 3" xfId="449" xr:uid="{00000000-0005-0000-0000-00001F030000}"/>
    <cellStyle name="Normal 5 3 3 3 10" xfId="7148" xr:uid="{E1F45EA9-6112-4720-9FE1-B2C2F0F112AB}"/>
    <cellStyle name="Normal 5 3 3 3 10 2" xfId="17096" xr:uid="{9007AF2D-81B3-4CC7-B823-F082E1463DFA}"/>
    <cellStyle name="Normal 5 3 3 3 11" xfId="7977" xr:uid="{473A0654-C4E3-44A5-A10D-2C2FFB74094E}"/>
    <cellStyle name="Normal 5 3 3 3 11 2" xfId="17925" xr:uid="{520ACE3A-81B3-4E6A-87F1-58AAC215AF2F}"/>
    <cellStyle name="Normal 5 3 3 3 12" xfId="8806" xr:uid="{5A43B6C1-B0A3-4950-B975-B7328CFE90DB}"/>
    <cellStyle name="Normal 5 3 3 3 12 2" xfId="18754" xr:uid="{6D39537F-9C61-48B0-B20C-EC858FC432FB}"/>
    <cellStyle name="Normal 5 3 3 3 13" xfId="9635" xr:uid="{4F90DB0E-3CBE-4930-8408-91A3F9E0BB4E}"/>
    <cellStyle name="Normal 5 3 3 3 13 2" xfId="19583" xr:uid="{2E1CF532-E11E-4D1E-9BD2-47952F906C63}"/>
    <cellStyle name="Normal 5 3 3 3 14" xfId="10464" xr:uid="{8D2C9642-9612-4625-9B14-670A73C280FD}"/>
    <cellStyle name="Normal 5 3 3 3 14 2" xfId="20412" xr:uid="{1126C27B-56B3-457D-B117-77AD25D8CFB6}"/>
    <cellStyle name="Normal 5 3 3 3 15" xfId="1345" xr:uid="{4D3204F5-F7E2-413B-AD2D-3EA59A9834AD}"/>
    <cellStyle name="Normal 5 3 3 3 16" xfId="11293" xr:uid="{09CBC658-5C32-485C-BC41-A358AA68726A}"/>
    <cellStyle name="Normal 5 3 3 3 2" xfId="450" xr:uid="{00000000-0005-0000-0000-000020030000}"/>
    <cellStyle name="Normal 5 3 3 3 2 10" xfId="7978" xr:uid="{8BC77618-B569-4B8E-9CD4-E9A534757A7B}"/>
    <cellStyle name="Normal 5 3 3 3 2 10 2" xfId="17926" xr:uid="{E186BB80-F638-4C71-B4C7-90214FA61FA9}"/>
    <cellStyle name="Normal 5 3 3 3 2 11" xfId="8807" xr:uid="{7C55E21C-2782-4FCA-9C83-4D58279A00EA}"/>
    <cellStyle name="Normal 5 3 3 3 2 11 2" xfId="18755" xr:uid="{9AC18889-BFF5-43C0-96D9-935C34E4FD4B}"/>
    <cellStyle name="Normal 5 3 3 3 2 12" xfId="9636" xr:uid="{1FE4A5FC-63A5-431F-9925-C3F8CF427FE7}"/>
    <cellStyle name="Normal 5 3 3 3 2 12 2" xfId="19584" xr:uid="{8CC89929-07C5-4B0C-8E90-8B9D9827B39F}"/>
    <cellStyle name="Normal 5 3 3 3 2 13" xfId="10465" xr:uid="{A67A6961-F9B3-4A7D-B4C1-39E89F16985E}"/>
    <cellStyle name="Normal 5 3 3 3 2 13 2" xfId="20413" xr:uid="{34D16520-C3F9-4BE3-98B6-73E67DCCCD2F}"/>
    <cellStyle name="Normal 5 3 3 3 2 14" xfId="1346" xr:uid="{2B5CAE2A-7B54-42E4-90A8-394AF0B4724F}"/>
    <cellStyle name="Normal 5 3 3 3 2 15" xfId="11294" xr:uid="{0ED3D58D-8213-4BFD-9C3C-98890085F3BE}"/>
    <cellStyle name="Normal 5 3 3 3 2 2" xfId="929" xr:uid="{00000000-0005-0000-0000-000021030000}"/>
    <cellStyle name="Normal 5 3 3 3 2 2 10" xfId="9223" xr:uid="{C217E8CC-CFC9-4D6A-B244-3B875BAB4BF5}"/>
    <cellStyle name="Normal 5 3 3 3 2 2 10 2" xfId="19171" xr:uid="{72832EB0-93EE-4027-8BE5-CB0D771EFE7E}"/>
    <cellStyle name="Normal 5 3 3 3 2 2 11" xfId="10052" xr:uid="{93C1AD30-503E-44E7-9A6D-92C073A1AD19}"/>
    <cellStyle name="Normal 5 3 3 3 2 2 11 2" xfId="20000" xr:uid="{DA08F369-6595-467B-8BA2-40C444CB3FBE}"/>
    <cellStyle name="Normal 5 3 3 3 2 2 12" xfId="10881" xr:uid="{C0294F4A-FC73-4419-8F16-1AA01E685771}"/>
    <cellStyle name="Normal 5 3 3 3 2 2 12 2" xfId="20829" xr:uid="{C3CFE881-91D0-4DED-83F7-CD3D40BB83F8}"/>
    <cellStyle name="Normal 5 3 3 3 2 2 13" xfId="1762" xr:uid="{A6B09191-281E-499D-92CC-70DBEFAC925D}"/>
    <cellStyle name="Normal 5 3 3 3 2 2 14" xfId="11710" xr:uid="{3E8E72BD-A36A-45BF-A2AB-37967C814056}"/>
    <cellStyle name="Normal 5 3 3 3 2 2 2" xfId="2591" xr:uid="{1791BA09-5ECA-41AD-8C1E-C9F5B242894C}"/>
    <cellStyle name="Normal 5 3 3 3 2 2 2 2" xfId="12539" xr:uid="{0627B121-C526-49E9-8ABC-9385BACF3D9F}"/>
    <cellStyle name="Normal 5 3 3 3 2 2 3" xfId="3420" xr:uid="{05871CC5-19D3-4208-9CB9-9042BA0A3898}"/>
    <cellStyle name="Normal 5 3 3 3 2 2 3 2" xfId="13368" xr:uid="{DD3976AD-D68B-41D6-9F09-8EFCA8EFC81A}"/>
    <cellStyle name="Normal 5 3 3 3 2 2 4" xfId="4249" xr:uid="{5321115D-D178-4143-81AA-52573344B35E}"/>
    <cellStyle name="Normal 5 3 3 3 2 2 4 2" xfId="14197" xr:uid="{E71A2A82-7B1A-4ADC-BA42-FA8E3751A90F}"/>
    <cellStyle name="Normal 5 3 3 3 2 2 5" xfId="5078" xr:uid="{D5C65E55-FF71-4B9D-85C0-E80430738101}"/>
    <cellStyle name="Normal 5 3 3 3 2 2 5 2" xfId="15026" xr:uid="{6A2DB052-4A03-45D9-B5C7-B0D834C4131B}"/>
    <cellStyle name="Normal 5 3 3 3 2 2 6" xfId="5907" xr:uid="{6C469A29-5AAC-47FF-860F-C5646B2C58FD}"/>
    <cellStyle name="Normal 5 3 3 3 2 2 6 2" xfId="15855" xr:uid="{341A384B-347C-4090-897B-EA8AB6174D62}"/>
    <cellStyle name="Normal 5 3 3 3 2 2 7" xfId="6736" xr:uid="{B1B6DDE0-8B71-4AC3-82F5-035DC703B0DC}"/>
    <cellStyle name="Normal 5 3 3 3 2 2 7 2" xfId="16684" xr:uid="{C3ED6952-C339-40E5-BCC0-84EA85B7C5DA}"/>
    <cellStyle name="Normal 5 3 3 3 2 2 8" xfId="7565" xr:uid="{391F41EE-0498-4A2D-975E-F460AB7B8237}"/>
    <cellStyle name="Normal 5 3 3 3 2 2 8 2" xfId="17513" xr:uid="{60075F53-7093-4122-A3F5-C8EAD1C31517}"/>
    <cellStyle name="Normal 5 3 3 3 2 2 9" xfId="8394" xr:uid="{C9CBFEA3-D906-4BEA-A58A-FF9F1F09A1F7}"/>
    <cellStyle name="Normal 5 3 3 3 2 2 9 2" xfId="18342" xr:uid="{C530FF82-4677-41FB-A5D0-4ED4CDBF36F0}"/>
    <cellStyle name="Normal 5 3 3 3 2 3" xfId="2175" xr:uid="{D5AF90E0-F4EF-47F6-9EE0-C61719BB555D}"/>
    <cellStyle name="Normal 5 3 3 3 2 3 2" xfId="12123" xr:uid="{2D6BB15C-6A2C-4684-8E00-965AD61BC47A}"/>
    <cellStyle name="Normal 5 3 3 3 2 4" xfId="3004" xr:uid="{95361427-B11A-4DBF-B500-5BA7825CA275}"/>
    <cellStyle name="Normal 5 3 3 3 2 4 2" xfId="12952" xr:uid="{43421C2A-1E2B-420F-94AD-76D0CD707B29}"/>
    <cellStyle name="Normal 5 3 3 3 2 5" xfId="3833" xr:uid="{676D6A15-DEF5-4D5D-A291-FFAC9FF40EFB}"/>
    <cellStyle name="Normal 5 3 3 3 2 5 2" xfId="13781" xr:uid="{436E4CDD-AD8D-41D6-8EE6-5633DA0F8B66}"/>
    <cellStyle name="Normal 5 3 3 3 2 6" xfId="4662" xr:uid="{49C9253C-5DDE-4255-ACA2-A5AA73135127}"/>
    <cellStyle name="Normal 5 3 3 3 2 6 2" xfId="14610" xr:uid="{8009DD5A-BD36-4E9C-A2E2-9FA16923711E}"/>
    <cellStyle name="Normal 5 3 3 3 2 7" xfId="5491" xr:uid="{78622FF2-B2AA-4D92-A926-34D9D553F4B2}"/>
    <cellStyle name="Normal 5 3 3 3 2 7 2" xfId="15439" xr:uid="{B87B3048-8DFC-47E6-B89C-9813500F7261}"/>
    <cellStyle name="Normal 5 3 3 3 2 8" xfId="6320" xr:uid="{3C23A2A9-43A1-419D-A53E-1A77976889DB}"/>
    <cellStyle name="Normal 5 3 3 3 2 8 2" xfId="16268" xr:uid="{C17B51D4-233C-47BC-BFCD-5CA8E5CF85C8}"/>
    <cellStyle name="Normal 5 3 3 3 2 9" xfId="7149" xr:uid="{93857290-1FA3-4EBC-96C1-11C77E144F08}"/>
    <cellStyle name="Normal 5 3 3 3 2 9 2" xfId="17097" xr:uid="{F5624D0C-B7A5-407E-BB32-93CB73B928DC}"/>
    <cellStyle name="Normal 5 3 3 3 3" xfId="928" xr:uid="{00000000-0005-0000-0000-000022030000}"/>
    <cellStyle name="Normal 5 3 3 3 3 10" xfId="9222" xr:uid="{A920AEB5-D204-404B-9466-A30FED69E3C0}"/>
    <cellStyle name="Normal 5 3 3 3 3 10 2" xfId="19170" xr:uid="{6D639BD5-168A-4E3B-AE3F-59BF04F79639}"/>
    <cellStyle name="Normal 5 3 3 3 3 11" xfId="10051" xr:uid="{9525FB34-BCC5-4AE4-B1E4-2E9D6123E3E0}"/>
    <cellStyle name="Normal 5 3 3 3 3 11 2" xfId="19999" xr:uid="{2EE46692-91E1-46DE-9248-58F6DE6A6171}"/>
    <cellStyle name="Normal 5 3 3 3 3 12" xfId="10880" xr:uid="{60EE02CC-D207-45EC-BD8C-B8F836336C76}"/>
    <cellStyle name="Normal 5 3 3 3 3 12 2" xfId="20828" xr:uid="{BE93FF04-FA4B-4F13-A76F-DDC524232FE2}"/>
    <cellStyle name="Normal 5 3 3 3 3 13" xfId="1761" xr:uid="{C79067D7-C26D-43A7-AA75-9FE8AE084B18}"/>
    <cellStyle name="Normal 5 3 3 3 3 14" xfId="11709" xr:uid="{E711EB59-C70E-4B98-9206-8E76FFB1F1AA}"/>
    <cellStyle name="Normal 5 3 3 3 3 2" xfId="2590" xr:uid="{4B484FBB-4C39-45EC-9B0E-D5959E125DBC}"/>
    <cellStyle name="Normal 5 3 3 3 3 2 2" xfId="12538" xr:uid="{55BC179C-0679-4E1C-B84C-B7984A22166F}"/>
    <cellStyle name="Normal 5 3 3 3 3 3" xfId="3419" xr:uid="{FF724D18-B73A-4606-BBBF-2C47C5706F24}"/>
    <cellStyle name="Normal 5 3 3 3 3 3 2" xfId="13367" xr:uid="{B2FD37F4-E0F5-4324-8E60-2BB3134C84B4}"/>
    <cellStyle name="Normal 5 3 3 3 3 4" xfId="4248" xr:uid="{37B4A8ED-EB09-481F-992C-5F3620C9C7E7}"/>
    <cellStyle name="Normal 5 3 3 3 3 4 2" xfId="14196" xr:uid="{0A250853-8773-4183-A0C2-E8441CF1ECF6}"/>
    <cellStyle name="Normal 5 3 3 3 3 5" xfId="5077" xr:uid="{5095E119-C457-4925-9F46-03AFE936DA2B}"/>
    <cellStyle name="Normal 5 3 3 3 3 5 2" xfId="15025" xr:uid="{3687848F-A5F7-4C8B-BA63-826521B7C704}"/>
    <cellStyle name="Normal 5 3 3 3 3 6" xfId="5906" xr:uid="{900EAD7D-0729-4564-90B4-401ABCC13541}"/>
    <cellStyle name="Normal 5 3 3 3 3 6 2" xfId="15854" xr:uid="{0E421F20-1A4B-4D0E-87E3-CD03CC0ADE65}"/>
    <cellStyle name="Normal 5 3 3 3 3 7" xfId="6735" xr:uid="{BFC1A210-EE07-4223-946E-3DCACED593E9}"/>
    <cellStyle name="Normal 5 3 3 3 3 7 2" xfId="16683" xr:uid="{4D39EFB4-8755-4FD5-8B59-FDF1331F6859}"/>
    <cellStyle name="Normal 5 3 3 3 3 8" xfId="7564" xr:uid="{CA7EA290-9C00-4771-BDF7-AED8E13FDC5A}"/>
    <cellStyle name="Normal 5 3 3 3 3 8 2" xfId="17512" xr:uid="{07AC591F-B6FC-4755-BB3B-8C23C9F4E8D5}"/>
    <cellStyle name="Normal 5 3 3 3 3 9" xfId="8393" xr:uid="{3191C5AF-7085-40D4-82AA-76473DB96940}"/>
    <cellStyle name="Normal 5 3 3 3 3 9 2" xfId="18341" xr:uid="{C1E6F9F2-8487-4AEF-90D6-9A8CEC6568F4}"/>
    <cellStyle name="Normal 5 3 3 3 4" xfId="2174" xr:uid="{A1897FF2-A0C7-4EB8-B71E-DC7C8FC36BA7}"/>
    <cellStyle name="Normal 5 3 3 3 4 2" xfId="12122" xr:uid="{BABE54B9-50FC-469A-A5B5-47EAACF49A04}"/>
    <cellStyle name="Normal 5 3 3 3 5" xfId="3003" xr:uid="{2A18AB8D-6FB3-4F7F-972C-7980A7675E1E}"/>
    <cellStyle name="Normal 5 3 3 3 5 2" xfId="12951" xr:uid="{E973FB03-7D35-48A9-8768-AD48AF4636F6}"/>
    <cellStyle name="Normal 5 3 3 3 6" xfId="3832" xr:uid="{BFA3229F-AAD0-4015-B0EE-5F1705FC7DB0}"/>
    <cellStyle name="Normal 5 3 3 3 6 2" xfId="13780" xr:uid="{6FA20E6C-C384-4AD5-A216-57B1A3AFA9D3}"/>
    <cellStyle name="Normal 5 3 3 3 7" xfId="4661" xr:uid="{437CDF6C-778C-4349-989D-A4E9AE0C4793}"/>
    <cellStyle name="Normal 5 3 3 3 7 2" xfId="14609" xr:uid="{970796FF-E7E2-450E-8B55-B84351F057B5}"/>
    <cellStyle name="Normal 5 3 3 3 8" xfId="5490" xr:uid="{EBD39A02-E0CB-4EFE-9815-48DDE9E4B57B}"/>
    <cellStyle name="Normal 5 3 3 3 8 2" xfId="15438" xr:uid="{ACDADF42-F82F-4E2B-B8E3-DECEB4CF4563}"/>
    <cellStyle name="Normal 5 3 3 3 9" xfId="6319" xr:uid="{6BEF0ED9-8C77-4166-B01C-8A1E15357067}"/>
    <cellStyle name="Normal 5 3 3 3 9 2" xfId="16267" xr:uid="{100A9594-D26E-4DD0-B782-80A61EF5105B}"/>
    <cellStyle name="Normal 5 3 3 4" xfId="451" xr:uid="{00000000-0005-0000-0000-000023030000}"/>
    <cellStyle name="Normal 5 3 3 4 10" xfId="7979" xr:uid="{5FF07F0D-4085-4307-8643-9AAD8DD4A5E5}"/>
    <cellStyle name="Normal 5 3 3 4 10 2" xfId="17927" xr:uid="{ED7B3A4C-1C31-487E-B023-7E28127E443A}"/>
    <cellStyle name="Normal 5 3 3 4 11" xfId="8808" xr:uid="{7370D4B2-8E45-4651-9706-600782FFD69E}"/>
    <cellStyle name="Normal 5 3 3 4 11 2" xfId="18756" xr:uid="{0FAAF1B8-2956-4D13-AD54-A241C2940290}"/>
    <cellStyle name="Normal 5 3 3 4 12" xfId="9637" xr:uid="{CDB0E1CF-9B8E-46C2-800E-E0CF2AE84EDC}"/>
    <cellStyle name="Normal 5 3 3 4 12 2" xfId="19585" xr:uid="{195EAA10-0DD5-4510-95CD-E26C2BCEC22D}"/>
    <cellStyle name="Normal 5 3 3 4 13" xfId="10466" xr:uid="{7359E95E-90CC-4C82-8AE7-8DE15E827872}"/>
    <cellStyle name="Normal 5 3 3 4 13 2" xfId="20414" xr:uid="{09FE69DF-5CC5-4A64-BEAE-999E2AB63CEF}"/>
    <cellStyle name="Normal 5 3 3 4 14" xfId="1347" xr:uid="{58535A4B-8F7B-4816-8E49-B0BE18CF7EAE}"/>
    <cellStyle name="Normal 5 3 3 4 15" xfId="11295" xr:uid="{1C707ED1-F6CA-4FC1-92C8-C2022F604EE3}"/>
    <cellStyle name="Normal 5 3 3 4 2" xfId="930" xr:uid="{00000000-0005-0000-0000-000024030000}"/>
    <cellStyle name="Normal 5 3 3 4 2 10" xfId="9224" xr:uid="{B4870E86-F392-4940-A904-F4677FDBA833}"/>
    <cellStyle name="Normal 5 3 3 4 2 10 2" xfId="19172" xr:uid="{3A88D252-DE97-457A-BAE6-4A8ECA879B44}"/>
    <cellStyle name="Normal 5 3 3 4 2 11" xfId="10053" xr:uid="{15592DE4-7A8A-4E79-BAEC-A6F852B2911E}"/>
    <cellStyle name="Normal 5 3 3 4 2 11 2" xfId="20001" xr:uid="{AF68CFDB-6A70-430E-82E4-A9485EAC378D}"/>
    <cellStyle name="Normal 5 3 3 4 2 12" xfId="10882" xr:uid="{4381E11C-6AC0-46FF-8B60-29684DFFE6C1}"/>
    <cellStyle name="Normal 5 3 3 4 2 12 2" xfId="20830" xr:uid="{C2C4E70B-414B-4A41-9F0C-F7685AB3FEBB}"/>
    <cellStyle name="Normal 5 3 3 4 2 13" xfId="1763" xr:uid="{A8488FA2-FCAD-4159-BF23-B305FA3DF85C}"/>
    <cellStyle name="Normal 5 3 3 4 2 14" xfId="11711" xr:uid="{6B727712-C69B-41B3-90A2-5829D6DD1242}"/>
    <cellStyle name="Normal 5 3 3 4 2 2" xfId="2592" xr:uid="{68288473-2389-43F8-9064-2758B6BDADA5}"/>
    <cellStyle name="Normal 5 3 3 4 2 2 2" xfId="12540" xr:uid="{33BD12CC-059D-4006-9172-693B6AA631C2}"/>
    <cellStyle name="Normal 5 3 3 4 2 3" xfId="3421" xr:uid="{7943A089-B7EC-490F-9E8A-24C2036B71E6}"/>
    <cellStyle name="Normal 5 3 3 4 2 3 2" xfId="13369" xr:uid="{9E55FEDC-66FB-4617-86E5-DD5DD32A4BC2}"/>
    <cellStyle name="Normal 5 3 3 4 2 4" xfId="4250" xr:uid="{64E68491-40D5-4A7C-A674-2EDE051B1F3C}"/>
    <cellStyle name="Normal 5 3 3 4 2 4 2" xfId="14198" xr:uid="{BB48608D-0495-4689-869E-30937583FBDE}"/>
    <cellStyle name="Normal 5 3 3 4 2 5" xfId="5079" xr:uid="{D80B3231-D30D-4B69-9C38-8C1763E0206E}"/>
    <cellStyle name="Normal 5 3 3 4 2 5 2" xfId="15027" xr:uid="{3E2ECC21-4BF6-4B9C-854A-9709BEF40FDC}"/>
    <cellStyle name="Normal 5 3 3 4 2 6" xfId="5908" xr:uid="{065BA1B0-BEFB-4322-BB6E-A03025DB0347}"/>
    <cellStyle name="Normal 5 3 3 4 2 6 2" xfId="15856" xr:uid="{AC13D451-C3A4-4380-AD6C-A24B7ACC8BE0}"/>
    <cellStyle name="Normal 5 3 3 4 2 7" xfId="6737" xr:uid="{EDD8004D-4B8D-403F-BBB6-1F3FE91303A5}"/>
    <cellStyle name="Normal 5 3 3 4 2 7 2" xfId="16685" xr:uid="{B1C1DD95-0945-4D11-AF35-0CF184660174}"/>
    <cellStyle name="Normal 5 3 3 4 2 8" xfId="7566" xr:uid="{649ED63A-4DD3-4E06-A271-C150264D14F7}"/>
    <cellStyle name="Normal 5 3 3 4 2 8 2" xfId="17514" xr:uid="{20A26EC7-3DB5-4CA3-98C9-F5B8B6169F07}"/>
    <cellStyle name="Normal 5 3 3 4 2 9" xfId="8395" xr:uid="{E974E138-A618-43F8-870C-FE97895312CE}"/>
    <cellStyle name="Normal 5 3 3 4 2 9 2" xfId="18343" xr:uid="{60F67097-20CC-4F33-A976-D353DF44F718}"/>
    <cellStyle name="Normal 5 3 3 4 3" xfId="2176" xr:uid="{3514B8A8-9B81-4401-944A-2B19EFBFD739}"/>
    <cellStyle name="Normal 5 3 3 4 3 2" xfId="12124" xr:uid="{F4FC10D6-F79F-4969-BFA1-8688930DFFB9}"/>
    <cellStyle name="Normal 5 3 3 4 4" xfId="3005" xr:uid="{393784A2-2472-43B5-874F-C44FF57D4C86}"/>
    <cellStyle name="Normal 5 3 3 4 4 2" xfId="12953" xr:uid="{92F7CED9-79C8-44DA-859C-5BA673D2FC70}"/>
    <cellStyle name="Normal 5 3 3 4 5" xfId="3834" xr:uid="{FE075FF7-25FE-4EC6-B8ED-A1E81DBCF64C}"/>
    <cellStyle name="Normal 5 3 3 4 5 2" xfId="13782" xr:uid="{4191972A-9818-4BBB-9763-399FC98FF4F3}"/>
    <cellStyle name="Normal 5 3 3 4 6" xfId="4663" xr:uid="{64A5910B-AA2A-425E-8F54-3FD5B94A1D41}"/>
    <cellStyle name="Normal 5 3 3 4 6 2" xfId="14611" xr:uid="{686D06B5-1333-4509-B669-06C2237C3A76}"/>
    <cellStyle name="Normal 5 3 3 4 7" xfId="5492" xr:uid="{E4882BA8-CEE5-48F0-BC06-9005E6372F62}"/>
    <cellStyle name="Normal 5 3 3 4 7 2" xfId="15440" xr:uid="{C6A81F02-DCD4-4408-9745-DF00203CB945}"/>
    <cellStyle name="Normal 5 3 3 4 8" xfId="6321" xr:uid="{9DA3947A-8BBE-4D96-B74C-6C8A9C45DB5B}"/>
    <cellStyle name="Normal 5 3 3 4 8 2" xfId="16269" xr:uid="{B43097CD-C47A-4874-A2DD-90E065AD6584}"/>
    <cellStyle name="Normal 5 3 3 4 9" xfId="7150" xr:uid="{F4E2E10A-0671-4888-B3DA-07D333494F6F}"/>
    <cellStyle name="Normal 5 3 3 4 9 2" xfId="17098" xr:uid="{072DC0F1-24C9-492D-8C42-A558134EC5E4}"/>
    <cellStyle name="Normal 5 3 3 5" xfId="923" xr:uid="{00000000-0005-0000-0000-000025030000}"/>
    <cellStyle name="Normal 5 3 3 5 10" xfId="9217" xr:uid="{08C0D0A0-2731-4DB4-890D-66C501038A31}"/>
    <cellStyle name="Normal 5 3 3 5 10 2" xfId="19165" xr:uid="{69AC0CA6-4684-439C-BA8C-6AFE8E2765EE}"/>
    <cellStyle name="Normal 5 3 3 5 11" xfId="10046" xr:uid="{C178FBBD-E1BB-4935-839A-7EBFB2CA45B6}"/>
    <cellStyle name="Normal 5 3 3 5 11 2" xfId="19994" xr:uid="{9F14395B-24AF-496E-B233-2A87562EAACA}"/>
    <cellStyle name="Normal 5 3 3 5 12" xfId="10875" xr:uid="{43DD5725-4C81-491F-AB4C-E71B5C08BFA3}"/>
    <cellStyle name="Normal 5 3 3 5 12 2" xfId="20823" xr:uid="{8C4DC2DA-C0FB-416A-A7AB-88BFFF47500C}"/>
    <cellStyle name="Normal 5 3 3 5 13" xfId="1756" xr:uid="{799C696F-D3A7-476D-BA25-A2D72EB35FF9}"/>
    <cellStyle name="Normal 5 3 3 5 14" xfId="11704" xr:uid="{AF841220-7134-4CDC-9523-CF149A002E58}"/>
    <cellStyle name="Normal 5 3 3 5 2" xfId="2585" xr:uid="{4D9B8682-C25D-4CE2-ADB4-24E45CC746FA}"/>
    <cellStyle name="Normal 5 3 3 5 2 2" xfId="12533" xr:uid="{E5A4270F-2605-4249-A30B-F253053A16C5}"/>
    <cellStyle name="Normal 5 3 3 5 3" xfId="3414" xr:uid="{8607A39D-4C08-4FAF-9BCB-5AD22D6FB3E3}"/>
    <cellStyle name="Normal 5 3 3 5 3 2" xfId="13362" xr:uid="{73EB84CA-15A1-48F6-9F66-7EFF84D3B35D}"/>
    <cellStyle name="Normal 5 3 3 5 4" xfId="4243" xr:uid="{F97FA838-1847-49B8-963B-549D010DB2A1}"/>
    <cellStyle name="Normal 5 3 3 5 4 2" xfId="14191" xr:uid="{BDE8F549-7AEA-4F97-8211-D7B59B492592}"/>
    <cellStyle name="Normal 5 3 3 5 5" xfId="5072" xr:uid="{7D8C1BCE-6A28-40B6-815B-B858DBBEFF77}"/>
    <cellStyle name="Normal 5 3 3 5 5 2" xfId="15020" xr:uid="{D6831165-6D83-45DF-9D26-759925C911F5}"/>
    <cellStyle name="Normal 5 3 3 5 6" xfId="5901" xr:uid="{C0257A47-BE11-4622-B79B-1C6C36F33880}"/>
    <cellStyle name="Normal 5 3 3 5 6 2" xfId="15849" xr:uid="{ADC4CD59-B2D5-4016-A0B6-C34BB990947B}"/>
    <cellStyle name="Normal 5 3 3 5 7" xfId="6730" xr:uid="{4DA1368C-E926-48B3-AFC6-AD4C3502D1E6}"/>
    <cellStyle name="Normal 5 3 3 5 7 2" xfId="16678" xr:uid="{873357AF-C796-4A4C-AEFD-AEE82B6C5A60}"/>
    <cellStyle name="Normal 5 3 3 5 8" xfId="7559" xr:uid="{158ED1A2-0AFD-46C6-986C-3F9EAD332FBB}"/>
    <cellStyle name="Normal 5 3 3 5 8 2" xfId="17507" xr:uid="{E9DD5FF3-FEA6-4536-A170-9235F8BE958E}"/>
    <cellStyle name="Normal 5 3 3 5 9" xfId="8388" xr:uid="{401BF50B-F832-4969-A7B6-EE31BFBCA641}"/>
    <cellStyle name="Normal 5 3 3 5 9 2" xfId="18336" xr:uid="{0E73D6B7-7F0E-4E09-9EF6-2B201B204852}"/>
    <cellStyle name="Normal 5 3 3 6" xfId="2169" xr:uid="{C51F0152-6498-4115-9CE2-AC6CA8DFC824}"/>
    <cellStyle name="Normal 5 3 3 6 2" xfId="12117" xr:uid="{AC319A90-8248-4FB8-8E59-39E6E6D31715}"/>
    <cellStyle name="Normal 5 3 3 7" xfId="2998" xr:uid="{5E01CEE5-5696-4CF6-91B6-3FD9354AE931}"/>
    <cellStyle name="Normal 5 3 3 7 2" xfId="12946" xr:uid="{5A47B5CE-8CBE-4FF2-A030-F75562049B34}"/>
    <cellStyle name="Normal 5 3 3 8" xfId="3827" xr:uid="{A31D59ED-7EEA-4181-BE1C-8630C1C5FFFD}"/>
    <cellStyle name="Normal 5 3 3 8 2" xfId="13775" xr:uid="{09FAA95B-3757-4FED-9FD9-D00229F029DB}"/>
    <cellStyle name="Normal 5 3 3 9" xfId="4656" xr:uid="{66321CB5-835F-4CA6-8A95-A28B98A54302}"/>
    <cellStyle name="Normal 5 3 3 9 2" xfId="14604" xr:uid="{B90EEA64-842A-4E1E-8E73-9BB4229C2E67}"/>
    <cellStyle name="Normal 5 3 4" xfId="452" xr:uid="{00000000-0005-0000-0000-000026030000}"/>
    <cellStyle name="Normal 5 3 4 10" xfId="6322" xr:uid="{A3BF6920-220C-4E46-AD9D-4EAF5C63FD77}"/>
    <cellStyle name="Normal 5 3 4 10 2" xfId="16270" xr:uid="{E8451EF1-8563-4247-B0F3-5E191C04A402}"/>
    <cellStyle name="Normal 5 3 4 11" xfId="7151" xr:uid="{9A884F82-41C3-422E-B0B5-FF7229D2D4D2}"/>
    <cellStyle name="Normal 5 3 4 11 2" xfId="17099" xr:uid="{4C5127DE-3C98-469E-8E47-A5158D37BB46}"/>
    <cellStyle name="Normal 5 3 4 12" xfId="7980" xr:uid="{C630F7F5-3E55-451E-99A9-1DF037FAABC9}"/>
    <cellStyle name="Normal 5 3 4 12 2" xfId="17928" xr:uid="{F7FBD7D3-88EE-4B64-98A9-44DB2FA63BBA}"/>
    <cellStyle name="Normal 5 3 4 13" xfId="8809" xr:uid="{D9CA9459-4233-4B67-880F-3765326929E9}"/>
    <cellStyle name="Normal 5 3 4 13 2" xfId="18757" xr:uid="{BDF49FF0-23BE-414E-B959-45F878A6A66D}"/>
    <cellStyle name="Normal 5 3 4 14" xfId="9638" xr:uid="{45D73118-2276-4E01-BFD9-6B8BC662EB91}"/>
    <cellStyle name="Normal 5 3 4 14 2" xfId="19586" xr:uid="{ADF664EA-3BFE-4611-BDF0-84E1DBA6E6A8}"/>
    <cellStyle name="Normal 5 3 4 15" xfId="10467" xr:uid="{3A6BA355-9507-455C-B80F-1D5A493D1AF2}"/>
    <cellStyle name="Normal 5 3 4 15 2" xfId="20415" xr:uid="{2F3F30EE-964E-42C0-81EA-CB063A5B53C8}"/>
    <cellStyle name="Normal 5 3 4 16" xfId="1348" xr:uid="{67857820-D7A9-4B57-9616-52791181B45B}"/>
    <cellStyle name="Normal 5 3 4 17" xfId="11296" xr:uid="{DC1D6194-870C-4E55-A09A-8D31B64411C6}"/>
    <cellStyle name="Normal 5 3 4 2" xfId="453" xr:uid="{00000000-0005-0000-0000-000027030000}"/>
    <cellStyle name="Normal 5 3 4 2 10" xfId="7152" xr:uid="{AE88306F-D11D-4354-95F3-9EB11804029F}"/>
    <cellStyle name="Normal 5 3 4 2 10 2" xfId="17100" xr:uid="{2F5F58BE-734F-42EE-8B78-BF56A33F27EA}"/>
    <cellStyle name="Normal 5 3 4 2 11" xfId="7981" xr:uid="{95CA2F57-0F4F-467D-87BD-025479410F58}"/>
    <cellStyle name="Normal 5 3 4 2 11 2" xfId="17929" xr:uid="{62FF686F-3A24-4CED-907B-5B151D519954}"/>
    <cellStyle name="Normal 5 3 4 2 12" xfId="8810" xr:uid="{536D8493-9CF5-4F66-B954-477C8E5EB3C9}"/>
    <cellStyle name="Normal 5 3 4 2 12 2" xfId="18758" xr:uid="{584AE41E-DDE7-4421-9701-7EBFE0E7797A}"/>
    <cellStyle name="Normal 5 3 4 2 13" xfId="9639" xr:uid="{8892F95E-7839-4F7C-8397-C589664F1ABE}"/>
    <cellStyle name="Normal 5 3 4 2 13 2" xfId="19587" xr:uid="{64DB3008-A8BD-4E11-9465-6AD515AA4AB3}"/>
    <cellStyle name="Normal 5 3 4 2 14" xfId="10468" xr:uid="{FC187428-809D-4013-A197-88D5197BE9A5}"/>
    <cellStyle name="Normal 5 3 4 2 14 2" xfId="20416" xr:uid="{1AF1252B-F484-4603-961C-4013B3FF843A}"/>
    <cellStyle name="Normal 5 3 4 2 15" xfId="1349" xr:uid="{CCF7C7D7-8E46-44A3-8EC6-F944436C39BC}"/>
    <cellStyle name="Normal 5 3 4 2 16" xfId="11297" xr:uid="{85EEC407-75A7-49B4-A896-7AF80908B246}"/>
    <cellStyle name="Normal 5 3 4 2 2" xfId="454" xr:uid="{00000000-0005-0000-0000-000028030000}"/>
    <cellStyle name="Normal 5 3 4 2 2 10" xfId="7982" xr:uid="{F9637C34-64C9-45FB-B4D4-597F42594079}"/>
    <cellStyle name="Normal 5 3 4 2 2 10 2" xfId="17930" xr:uid="{3681015F-5856-4F41-9B1A-98A393551804}"/>
    <cellStyle name="Normal 5 3 4 2 2 11" xfId="8811" xr:uid="{16284562-1E04-4009-95BB-337D77678622}"/>
    <cellStyle name="Normal 5 3 4 2 2 11 2" xfId="18759" xr:uid="{1246FB14-AD08-4B03-B06A-F5B4390DC8AC}"/>
    <cellStyle name="Normal 5 3 4 2 2 12" xfId="9640" xr:uid="{54F8F942-4166-4BB4-8833-BA474C49322E}"/>
    <cellStyle name="Normal 5 3 4 2 2 12 2" xfId="19588" xr:uid="{12F98305-2023-4E84-8FB5-4F72F59888F0}"/>
    <cellStyle name="Normal 5 3 4 2 2 13" xfId="10469" xr:uid="{FE69802A-E3AF-4A21-A789-66645422559F}"/>
    <cellStyle name="Normal 5 3 4 2 2 13 2" xfId="20417" xr:uid="{BCD9C0F1-9E96-48E8-AED7-2FD5912B30C3}"/>
    <cellStyle name="Normal 5 3 4 2 2 14" xfId="1350" xr:uid="{75DB26B5-C02D-4B28-A2FF-E33DEE7C817E}"/>
    <cellStyle name="Normal 5 3 4 2 2 15" xfId="11298" xr:uid="{540A61EF-80A2-4DD3-84D2-52553171AFE4}"/>
    <cellStyle name="Normal 5 3 4 2 2 2" xfId="933" xr:uid="{00000000-0005-0000-0000-000029030000}"/>
    <cellStyle name="Normal 5 3 4 2 2 2 10" xfId="9227" xr:uid="{0B56A7CC-5A8D-4242-8DF5-7820847266EA}"/>
    <cellStyle name="Normal 5 3 4 2 2 2 10 2" xfId="19175" xr:uid="{BA02C9D5-C737-415D-A79D-436012ECFC98}"/>
    <cellStyle name="Normal 5 3 4 2 2 2 11" xfId="10056" xr:uid="{28AA5299-E759-4013-875F-36AE2662F4C0}"/>
    <cellStyle name="Normal 5 3 4 2 2 2 11 2" xfId="20004" xr:uid="{A1EE39FE-0DC3-4D0C-8EFC-5FB622441836}"/>
    <cellStyle name="Normal 5 3 4 2 2 2 12" xfId="10885" xr:uid="{9AC72708-F462-476F-9EF2-D921A43BCD64}"/>
    <cellStyle name="Normal 5 3 4 2 2 2 12 2" xfId="20833" xr:uid="{3B6BB3ED-4B55-44C3-91A6-E21DE21545C2}"/>
    <cellStyle name="Normal 5 3 4 2 2 2 13" xfId="1766" xr:uid="{8CCF44C8-86F0-4ACE-879A-759F2DCBF9A5}"/>
    <cellStyle name="Normal 5 3 4 2 2 2 14" xfId="11714" xr:uid="{78E314FD-DCD6-48FE-888F-E65E9D869544}"/>
    <cellStyle name="Normal 5 3 4 2 2 2 2" xfId="2595" xr:uid="{CAE8EE94-BD09-4744-A572-1039040E365A}"/>
    <cellStyle name="Normal 5 3 4 2 2 2 2 2" xfId="12543" xr:uid="{4DD129CA-AEA4-4948-A84C-CD3EEB0A5E64}"/>
    <cellStyle name="Normal 5 3 4 2 2 2 3" xfId="3424" xr:uid="{08C3B424-4AE3-43C9-AEC7-E0E4796E191F}"/>
    <cellStyle name="Normal 5 3 4 2 2 2 3 2" xfId="13372" xr:uid="{E8E5D459-17DB-4D6F-982D-DA182BF85AEB}"/>
    <cellStyle name="Normal 5 3 4 2 2 2 4" xfId="4253" xr:uid="{A9C70E42-4698-4C28-B95F-9CDBC5EACDBD}"/>
    <cellStyle name="Normal 5 3 4 2 2 2 4 2" xfId="14201" xr:uid="{524D6E9D-EFFD-4C48-91F4-3F163160B850}"/>
    <cellStyle name="Normal 5 3 4 2 2 2 5" xfId="5082" xr:uid="{223481A7-F7AB-49EB-9CD9-7F29C78E581A}"/>
    <cellStyle name="Normal 5 3 4 2 2 2 5 2" xfId="15030" xr:uid="{B79C1874-0B19-46A2-9570-1208FDDA5184}"/>
    <cellStyle name="Normal 5 3 4 2 2 2 6" xfId="5911" xr:uid="{B9F1DDC6-819B-49B4-A55D-F3C9DB15E972}"/>
    <cellStyle name="Normal 5 3 4 2 2 2 6 2" xfId="15859" xr:uid="{8530BB24-144B-401F-B465-FB89D08BE9D7}"/>
    <cellStyle name="Normal 5 3 4 2 2 2 7" xfId="6740" xr:uid="{329768F2-A102-470B-A22E-C1FFD9707B66}"/>
    <cellStyle name="Normal 5 3 4 2 2 2 7 2" xfId="16688" xr:uid="{0A332D2F-D920-4044-B40F-3A21D1F5778F}"/>
    <cellStyle name="Normal 5 3 4 2 2 2 8" xfId="7569" xr:uid="{C688729D-DFF9-4915-853C-0F7561CF49E4}"/>
    <cellStyle name="Normal 5 3 4 2 2 2 8 2" xfId="17517" xr:uid="{B4EF234F-A71C-427C-AD2B-89D278C13433}"/>
    <cellStyle name="Normal 5 3 4 2 2 2 9" xfId="8398" xr:uid="{BECE2C9E-E079-462F-9659-BBD2F62FB10A}"/>
    <cellStyle name="Normal 5 3 4 2 2 2 9 2" xfId="18346" xr:uid="{447AA075-BD76-4162-8B8C-D5666E72C9BC}"/>
    <cellStyle name="Normal 5 3 4 2 2 3" xfId="2179" xr:uid="{54C943FE-9318-4DCD-AC0B-19860C586CDB}"/>
    <cellStyle name="Normal 5 3 4 2 2 3 2" xfId="12127" xr:uid="{AFA49E61-DA86-45FF-AD70-80ECA463B8EA}"/>
    <cellStyle name="Normal 5 3 4 2 2 4" xfId="3008" xr:uid="{6D444571-CCBF-4AEE-A96B-B76A714EB341}"/>
    <cellStyle name="Normal 5 3 4 2 2 4 2" xfId="12956" xr:uid="{8797514F-099A-42D4-A262-46F0B8F6A223}"/>
    <cellStyle name="Normal 5 3 4 2 2 5" xfId="3837" xr:uid="{375B4916-3BF2-43C6-8F51-4F9E93784BAA}"/>
    <cellStyle name="Normal 5 3 4 2 2 5 2" xfId="13785" xr:uid="{3AFAAC1C-512D-4A66-A5E8-A5979A7D0616}"/>
    <cellStyle name="Normal 5 3 4 2 2 6" xfId="4666" xr:uid="{7F061BC1-2649-4AAD-AC82-9FE3243017FE}"/>
    <cellStyle name="Normal 5 3 4 2 2 6 2" xfId="14614" xr:uid="{7CF3A55B-4388-43E9-8672-060BE9A1D201}"/>
    <cellStyle name="Normal 5 3 4 2 2 7" xfId="5495" xr:uid="{EDF7C8E2-E2CC-43A2-BBF7-3056BD2E2424}"/>
    <cellStyle name="Normal 5 3 4 2 2 7 2" xfId="15443" xr:uid="{2C8431E6-9FC1-4E02-A36E-48C17B3C3E0E}"/>
    <cellStyle name="Normal 5 3 4 2 2 8" xfId="6324" xr:uid="{54B90738-7BBA-4AAF-8DB6-D375629019A7}"/>
    <cellStyle name="Normal 5 3 4 2 2 8 2" xfId="16272" xr:uid="{491FFB49-6615-463A-8E45-0EFD21771FCD}"/>
    <cellStyle name="Normal 5 3 4 2 2 9" xfId="7153" xr:uid="{385F3BF7-8FE5-4084-B97C-098CA9083624}"/>
    <cellStyle name="Normal 5 3 4 2 2 9 2" xfId="17101" xr:uid="{77FFEC20-075F-4147-91D5-358F5E9E960C}"/>
    <cellStyle name="Normal 5 3 4 2 3" xfId="932" xr:uid="{00000000-0005-0000-0000-00002A030000}"/>
    <cellStyle name="Normal 5 3 4 2 3 10" xfId="9226" xr:uid="{44E5B13E-D0F0-4ABF-82D5-CD0E2AE7A4E2}"/>
    <cellStyle name="Normal 5 3 4 2 3 10 2" xfId="19174" xr:uid="{F04E7568-C855-415F-9F6C-428F795F1218}"/>
    <cellStyle name="Normal 5 3 4 2 3 11" xfId="10055" xr:uid="{5BE5B169-80DF-40CB-83B4-A0F3BE7228DE}"/>
    <cellStyle name="Normal 5 3 4 2 3 11 2" xfId="20003" xr:uid="{C8D9BF13-2E74-4D01-863C-0CE7DBA9598E}"/>
    <cellStyle name="Normal 5 3 4 2 3 12" xfId="10884" xr:uid="{BD725E34-CC13-4335-B660-2B802516489E}"/>
    <cellStyle name="Normal 5 3 4 2 3 12 2" xfId="20832" xr:uid="{31C7BD8D-5B08-4BB6-A36C-009744E67216}"/>
    <cellStyle name="Normal 5 3 4 2 3 13" xfId="1765" xr:uid="{027E80D2-3466-4E29-BCCA-FBBDB2DCD3F4}"/>
    <cellStyle name="Normal 5 3 4 2 3 14" xfId="11713" xr:uid="{4FFCE9EE-84E4-4868-B210-61D19A79A461}"/>
    <cellStyle name="Normal 5 3 4 2 3 2" xfId="2594" xr:uid="{1476214F-60DF-4F1A-8CAF-F92A9FF02374}"/>
    <cellStyle name="Normal 5 3 4 2 3 2 2" xfId="12542" xr:uid="{88CC8D12-1F6D-430D-927D-E28DC4314E44}"/>
    <cellStyle name="Normal 5 3 4 2 3 3" xfId="3423" xr:uid="{741F8830-5FE6-4EE5-AC3B-12F9727D5CA5}"/>
    <cellStyle name="Normal 5 3 4 2 3 3 2" xfId="13371" xr:uid="{2D84616A-5475-452B-A955-9FAAA44D2064}"/>
    <cellStyle name="Normal 5 3 4 2 3 4" xfId="4252" xr:uid="{FCB8532C-A692-4284-93A7-C3A9ECCC052C}"/>
    <cellStyle name="Normal 5 3 4 2 3 4 2" xfId="14200" xr:uid="{65A9EB56-2BB4-4306-BC8C-153DE0A8731D}"/>
    <cellStyle name="Normal 5 3 4 2 3 5" xfId="5081" xr:uid="{3A909B95-9A19-47CC-9C4F-17FA6CA0F07B}"/>
    <cellStyle name="Normal 5 3 4 2 3 5 2" xfId="15029" xr:uid="{2D5D7018-B5B7-4705-86FF-37B4AECCC018}"/>
    <cellStyle name="Normal 5 3 4 2 3 6" xfId="5910" xr:uid="{AB2CE748-4CB7-4905-8394-626F2EBB29CF}"/>
    <cellStyle name="Normal 5 3 4 2 3 6 2" xfId="15858" xr:uid="{1AA0D80A-AB26-4383-93F5-21AD4E6034C3}"/>
    <cellStyle name="Normal 5 3 4 2 3 7" xfId="6739" xr:uid="{259D46B1-42BD-4CC8-9A67-40E512158772}"/>
    <cellStyle name="Normal 5 3 4 2 3 7 2" xfId="16687" xr:uid="{7ED65996-CF3C-4AA1-B187-2D39272AD347}"/>
    <cellStyle name="Normal 5 3 4 2 3 8" xfId="7568" xr:uid="{B7517764-ECDA-41A1-B8CF-2E4330E210B8}"/>
    <cellStyle name="Normal 5 3 4 2 3 8 2" xfId="17516" xr:uid="{E7FAF84D-354B-49CD-AFFB-3342FD4144EA}"/>
    <cellStyle name="Normal 5 3 4 2 3 9" xfId="8397" xr:uid="{E554069A-69EC-4A5A-BA23-FAA6EA6A2CAD}"/>
    <cellStyle name="Normal 5 3 4 2 3 9 2" xfId="18345" xr:uid="{15AD1906-5133-4B12-8286-EDAFC812E49C}"/>
    <cellStyle name="Normal 5 3 4 2 4" xfId="2178" xr:uid="{53A5D49F-735F-4F35-827F-985565B8242F}"/>
    <cellStyle name="Normal 5 3 4 2 4 2" xfId="12126" xr:uid="{81207463-C97D-432F-A4E0-6EC711FC1150}"/>
    <cellStyle name="Normal 5 3 4 2 5" xfId="3007" xr:uid="{3535F574-4E83-4A00-9E63-D6D1AAE25F18}"/>
    <cellStyle name="Normal 5 3 4 2 5 2" xfId="12955" xr:uid="{712BAB5F-4017-47FD-B1F2-23913F514451}"/>
    <cellStyle name="Normal 5 3 4 2 6" xfId="3836" xr:uid="{13680840-4299-4953-9469-1EDA128ED3E8}"/>
    <cellStyle name="Normal 5 3 4 2 6 2" xfId="13784" xr:uid="{F77BDA6C-5C75-426A-8E4F-21E9E97FE1C3}"/>
    <cellStyle name="Normal 5 3 4 2 7" xfId="4665" xr:uid="{9809252D-6192-4B15-BF62-C449D5F175C5}"/>
    <cellStyle name="Normal 5 3 4 2 7 2" xfId="14613" xr:uid="{40A0E31B-6CF7-4534-8E71-F2A0C8A6E1B4}"/>
    <cellStyle name="Normal 5 3 4 2 8" xfId="5494" xr:uid="{6B42CCAD-82CA-4AD5-96A8-159BFE676254}"/>
    <cellStyle name="Normal 5 3 4 2 8 2" xfId="15442" xr:uid="{857D2B9B-90A4-4CEC-9188-CE1B37C2E444}"/>
    <cellStyle name="Normal 5 3 4 2 9" xfId="6323" xr:uid="{D77AFF62-E208-458D-BD41-FCC6565A3DAF}"/>
    <cellStyle name="Normal 5 3 4 2 9 2" xfId="16271" xr:uid="{1C30B63D-B96A-4FF1-B6B1-2A472A8898A5}"/>
    <cellStyle name="Normal 5 3 4 3" xfId="455" xr:uid="{00000000-0005-0000-0000-00002B030000}"/>
    <cellStyle name="Normal 5 3 4 3 10" xfId="7983" xr:uid="{CC96E970-031E-48E6-B1C4-F2451155DAD9}"/>
    <cellStyle name="Normal 5 3 4 3 10 2" xfId="17931" xr:uid="{78213608-EB1C-4449-B2FF-2BB00EE16DC4}"/>
    <cellStyle name="Normal 5 3 4 3 11" xfId="8812" xr:uid="{680E2D57-D731-4471-AEC5-2D3E81DC2C43}"/>
    <cellStyle name="Normal 5 3 4 3 11 2" xfId="18760" xr:uid="{D592A8BA-7B5D-4254-BC35-178950FCFFA6}"/>
    <cellStyle name="Normal 5 3 4 3 12" xfId="9641" xr:uid="{F81ABA13-C6D8-4133-9B5B-5A829C82DCA2}"/>
    <cellStyle name="Normal 5 3 4 3 12 2" xfId="19589" xr:uid="{A610E62E-0BE9-4A8B-80B5-03F71329858D}"/>
    <cellStyle name="Normal 5 3 4 3 13" xfId="10470" xr:uid="{9C866D65-1007-4C57-A406-49FA85964530}"/>
    <cellStyle name="Normal 5 3 4 3 13 2" xfId="20418" xr:uid="{EB0DDC47-FC9E-44F6-9863-918CDE7328AA}"/>
    <cellStyle name="Normal 5 3 4 3 14" xfId="1351" xr:uid="{44D6E53C-0CD5-45E7-A038-53C96B5666B9}"/>
    <cellStyle name="Normal 5 3 4 3 15" xfId="11299" xr:uid="{4E1EF308-2F2A-4AEA-B935-BF60DA961AD7}"/>
    <cellStyle name="Normal 5 3 4 3 2" xfId="934" xr:uid="{00000000-0005-0000-0000-00002C030000}"/>
    <cellStyle name="Normal 5 3 4 3 2 10" xfId="9228" xr:uid="{531104C4-44DA-402B-8DE3-D003D9A1E1CE}"/>
    <cellStyle name="Normal 5 3 4 3 2 10 2" xfId="19176" xr:uid="{648610E1-0DE5-4560-AA3F-3B2DE246F129}"/>
    <cellStyle name="Normal 5 3 4 3 2 11" xfId="10057" xr:uid="{55796BC9-FD9E-4045-81AD-8AE90978F3E9}"/>
    <cellStyle name="Normal 5 3 4 3 2 11 2" xfId="20005" xr:uid="{408FC172-D631-44B5-9769-013255AF06CC}"/>
    <cellStyle name="Normal 5 3 4 3 2 12" xfId="10886" xr:uid="{6B52022A-26DC-426F-ABAB-8C8166D86B27}"/>
    <cellStyle name="Normal 5 3 4 3 2 12 2" xfId="20834" xr:uid="{5BBCFF18-B8A6-4ECA-889E-CCAFFE8BA013}"/>
    <cellStyle name="Normal 5 3 4 3 2 13" xfId="1767" xr:uid="{8238850A-652A-4F34-9AD5-0D87877ED323}"/>
    <cellStyle name="Normal 5 3 4 3 2 14" xfId="11715" xr:uid="{BEE0FA0B-3B38-45EF-A80A-B2E9DF23210B}"/>
    <cellStyle name="Normal 5 3 4 3 2 2" xfId="2596" xr:uid="{08F30F35-688D-4FD6-8206-2F421AA5A75E}"/>
    <cellStyle name="Normal 5 3 4 3 2 2 2" xfId="12544" xr:uid="{C5A6E8AA-EA09-471C-9D5B-5D9A0B9B443A}"/>
    <cellStyle name="Normal 5 3 4 3 2 3" xfId="3425" xr:uid="{D3216104-8EB6-4C43-BC36-E7086443FC03}"/>
    <cellStyle name="Normal 5 3 4 3 2 3 2" xfId="13373" xr:uid="{EEE05440-288C-4430-BB04-1B2EFE98C222}"/>
    <cellStyle name="Normal 5 3 4 3 2 4" xfId="4254" xr:uid="{99D318BE-C917-4CAB-BD3C-CBEECA476C7D}"/>
    <cellStyle name="Normal 5 3 4 3 2 4 2" xfId="14202" xr:uid="{3CD15F38-0A89-45B7-9AB5-C8957AC2894B}"/>
    <cellStyle name="Normal 5 3 4 3 2 5" xfId="5083" xr:uid="{4A69E364-01AF-403B-AF0D-352D77FB8167}"/>
    <cellStyle name="Normal 5 3 4 3 2 5 2" xfId="15031" xr:uid="{E8C40427-21A5-4EFE-86E8-A1FCAEEFD1CA}"/>
    <cellStyle name="Normal 5 3 4 3 2 6" xfId="5912" xr:uid="{47ABE900-5246-4CE2-946D-C11234A145E0}"/>
    <cellStyle name="Normal 5 3 4 3 2 6 2" xfId="15860" xr:uid="{777F78E6-08F3-4B4A-86A9-8F63FBE4309A}"/>
    <cellStyle name="Normal 5 3 4 3 2 7" xfId="6741" xr:uid="{E7C00B01-63ED-4241-A178-B6FF669F84AB}"/>
    <cellStyle name="Normal 5 3 4 3 2 7 2" xfId="16689" xr:uid="{C3395C6E-27A2-44C5-987A-976F1687AF19}"/>
    <cellStyle name="Normal 5 3 4 3 2 8" xfId="7570" xr:uid="{5226B95B-66B3-4209-A815-C1A024B2D0B5}"/>
    <cellStyle name="Normal 5 3 4 3 2 8 2" xfId="17518" xr:uid="{C849C451-3849-4D09-8467-4CA86F1EDD73}"/>
    <cellStyle name="Normal 5 3 4 3 2 9" xfId="8399" xr:uid="{B6256A50-0C46-4BF4-801A-79EDF4FAB9AA}"/>
    <cellStyle name="Normal 5 3 4 3 2 9 2" xfId="18347" xr:uid="{BAE2FE67-A266-4C44-A160-669FA1B11C10}"/>
    <cellStyle name="Normal 5 3 4 3 3" xfId="2180" xr:uid="{58990BF4-CC0E-4E29-AF8B-D8FA0672BC51}"/>
    <cellStyle name="Normal 5 3 4 3 3 2" xfId="12128" xr:uid="{C54B526A-E1AB-491E-81A0-8007888380FC}"/>
    <cellStyle name="Normal 5 3 4 3 4" xfId="3009" xr:uid="{75706C56-792F-41FE-B58A-B47E89041077}"/>
    <cellStyle name="Normal 5 3 4 3 4 2" xfId="12957" xr:uid="{CE81BF5C-7B74-4161-AA80-7961D7680CFB}"/>
    <cellStyle name="Normal 5 3 4 3 5" xfId="3838" xr:uid="{83257C5E-C236-4103-9337-E4D97F2411E4}"/>
    <cellStyle name="Normal 5 3 4 3 5 2" xfId="13786" xr:uid="{72CC450E-148C-40A7-94C4-B38A70C5BD8A}"/>
    <cellStyle name="Normal 5 3 4 3 6" xfId="4667" xr:uid="{84E4D098-8E4A-4796-A533-5DD5D9CEB11B}"/>
    <cellStyle name="Normal 5 3 4 3 6 2" xfId="14615" xr:uid="{A074B294-51DB-43E2-87D1-9E409E39CF43}"/>
    <cellStyle name="Normal 5 3 4 3 7" xfId="5496" xr:uid="{E351DFF4-06FA-4020-AF37-15174B1F33E8}"/>
    <cellStyle name="Normal 5 3 4 3 7 2" xfId="15444" xr:uid="{9A569925-D72B-4EFB-8066-181B0F72C4E6}"/>
    <cellStyle name="Normal 5 3 4 3 8" xfId="6325" xr:uid="{F0171D58-7C2A-49D2-A696-1A904FA3E004}"/>
    <cellStyle name="Normal 5 3 4 3 8 2" xfId="16273" xr:uid="{C89DABD9-2DB0-4E20-9F67-2DA029BCDFB6}"/>
    <cellStyle name="Normal 5 3 4 3 9" xfId="7154" xr:uid="{3F607CA6-8F00-4FAF-87CF-3C601847ABFF}"/>
    <cellStyle name="Normal 5 3 4 3 9 2" xfId="17102" xr:uid="{715DF2CC-DD04-4960-8ABB-F51D879A2A00}"/>
    <cellStyle name="Normal 5 3 4 4" xfId="931" xr:uid="{00000000-0005-0000-0000-00002D030000}"/>
    <cellStyle name="Normal 5 3 4 4 10" xfId="9225" xr:uid="{2C7E1C67-8EC8-4DBA-8475-CC57928EFCBF}"/>
    <cellStyle name="Normal 5 3 4 4 10 2" xfId="19173" xr:uid="{A1BB1D41-E33D-4BDE-BB89-C655D6CFCED6}"/>
    <cellStyle name="Normal 5 3 4 4 11" xfId="10054" xr:uid="{9D17CF8F-4F67-4A68-ACC7-77F2A22FBB69}"/>
    <cellStyle name="Normal 5 3 4 4 11 2" xfId="20002" xr:uid="{E3BFA24F-41AE-4D2B-B86B-CF4DDCDDD129}"/>
    <cellStyle name="Normal 5 3 4 4 12" xfId="10883" xr:uid="{4D98E25F-AC5F-41CA-A6FE-1361D2C31D80}"/>
    <cellStyle name="Normal 5 3 4 4 12 2" xfId="20831" xr:uid="{9E4D90D4-3BBD-419B-8294-17535985E2B1}"/>
    <cellStyle name="Normal 5 3 4 4 13" xfId="1764" xr:uid="{2DBFAA9A-C069-44B9-AB95-5A24B49510EF}"/>
    <cellStyle name="Normal 5 3 4 4 14" xfId="11712" xr:uid="{07712B24-3F9B-483C-AE07-F0283148F0C2}"/>
    <cellStyle name="Normal 5 3 4 4 2" xfId="2593" xr:uid="{6C5261E7-0F12-4921-87B8-95BC6CA236A2}"/>
    <cellStyle name="Normal 5 3 4 4 2 2" xfId="12541" xr:uid="{928066FD-8EC8-413A-B96B-569D769CA0F5}"/>
    <cellStyle name="Normal 5 3 4 4 3" xfId="3422" xr:uid="{B0E4E18C-3594-4FBF-93B5-6DA8213165F8}"/>
    <cellStyle name="Normal 5 3 4 4 3 2" xfId="13370" xr:uid="{D109A339-2192-4F42-BAE7-70BFF19BC6B5}"/>
    <cellStyle name="Normal 5 3 4 4 4" xfId="4251" xr:uid="{D2EA448A-1A19-4A07-A636-D30C0E853121}"/>
    <cellStyle name="Normal 5 3 4 4 4 2" xfId="14199" xr:uid="{7BADD19F-FAD5-4EC9-9DD8-60FD60FC598C}"/>
    <cellStyle name="Normal 5 3 4 4 5" xfId="5080" xr:uid="{BF24592B-6316-44DA-B495-3CD09C5D6B28}"/>
    <cellStyle name="Normal 5 3 4 4 5 2" xfId="15028" xr:uid="{20730481-D233-4086-896C-C5F5CE749305}"/>
    <cellStyle name="Normal 5 3 4 4 6" xfId="5909" xr:uid="{C1F4B3FF-E78E-4D71-AFF3-CF416744BFD8}"/>
    <cellStyle name="Normal 5 3 4 4 6 2" xfId="15857" xr:uid="{51BF5938-92F8-488E-99DD-F38F47691DEE}"/>
    <cellStyle name="Normal 5 3 4 4 7" xfId="6738" xr:uid="{62249971-D4A0-4170-B445-1FB2DC029990}"/>
    <cellStyle name="Normal 5 3 4 4 7 2" xfId="16686" xr:uid="{83801695-07FA-4DF0-9866-E193A10E8EBD}"/>
    <cellStyle name="Normal 5 3 4 4 8" xfId="7567" xr:uid="{0AC912FB-8B3F-4BF4-B730-376484983CB8}"/>
    <cellStyle name="Normal 5 3 4 4 8 2" xfId="17515" xr:uid="{43A0F85E-B4FD-4D01-B4D9-77256BB84BFD}"/>
    <cellStyle name="Normal 5 3 4 4 9" xfId="8396" xr:uid="{E5664F51-EBA5-4F63-B074-2B5480EA7023}"/>
    <cellStyle name="Normal 5 3 4 4 9 2" xfId="18344" xr:uid="{47B39331-5DE2-488A-91D1-7BA08FE0B2E1}"/>
    <cellStyle name="Normal 5 3 4 5" xfId="2177" xr:uid="{8D9CC5F8-237A-4F21-A3E4-197F9A492711}"/>
    <cellStyle name="Normal 5 3 4 5 2" xfId="12125" xr:uid="{54C99534-DAFA-4385-84D7-97F3C6AA378D}"/>
    <cellStyle name="Normal 5 3 4 6" xfId="3006" xr:uid="{821D62C5-7609-4591-8816-BD8878BB26C3}"/>
    <cellStyle name="Normal 5 3 4 6 2" xfId="12954" xr:uid="{D1FA512F-485C-457A-95F9-6AE322DCAAB6}"/>
    <cellStyle name="Normal 5 3 4 7" xfId="3835" xr:uid="{27327A7D-F89E-4350-8A06-949F37651271}"/>
    <cellStyle name="Normal 5 3 4 7 2" xfId="13783" xr:uid="{1E029408-ED8E-4C9F-BE12-77D3B4436F3F}"/>
    <cellStyle name="Normal 5 3 4 8" xfId="4664" xr:uid="{90EC4639-576F-4386-940E-79A494AAB3DB}"/>
    <cellStyle name="Normal 5 3 4 8 2" xfId="14612" xr:uid="{FF8E52E4-7675-4148-A23C-895449238EDA}"/>
    <cellStyle name="Normal 5 3 4 9" xfId="5493" xr:uid="{DEFF9190-378F-4DE9-B511-9713657A1F9F}"/>
    <cellStyle name="Normal 5 3 4 9 2" xfId="15441" xr:uid="{6731A781-800C-4AFB-B337-612DADB55667}"/>
    <cellStyle name="Normal 5 3 5" xfId="456" xr:uid="{00000000-0005-0000-0000-00002E030000}"/>
    <cellStyle name="Normal 5 3 5 10" xfId="7155" xr:uid="{100AE918-08A1-42AD-A785-32CA20F8590F}"/>
    <cellStyle name="Normal 5 3 5 10 2" xfId="17103" xr:uid="{435FD205-C8ED-4A5C-92B9-376F0CEF6A0A}"/>
    <cellStyle name="Normal 5 3 5 11" xfId="7984" xr:uid="{BB7BD850-201F-457E-B50E-8D224335F34D}"/>
    <cellStyle name="Normal 5 3 5 11 2" xfId="17932" xr:uid="{A312D9F9-4A43-463A-9066-F01E5E8CC446}"/>
    <cellStyle name="Normal 5 3 5 12" xfId="8813" xr:uid="{28D9E2C5-E65E-469A-93CB-1EB702EC78B8}"/>
    <cellStyle name="Normal 5 3 5 12 2" xfId="18761" xr:uid="{5163753C-745A-4B77-98E7-4C12FA7CBF28}"/>
    <cellStyle name="Normal 5 3 5 13" xfId="9642" xr:uid="{116C39BD-17DC-4430-BE10-5935D74CF793}"/>
    <cellStyle name="Normal 5 3 5 13 2" xfId="19590" xr:uid="{E4D3BC3E-35DD-495E-986C-49641FC1A959}"/>
    <cellStyle name="Normal 5 3 5 14" xfId="10471" xr:uid="{B12407E6-3BDB-42C6-9D56-BA6A02FEB770}"/>
    <cellStyle name="Normal 5 3 5 14 2" xfId="20419" xr:uid="{D6F28761-A5BC-4BBB-A068-00C1CDA892F9}"/>
    <cellStyle name="Normal 5 3 5 15" xfId="1352" xr:uid="{31AB707B-797F-4531-A408-7998162EEDE2}"/>
    <cellStyle name="Normal 5 3 5 16" xfId="11300" xr:uid="{A884DF09-6F48-4EE8-A551-8DD24A983FE3}"/>
    <cellStyle name="Normal 5 3 5 2" xfId="457" xr:uid="{00000000-0005-0000-0000-00002F030000}"/>
    <cellStyle name="Normal 5 3 5 2 10" xfId="7985" xr:uid="{1A992773-9A33-4271-81C3-EC6181213436}"/>
    <cellStyle name="Normal 5 3 5 2 10 2" xfId="17933" xr:uid="{BB83A95C-7BA7-493D-910C-71924C0342B4}"/>
    <cellStyle name="Normal 5 3 5 2 11" xfId="8814" xr:uid="{FD174681-9F73-424B-A569-547EC048E159}"/>
    <cellStyle name="Normal 5 3 5 2 11 2" xfId="18762" xr:uid="{72367532-645A-4FFC-A2EA-6A46BF107FFB}"/>
    <cellStyle name="Normal 5 3 5 2 12" xfId="9643" xr:uid="{61A0DC7F-E1CA-4D37-9FB1-A3CB930C511F}"/>
    <cellStyle name="Normal 5 3 5 2 12 2" xfId="19591" xr:uid="{AAC7591D-3A5F-477C-B824-5320B808FF22}"/>
    <cellStyle name="Normal 5 3 5 2 13" xfId="10472" xr:uid="{48F3BC21-5878-439C-A626-FC008F7984C2}"/>
    <cellStyle name="Normal 5 3 5 2 13 2" xfId="20420" xr:uid="{8DE20D51-35F0-4A2D-B22A-788A0B9BB221}"/>
    <cellStyle name="Normal 5 3 5 2 14" xfId="1353" xr:uid="{AB62AB12-4463-4637-AB44-E76744E3347F}"/>
    <cellStyle name="Normal 5 3 5 2 15" xfId="11301" xr:uid="{303FAAFE-5637-41BF-9918-6CE93CAA2BC9}"/>
    <cellStyle name="Normal 5 3 5 2 2" xfId="936" xr:uid="{00000000-0005-0000-0000-000030030000}"/>
    <cellStyle name="Normal 5 3 5 2 2 10" xfId="9230" xr:uid="{61342AFD-488A-48B5-8151-D3036747E51D}"/>
    <cellStyle name="Normal 5 3 5 2 2 10 2" xfId="19178" xr:uid="{7E979061-4639-49C3-BF79-B5AF3DAD9B62}"/>
    <cellStyle name="Normal 5 3 5 2 2 11" xfId="10059" xr:uid="{D41FD54C-35EB-46C1-AFF0-704FD32A1861}"/>
    <cellStyle name="Normal 5 3 5 2 2 11 2" xfId="20007" xr:uid="{D7F3B169-3A3E-4F1F-9ECE-85E90CA8456A}"/>
    <cellStyle name="Normal 5 3 5 2 2 12" xfId="10888" xr:uid="{4B4CE905-2BBF-4637-BCC8-56BC1E82AA8C}"/>
    <cellStyle name="Normal 5 3 5 2 2 12 2" xfId="20836" xr:uid="{0A86CED7-B460-4612-95D8-85EC28BD65F4}"/>
    <cellStyle name="Normal 5 3 5 2 2 13" xfId="1769" xr:uid="{FE9A3703-969E-4785-9E9D-CD91D8497598}"/>
    <cellStyle name="Normal 5 3 5 2 2 14" xfId="11717" xr:uid="{35A3F74A-00AA-49EA-8960-EF9B1CB5411E}"/>
    <cellStyle name="Normal 5 3 5 2 2 2" xfId="2598" xr:uid="{B662FE6A-1867-42A7-BF83-34D340D5FA16}"/>
    <cellStyle name="Normal 5 3 5 2 2 2 2" xfId="12546" xr:uid="{4BFA6000-2F30-401A-8025-F2C6A54ECD34}"/>
    <cellStyle name="Normal 5 3 5 2 2 3" xfId="3427" xr:uid="{21874DB5-E460-4A2E-9AD3-1EB6CFCED2F1}"/>
    <cellStyle name="Normal 5 3 5 2 2 3 2" xfId="13375" xr:uid="{3A489A47-0B0C-4347-8321-372984D11A9F}"/>
    <cellStyle name="Normal 5 3 5 2 2 4" xfId="4256" xr:uid="{F5BC6EBA-C485-4BC8-B3D8-BE5E8F6E49DE}"/>
    <cellStyle name="Normal 5 3 5 2 2 4 2" xfId="14204" xr:uid="{8D1CD99E-1506-45E3-BE65-48C095AF4C7A}"/>
    <cellStyle name="Normal 5 3 5 2 2 5" xfId="5085" xr:uid="{5C4E3887-38B3-43FC-927E-61628F45A5BD}"/>
    <cellStyle name="Normal 5 3 5 2 2 5 2" xfId="15033" xr:uid="{4F1D4B3E-54CD-4612-ADEB-9236BBE19E28}"/>
    <cellStyle name="Normal 5 3 5 2 2 6" xfId="5914" xr:uid="{C2C75970-8836-4AF9-B5C6-452DADC1E464}"/>
    <cellStyle name="Normal 5 3 5 2 2 6 2" xfId="15862" xr:uid="{7A7B6BDE-F947-429D-8734-A76460DA5F0A}"/>
    <cellStyle name="Normal 5 3 5 2 2 7" xfId="6743" xr:uid="{55FCB469-A862-4A18-99FA-F75391883935}"/>
    <cellStyle name="Normal 5 3 5 2 2 7 2" xfId="16691" xr:uid="{7319FB3D-160D-43AC-89C0-80FD95C484FD}"/>
    <cellStyle name="Normal 5 3 5 2 2 8" xfId="7572" xr:uid="{C49780AA-A9E2-43E5-9162-B3C1E0A5C140}"/>
    <cellStyle name="Normal 5 3 5 2 2 8 2" xfId="17520" xr:uid="{69CC543B-2205-400B-B7E6-B33780183022}"/>
    <cellStyle name="Normal 5 3 5 2 2 9" xfId="8401" xr:uid="{DCB7153F-C0AB-4B90-958A-D042844BB84B}"/>
    <cellStyle name="Normal 5 3 5 2 2 9 2" xfId="18349" xr:uid="{330DD21A-F24E-451B-BB8A-CD760B12E42B}"/>
    <cellStyle name="Normal 5 3 5 2 3" xfId="2182" xr:uid="{CB94857E-E77E-4B35-888F-C664756BE6EC}"/>
    <cellStyle name="Normal 5 3 5 2 3 2" xfId="12130" xr:uid="{F297C0AE-5613-41AB-812D-C0E79CF3401A}"/>
    <cellStyle name="Normal 5 3 5 2 4" xfId="3011" xr:uid="{55D6C881-24E6-41CA-94E4-B1427BA8B6E2}"/>
    <cellStyle name="Normal 5 3 5 2 4 2" xfId="12959" xr:uid="{63DB241C-186E-4C48-B3F8-C819609E1318}"/>
    <cellStyle name="Normal 5 3 5 2 5" xfId="3840" xr:uid="{230732EA-A96C-4189-8AB2-CCD22752CA9F}"/>
    <cellStyle name="Normal 5 3 5 2 5 2" xfId="13788" xr:uid="{662B84D9-4958-4BD8-AE8A-2DDF05DCE357}"/>
    <cellStyle name="Normal 5 3 5 2 6" xfId="4669" xr:uid="{78B57C2E-611C-464A-BF13-9EE2E6A988BA}"/>
    <cellStyle name="Normal 5 3 5 2 6 2" xfId="14617" xr:uid="{0F6E6E74-F843-43B9-87DA-BCB8A738BBAD}"/>
    <cellStyle name="Normal 5 3 5 2 7" xfId="5498" xr:uid="{C22A3201-1057-4059-AB72-6603D22151FD}"/>
    <cellStyle name="Normal 5 3 5 2 7 2" xfId="15446" xr:uid="{9BEE1EE4-874A-4607-BB64-E67AF4235980}"/>
    <cellStyle name="Normal 5 3 5 2 8" xfId="6327" xr:uid="{EFAF78DF-AE0C-4871-B1CF-8096176F60CB}"/>
    <cellStyle name="Normal 5 3 5 2 8 2" xfId="16275" xr:uid="{FF66FBAC-86FF-4BAF-BB0F-676318EB952A}"/>
    <cellStyle name="Normal 5 3 5 2 9" xfId="7156" xr:uid="{B8E16990-7189-4895-9196-83C3775F2C6B}"/>
    <cellStyle name="Normal 5 3 5 2 9 2" xfId="17104" xr:uid="{41BDB8F0-1279-4E8C-9B0E-6574458CE5D7}"/>
    <cellStyle name="Normal 5 3 5 3" xfId="935" xr:uid="{00000000-0005-0000-0000-000031030000}"/>
    <cellStyle name="Normal 5 3 5 3 10" xfId="9229" xr:uid="{CE6A11D5-CC34-4BF7-84D1-E950BBAC24AD}"/>
    <cellStyle name="Normal 5 3 5 3 10 2" xfId="19177" xr:uid="{5C49869E-C84C-4AEE-A23C-A5E1EB25252A}"/>
    <cellStyle name="Normal 5 3 5 3 11" xfId="10058" xr:uid="{2943AF6E-3A9A-498C-80BB-132A4D4F3982}"/>
    <cellStyle name="Normal 5 3 5 3 11 2" xfId="20006" xr:uid="{63172707-3B33-4132-90DB-678D4CF40D30}"/>
    <cellStyle name="Normal 5 3 5 3 12" xfId="10887" xr:uid="{B8F74C88-A7A2-49FF-A9B5-B1E2EBF7B100}"/>
    <cellStyle name="Normal 5 3 5 3 12 2" xfId="20835" xr:uid="{D8FC7788-FA8F-458C-953C-6F3F90BC8517}"/>
    <cellStyle name="Normal 5 3 5 3 13" xfId="1768" xr:uid="{A3E28C41-1712-4ED7-B9CC-2D24C190F17B}"/>
    <cellStyle name="Normal 5 3 5 3 14" xfId="11716" xr:uid="{B29355A0-90E3-40AE-9761-F498549DD7F2}"/>
    <cellStyle name="Normal 5 3 5 3 2" xfId="2597" xr:uid="{A39126C5-37D9-4449-8631-5CFF94DD6883}"/>
    <cellStyle name="Normal 5 3 5 3 2 2" xfId="12545" xr:uid="{46CD8877-176C-4FBB-AAAE-BFE8B06E82E1}"/>
    <cellStyle name="Normal 5 3 5 3 3" xfId="3426" xr:uid="{65EFB032-EEB6-4717-A93F-BBA7224B798C}"/>
    <cellStyle name="Normal 5 3 5 3 3 2" xfId="13374" xr:uid="{5A253B0E-BBE9-488B-9BF9-5D01E1FA1D29}"/>
    <cellStyle name="Normal 5 3 5 3 4" xfId="4255" xr:uid="{75C54192-D5CE-4284-967D-98C528C9B405}"/>
    <cellStyle name="Normal 5 3 5 3 4 2" xfId="14203" xr:uid="{0B1948C6-5FE8-480E-9FE1-BC84DE90611E}"/>
    <cellStyle name="Normal 5 3 5 3 5" xfId="5084" xr:uid="{A1AC0CD0-B888-493C-9858-E2DF6F7DF437}"/>
    <cellStyle name="Normal 5 3 5 3 5 2" xfId="15032" xr:uid="{0C858851-14E2-42C4-B7EF-39912ED519EB}"/>
    <cellStyle name="Normal 5 3 5 3 6" xfId="5913" xr:uid="{BDEA79FC-CDAF-462C-A857-6D15B6E26433}"/>
    <cellStyle name="Normal 5 3 5 3 6 2" xfId="15861" xr:uid="{983D9B0C-292E-4A63-9733-34CBB32F074F}"/>
    <cellStyle name="Normal 5 3 5 3 7" xfId="6742" xr:uid="{504EB1E5-67C7-4C8E-8127-C34757ADAA16}"/>
    <cellStyle name="Normal 5 3 5 3 7 2" xfId="16690" xr:uid="{20243237-0E0B-42CC-BD66-297D934AA97A}"/>
    <cellStyle name="Normal 5 3 5 3 8" xfId="7571" xr:uid="{4790626A-CC91-4503-90BD-F6F4E6722172}"/>
    <cellStyle name="Normal 5 3 5 3 8 2" xfId="17519" xr:uid="{FFD03BF5-5047-4D38-9FFB-AF0ED1531677}"/>
    <cellStyle name="Normal 5 3 5 3 9" xfId="8400" xr:uid="{1EAE55E2-6A64-4D17-8869-E996EDE5B025}"/>
    <cellStyle name="Normal 5 3 5 3 9 2" xfId="18348" xr:uid="{0F23AEE0-1D4C-4B64-A300-EF79E9858AA3}"/>
    <cellStyle name="Normal 5 3 5 4" xfId="2181" xr:uid="{FEEB6813-77A8-4DEF-B9F2-C11C515B7E03}"/>
    <cellStyle name="Normal 5 3 5 4 2" xfId="12129" xr:uid="{66120E04-EA21-4DD5-8AA1-9FCCF75D6333}"/>
    <cellStyle name="Normal 5 3 5 5" xfId="3010" xr:uid="{9EB33C67-DDE5-48C7-9E04-0763D3672E6C}"/>
    <cellStyle name="Normal 5 3 5 5 2" xfId="12958" xr:uid="{AE9A0019-B5CE-4D04-95B3-DF08D9908AB9}"/>
    <cellStyle name="Normal 5 3 5 6" xfId="3839" xr:uid="{AF30104B-FD48-4EC3-9F3C-33311713C8A3}"/>
    <cellStyle name="Normal 5 3 5 6 2" xfId="13787" xr:uid="{FF4F3F0D-F52D-4CBD-954A-68A8E4DAE81E}"/>
    <cellStyle name="Normal 5 3 5 7" xfId="4668" xr:uid="{BCDDFC32-5A2A-4B02-A9F2-4506D5468D9C}"/>
    <cellStyle name="Normal 5 3 5 7 2" xfId="14616" xr:uid="{632928AE-9390-4A73-84BA-B45AC53A791C}"/>
    <cellStyle name="Normal 5 3 5 8" xfId="5497" xr:uid="{B1CBA919-BE1E-4BDF-91B3-FA01BAAC75DE}"/>
    <cellStyle name="Normal 5 3 5 8 2" xfId="15445" xr:uid="{B8F52A9A-B5E0-44ED-89F5-0DC5705056CC}"/>
    <cellStyle name="Normal 5 3 5 9" xfId="6326" xr:uid="{93D37F22-19F0-4619-9787-979BB1673247}"/>
    <cellStyle name="Normal 5 3 5 9 2" xfId="16274" xr:uid="{5C2D8BD9-5167-4F8A-BE52-4184888FF020}"/>
    <cellStyle name="Normal 5 3 6" xfId="458" xr:uid="{00000000-0005-0000-0000-000032030000}"/>
    <cellStyle name="Normal 5 3 6 10" xfId="7986" xr:uid="{B078E562-22EF-4213-829F-4D69C55938AB}"/>
    <cellStyle name="Normal 5 3 6 10 2" xfId="17934" xr:uid="{C6247607-B4ED-47AB-95FD-CEA889D08F99}"/>
    <cellStyle name="Normal 5 3 6 11" xfId="8815" xr:uid="{367448E2-19A9-49A6-9D72-EE404B0E370F}"/>
    <cellStyle name="Normal 5 3 6 11 2" xfId="18763" xr:uid="{3D5C6E02-FD0C-4BDB-AC89-99A3622E0CA4}"/>
    <cellStyle name="Normal 5 3 6 12" xfId="9644" xr:uid="{435AEB9C-D23D-4BDF-B6C6-49F1D24EDA22}"/>
    <cellStyle name="Normal 5 3 6 12 2" xfId="19592" xr:uid="{67D5C1EE-CF65-4EEE-B95B-2F644B20D75D}"/>
    <cellStyle name="Normal 5 3 6 13" xfId="10473" xr:uid="{ECDAA15C-C2AF-4349-90BA-2C5FA476D580}"/>
    <cellStyle name="Normal 5 3 6 13 2" xfId="20421" xr:uid="{3147B090-9ED6-4052-A486-690EB035BAA2}"/>
    <cellStyle name="Normal 5 3 6 14" xfId="1354" xr:uid="{2E419697-289A-4ACA-BE1C-6BFBDD669CCD}"/>
    <cellStyle name="Normal 5 3 6 15" xfId="11302" xr:uid="{986BDD54-6881-4C10-915A-1ACD50AFF65F}"/>
    <cellStyle name="Normal 5 3 6 2" xfId="937" xr:uid="{00000000-0005-0000-0000-000033030000}"/>
    <cellStyle name="Normal 5 3 6 2 10" xfId="9231" xr:uid="{8E90B4E5-1468-4C97-A1D1-6FF79EB6C502}"/>
    <cellStyle name="Normal 5 3 6 2 10 2" xfId="19179" xr:uid="{24B51990-A96E-42C1-8ABF-C323F918A841}"/>
    <cellStyle name="Normal 5 3 6 2 11" xfId="10060" xr:uid="{196E8229-54EA-4714-90E6-082A3EB4E570}"/>
    <cellStyle name="Normal 5 3 6 2 11 2" xfId="20008" xr:uid="{53AB9967-486E-4A9C-8888-6FD5FB98D9C8}"/>
    <cellStyle name="Normal 5 3 6 2 12" xfId="10889" xr:uid="{E9C11126-AD89-427E-9AD6-D93ACB91311F}"/>
    <cellStyle name="Normal 5 3 6 2 12 2" xfId="20837" xr:uid="{B7384533-EC66-4BC0-BFCA-C3B0773954B7}"/>
    <cellStyle name="Normal 5 3 6 2 13" xfId="1770" xr:uid="{6A0002AE-9E41-4144-BB58-FB7FE5529105}"/>
    <cellStyle name="Normal 5 3 6 2 14" xfId="11718" xr:uid="{DE69258A-5528-43B2-8F03-8A69CC8DDCDB}"/>
    <cellStyle name="Normal 5 3 6 2 2" xfId="2599" xr:uid="{C065C258-072A-4248-908B-07136AE1DA76}"/>
    <cellStyle name="Normal 5 3 6 2 2 2" xfId="12547" xr:uid="{C5E62070-4003-4F8E-BC88-42642C57BA87}"/>
    <cellStyle name="Normal 5 3 6 2 3" xfId="3428" xr:uid="{C780EBB5-48F3-49F8-A3BC-6775B8CFE004}"/>
    <cellStyle name="Normal 5 3 6 2 3 2" xfId="13376" xr:uid="{C8C3D8FE-719C-4FE0-B71E-0D852F3B51BA}"/>
    <cellStyle name="Normal 5 3 6 2 4" xfId="4257" xr:uid="{4E1CEB93-617C-4DB9-9830-73A9AEC21225}"/>
    <cellStyle name="Normal 5 3 6 2 4 2" xfId="14205" xr:uid="{8D0FB551-CF93-4B09-ABC1-3CED982F48F9}"/>
    <cellStyle name="Normal 5 3 6 2 5" xfId="5086" xr:uid="{9819A343-6A52-4C1A-B86C-F30DFB4A977A}"/>
    <cellStyle name="Normal 5 3 6 2 5 2" xfId="15034" xr:uid="{1C36CE35-DB24-43AB-A8C7-D664294749AE}"/>
    <cellStyle name="Normal 5 3 6 2 6" xfId="5915" xr:uid="{BF59CB44-213B-4568-AF73-5ACEF7C85510}"/>
    <cellStyle name="Normal 5 3 6 2 6 2" xfId="15863" xr:uid="{E259C279-13BC-4952-B0C5-B5A06B4D8B56}"/>
    <cellStyle name="Normal 5 3 6 2 7" xfId="6744" xr:uid="{FF25F61F-8F07-484C-ABB7-3DE98C623913}"/>
    <cellStyle name="Normal 5 3 6 2 7 2" xfId="16692" xr:uid="{7A55B808-9D7E-48E7-A124-5C7EBB5E4D44}"/>
    <cellStyle name="Normal 5 3 6 2 8" xfId="7573" xr:uid="{BF782C69-4046-4292-8786-45C0FE5278AE}"/>
    <cellStyle name="Normal 5 3 6 2 8 2" xfId="17521" xr:uid="{A5E72209-ABEA-4BC6-8676-D3F237A19CA5}"/>
    <cellStyle name="Normal 5 3 6 2 9" xfId="8402" xr:uid="{83A54C71-A3CA-4C4A-ACE2-BD561F906D6D}"/>
    <cellStyle name="Normal 5 3 6 2 9 2" xfId="18350" xr:uid="{98EEFE77-2822-412E-8D67-008BC610D404}"/>
    <cellStyle name="Normal 5 3 6 3" xfId="2183" xr:uid="{F38C6CE6-28EC-4AA8-90C8-B8C2D6F3E09E}"/>
    <cellStyle name="Normal 5 3 6 3 2" xfId="12131" xr:uid="{7E24A503-8FED-4760-B215-999E168A2230}"/>
    <cellStyle name="Normal 5 3 6 4" xfId="3012" xr:uid="{DA6C9A84-C0DD-4F85-A00C-8F42E5DC062C}"/>
    <cellStyle name="Normal 5 3 6 4 2" xfId="12960" xr:uid="{10ED31ED-D506-4392-86C2-0E724D4B1F2E}"/>
    <cellStyle name="Normal 5 3 6 5" xfId="3841" xr:uid="{FE62DC36-5492-499B-A263-2044908F8D90}"/>
    <cellStyle name="Normal 5 3 6 5 2" xfId="13789" xr:uid="{F3A78C6A-1EA5-42F3-845C-33A2C7DB8ECA}"/>
    <cellStyle name="Normal 5 3 6 6" xfId="4670" xr:uid="{2051EED2-3833-4D73-8666-0A47A5DBEF5B}"/>
    <cellStyle name="Normal 5 3 6 6 2" xfId="14618" xr:uid="{1F2B8E0C-44D4-4D1D-B83D-64D604624FD1}"/>
    <cellStyle name="Normal 5 3 6 7" xfId="5499" xr:uid="{01779C90-A88D-4420-96F3-3DC7769A2FBE}"/>
    <cellStyle name="Normal 5 3 6 7 2" xfId="15447" xr:uid="{149837DD-3336-438B-82F5-3DDBB3D4711A}"/>
    <cellStyle name="Normal 5 3 6 8" xfId="6328" xr:uid="{09D0B5CA-2E90-4959-B242-435E8A985A36}"/>
    <cellStyle name="Normal 5 3 6 8 2" xfId="16276" xr:uid="{DAB3587A-B444-4EA9-88D5-800E6E99B992}"/>
    <cellStyle name="Normal 5 3 6 9" xfId="7157" xr:uid="{B54CF1C8-27AA-4B59-B75F-5673C4CBB666}"/>
    <cellStyle name="Normal 5 3 6 9 2" xfId="17105" xr:uid="{15A0C77D-EC62-4802-BBAD-01752180BFC4}"/>
    <cellStyle name="Normal 5 3 7" xfId="921" xr:uid="{00000000-0005-0000-0000-000034030000}"/>
    <cellStyle name="Normal 5 3 7 10" xfId="9216" xr:uid="{B550446A-8437-4E0F-9F3F-7303F42FF10E}"/>
    <cellStyle name="Normal 5 3 7 10 2" xfId="19164" xr:uid="{80E45B16-0134-4FD7-A249-BC4C469CCEF7}"/>
    <cellStyle name="Normal 5 3 7 11" xfId="10045" xr:uid="{68718519-118F-4B60-BD1A-D838F32AEF47}"/>
    <cellStyle name="Normal 5 3 7 11 2" xfId="19993" xr:uid="{BC829876-0D25-4515-A29F-D6ACAC07CFE8}"/>
    <cellStyle name="Normal 5 3 7 12" xfId="10874" xr:uid="{5DA8B0F6-D29A-42C3-97AD-E15831530911}"/>
    <cellStyle name="Normal 5 3 7 12 2" xfId="20822" xr:uid="{5E7EE87E-A4BA-4798-81E0-84F94C1D6795}"/>
    <cellStyle name="Normal 5 3 7 13" xfId="1755" xr:uid="{B4DDF979-486B-47DA-8E02-D802E4449406}"/>
    <cellStyle name="Normal 5 3 7 14" xfId="11703" xr:uid="{20C45739-B228-40E8-88EB-529EEBD5553E}"/>
    <cellStyle name="Normal 5 3 7 2" xfId="2584" xr:uid="{0F0E90C7-1856-4867-954C-F66CBC79B9EF}"/>
    <cellStyle name="Normal 5 3 7 2 2" xfId="12532" xr:uid="{2D3E4510-9185-48E2-9F0A-233F0B51AFD6}"/>
    <cellStyle name="Normal 5 3 7 3" xfId="3413" xr:uid="{CCA9BC3B-EE13-4D7C-B875-498F8B68DDB8}"/>
    <cellStyle name="Normal 5 3 7 3 2" xfId="13361" xr:uid="{A0E0EAE6-7496-4ACE-9E21-9271E169F1C5}"/>
    <cellStyle name="Normal 5 3 7 4" xfId="4242" xr:uid="{727148AA-9C2F-44B6-8110-8F776051A6B1}"/>
    <cellStyle name="Normal 5 3 7 4 2" xfId="14190" xr:uid="{773454D2-28AE-4156-91F5-69C5CC525E29}"/>
    <cellStyle name="Normal 5 3 7 5" xfId="5071" xr:uid="{7A7C1D7F-EA81-41D3-9A03-B07E350F45AC}"/>
    <cellStyle name="Normal 5 3 7 5 2" xfId="15019" xr:uid="{409370A3-CE29-4FAE-A885-F21B830AF96E}"/>
    <cellStyle name="Normal 5 3 7 6" xfId="5900" xr:uid="{E1799B81-47F3-4CD3-BEF1-7508DDEF050A}"/>
    <cellStyle name="Normal 5 3 7 6 2" xfId="15848" xr:uid="{FF7ED211-09BE-4CEE-9AB2-B2ACE3C40F8B}"/>
    <cellStyle name="Normal 5 3 7 7" xfId="6729" xr:uid="{AF14F2D4-7F63-4576-AD46-DBE885EC5CA9}"/>
    <cellStyle name="Normal 5 3 7 7 2" xfId="16677" xr:uid="{A97BAC39-C762-44DA-955A-C7904C31B2C9}"/>
    <cellStyle name="Normal 5 3 7 8" xfId="7558" xr:uid="{2E4EBC37-0A6C-464C-85A0-449C83FAFD6A}"/>
    <cellStyle name="Normal 5 3 7 8 2" xfId="17506" xr:uid="{CD1A4765-A6B0-41BF-907F-78C76DCD95F8}"/>
    <cellStyle name="Normal 5 3 7 9" xfId="8387" xr:uid="{F3B42229-6688-4518-9EC6-C83D8A2D8EA0}"/>
    <cellStyle name="Normal 5 3 7 9 2" xfId="18335" xr:uid="{DA6B8DB9-3089-448D-BBDA-3452913B9F2A}"/>
    <cellStyle name="Normal 5 3 8" xfId="2168" xr:uid="{E27A40E5-7F43-41F6-8AFF-C66A51BFFEBF}"/>
    <cellStyle name="Normal 5 3 8 2" xfId="12116" xr:uid="{B72F7B94-2AF3-4C58-9CF1-3C3DBAD30F9D}"/>
    <cellStyle name="Normal 5 3 9" xfId="2997" xr:uid="{BEBF590C-763A-4A90-8C24-48BB50EFD928}"/>
    <cellStyle name="Normal 5 3 9 2" xfId="12945" xr:uid="{27C8E3DD-85BB-46F9-87A3-3428DBDE3B44}"/>
    <cellStyle name="Normal 5 4" xfId="459" xr:uid="{00000000-0005-0000-0000-000035030000}"/>
    <cellStyle name="Normal 5 4 10" xfId="5500" xr:uid="{EF17A915-F244-43F6-B21B-15A7722EB5DA}"/>
    <cellStyle name="Normal 5 4 10 2" xfId="15448" xr:uid="{D5FAA143-70F1-4268-BB2A-E7A95991CA98}"/>
    <cellStyle name="Normal 5 4 11" xfId="6329" xr:uid="{814C2F84-51B9-4DC3-869D-B49BEC490ACC}"/>
    <cellStyle name="Normal 5 4 11 2" xfId="16277" xr:uid="{D3CA6FA1-D47F-46F5-AB08-F0A6F845446E}"/>
    <cellStyle name="Normal 5 4 12" xfId="7158" xr:uid="{35BD6EDF-8627-4268-9A7A-7AA26A199C97}"/>
    <cellStyle name="Normal 5 4 12 2" xfId="17106" xr:uid="{531B0D28-CAD3-42CB-88EA-6DAFDDC57754}"/>
    <cellStyle name="Normal 5 4 13" xfId="7987" xr:uid="{08546F1D-9D11-4949-860D-6B5D707CBF1D}"/>
    <cellStyle name="Normal 5 4 13 2" xfId="17935" xr:uid="{9B30EA9C-4531-4809-A59A-ED94DBD6D971}"/>
    <cellStyle name="Normal 5 4 14" xfId="8816" xr:uid="{055805CA-F233-49EB-A984-3737848CADD2}"/>
    <cellStyle name="Normal 5 4 14 2" xfId="18764" xr:uid="{C35AE854-8300-4DCB-BAB8-AF360E586757}"/>
    <cellStyle name="Normal 5 4 15" xfId="9645" xr:uid="{11D0F10F-DCB6-4F9B-A6D7-9DB60325EC06}"/>
    <cellStyle name="Normal 5 4 15 2" xfId="19593" xr:uid="{4D31A90E-C2F7-4CD1-9B07-96F6C134FF49}"/>
    <cellStyle name="Normal 5 4 16" xfId="10474" xr:uid="{090E469F-55AD-4549-86C6-12CBBC3DF94D}"/>
    <cellStyle name="Normal 5 4 16 2" xfId="20422" xr:uid="{81431684-CCD2-4264-BB81-031915FD8F27}"/>
    <cellStyle name="Normal 5 4 17" xfId="1355" xr:uid="{365E696A-0192-4054-8184-8CDBD6F8E718}"/>
    <cellStyle name="Normal 5 4 18" xfId="11303" xr:uid="{6756A403-6113-43F1-B1AE-882877023525}"/>
    <cellStyle name="Normal 5 4 2" xfId="460" xr:uid="{00000000-0005-0000-0000-000036030000}"/>
    <cellStyle name="Normal 5 4 2 10" xfId="6330" xr:uid="{7BBB869F-326A-4402-BA87-D10F9CF6A445}"/>
    <cellStyle name="Normal 5 4 2 10 2" xfId="16278" xr:uid="{E8C092DA-98D6-4567-B122-7DF49AB547BB}"/>
    <cellStyle name="Normal 5 4 2 11" xfId="7159" xr:uid="{F926E3D3-27EE-407F-9B88-AEC7C09A76EC}"/>
    <cellStyle name="Normal 5 4 2 11 2" xfId="17107" xr:uid="{A2C0BBBF-FB07-4E58-BAEC-E2D34D54949F}"/>
    <cellStyle name="Normal 5 4 2 12" xfId="7988" xr:uid="{D0B210F5-C2C3-4941-83AA-6D0EC6B7E5E6}"/>
    <cellStyle name="Normal 5 4 2 12 2" xfId="17936" xr:uid="{E57B9601-3FBB-47B6-A76A-3680977C6AA5}"/>
    <cellStyle name="Normal 5 4 2 13" xfId="8817" xr:uid="{0903DEBB-AF88-441B-8061-08583773C49B}"/>
    <cellStyle name="Normal 5 4 2 13 2" xfId="18765" xr:uid="{320F3C1A-3C5D-44F9-B35B-BA96A4F1150F}"/>
    <cellStyle name="Normal 5 4 2 14" xfId="9646" xr:uid="{B47677E0-D3DF-452F-B39E-FCACF386465F}"/>
    <cellStyle name="Normal 5 4 2 14 2" xfId="19594" xr:uid="{6CDDB50C-78DE-49ED-AAEF-31A58A3CA533}"/>
    <cellStyle name="Normal 5 4 2 15" xfId="10475" xr:uid="{E0591C06-7CB9-486C-BB84-698E0E08A98D}"/>
    <cellStyle name="Normal 5 4 2 15 2" xfId="20423" xr:uid="{E6199ABC-6AA1-468B-AB6D-042F05FBDD46}"/>
    <cellStyle name="Normal 5 4 2 16" xfId="1356" xr:uid="{366080BF-5A90-438C-9AF6-64FA4F416430}"/>
    <cellStyle name="Normal 5 4 2 17" xfId="11304" xr:uid="{87510063-0E45-4CAE-B9BD-ECE8EE786535}"/>
    <cellStyle name="Normal 5 4 2 2" xfId="461" xr:uid="{00000000-0005-0000-0000-000037030000}"/>
    <cellStyle name="Normal 5 4 2 2 10" xfId="7160" xr:uid="{05E9E736-07E1-4672-AA36-60E8DC73E77B}"/>
    <cellStyle name="Normal 5 4 2 2 10 2" xfId="17108" xr:uid="{5DEFE1E8-AB23-4604-ABD7-06D7984FDF61}"/>
    <cellStyle name="Normal 5 4 2 2 11" xfId="7989" xr:uid="{D8E76C4F-1DC3-4C76-9777-D80B0A75D02A}"/>
    <cellStyle name="Normal 5 4 2 2 11 2" xfId="17937" xr:uid="{94456FE1-5370-4E78-B962-687881D76227}"/>
    <cellStyle name="Normal 5 4 2 2 12" xfId="8818" xr:uid="{04465129-D8D2-4865-BCAD-7100DA9E270E}"/>
    <cellStyle name="Normal 5 4 2 2 12 2" xfId="18766" xr:uid="{854EAD85-D654-403E-99EF-AA8F0564EA32}"/>
    <cellStyle name="Normal 5 4 2 2 13" xfId="9647" xr:uid="{A42F2470-B2E0-4379-8AE5-3484AC461FF2}"/>
    <cellStyle name="Normal 5 4 2 2 13 2" xfId="19595" xr:uid="{361C0BCE-9CE3-46A5-8CED-647579A6BD15}"/>
    <cellStyle name="Normal 5 4 2 2 14" xfId="10476" xr:uid="{747B86B6-5F7E-40B5-AAB0-F7A74359684F}"/>
    <cellStyle name="Normal 5 4 2 2 14 2" xfId="20424" xr:uid="{C7FEA1C9-439E-43F1-8FCA-3DE954CE81E7}"/>
    <cellStyle name="Normal 5 4 2 2 15" xfId="1357" xr:uid="{5F737290-1FFC-4D44-83D9-A4A6226263AF}"/>
    <cellStyle name="Normal 5 4 2 2 16" xfId="11305" xr:uid="{4730BF8A-66E1-4B5C-8AD1-D0CB6B461AD3}"/>
    <cellStyle name="Normal 5 4 2 2 2" xfId="462" xr:uid="{00000000-0005-0000-0000-000038030000}"/>
    <cellStyle name="Normal 5 4 2 2 2 10" xfId="7990" xr:uid="{4AEE47DF-40EB-414D-BA4E-B0DA91955217}"/>
    <cellStyle name="Normal 5 4 2 2 2 10 2" xfId="17938" xr:uid="{C6862ADE-A420-4CDF-BBA4-90AC2C11BD95}"/>
    <cellStyle name="Normal 5 4 2 2 2 11" xfId="8819" xr:uid="{3910F188-4E29-4AAC-9642-B1CEF02655B7}"/>
    <cellStyle name="Normal 5 4 2 2 2 11 2" xfId="18767" xr:uid="{07DA48E8-6408-4D66-A0BB-1024AFF33966}"/>
    <cellStyle name="Normal 5 4 2 2 2 12" xfId="9648" xr:uid="{9C215664-4A74-412D-8BD0-0BE2636CE082}"/>
    <cellStyle name="Normal 5 4 2 2 2 12 2" xfId="19596" xr:uid="{BA966772-BEFB-4D6F-8837-1790385890D9}"/>
    <cellStyle name="Normal 5 4 2 2 2 13" xfId="10477" xr:uid="{33D39292-B01B-400C-A0CF-6D4507E49F74}"/>
    <cellStyle name="Normal 5 4 2 2 2 13 2" xfId="20425" xr:uid="{1CF62707-03EA-421D-91AB-979453675463}"/>
    <cellStyle name="Normal 5 4 2 2 2 14" xfId="1358" xr:uid="{AED4031A-9142-422F-AFF2-0333F76C8731}"/>
    <cellStyle name="Normal 5 4 2 2 2 15" xfId="11306" xr:uid="{293BD2B7-1A55-4E9D-93AF-89A42F321B69}"/>
    <cellStyle name="Normal 5 4 2 2 2 2" xfId="941" xr:uid="{00000000-0005-0000-0000-000039030000}"/>
    <cellStyle name="Normal 5 4 2 2 2 2 10" xfId="9235" xr:uid="{30F4CEBB-A40C-4E34-8D45-4FAF62B87B02}"/>
    <cellStyle name="Normal 5 4 2 2 2 2 10 2" xfId="19183" xr:uid="{19F9C1F8-9FE0-4148-936B-AA438DAB68EF}"/>
    <cellStyle name="Normal 5 4 2 2 2 2 11" xfId="10064" xr:uid="{1C0EF06D-8D5D-43BF-A941-CCC350FA00B1}"/>
    <cellStyle name="Normal 5 4 2 2 2 2 11 2" xfId="20012" xr:uid="{CF18FF44-BE9E-44A0-951D-A0FD45D7653C}"/>
    <cellStyle name="Normal 5 4 2 2 2 2 12" xfId="10893" xr:uid="{F9D07BE5-6748-4B21-B7AC-050BB9ED2F94}"/>
    <cellStyle name="Normal 5 4 2 2 2 2 12 2" xfId="20841" xr:uid="{756127B3-9BC9-4AC8-ACB6-88B53B3095CD}"/>
    <cellStyle name="Normal 5 4 2 2 2 2 13" xfId="1774" xr:uid="{05950083-FD3F-4C88-BED7-CDBE03FBEB67}"/>
    <cellStyle name="Normal 5 4 2 2 2 2 14" xfId="11722" xr:uid="{DB71E4B3-0EB0-4894-987F-BF494E01E190}"/>
    <cellStyle name="Normal 5 4 2 2 2 2 2" xfId="2603" xr:uid="{78A18E46-941F-4AA1-9658-97AF3A510A73}"/>
    <cellStyle name="Normal 5 4 2 2 2 2 2 2" xfId="12551" xr:uid="{021E9054-8D88-4152-8E4E-D4F1FF991CBF}"/>
    <cellStyle name="Normal 5 4 2 2 2 2 3" xfId="3432" xr:uid="{075F3CA5-DD77-441C-B19C-C99E3B551AFF}"/>
    <cellStyle name="Normal 5 4 2 2 2 2 3 2" xfId="13380" xr:uid="{A328FB15-1D28-4BFD-9B16-F03D05B543D3}"/>
    <cellStyle name="Normal 5 4 2 2 2 2 4" xfId="4261" xr:uid="{73E0AD11-A70E-46B6-AF44-94E672FC7A81}"/>
    <cellStyle name="Normal 5 4 2 2 2 2 4 2" xfId="14209" xr:uid="{A71C637F-FED6-4DD8-BC96-916B814B8689}"/>
    <cellStyle name="Normal 5 4 2 2 2 2 5" xfId="5090" xr:uid="{86542C3D-E394-4FF5-AC80-3042D64A02DF}"/>
    <cellStyle name="Normal 5 4 2 2 2 2 5 2" xfId="15038" xr:uid="{9C41AE47-37E8-48B6-A8EB-0BA88C134909}"/>
    <cellStyle name="Normal 5 4 2 2 2 2 6" xfId="5919" xr:uid="{3017269D-F463-4152-8C20-D7EA6A519172}"/>
    <cellStyle name="Normal 5 4 2 2 2 2 6 2" xfId="15867" xr:uid="{990022EA-9239-44E2-BBA2-E4AA3E81856A}"/>
    <cellStyle name="Normal 5 4 2 2 2 2 7" xfId="6748" xr:uid="{AFE1D910-F28D-4FA0-9BC3-8558F0863ADD}"/>
    <cellStyle name="Normal 5 4 2 2 2 2 7 2" xfId="16696" xr:uid="{ACC49E0F-26ED-4D68-BF2A-6CA133CB866F}"/>
    <cellStyle name="Normal 5 4 2 2 2 2 8" xfId="7577" xr:uid="{E92C1A3F-AECE-4E64-BA19-15BFE48C4A63}"/>
    <cellStyle name="Normal 5 4 2 2 2 2 8 2" xfId="17525" xr:uid="{1A25B0AF-B086-4CDF-AEF8-FC3BE458ED6A}"/>
    <cellStyle name="Normal 5 4 2 2 2 2 9" xfId="8406" xr:uid="{4EF3D800-65C2-4E6D-8738-E8D2E1BD3844}"/>
    <cellStyle name="Normal 5 4 2 2 2 2 9 2" xfId="18354" xr:uid="{24175697-A686-401A-BCF0-077290BCA5F8}"/>
    <cellStyle name="Normal 5 4 2 2 2 3" xfId="2187" xr:uid="{D576E3B8-DB53-45B9-9AF1-A97B57ACCCA8}"/>
    <cellStyle name="Normal 5 4 2 2 2 3 2" xfId="12135" xr:uid="{5F3E0CAF-C8E0-4EAA-A955-E357127E635B}"/>
    <cellStyle name="Normal 5 4 2 2 2 4" xfId="3016" xr:uid="{5C648481-1C1A-4DF3-BCB0-D42A2E598D64}"/>
    <cellStyle name="Normal 5 4 2 2 2 4 2" xfId="12964" xr:uid="{E569C853-1690-47EA-BBF6-F92D7293CED9}"/>
    <cellStyle name="Normal 5 4 2 2 2 5" xfId="3845" xr:uid="{1B482DB0-75F2-4F72-A717-D5202A34448F}"/>
    <cellStyle name="Normal 5 4 2 2 2 5 2" xfId="13793" xr:uid="{E0D39B95-B0A1-4576-A137-AD6EAA67044F}"/>
    <cellStyle name="Normal 5 4 2 2 2 6" xfId="4674" xr:uid="{C55FA127-56B4-49B7-B015-0AD8A637FE8B}"/>
    <cellStyle name="Normal 5 4 2 2 2 6 2" xfId="14622" xr:uid="{9B0890AA-DFEC-4D59-A23A-ABE9ABBCDD3E}"/>
    <cellStyle name="Normal 5 4 2 2 2 7" xfId="5503" xr:uid="{BCD922F9-1482-4D60-8DBA-C56BEEAF3661}"/>
    <cellStyle name="Normal 5 4 2 2 2 7 2" xfId="15451" xr:uid="{35101D98-64F4-4236-9B02-93D0D6607EA2}"/>
    <cellStyle name="Normal 5 4 2 2 2 8" xfId="6332" xr:uid="{D57CB67B-0AD6-43F5-976A-A6893F92FFA8}"/>
    <cellStyle name="Normal 5 4 2 2 2 8 2" xfId="16280" xr:uid="{12EEB451-842D-4EA2-B73B-30AF5332A2FA}"/>
    <cellStyle name="Normal 5 4 2 2 2 9" xfId="7161" xr:uid="{26192216-A304-4033-B788-E9D1C495283A}"/>
    <cellStyle name="Normal 5 4 2 2 2 9 2" xfId="17109" xr:uid="{706D1763-72A9-44AF-B5C1-BB871377DA2D}"/>
    <cellStyle name="Normal 5 4 2 2 3" xfId="940" xr:uid="{00000000-0005-0000-0000-00003A030000}"/>
    <cellStyle name="Normal 5 4 2 2 3 10" xfId="9234" xr:uid="{778713F4-FCEB-4111-BD16-5FF7218819AF}"/>
    <cellStyle name="Normal 5 4 2 2 3 10 2" xfId="19182" xr:uid="{0063D9E6-56F4-4DB5-B427-01B06D63AA4B}"/>
    <cellStyle name="Normal 5 4 2 2 3 11" xfId="10063" xr:uid="{5BFFBA7F-E205-461B-AF98-B0F174D0F2F2}"/>
    <cellStyle name="Normal 5 4 2 2 3 11 2" xfId="20011" xr:uid="{21A15E02-D4DE-4BF9-9D26-008B23B8DEB7}"/>
    <cellStyle name="Normal 5 4 2 2 3 12" xfId="10892" xr:uid="{2A9F36D8-32DF-479A-BCD2-C0344C34D158}"/>
    <cellStyle name="Normal 5 4 2 2 3 12 2" xfId="20840" xr:uid="{E5619692-7DBA-4305-B6AD-51ECADE31478}"/>
    <cellStyle name="Normal 5 4 2 2 3 13" xfId="1773" xr:uid="{E82ABE21-5DEF-4165-8268-79A8304CC5E3}"/>
    <cellStyle name="Normal 5 4 2 2 3 14" xfId="11721" xr:uid="{655A694F-082A-4C36-ACA2-DBEA26713755}"/>
    <cellStyle name="Normal 5 4 2 2 3 2" xfId="2602" xr:uid="{A45D7ED3-FBC7-4614-8343-3B26E7CFFE7B}"/>
    <cellStyle name="Normal 5 4 2 2 3 2 2" xfId="12550" xr:uid="{5930E261-52B0-47C1-BBB8-8D815CA5BD42}"/>
    <cellStyle name="Normal 5 4 2 2 3 3" xfId="3431" xr:uid="{43A86965-70DA-498D-9B41-9AEBA87F2CCB}"/>
    <cellStyle name="Normal 5 4 2 2 3 3 2" xfId="13379" xr:uid="{EEAF412B-7ECE-4B38-A53E-26EABD1338E3}"/>
    <cellStyle name="Normal 5 4 2 2 3 4" xfId="4260" xr:uid="{A1221F96-7B80-4796-A8C7-B9BC20A157A2}"/>
    <cellStyle name="Normal 5 4 2 2 3 4 2" xfId="14208" xr:uid="{2D164C28-F491-4329-BF44-907FA049D6F4}"/>
    <cellStyle name="Normal 5 4 2 2 3 5" xfId="5089" xr:uid="{79196048-3E32-41D0-948B-82657571F278}"/>
    <cellStyle name="Normal 5 4 2 2 3 5 2" xfId="15037" xr:uid="{977BEF2A-AB42-4EDD-A43A-17935B549C6D}"/>
    <cellStyle name="Normal 5 4 2 2 3 6" xfId="5918" xr:uid="{C8F71843-FEED-4977-A8AA-DB085C6C856F}"/>
    <cellStyle name="Normal 5 4 2 2 3 6 2" xfId="15866" xr:uid="{45B6AC1E-27F7-4F4F-8F20-08EAE9492CB7}"/>
    <cellStyle name="Normal 5 4 2 2 3 7" xfId="6747" xr:uid="{AFE29C34-F8F0-4DCB-B2E3-4AB8449384A0}"/>
    <cellStyle name="Normal 5 4 2 2 3 7 2" xfId="16695" xr:uid="{F651AD62-7230-4138-A17D-88F3966F0F98}"/>
    <cellStyle name="Normal 5 4 2 2 3 8" xfId="7576" xr:uid="{B81E7669-78D2-403B-824C-3012622D793A}"/>
    <cellStyle name="Normal 5 4 2 2 3 8 2" xfId="17524" xr:uid="{A45F3A3A-591D-43C5-A546-E157B6F8DDC1}"/>
    <cellStyle name="Normal 5 4 2 2 3 9" xfId="8405" xr:uid="{34392B7D-D20B-47CC-B22F-B1F69F6F4BF3}"/>
    <cellStyle name="Normal 5 4 2 2 3 9 2" xfId="18353" xr:uid="{E9585566-F2AC-412A-B2F6-89A1F863F0BF}"/>
    <cellStyle name="Normal 5 4 2 2 4" xfId="2186" xr:uid="{62545EEC-2A8E-4226-8B5F-C9C786BE2DC3}"/>
    <cellStyle name="Normal 5 4 2 2 4 2" xfId="12134" xr:uid="{660CAD75-C24F-4F69-8BD9-1A9C62E7CBEA}"/>
    <cellStyle name="Normal 5 4 2 2 5" xfId="3015" xr:uid="{34D220EB-6949-4ACF-8780-338A0E53B2A7}"/>
    <cellStyle name="Normal 5 4 2 2 5 2" xfId="12963" xr:uid="{AF2FCF0B-3044-42C3-A69C-1727450D3999}"/>
    <cellStyle name="Normal 5 4 2 2 6" xfId="3844" xr:uid="{29BDDC43-0E99-410F-AF49-359500CD153E}"/>
    <cellStyle name="Normal 5 4 2 2 6 2" xfId="13792" xr:uid="{4DB299CC-2BFC-4753-AF5C-4B5ADAA884D6}"/>
    <cellStyle name="Normal 5 4 2 2 7" xfId="4673" xr:uid="{506CFEB1-A262-48D4-AA31-A5AB536EF8D0}"/>
    <cellStyle name="Normal 5 4 2 2 7 2" xfId="14621" xr:uid="{CECE9399-52CD-4354-ACE6-2B42DDDD81D8}"/>
    <cellStyle name="Normal 5 4 2 2 8" xfId="5502" xr:uid="{5ACEADFF-DFD7-41A4-9CD6-AE8121EEA7EA}"/>
    <cellStyle name="Normal 5 4 2 2 8 2" xfId="15450" xr:uid="{28479D3F-1293-460C-A258-B782E684A1D0}"/>
    <cellStyle name="Normal 5 4 2 2 9" xfId="6331" xr:uid="{EED7C6AA-834B-486B-A67A-00A744B29C22}"/>
    <cellStyle name="Normal 5 4 2 2 9 2" xfId="16279" xr:uid="{3086B475-1EB9-425E-8F75-97EF09C76476}"/>
    <cellStyle name="Normal 5 4 2 3" xfId="463" xr:uid="{00000000-0005-0000-0000-00003B030000}"/>
    <cellStyle name="Normal 5 4 2 3 10" xfId="7991" xr:uid="{8F3F21A4-523E-48DE-8AD1-D49839E5A1A9}"/>
    <cellStyle name="Normal 5 4 2 3 10 2" xfId="17939" xr:uid="{CEC60748-E865-4333-B857-B68881F61C7E}"/>
    <cellStyle name="Normal 5 4 2 3 11" xfId="8820" xr:uid="{F601CFA9-023C-4DFE-B7AB-920AA338DBC4}"/>
    <cellStyle name="Normal 5 4 2 3 11 2" xfId="18768" xr:uid="{8105E45F-F138-4C03-B0C8-D430428811D6}"/>
    <cellStyle name="Normal 5 4 2 3 12" xfId="9649" xr:uid="{7D400264-CDD2-488A-ABBE-6F4485E02F57}"/>
    <cellStyle name="Normal 5 4 2 3 12 2" xfId="19597" xr:uid="{DFD29E33-676D-4BDC-9FE3-446DBA1DFD52}"/>
    <cellStyle name="Normal 5 4 2 3 13" xfId="10478" xr:uid="{26128F4B-F548-43C2-A806-49DA0B7C07C0}"/>
    <cellStyle name="Normal 5 4 2 3 13 2" xfId="20426" xr:uid="{8A6A7106-AAAF-4184-B8E9-8A9539B5DF2D}"/>
    <cellStyle name="Normal 5 4 2 3 14" xfId="1359" xr:uid="{91964B71-4513-4405-B6C8-722A8B0E9930}"/>
    <cellStyle name="Normal 5 4 2 3 15" xfId="11307" xr:uid="{D75DC654-0D33-4631-9CBB-719BB07AA3D1}"/>
    <cellStyle name="Normal 5 4 2 3 2" xfId="942" xr:uid="{00000000-0005-0000-0000-00003C030000}"/>
    <cellStyle name="Normal 5 4 2 3 2 10" xfId="9236" xr:uid="{BED5D535-F1FF-4190-9563-03A50E23E42B}"/>
    <cellStyle name="Normal 5 4 2 3 2 10 2" xfId="19184" xr:uid="{BAF2579A-B779-46BF-B75E-976C99BFDE20}"/>
    <cellStyle name="Normal 5 4 2 3 2 11" xfId="10065" xr:uid="{54258B85-41EC-4DB3-9909-AA19BB7E5FB1}"/>
    <cellStyle name="Normal 5 4 2 3 2 11 2" xfId="20013" xr:uid="{8D0A37A0-9D9B-46C9-ACE2-FA5C65B909B8}"/>
    <cellStyle name="Normal 5 4 2 3 2 12" xfId="10894" xr:uid="{A714D44E-04F5-4C10-AB12-4AA6FFD20FD2}"/>
    <cellStyle name="Normal 5 4 2 3 2 12 2" xfId="20842" xr:uid="{B9092B44-3FE8-447A-A33E-6A6CD95092A3}"/>
    <cellStyle name="Normal 5 4 2 3 2 13" xfId="1775" xr:uid="{EF5A5460-EFA1-4A2A-8797-DB7B92A3C2B5}"/>
    <cellStyle name="Normal 5 4 2 3 2 14" xfId="11723" xr:uid="{5639AE07-F2C0-4982-98C8-240659AB5E33}"/>
    <cellStyle name="Normal 5 4 2 3 2 2" xfId="2604" xr:uid="{550F2855-813D-4ACD-B63A-636EC07A276B}"/>
    <cellStyle name="Normal 5 4 2 3 2 2 2" xfId="12552" xr:uid="{DF90749F-97F0-4677-AD8D-E5B975F5FABB}"/>
    <cellStyle name="Normal 5 4 2 3 2 3" xfId="3433" xr:uid="{104EDBA9-B34C-4F76-8854-AFD5CECAFDAF}"/>
    <cellStyle name="Normal 5 4 2 3 2 3 2" xfId="13381" xr:uid="{69D5B546-AC43-4F35-9196-27FB6996AADF}"/>
    <cellStyle name="Normal 5 4 2 3 2 4" xfId="4262" xr:uid="{F48C0775-A4FB-47E8-98A9-EA35E1234309}"/>
    <cellStyle name="Normal 5 4 2 3 2 4 2" xfId="14210" xr:uid="{61083E3F-4C17-4AA8-AFDC-35BF3C1B858E}"/>
    <cellStyle name="Normal 5 4 2 3 2 5" xfId="5091" xr:uid="{140A3A2F-9BA4-4DF0-91F3-C2D41070A07B}"/>
    <cellStyle name="Normal 5 4 2 3 2 5 2" xfId="15039" xr:uid="{700FCE6F-4083-4589-955D-E3FA77E3E72F}"/>
    <cellStyle name="Normal 5 4 2 3 2 6" xfId="5920" xr:uid="{B99A5258-AD67-4553-90E0-EFCFB4803949}"/>
    <cellStyle name="Normal 5 4 2 3 2 6 2" xfId="15868" xr:uid="{BB904CA7-6BB8-4151-A9FD-55C0841F262B}"/>
    <cellStyle name="Normal 5 4 2 3 2 7" xfId="6749" xr:uid="{1050A0F1-1650-4F9E-85D2-C3E9533A7F09}"/>
    <cellStyle name="Normal 5 4 2 3 2 7 2" xfId="16697" xr:uid="{4D3F81CA-6988-4C60-BB49-976FBB059859}"/>
    <cellStyle name="Normal 5 4 2 3 2 8" xfId="7578" xr:uid="{F1788741-2B4E-4F66-BCD7-41B68EE6C80D}"/>
    <cellStyle name="Normal 5 4 2 3 2 8 2" xfId="17526" xr:uid="{4920767F-261C-4ADB-8639-C0B72F9A18FC}"/>
    <cellStyle name="Normal 5 4 2 3 2 9" xfId="8407" xr:uid="{80321972-82B3-4014-A518-9306D99A36F6}"/>
    <cellStyle name="Normal 5 4 2 3 2 9 2" xfId="18355" xr:uid="{31B2AD96-149E-434E-A0C9-CC65E08E6F98}"/>
    <cellStyle name="Normal 5 4 2 3 3" xfId="2188" xr:uid="{31309131-224F-4766-B971-ACDE1E074A25}"/>
    <cellStyle name="Normal 5 4 2 3 3 2" xfId="12136" xr:uid="{650C655B-D48F-4D39-84EC-14778F60985E}"/>
    <cellStyle name="Normal 5 4 2 3 4" xfId="3017" xr:uid="{8AD3807C-8EB3-45EB-94F6-705A4CAB8195}"/>
    <cellStyle name="Normal 5 4 2 3 4 2" xfId="12965" xr:uid="{4A68DD1D-5345-4E93-B4A4-EEA8C498D920}"/>
    <cellStyle name="Normal 5 4 2 3 5" xfId="3846" xr:uid="{6559EC5E-A202-4706-8B08-E77943D8DA2A}"/>
    <cellStyle name="Normal 5 4 2 3 5 2" xfId="13794" xr:uid="{E2450E38-5A49-4E4B-B019-66795A74F032}"/>
    <cellStyle name="Normal 5 4 2 3 6" xfId="4675" xr:uid="{9DF7FC7E-D371-4580-A2AE-99523948EA78}"/>
    <cellStyle name="Normal 5 4 2 3 6 2" xfId="14623" xr:uid="{1A442BDA-1835-46FD-9885-F9174F713D9B}"/>
    <cellStyle name="Normal 5 4 2 3 7" xfId="5504" xr:uid="{F5978B6D-E407-435F-AD7D-460DD329A447}"/>
    <cellStyle name="Normal 5 4 2 3 7 2" xfId="15452" xr:uid="{901DEAD2-5B5C-4C65-B507-F30D8238D526}"/>
    <cellStyle name="Normal 5 4 2 3 8" xfId="6333" xr:uid="{6B2AB6F7-67E1-46DC-9582-D52952ECA36C}"/>
    <cellStyle name="Normal 5 4 2 3 8 2" xfId="16281" xr:uid="{8CC687E0-60DA-47E9-AF44-DFFB431E0465}"/>
    <cellStyle name="Normal 5 4 2 3 9" xfId="7162" xr:uid="{906BB331-0947-42FB-B4A1-9E53F7707DCD}"/>
    <cellStyle name="Normal 5 4 2 3 9 2" xfId="17110" xr:uid="{18B6B36D-A43A-41AC-ACBE-C11644460158}"/>
    <cellStyle name="Normal 5 4 2 4" xfId="939" xr:uid="{00000000-0005-0000-0000-00003D030000}"/>
    <cellStyle name="Normal 5 4 2 4 10" xfId="9233" xr:uid="{1F5C014D-8C88-4B9C-9FE3-78444D65979C}"/>
    <cellStyle name="Normal 5 4 2 4 10 2" xfId="19181" xr:uid="{B927B224-6950-49BD-9373-8930888692EC}"/>
    <cellStyle name="Normal 5 4 2 4 11" xfId="10062" xr:uid="{947A46F9-DD76-4E80-8377-30283C996CDB}"/>
    <cellStyle name="Normal 5 4 2 4 11 2" xfId="20010" xr:uid="{D971DDFF-5909-4EBC-BA6A-12970FA709DC}"/>
    <cellStyle name="Normal 5 4 2 4 12" xfId="10891" xr:uid="{9CBF60DB-5F78-47BB-B034-D45E67DFEB61}"/>
    <cellStyle name="Normal 5 4 2 4 12 2" xfId="20839" xr:uid="{8E332E36-1945-4BD2-96E7-74360528FE46}"/>
    <cellStyle name="Normal 5 4 2 4 13" xfId="1772" xr:uid="{9E56AE5C-A18E-49A3-901C-835B22F6A928}"/>
    <cellStyle name="Normal 5 4 2 4 14" xfId="11720" xr:uid="{1821DB20-2114-48F2-BCF2-BD7D01B46679}"/>
    <cellStyle name="Normal 5 4 2 4 2" xfId="2601" xr:uid="{C0D4D438-FD4E-4DD5-B9B0-999F745F55E7}"/>
    <cellStyle name="Normal 5 4 2 4 2 2" xfId="12549" xr:uid="{3B87BBEB-A419-4A0A-A65B-05BA22EE17CA}"/>
    <cellStyle name="Normal 5 4 2 4 3" xfId="3430" xr:uid="{8A27B7F7-B916-42FF-BE7A-0B303DC275B2}"/>
    <cellStyle name="Normal 5 4 2 4 3 2" xfId="13378" xr:uid="{1FF37C68-6AF0-4F8B-8128-7B8FCC9A9B70}"/>
    <cellStyle name="Normal 5 4 2 4 4" xfId="4259" xr:uid="{894D0A3A-CFEC-4D2A-BD6D-D5219B06D50A}"/>
    <cellStyle name="Normal 5 4 2 4 4 2" xfId="14207" xr:uid="{84A6947B-F2CC-46D7-9A2F-5922986D195C}"/>
    <cellStyle name="Normal 5 4 2 4 5" xfId="5088" xr:uid="{4684F254-B908-41F5-AE97-70015372F63F}"/>
    <cellStyle name="Normal 5 4 2 4 5 2" xfId="15036" xr:uid="{9196943D-EB1B-4F47-B47A-C8195ED94D8A}"/>
    <cellStyle name="Normal 5 4 2 4 6" xfId="5917" xr:uid="{7FCF250F-CBAA-4366-83B6-E52D5071CFF7}"/>
    <cellStyle name="Normal 5 4 2 4 6 2" xfId="15865" xr:uid="{61E4CE35-259C-4953-A3BC-C538D9FE96C7}"/>
    <cellStyle name="Normal 5 4 2 4 7" xfId="6746" xr:uid="{C2AC3DAE-E048-464E-B1B7-3DD516966551}"/>
    <cellStyle name="Normal 5 4 2 4 7 2" xfId="16694" xr:uid="{1BF1E0BA-829A-44BB-9A6B-365DF6778DAC}"/>
    <cellStyle name="Normal 5 4 2 4 8" xfId="7575" xr:uid="{129C16C9-8BD1-4800-9D8F-AA236A03991D}"/>
    <cellStyle name="Normal 5 4 2 4 8 2" xfId="17523" xr:uid="{132FE55E-ACC0-43A9-8D9E-11C2A98EEC71}"/>
    <cellStyle name="Normal 5 4 2 4 9" xfId="8404" xr:uid="{A8AE8B60-39B3-4DBB-A01A-580D23759A17}"/>
    <cellStyle name="Normal 5 4 2 4 9 2" xfId="18352" xr:uid="{569C6968-11E4-435C-91AB-0A1E3ED98C3F}"/>
    <cellStyle name="Normal 5 4 2 5" xfId="2185" xr:uid="{BCFBB458-50ED-421B-AAB6-12CBE302FA54}"/>
    <cellStyle name="Normal 5 4 2 5 2" xfId="12133" xr:uid="{47F36A11-2A02-4B86-87BF-8B0CE191F8F3}"/>
    <cellStyle name="Normal 5 4 2 6" xfId="3014" xr:uid="{005EFDE1-677D-4BF4-8EC9-DC10408B4B99}"/>
    <cellStyle name="Normal 5 4 2 6 2" xfId="12962" xr:uid="{DA571604-1AA8-4468-9082-A72BCDFA6FDA}"/>
    <cellStyle name="Normal 5 4 2 7" xfId="3843" xr:uid="{012AABDA-E42F-4EF8-B62F-5AE39B21B6EA}"/>
    <cellStyle name="Normal 5 4 2 7 2" xfId="13791" xr:uid="{BF979AA2-62C1-4921-B7C9-F911AFC8FE4A}"/>
    <cellStyle name="Normal 5 4 2 8" xfId="4672" xr:uid="{3E8EB834-4560-4286-9C87-5A3F9648EE79}"/>
    <cellStyle name="Normal 5 4 2 8 2" xfId="14620" xr:uid="{ED5D0431-C3D7-40A1-94C4-EC0052D0AFAA}"/>
    <cellStyle name="Normal 5 4 2 9" xfId="5501" xr:uid="{F2A0B12F-670E-48E5-BB1B-DCD341DE9F17}"/>
    <cellStyle name="Normal 5 4 2 9 2" xfId="15449" xr:uid="{C19F2B31-0EF1-46C6-A406-DE29BD641E86}"/>
    <cellStyle name="Normal 5 4 3" xfId="464" xr:uid="{00000000-0005-0000-0000-00003E030000}"/>
    <cellStyle name="Normal 5 4 3 10" xfId="7163" xr:uid="{47B33647-705D-4EB8-9C9E-D63472C35B87}"/>
    <cellStyle name="Normal 5 4 3 10 2" xfId="17111" xr:uid="{7ACF9D94-6D0F-4A34-B2FC-317E3788FF04}"/>
    <cellStyle name="Normal 5 4 3 11" xfId="7992" xr:uid="{087A9B3F-3489-4251-A5DA-8B07D6B4E992}"/>
    <cellStyle name="Normal 5 4 3 11 2" xfId="17940" xr:uid="{2810310C-30AA-454C-ABB7-C8BA47949675}"/>
    <cellStyle name="Normal 5 4 3 12" xfId="8821" xr:uid="{1EF272DF-2B1C-4EED-A0A2-65F3C5423A57}"/>
    <cellStyle name="Normal 5 4 3 12 2" xfId="18769" xr:uid="{F2C26EB9-AB1A-4C61-8EC6-8B5E16E0D0B6}"/>
    <cellStyle name="Normal 5 4 3 13" xfId="9650" xr:uid="{2B1A5F72-A494-4DEC-A5DE-079899CD311A}"/>
    <cellStyle name="Normal 5 4 3 13 2" xfId="19598" xr:uid="{C8D151AD-3356-4BC3-9B53-5C3851458528}"/>
    <cellStyle name="Normal 5 4 3 14" xfId="10479" xr:uid="{10F36C8F-0D0B-4352-81D3-55B4BCAFA518}"/>
    <cellStyle name="Normal 5 4 3 14 2" xfId="20427" xr:uid="{84427B97-98A0-443E-92A5-BC1C14FD3A71}"/>
    <cellStyle name="Normal 5 4 3 15" xfId="1360" xr:uid="{B520A8D2-B8AA-4A83-AAC7-0C5599E04CDD}"/>
    <cellStyle name="Normal 5 4 3 16" xfId="11308" xr:uid="{E7EE5A96-3C2F-438A-B7F1-994589D3573C}"/>
    <cellStyle name="Normal 5 4 3 2" xfId="465" xr:uid="{00000000-0005-0000-0000-00003F030000}"/>
    <cellStyle name="Normal 5 4 3 2 10" xfId="7993" xr:uid="{A14CBFF4-4B18-4B32-B83F-92F334AE505A}"/>
    <cellStyle name="Normal 5 4 3 2 10 2" xfId="17941" xr:uid="{9AF90126-603D-4047-B79E-BCA0AB25DDFE}"/>
    <cellStyle name="Normal 5 4 3 2 11" xfId="8822" xr:uid="{86F82AF5-DB38-44E0-8884-1C2AA9AB7D86}"/>
    <cellStyle name="Normal 5 4 3 2 11 2" xfId="18770" xr:uid="{32889A96-F94F-477C-A883-49CED6C68F4C}"/>
    <cellStyle name="Normal 5 4 3 2 12" xfId="9651" xr:uid="{451F23CE-3D14-41F7-8489-4E5CA56BDB75}"/>
    <cellStyle name="Normal 5 4 3 2 12 2" xfId="19599" xr:uid="{BA9FBEF3-7FAB-4F94-BE34-D6D5A2BC666A}"/>
    <cellStyle name="Normal 5 4 3 2 13" xfId="10480" xr:uid="{96C28616-31C8-469E-80C4-8266022BEB70}"/>
    <cellStyle name="Normal 5 4 3 2 13 2" xfId="20428" xr:uid="{F8886F01-65DB-4577-970D-7C074A8EF8A6}"/>
    <cellStyle name="Normal 5 4 3 2 14" xfId="1361" xr:uid="{EBCA916C-5169-476A-B5F0-1A58B7634EEC}"/>
    <cellStyle name="Normal 5 4 3 2 15" xfId="11309" xr:uid="{A0E023C2-5BA7-4FD8-8DD2-6CE9F3143C9C}"/>
    <cellStyle name="Normal 5 4 3 2 2" xfId="944" xr:uid="{00000000-0005-0000-0000-000040030000}"/>
    <cellStyle name="Normal 5 4 3 2 2 10" xfId="9238" xr:uid="{FE80EABE-93A3-42E2-9C21-E041411847DD}"/>
    <cellStyle name="Normal 5 4 3 2 2 10 2" xfId="19186" xr:uid="{404E26F2-17F6-494E-85E2-3FC2D68FFA10}"/>
    <cellStyle name="Normal 5 4 3 2 2 11" xfId="10067" xr:uid="{82F71D81-5BFF-4C9D-84ED-A36AFE5CC12C}"/>
    <cellStyle name="Normal 5 4 3 2 2 11 2" xfId="20015" xr:uid="{858263A7-F342-460C-A87D-6A5AA7C648B9}"/>
    <cellStyle name="Normal 5 4 3 2 2 12" xfId="10896" xr:uid="{D14661C0-A9AA-44DC-B56E-94EF8334231F}"/>
    <cellStyle name="Normal 5 4 3 2 2 12 2" xfId="20844" xr:uid="{7D4DB709-1073-4832-BF64-7F24EA37D335}"/>
    <cellStyle name="Normal 5 4 3 2 2 13" xfId="1777" xr:uid="{A38BA872-0C96-4FCC-97D6-CC5811D58FA3}"/>
    <cellStyle name="Normal 5 4 3 2 2 14" xfId="11725" xr:uid="{4B112BD7-86D6-4B01-A140-B0AA37D18155}"/>
    <cellStyle name="Normal 5 4 3 2 2 2" xfId="2606" xr:uid="{1CA0DD09-8C8B-4788-902F-CAC310124F09}"/>
    <cellStyle name="Normal 5 4 3 2 2 2 2" xfId="12554" xr:uid="{6565EBB8-C781-48DB-BAD1-D3B60D4CEB85}"/>
    <cellStyle name="Normal 5 4 3 2 2 3" xfId="3435" xr:uid="{0FC9F329-44A4-4BC3-9752-B7EA23CB27F0}"/>
    <cellStyle name="Normal 5 4 3 2 2 3 2" xfId="13383" xr:uid="{924CAD9C-A4D3-4BCF-AE3D-C54D872CA554}"/>
    <cellStyle name="Normal 5 4 3 2 2 4" xfId="4264" xr:uid="{280057E8-8485-4F6C-B5D3-29460EF1854A}"/>
    <cellStyle name="Normal 5 4 3 2 2 4 2" xfId="14212" xr:uid="{3280221A-B0F0-46F5-BDBA-FD7E550D6BBD}"/>
    <cellStyle name="Normal 5 4 3 2 2 5" xfId="5093" xr:uid="{127B6820-E68C-47DE-A120-E5F663CAD717}"/>
    <cellStyle name="Normal 5 4 3 2 2 5 2" xfId="15041" xr:uid="{6D954371-2182-4A8B-B989-80AA6897DAFB}"/>
    <cellStyle name="Normal 5 4 3 2 2 6" xfId="5922" xr:uid="{A146D95E-DD75-4BC8-97BA-3B56FA333598}"/>
    <cellStyle name="Normal 5 4 3 2 2 6 2" xfId="15870" xr:uid="{E569D0F9-9F15-4B0C-8B03-86013DE3384C}"/>
    <cellStyle name="Normal 5 4 3 2 2 7" xfId="6751" xr:uid="{5D95E4E5-BFEB-450C-A287-2AAAF1CC729F}"/>
    <cellStyle name="Normal 5 4 3 2 2 7 2" xfId="16699" xr:uid="{8B95AE04-5988-4D9F-9D06-411EFC329766}"/>
    <cellStyle name="Normal 5 4 3 2 2 8" xfId="7580" xr:uid="{54BB67DC-1298-49AD-886B-827E623E646D}"/>
    <cellStyle name="Normal 5 4 3 2 2 8 2" xfId="17528" xr:uid="{82E9C24B-0907-458F-9CF3-8478AD6FF6B8}"/>
    <cellStyle name="Normal 5 4 3 2 2 9" xfId="8409" xr:uid="{F7ED4D39-F86F-43ED-A2C5-1190829230B8}"/>
    <cellStyle name="Normal 5 4 3 2 2 9 2" xfId="18357" xr:uid="{B02BF363-BB00-4D52-A323-AA31DB569F7D}"/>
    <cellStyle name="Normal 5 4 3 2 3" xfId="2190" xr:uid="{77FDE6CA-A56F-4461-B4CA-0C46D4259CB7}"/>
    <cellStyle name="Normal 5 4 3 2 3 2" xfId="12138" xr:uid="{213E7E62-DC6F-4543-99C8-8F1EA9E6C7CF}"/>
    <cellStyle name="Normal 5 4 3 2 4" xfId="3019" xr:uid="{3372B4CA-B60A-42A1-85AF-E52C73BC15DE}"/>
    <cellStyle name="Normal 5 4 3 2 4 2" xfId="12967" xr:uid="{104D140E-6B45-4E44-A3F2-B9D3397926AF}"/>
    <cellStyle name="Normal 5 4 3 2 5" xfId="3848" xr:uid="{2CFFC88D-4ACC-4F40-98EA-05830A95C973}"/>
    <cellStyle name="Normal 5 4 3 2 5 2" xfId="13796" xr:uid="{B32DAF7D-CCC9-43EF-8DA4-850F829BDADD}"/>
    <cellStyle name="Normal 5 4 3 2 6" xfId="4677" xr:uid="{3704865C-E574-417D-AEC0-29864627B595}"/>
    <cellStyle name="Normal 5 4 3 2 6 2" xfId="14625" xr:uid="{98DC11AA-20E0-4A9D-8FCE-BD38B3ADE476}"/>
    <cellStyle name="Normal 5 4 3 2 7" xfId="5506" xr:uid="{20C3DF9D-7D77-4EE2-BA81-42D4F7E04353}"/>
    <cellStyle name="Normal 5 4 3 2 7 2" xfId="15454" xr:uid="{58792348-3F51-4120-8CF5-A9B504540C98}"/>
    <cellStyle name="Normal 5 4 3 2 8" xfId="6335" xr:uid="{3DBB65D6-4792-4E6C-8D87-0BF547589D02}"/>
    <cellStyle name="Normal 5 4 3 2 8 2" xfId="16283" xr:uid="{41EED1E9-5955-4636-9A9D-0CDD32AE40A3}"/>
    <cellStyle name="Normal 5 4 3 2 9" xfId="7164" xr:uid="{03449560-EF65-428A-A7E9-C735284779C3}"/>
    <cellStyle name="Normal 5 4 3 2 9 2" xfId="17112" xr:uid="{E871537F-CB83-4B15-A352-5B256F3D5D19}"/>
    <cellStyle name="Normal 5 4 3 3" xfId="943" xr:uid="{00000000-0005-0000-0000-000041030000}"/>
    <cellStyle name="Normal 5 4 3 3 10" xfId="9237" xr:uid="{37979C14-0850-4805-8D18-23630A03E2FC}"/>
    <cellStyle name="Normal 5 4 3 3 10 2" xfId="19185" xr:uid="{F23F4658-1011-4F76-ACDD-3F4C94215489}"/>
    <cellStyle name="Normal 5 4 3 3 11" xfId="10066" xr:uid="{D03054E4-51F4-47C5-A45F-36C93ECD4FA9}"/>
    <cellStyle name="Normal 5 4 3 3 11 2" xfId="20014" xr:uid="{586D31A4-8B11-4853-956B-8E30F5FE3CDC}"/>
    <cellStyle name="Normal 5 4 3 3 12" xfId="10895" xr:uid="{A5792C40-11AD-41F3-81D2-3B15508C5ED0}"/>
    <cellStyle name="Normal 5 4 3 3 12 2" xfId="20843" xr:uid="{05D5B001-E1F4-400E-A37F-DE607A91CF5C}"/>
    <cellStyle name="Normal 5 4 3 3 13" xfId="1776" xr:uid="{03198DAF-1B91-46D6-AE2D-F0B9CCC00801}"/>
    <cellStyle name="Normal 5 4 3 3 14" xfId="11724" xr:uid="{4A6E69E1-3C28-4035-9AD6-2DC9D519B6CB}"/>
    <cellStyle name="Normal 5 4 3 3 2" xfId="2605" xr:uid="{3CF3AC09-CE7C-4C96-AFBB-09D6E668DCC3}"/>
    <cellStyle name="Normal 5 4 3 3 2 2" xfId="12553" xr:uid="{A971663D-1910-418A-BCB9-5982C4786A75}"/>
    <cellStyle name="Normal 5 4 3 3 3" xfId="3434" xr:uid="{DD14B3F3-272A-4AC3-9594-44B79C33EAFB}"/>
    <cellStyle name="Normal 5 4 3 3 3 2" xfId="13382" xr:uid="{9108FEA3-28B3-4D89-9872-0CEF12CFCA81}"/>
    <cellStyle name="Normal 5 4 3 3 4" xfId="4263" xr:uid="{E03678C2-FDC0-4EE8-AA92-497F93975D61}"/>
    <cellStyle name="Normal 5 4 3 3 4 2" xfId="14211" xr:uid="{13305233-DB60-4B22-BEA1-BB570A8FC09C}"/>
    <cellStyle name="Normal 5 4 3 3 5" xfId="5092" xr:uid="{ACFEC52E-F25B-4B34-B7CF-4492BB4D0248}"/>
    <cellStyle name="Normal 5 4 3 3 5 2" xfId="15040" xr:uid="{390E3ADC-EC71-4009-B033-3C2A0EDCF65C}"/>
    <cellStyle name="Normal 5 4 3 3 6" xfId="5921" xr:uid="{F4FF9C61-656F-45B4-9C28-F9BD0FBB8E3A}"/>
    <cellStyle name="Normal 5 4 3 3 6 2" xfId="15869" xr:uid="{E0651C30-C9B2-4406-A53E-C293AA7A59FC}"/>
    <cellStyle name="Normal 5 4 3 3 7" xfId="6750" xr:uid="{15A33A5D-749E-419D-B249-938103B25B23}"/>
    <cellStyle name="Normal 5 4 3 3 7 2" xfId="16698" xr:uid="{384503B8-A3B6-4685-8242-A7ABE3487C66}"/>
    <cellStyle name="Normal 5 4 3 3 8" xfId="7579" xr:uid="{879779F6-9B5F-4B69-AB5A-2AF6E1B62E1C}"/>
    <cellStyle name="Normal 5 4 3 3 8 2" xfId="17527" xr:uid="{8F0EEA29-18F4-4191-B80E-622F3F184D72}"/>
    <cellStyle name="Normal 5 4 3 3 9" xfId="8408" xr:uid="{B6FF3977-6648-4D96-B9D8-AC9D94824B05}"/>
    <cellStyle name="Normal 5 4 3 3 9 2" xfId="18356" xr:uid="{56144523-12D9-44DF-9F8A-04E286E8974E}"/>
    <cellStyle name="Normal 5 4 3 4" xfId="2189" xr:uid="{ED64C9A7-8053-452E-A188-D79892AF0376}"/>
    <cellStyle name="Normal 5 4 3 4 2" xfId="12137" xr:uid="{04C5E091-FEF2-45E6-B5B0-142D6FECE78F}"/>
    <cellStyle name="Normal 5 4 3 5" xfId="3018" xr:uid="{8D717489-9C6D-4DAF-B161-5D64EDC2E97D}"/>
    <cellStyle name="Normal 5 4 3 5 2" xfId="12966" xr:uid="{DD69072F-2691-4623-AFEC-EA692E371CC8}"/>
    <cellStyle name="Normal 5 4 3 6" xfId="3847" xr:uid="{EE87669A-4C28-4E16-AECD-C36AB2F8BD61}"/>
    <cellStyle name="Normal 5 4 3 6 2" xfId="13795" xr:uid="{26A08FAE-BB19-4381-8DDD-2DBB3C6261A9}"/>
    <cellStyle name="Normal 5 4 3 7" xfId="4676" xr:uid="{3875DF5D-7093-47B3-9EA8-140459D0A8C5}"/>
    <cellStyle name="Normal 5 4 3 7 2" xfId="14624" xr:uid="{E8228655-8C7B-4513-93A1-ED95C020AB8E}"/>
    <cellStyle name="Normal 5 4 3 8" xfId="5505" xr:uid="{279E9ED0-6D99-48E5-AE2A-0DDFB0923221}"/>
    <cellStyle name="Normal 5 4 3 8 2" xfId="15453" xr:uid="{608ECC45-5325-4215-9EC3-1DD134260E55}"/>
    <cellStyle name="Normal 5 4 3 9" xfId="6334" xr:uid="{03C53D7E-A0D3-40D0-B531-7AA370102A63}"/>
    <cellStyle name="Normal 5 4 3 9 2" xfId="16282" xr:uid="{E5D4B73F-EC38-4405-95F6-CBDACCE227C9}"/>
    <cellStyle name="Normal 5 4 4" xfId="466" xr:uid="{00000000-0005-0000-0000-000042030000}"/>
    <cellStyle name="Normal 5 4 4 10" xfId="7994" xr:uid="{EFEAB7C1-0663-446F-AE94-0FB60D790879}"/>
    <cellStyle name="Normal 5 4 4 10 2" xfId="17942" xr:uid="{39E73EA7-4795-4BAA-A181-872A38BB447C}"/>
    <cellStyle name="Normal 5 4 4 11" xfId="8823" xr:uid="{53F0DD0B-1A11-4ECD-904B-5D28965C0579}"/>
    <cellStyle name="Normal 5 4 4 11 2" xfId="18771" xr:uid="{C98D1BC5-F44F-47B6-90F3-404597F925B1}"/>
    <cellStyle name="Normal 5 4 4 12" xfId="9652" xr:uid="{26FA416E-5C74-4685-92DD-106C2874DED9}"/>
    <cellStyle name="Normal 5 4 4 12 2" xfId="19600" xr:uid="{71C5FDD3-D0EB-4197-B959-972CB22F14E0}"/>
    <cellStyle name="Normal 5 4 4 13" xfId="10481" xr:uid="{AECD7E7E-32A6-4157-8510-A7982876B0F5}"/>
    <cellStyle name="Normal 5 4 4 13 2" xfId="20429" xr:uid="{3C65E541-7D64-435B-89B0-080D34567D1A}"/>
    <cellStyle name="Normal 5 4 4 14" xfId="1362" xr:uid="{B31836F8-BF4A-494D-9481-34AE05FED5F0}"/>
    <cellStyle name="Normal 5 4 4 15" xfId="11310" xr:uid="{4463FD0A-B098-43C4-9E38-1CC117CA4BFC}"/>
    <cellStyle name="Normal 5 4 4 2" xfId="945" xr:uid="{00000000-0005-0000-0000-000043030000}"/>
    <cellStyle name="Normal 5 4 4 2 10" xfId="9239" xr:uid="{E4781717-EA09-4EC9-B261-37E59E392AB0}"/>
    <cellStyle name="Normal 5 4 4 2 10 2" xfId="19187" xr:uid="{7036355D-27EC-48BA-B9C1-BABA39103DA0}"/>
    <cellStyle name="Normal 5 4 4 2 11" xfId="10068" xr:uid="{3BEBCF9C-B373-4304-BE49-40E5AABC1D42}"/>
    <cellStyle name="Normal 5 4 4 2 11 2" xfId="20016" xr:uid="{FFBEEFBA-9509-43CE-8050-19A590C9EDF4}"/>
    <cellStyle name="Normal 5 4 4 2 12" xfId="10897" xr:uid="{1E3565A4-AE1E-4835-AE5C-AC9EB79A6BC9}"/>
    <cellStyle name="Normal 5 4 4 2 12 2" xfId="20845" xr:uid="{757069F3-599D-4345-999D-6A3FF7341E2C}"/>
    <cellStyle name="Normal 5 4 4 2 13" xfId="1778" xr:uid="{4C8BAA85-B9A1-4280-B7B6-4F3E67927FE1}"/>
    <cellStyle name="Normal 5 4 4 2 14" xfId="11726" xr:uid="{CD037AF0-69D4-454B-8C67-91CA024C22F8}"/>
    <cellStyle name="Normal 5 4 4 2 2" xfId="2607" xr:uid="{F0CC2C7A-9D45-4846-AA41-8C5102808545}"/>
    <cellStyle name="Normal 5 4 4 2 2 2" xfId="12555" xr:uid="{B2E2569E-A245-4B5D-91C0-8823A3C9B28A}"/>
    <cellStyle name="Normal 5 4 4 2 3" xfId="3436" xr:uid="{F65F2864-E2E0-4A0D-9E4D-5AD19ADAAD50}"/>
    <cellStyle name="Normal 5 4 4 2 3 2" xfId="13384" xr:uid="{77CD787C-83B1-41EA-A884-9EF432A78D9B}"/>
    <cellStyle name="Normal 5 4 4 2 4" xfId="4265" xr:uid="{0ADFCA84-2850-43AF-BF01-A136EBB08DFA}"/>
    <cellStyle name="Normal 5 4 4 2 4 2" xfId="14213" xr:uid="{C8ACD0EF-5B3B-4BE9-8A9F-0F86F9EE64C7}"/>
    <cellStyle name="Normal 5 4 4 2 5" xfId="5094" xr:uid="{D65FFBF6-E0A0-4E61-850C-6F4A24B079FD}"/>
    <cellStyle name="Normal 5 4 4 2 5 2" xfId="15042" xr:uid="{6149ACA6-A9BE-4448-B9D2-3298AF15998F}"/>
    <cellStyle name="Normal 5 4 4 2 6" xfId="5923" xr:uid="{09E3EE8B-398E-47E7-8B7E-F9C1677E7E9C}"/>
    <cellStyle name="Normal 5 4 4 2 6 2" xfId="15871" xr:uid="{533954BC-49BA-4404-922E-D57459110691}"/>
    <cellStyle name="Normal 5 4 4 2 7" xfId="6752" xr:uid="{0689BE13-8FD2-4196-B9DA-5D592C692905}"/>
    <cellStyle name="Normal 5 4 4 2 7 2" xfId="16700" xr:uid="{F9918CD9-6DFB-4EC0-94E9-20148C4A8EAC}"/>
    <cellStyle name="Normal 5 4 4 2 8" xfId="7581" xr:uid="{1A0C35AE-483B-4A21-BD0D-2CCC6EF898B5}"/>
    <cellStyle name="Normal 5 4 4 2 8 2" xfId="17529" xr:uid="{1064F14D-A277-4594-A0BE-040F1E97EE3A}"/>
    <cellStyle name="Normal 5 4 4 2 9" xfId="8410" xr:uid="{8BD69A5C-063E-4E47-BE78-1C33695B1D3B}"/>
    <cellStyle name="Normal 5 4 4 2 9 2" xfId="18358" xr:uid="{133B4800-4EC9-45A0-B5C3-C236C61394CA}"/>
    <cellStyle name="Normal 5 4 4 3" xfId="2191" xr:uid="{0073C718-158A-4331-BAB2-BAE7C34850CE}"/>
    <cellStyle name="Normal 5 4 4 3 2" xfId="12139" xr:uid="{577AC46B-DE8F-451A-90AE-1CA1A08EBB89}"/>
    <cellStyle name="Normal 5 4 4 4" xfId="3020" xr:uid="{898DE9C6-205D-4F8F-9A56-19C5C3675A97}"/>
    <cellStyle name="Normal 5 4 4 4 2" xfId="12968" xr:uid="{045428CA-F7F9-4928-AC01-A5E315358A01}"/>
    <cellStyle name="Normal 5 4 4 5" xfId="3849" xr:uid="{FF917D65-97DC-44A3-ADD1-513BCF7B8CC7}"/>
    <cellStyle name="Normal 5 4 4 5 2" xfId="13797" xr:uid="{35B2707C-B57C-4370-850F-67BE3E96A271}"/>
    <cellStyle name="Normal 5 4 4 6" xfId="4678" xr:uid="{FA9FEC1E-5E5A-4C1A-97CE-E4C4CA8C5795}"/>
    <cellStyle name="Normal 5 4 4 6 2" xfId="14626" xr:uid="{D2CC2A59-B759-4075-81D5-54D4F4099947}"/>
    <cellStyle name="Normal 5 4 4 7" xfId="5507" xr:uid="{4C62A679-B756-417E-805C-3150E3AAC44D}"/>
    <cellStyle name="Normal 5 4 4 7 2" xfId="15455" xr:uid="{616C3B43-4AC6-44D6-A1AA-BDCE6664DFD0}"/>
    <cellStyle name="Normal 5 4 4 8" xfId="6336" xr:uid="{3560C219-1AC9-4783-915A-D3F272BEE000}"/>
    <cellStyle name="Normal 5 4 4 8 2" xfId="16284" xr:uid="{2DCBFF56-2700-4E10-831B-1959E970E159}"/>
    <cellStyle name="Normal 5 4 4 9" xfId="7165" xr:uid="{234E55EB-4F93-4567-86FE-545E443D078B}"/>
    <cellStyle name="Normal 5 4 4 9 2" xfId="17113" xr:uid="{0F7ED65B-6AD6-45F3-8A74-347642C159CF}"/>
    <cellStyle name="Normal 5 4 5" xfId="938" xr:uid="{00000000-0005-0000-0000-000044030000}"/>
    <cellStyle name="Normal 5 4 5 10" xfId="9232" xr:uid="{26E67B5F-9F12-4F8F-8BBB-B7AF652D1174}"/>
    <cellStyle name="Normal 5 4 5 10 2" xfId="19180" xr:uid="{DCD33567-1E32-42A6-B127-F2336072B8AC}"/>
    <cellStyle name="Normal 5 4 5 11" xfId="10061" xr:uid="{B3ADCD34-85AD-40B2-B6B7-04BC23070583}"/>
    <cellStyle name="Normal 5 4 5 11 2" xfId="20009" xr:uid="{80BDA59A-A4EF-4566-8462-94A616FA10ED}"/>
    <cellStyle name="Normal 5 4 5 12" xfId="10890" xr:uid="{1E88CB5A-C392-4CCF-99F7-B307D1484C5D}"/>
    <cellStyle name="Normal 5 4 5 12 2" xfId="20838" xr:uid="{38D09219-F27F-4068-9D4A-284C561E2D16}"/>
    <cellStyle name="Normal 5 4 5 13" xfId="1771" xr:uid="{766FFE52-1ED1-4B6C-97E9-5391A9FA1397}"/>
    <cellStyle name="Normal 5 4 5 14" xfId="11719" xr:uid="{35047C0E-D81D-4603-8A88-A55E996C549F}"/>
    <cellStyle name="Normal 5 4 5 2" xfId="2600" xr:uid="{3C502CDF-FA30-4E0A-86CE-F7354A8EDD5E}"/>
    <cellStyle name="Normal 5 4 5 2 2" xfId="12548" xr:uid="{9D387415-DD0E-49BE-AC01-F5C692CD7C09}"/>
    <cellStyle name="Normal 5 4 5 3" xfId="3429" xr:uid="{0A388073-4C9E-4DF3-A0AA-59037F892F41}"/>
    <cellStyle name="Normal 5 4 5 3 2" xfId="13377" xr:uid="{CA44B0A6-D3EA-4A6B-87D3-B8F0582C4C72}"/>
    <cellStyle name="Normal 5 4 5 4" xfId="4258" xr:uid="{F5A9548C-BFCD-4D75-98A2-BAA32622083C}"/>
    <cellStyle name="Normal 5 4 5 4 2" xfId="14206" xr:uid="{4321C883-C32F-4BF1-AC36-D020CCA4D6FB}"/>
    <cellStyle name="Normal 5 4 5 5" xfId="5087" xr:uid="{D42E77A0-A269-4F3A-AC20-F06980864A4B}"/>
    <cellStyle name="Normal 5 4 5 5 2" xfId="15035" xr:uid="{C5D78CAC-BE3C-476D-B5BD-6DFC21A5F741}"/>
    <cellStyle name="Normal 5 4 5 6" xfId="5916" xr:uid="{EE54AD5E-D596-4521-BAAD-82F2AAF2C374}"/>
    <cellStyle name="Normal 5 4 5 6 2" xfId="15864" xr:uid="{5C6F1258-3AF1-46FB-B100-619485329C8B}"/>
    <cellStyle name="Normal 5 4 5 7" xfId="6745" xr:uid="{DC517093-95C2-4DF4-B764-0B7942312571}"/>
    <cellStyle name="Normal 5 4 5 7 2" xfId="16693" xr:uid="{D608BF82-A56E-4CC9-AEA8-6383F8C9032F}"/>
    <cellStyle name="Normal 5 4 5 8" xfId="7574" xr:uid="{3C1DF32C-3877-4A7E-B46B-C40E8BF72CC8}"/>
    <cellStyle name="Normal 5 4 5 8 2" xfId="17522" xr:uid="{941CC2F4-5B7A-4B68-81A2-FF852E4DB0D8}"/>
    <cellStyle name="Normal 5 4 5 9" xfId="8403" xr:uid="{CFA8A5D4-B0EF-437A-B4BA-9FC4A041F422}"/>
    <cellStyle name="Normal 5 4 5 9 2" xfId="18351" xr:uid="{897E9AAE-83B6-47A7-8FD6-92C48712EABC}"/>
    <cellStyle name="Normal 5 4 6" xfId="2184" xr:uid="{1D569A69-3C13-4E47-A9A5-58EB962974AE}"/>
    <cellStyle name="Normal 5 4 6 2" xfId="12132" xr:uid="{876E9FC8-EB20-4CA0-91F3-C754FD370C78}"/>
    <cellStyle name="Normal 5 4 7" xfId="3013" xr:uid="{FA0A35C4-3C9F-47DD-A313-8B7E4D5133E7}"/>
    <cellStyle name="Normal 5 4 7 2" xfId="12961" xr:uid="{35EB5B2A-6A77-45BC-A3DD-F5ABF9A7356D}"/>
    <cellStyle name="Normal 5 4 8" xfId="3842" xr:uid="{AA875CE9-7232-458A-A904-CBCE854B012C}"/>
    <cellStyle name="Normal 5 4 8 2" xfId="13790" xr:uid="{66249B09-946B-4F69-8649-9D485BE95974}"/>
    <cellStyle name="Normal 5 4 9" xfId="4671" xr:uid="{BA84C48D-8E85-4BD9-AF6B-25C5B7880305}"/>
    <cellStyle name="Normal 5 4 9 2" xfId="14619" xr:uid="{EF95D176-D792-45DA-8E7D-654CAC818235}"/>
    <cellStyle name="Normal 5 5" xfId="467" xr:uid="{00000000-0005-0000-0000-000045030000}"/>
    <cellStyle name="Normal 5 5 10" xfId="6337" xr:uid="{3420C0FC-431B-4499-B76D-D43FBE41C324}"/>
    <cellStyle name="Normal 5 5 10 2" xfId="16285" xr:uid="{AF108D18-856E-4A0D-AC5F-75429C4A6D63}"/>
    <cellStyle name="Normal 5 5 11" xfId="7166" xr:uid="{E18ACDAD-74BE-49B7-8F35-7799F2002222}"/>
    <cellStyle name="Normal 5 5 11 2" xfId="17114" xr:uid="{DD0F43BC-4FE1-4585-A234-6C6D5E3298A5}"/>
    <cellStyle name="Normal 5 5 12" xfId="7995" xr:uid="{8709BB8D-B7E2-4260-BB38-05D4BF7675FC}"/>
    <cellStyle name="Normal 5 5 12 2" xfId="17943" xr:uid="{9CCE640F-A572-4F49-92E0-DBD528D7669D}"/>
    <cellStyle name="Normal 5 5 13" xfId="8824" xr:uid="{0E3F6587-4092-4B4C-B0EB-324006682130}"/>
    <cellStyle name="Normal 5 5 13 2" xfId="18772" xr:uid="{C0C9C7C2-4187-4781-88AF-9BD0393DE92F}"/>
    <cellStyle name="Normal 5 5 14" xfId="9653" xr:uid="{6A31DFC1-C860-411F-A298-0D6C53ED8438}"/>
    <cellStyle name="Normal 5 5 14 2" xfId="19601" xr:uid="{CEFAEC11-0FF5-4250-88ED-45176AA0D31F}"/>
    <cellStyle name="Normal 5 5 15" xfId="10482" xr:uid="{284E3348-9B18-40CE-9844-BEE5C05276D9}"/>
    <cellStyle name="Normal 5 5 15 2" xfId="20430" xr:uid="{01BFF46D-82B0-4CF1-9E89-E1B9BBBB686D}"/>
    <cellStyle name="Normal 5 5 16" xfId="1363" xr:uid="{1BBCE894-6808-4DDE-931D-02C92F4FB87B}"/>
    <cellStyle name="Normal 5 5 17" xfId="11311" xr:uid="{2ABA7765-35BC-42D7-855B-EAAED2D3D954}"/>
    <cellStyle name="Normal 5 5 2" xfId="468" xr:uid="{00000000-0005-0000-0000-000046030000}"/>
    <cellStyle name="Normal 5 5 2 10" xfId="7167" xr:uid="{8C864434-1075-476D-9F1D-1EA719508E36}"/>
    <cellStyle name="Normal 5 5 2 10 2" xfId="17115" xr:uid="{CDEBA364-B98C-4940-96C0-4B1A1183EFB6}"/>
    <cellStyle name="Normal 5 5 2 11" xfId="7996" xr:uid="{761F4CBB-CAEE-4F95-A237-24D9A36AD6B8}"/>
    <cellStyle name="Normal 5 5 2 11 2" xfId="17944" xr:uid="{D6DAB5D2-E8AB-47EF-8292-FDC1B72A260B}"/>
    <cellStyle name="Normal 5 5 2 12" xfId="8825" xr:uid="{FA2E1298-1FE2-4A9E-A6ED-C35C16608C88}"/>
    <cellStyle name="Normal 5 5 2 12 2" xfId="18773" xr:uid="{B0156023-1C7B-4BFC-B2D3-8B3B4ECFB18D}"/>
    <cellStyle name="Normal 5 5 2 13" xfId="9654" xr:uid="{FD950D5D-EBE1-4CD3-9DA4-68E92FAD4F6A}"/>
    <cellStyle name="Normal 5 5 2 13 2" xfId="19602" xr:uid="{5AD12885-628E-4B52-9695-4D1B4102B66C}"/>
    <cellStyle name="Normal 5 5 2 14" xfId="10483" xr:uid="{F484FF10-FD2B-4875-BA58-52CF93342E35}"/>
    <cellStyle name="Normal 5 5 2 14 2" xfId="20431" xr:uid="{AFD7061E-870C-4CCB-BCCB-94CAD4C57C05}"/>
    <cellStyle name="Normal 5 5 2 15" xfId="1364" xr:uid="{C7FB8A94-8C1B-4EEB-BC68-B986AD9977D6}"/>
    <cellStyle name="Normal 5 5 2 16" xfId="11312" xr:uid="{8940A007-A4CB-439C-A136-43CC70E3B741}"/>
    <cellStyle name="Normal 5 5 2 2" xfId="469" xr:uid="{00000000-0005-0000-0000-000047030000}"/>
    <cellStyle name="Normal 5 5 2 2 10" xfId="7997" xr:uid="{C4E68B9D-E7C4-4362-BC63-5269AB81DD88}"/>
    <cellStyle name="Normal 5 5 2 2 10 2" xfId="17945" xr:uid="{18F9F061-C7DF-47AA-91A3-E030E2E20D9B}"/>
    <cellStyle name="Normal 5 5 2 2 11" xfId="8826" xr:uid="{0FF555D7-5633-4E2B-9CFA-C1637A301594}"/>
    <cellStyle name="Normal 5 5 2 2 11 2" xfId="18774" xr:uid="{ABD111F9-9C3A-4F9E-8B0F-DCF01695AF11}"/>
    <cellStyle name="Normal 5 5 2 2 12" xfId="9655" xr:uid="{372C8A4F-002F-497B-9482-289A0EE90E40}"/>
    <cellStyle name="Normal 5 5 2 2 12 2" xfId="19603" xr:uid="{A548D777-010B-45F4-A617-886052D5CA11}"/>
    <cellStyle name="Normal 5 5 2 2 13" xfId="10484" xr:uid="{5FC31107-B86B-4906-8BDF-BBACCB52D55D}"/>
    <cellStyle name="Normal 5 5 2 2 13 2" xfId="20432" xr:uid="{4AC57F94-5A14-47EC-8C64-FDACE44F21E7}"/>
    <cellStyle name="Normal 5 5 2 2 14" xfId="1365" xr:uid="{44DE49E1-D76D-4D87-B723-12392CE8E7F1}"/>
    <cellStyle name="Normal 5 5 2 2 15" xfId="11313" xr:uid="{E2A1FC6C-2EF3-4523-AA8A-20A061294473}"/>
    <cellStyle name="Normal 5 5 2 2 2" xfId="948" xr:uid="{00000000-0005-0000-0000-000048030000}"/>
    <cellStyle name="Normal 5 5 2 2 2 10" xfId="9242" xr:uid="{003CACF3-F6B4-4B10-811F-895F3BFDC3B8}"/>
    <cellStyle name="Normal 5 5 2 2 2 10 2" xfId="19190" xr:uid="{E652A683-C182-4094-9156-36F747604DFC}"/>
    <cellStyle name="Normal 5 5 2 2 2 11" xfId="10071" xr:uid="{969E7298-D421-4BCA-A31F-EB836D92EA97}"/>
    <cellStyle name="Normal 5 5 2 2 2 11 2" xfId="20019" xr:uid="{3FA2A69F-64FA-4269-8A3E-6ED9C5487139}"/>
    <cellStyle name="Normal 5 5 2 2 2 12" xfId="10900" xr:uid="{8B430E51-EAE1-4B16-AD02-7E7CAF8D482C}"/>
    <cellStyle name="Normal 5 5 2 2 2 12 2" xfId="20848" xr:uid="{B4A4D94B-7C68-4312-B631-A72C91B6FFD2}"/>
    <cellStyle name="Normal 5 5 2 2 2 13" xfId="1781" xr:uid="{1D5F826C-8C46-4906-8A11-6ABBC8755D5A}"/>
    <cellStyle name="Normal 5 5 2 2 2 14" xfId="11729" xr:uid="{216930EA-6FC2-4E0E-BEF7-B93CD1591736}"/>
    <cellStyle name="Normal 5 5 2 2 2 2" xfId="2610" xr:uid="{AE223CEF-570D-40CC-AF42-DC867262A2CC}"/>
    <cellStyle name="Normal 5 5 2 2 2 2 2" xfId="12558" xr:uid="{192F9525-D25F-417B-9E0F-AA03A8391AD0}"/>
    <cellStyle name="Normal 5 5 2 2 2 3" xfId="3439" xr:uid="{06650E33-946F-415F-94E0-DF8C4E15F14A}"/>
    <cellStyle name="Normal 5 5 2 2 2 3 2" xfId="13387" xr:uid="{245A70BA-0DBE-439E-BC4B-BC3A36C971E3}"/>
    <cellStyle name="Normal 5 5 2 2 2 4" xfId="4268" xr:uid="{5E7FE0CE-0396-45B7-85A6-9D82BD2E21F9}"/>
    <cellStyle name="Normal 5 5 2 2 2 4 2" xfId="14216" xr:uid="{EA179C48-ACD6-432D-9F76-11AC6B47D344}"/>
    <cellStyle name="Normal 5 5 2 2 2 5" xfId="5097" xr:uid="{9879735E-9DC8-4A6A-A0DB-8E4622E1DAEE}"/>
    <cellStyle name="Normal 5 5 2 2 2 5 2" xfId="15045" xr:uid="{5F329723-D6F1-4439-BC2C-CE1B61068EBB}"/>
    <cellStyle name="Normal 5 5 2 2 2 6" xfId="5926" xr:uid="{5C19911F-5465-40FD-BB7E-BD3C295B8039}"/>
    <cellStyle name="Normal 5 5 2 2 2 6 2" xfId="15874" xr:uid="{D3BCA25A-58AE-4940-9712-755CCA0F323F}"/>
    <cellStyle name="Normal 5 5 2 2 2 7" xfId="6755" xr:uid="{199FAE7A-47CB-4A13-ACE6-ABD1CC10D974}"/>
    <cellStyle name="Normal 5 5 2 2 2 7 2" xfId="16703" xr:uid="{6071052B-AC46-4865-99B4-4382BFAB459F}"/>
    <cellStyle name="Normal 5 5 2 2 2 8" xfId="7584" xr:uid="{523CC7F6-A39B-49D2-8354-E9B7E0AC268B}"/>
    <cellStyle name="Normal 5 5 2 2 2 8 2" xfId="17532" xr:uid="{E88CDA64-2B73-4638-9147-CAE25C76A963}"/>
    <cellStyle name="Normal 5 5 2 2 2 9" xfId="8413" xr:uid="{C43916BA-4F30-45B4-81D5-D819EDAD0554}"/>
    <cellStyle name="Normal 5 5 2 2 2 9 2" xfId="18361" xr:uid="{06F094E1-5CBC-46CB-8D01-DFEB61376803}"/>
    <cellStyle name="Normal 5 5 2 2 3" xfId="2194" xr:uid="{715BEC15-227E-46FA-909A-596EEF9336C6}"/>
    <cellStyle name="Normal 5 5 2 2 3 2" xfId="12142" xr:uid="{C3616F48-F3CB-4388-960E-8E699397F29C}"/>
    <cellStyle name="Normal 5 5 2 2 4" xfId="3023" xr:uid="{4BD8822E-9A0E-4E87-91A7-620AC9700C6D}"/>
    <cellStyle name="Normal 5 5 2 2 4 2" xfId="12971" xr:uid="{120BC13C-64E7-43C9-AFEC-9DB6ACA954B6}"/>
    <cellStyle name="Normal 5 5 2 2 5" xfId="3852" xr:uid="{BBD30C56-2CAD-4A7B-8952-6EDEA1D81B38}"/>
    <cellStyle name="Normal 5 5 2 2 5 2" xfId="13800" xr:uid="{B88ECA70-888D-43EE-BC24-3847EC24ED84}"/>
    <cellStyle name="Normal 5 5 2 2 6" xfId="4681" xr:uid="{8CBF82E2-45B8-434F-B2C1-6E9C479C1A75}"/>
    <cellStyle name="Normal 5 5 2 2 6 2" xfId="14629" xr:uid="{F81D60FB-6A42-4D8C-963B-C968E470D33B}"/>
    <cellStyle name="Normal 5 5 2 2 7" xfId="5510" xr:uid="{7D65E67B-81CB-4294-9B3B-438D7E1F4575}"/>
    <cellStyle name="Normal 5 5 2 2 7 2" xfId="15458" xr:uid="{73D55B09-CFA4-4715-A893-71341613278C}"/>
    <cellStyle name="Normal 5 5 2 2 8" xfId="6339" xr:uid="{45C4F877-C88B-4B52-A686-2FDA56F65513}"/>
    <cellStyle name="Normal 5 5 2 2 8 2" xfId="16287" xr:uid="{7E6BF72D-10A7-46FF-A9AC-158AA8DB76A5}"/>
    <cellStyle name="Normal 5 5 2 2 9" xfId="7168" xr:uid="{0F64022C-0DE5-4C19-9F72-8FBA79363E70}"/>
    <cellStyle name="Normal 5 5 2 2 9 2" xfId="17116" xr:uid="{A20B31EF-76FB-430D-9EC1-0D6155697B74}"/>
    <cellStyle name="Normal 5 5 2 3" xfId="947" xr:uid="{00000000-0005-0000-0000-000049030000}"/>
    <cellStyle name="Normal 5 5 2 3 10" xfId="9241" xr:uid="{10187551-1DF9-40A6-B0CD-1C4BC0587936}"/>
    <cellStyle name="Normal 5 5 2 3 10 2" xfId="19189" xr:uid="{2A13EBAF-4242-4853-BA7F-866790194224}"/>
    <cellStyle name="Normal 5 5 2 3 11" xfId="10070" xr:uid="{D9D0A23A-4668-42AF-B01E-420B67A74FA5}"/>
    <cellStyle name="Normal 5 5 2 3 11 2" xfId="20018" xr:uid="{2C2A4A2D-1E63-4772-9EBF-AD088817CFB0}"/>
    <cellStyle name="Normal 5 5 2 3 12" xfId="10899" xr:uid="{B703FBD6-96FA-4590-B83F-E68067800E00}"/>
    <cellStyle name="Normal 5 5 2 3 12 2" xfId="20847" xr:uid="{4802E0A5-C91B-4800-AA96-057D229EB120}"/>
    <cellStyle name="Normal 5 5 2 3 13" xfId="1780" xr:uid="{3856B824-4AFB-4C9E-8D19-480BE3B8A561}"/>
    <cellStyle name="Normal 5 5 2 3 14" xfId="11728" xr:uid="{487111E6-482B-41BF-9C5D-C9E8CDF3579F}"/>
    <cellStyle name="Normal 5 5 2 3 2" xfId="2609" xr:uid="{87E7B231-E976-4F67-8B13-ED6ED77BF582}"/>
    <cellStyle name="Normal 5 5 2 3 2 2" xfId="12557" xr:uid="{B8721632-D1ED-491E-835B-9B1CA5AD52A7}"/>
    <cellStyle name="Normal 5 5 2 3 3" xfId="3438" xr:uid="{5F34EA4B-6F4C-42C5-AE30-BD2E085149A5}"/>
    <cellStyle name="Normal 5 5 2 3 3 2" xfId="13386" xr:uid="{C2EB9BD1-7DC4-4CB8-BF3D-C01852BB6548}"/>
    <cellStyle name="Normal 5 5 2 3 4" xfId="4267" xr:uid="{7DCF843A-577F-43E2-B1B3-D62E04B4AF6A}"/>
    <cellStyle name="Normal 5 5 2 3 4 2" xfId="14215" xr:uid="{A8B090C3-0505-448F-8EAC-B764EF7E8A99}"/>
    <cellStyle name="Normal 5 5 2 3 5" xfId="5096" xr:uid="{9342A6EC-3769-4319-B24A-3249023C89ED}"/>
    <cellStyle name="Normal 5 5 2 3 5 2" xfId="15044" xr:uid="{11C2CEFE-5DCA-40E5-BC4F-885C0F6DECEF}"/>
    <cellStyle name="Normal 5 5 2 3 6" xfId="5925" xr:uid="{8CC930CB-79D6-4C51-9CDD-CDA023C7AAB3}"/>
    <cellStyle name="Normal 5 5 2 3 6 2" xfId="15873" xr:uid="{2B370845-CAF9-47FB-8977-AA1D65810721}"/>
    <cellStyle name="Normal 5 5 2 3 7" xfId="6754" xr:uid="{726AB422-C417-47F9-B4DD-EA1CC8F09520}"/>
    <cellStyle name="Normal 5 5 2 3 7 2" xfId="16702" xr:uid="{EBC4E208-5BA8-4CB3-8912-E22D438A4F64}"/>
    <cellStyle name="Normal 5 5 2 3 8" xfId="7583" xr:uid="{A305EC41-69F2-4E3E-857C-2367DBD7083C}"/>
    <cellStyle name="Normal 5 5 2 3 8 2" xfId="17531" xr:uid="{51E725FC-8F2E-4FF4-8D98-A712CE20BEAA}"/>
    <cellStyle name="Normal 5 5 2 3 9" xfId="8412" xr:uid="{4506EA0C-2A4D-4C3F-976D-94123E140FE8}"/>
    <cellStyle name="Normal 5 5 2 3 9 2" xfId="18360" xr:uid="{215E92C2-D7E5-42A9-A536-00C9D145457A}"/>
    <cellStyle name="Normal 5 5 2 4" xfId="2193" xr:uid="{6A5B5DBB-FF0E-434C-A805-764E403529CC}"/>
    <cellStyle name="Normal 5 5 2 4 2" xfId="12141" xr:uid="{A4147D22-9775-483D-BFCA-B5D4C2D46900}"/>
    <cellStyle name="Normal 5 5 2 5" xfId="3022" xr:uid="{EFA95F38-B596-47D1-8E12-520629C45E05}"/>
    <cellStyle name="Normal 5 5 2 5 2" xfId="12970" xr:uid="{0ED0E3DA-D5EE-43B6-9A9A-E9C64C80500E}"/>
    <cellStyle name="Normal 5 5 2 6" xfId="3851" xr:uid="{5C448809-C210-4462-B997-CFA5CF06F599}"/>
    <cellStyle name="Normal 5 5 2 6 2" xfId="13799" xr:uid="{6AB2C682-E45E-4B7D-B404-FC3BDDC29330}"/>
    <cellStyle name="Normal 5 5 2 7" xfId="4680" xr:uid="{984A28BA-0301-4660-ACF9-1ACA4BB94CD4}"/>
    <cellStyle name="Normal 5 5 2 7 2" xfId="14628" xr:uid="{AF81B88C-6B71-4FD2-84D3-D084D4755676}"/>
    <cellStyle name="Normal 5 5 2 8" xfId="5509" xr:uid="{26C3508A-C619-43A0-8A1F-0CB89341BE99}"/>
    <cellStyle name="Normal 5 5 2 8 2" xfId="15457" xr:uid="{2F561896-7E21-4748-9FAE-CB07A0FDC687}"/>
    <cellStyle name="Normal 5 5 2 9" xfId="6338" xr:uid="{0F607587-9CDF-49E6-B3F8-6A77CCADFF71}"/>
    <cellStyle name="Normal 5 5 2 9 2" xfId="16286" xr:uid="{D1D3425B-B076-4ED9-8C1C-344A38964038}"/>
    <cellStyle name="Normal 5 5 3" xfId="470" xr:uid="{00000000-0005-0000-0000-00004A030000}"/>
    <cellStyle name="Normal 5 5 3 10" xfId="7998" xr:uid="{A54BF641-DFBE-471F-A8C9-5D56E5E7C357}"/>
    <cellStyle name="Normal 5 5 3 10 2" xfId="17946" xr:uid="{DF2071BA-E96B-48D5-8F44-405F3C4C0B97}"/>
    <cellStyle name="Normal 5 5 3 11" xfId="8827" xr:uid="{03C4C902-F2A5-4A88-84EC-DDE95190E9F4}"/>
    <cellStyle name="Normal 5 5 3 11 2" xfId="18775" xr:uid="{F113C463-FD90-4D56-81D1-48D129906F93}"/>
    <cellStyle name="Normal 5 5 3 12" xfId="9656" xr:uid="{FE3B70D9-B8A6-4F1A-8674-B097AECC59E3}"/>
    <cellStyle name="Normal 5 5 3 12 2" xfId="19604" xr:uid="{6DF03180-1FF0-4EFA-9BCB-A8E5E2119162}"/>
    <cellStyle name="Normal 5 5 3 13" xfId="10485" xr:uid="{16D1B8BC-F85D-417E-BD62-9021C001F016}"/>
    <cellStyle name="Normal 5 5 3 13 2" xfId="20433" xr:uid="{787FB86A-9ECA-4977-853C-62B57F443494}"/>
    <cellStyle name="Normal 5 5 3 14" xfId="1366" xr:uid="{13BA4F65-AB79-44AB-A22E-E75529F6D4B2}"/>
    <cellStyle name="Normal 5 5 3 15" xfId="11314" xr:uid="{93E6760C-E6C9-4967-B9D6-3F0871E55A51}"/>
    <cellStyle name="Normal 5 5 3 2" xfId="949" xr:uid="{00000000-0005-0000-0000-00004B030000}"/>
    <cellStyle name="Normal 5 5 3 2 10" xfId="9243" xr:uid="{4EE30A1E-217D-4BCF-ADC6-15EAE3CFF4A4}"/>
    <cellStyle name="Normal 5 5 3 2 10 2" xfId="19191" xr:uid="{C6B321E6-1CEF-44EB-93F5-38C54595607F}"/>
    <cellStyle name="Normal 5 5 3 2 11" xfId="10072" xr:uid="{20804CF1-0E58-4300-B551-323D21F5F487}"/>
    <cellStyle name="Normal 5 5 3 2 11 2" xfId="20020" xr:uid="{915C4CCE-34C5-44D4-8550-F839E49B5B4D}"/>
    <cellStyle name="Normal 5 5 3 2 12" xfId="10901" xr:uid="{305F640A-4609-4EA1-9207-66A97BBEE22A}"/>
    <cellStyle name="Normal 5 5 3 2 12 2" xfId="20849" xr:uid="{E87BEB4A-126A-4917-8905-0C6A4B71819A}"/>
    <cellStyle name="Normal 5 5 3 2 13" xfId="1782" xr:uid="{CFCC5092-61FD-4632-8086-99F579949EB0}"/>
    <cellStyle name="Normal 5 5 3 2 14" xfId="11730" xr:uid="{2C16CF0B-FFCC-428E-AC7C-D45DBB182FBE}"/>
    <cellStyle name="Normal 5 5 3 2 2" xfId="2611" xr:uid="{46797643-D2AF-41F0-A383-386A52A9F25F}"/>
    <cellStyle name="Normal 5 5 3 2 2 2" xfId="12559" xr:uid="{36105EF4-2EE3-46D1-B16F-09EAFD3E428F}"/>
    <cellStyle name="Normal 5 5 3 2 3" xfId="3440" xr:uid="{EECEEC9B-19CB-4CBD-88A2-4E2785C38408}"/>
    <cellStyle name="Normal 5 5 3 2 3 2" xfId="13388" xr:uid="{1047DD2F-46B7-477D-8010-F2CB0778F4D5}"/>
    <cellStyle name="Normal 5 5 3 2 4" xfId="4269" xr:uid="{A4BFE4BB-BDBD-4380-BC12-20D8AFDD53DB}"/>
    <cellStyle name="Normal 5 5 3 2 4 2" xfId="14217" xr:uid="{0F6C2DB3-6A94-46EE-B91A-4889886891A1}"/>
    <cellStyle name="Normal 5 5 3 2 5" xfId="5098" xr:uid="{1DE34479-39D7-4367-9DEE-10426B89C904}"/>
    <cellStyle name="Normal 5 5 3 2 5 2" xfId="15046" xr:uid="{226FEEC3-08F2-4D45-B1D9-1FAF28133FE3}"/>
    <cellStyle name="Normal 5 5 3 2 6" xfId="5927" xr:uid="{16B1E0CB-21C5-4E2C-A2EF-4160DB521F8D}"/>
    <cellStyle name="Normal 5 5 3 2 6 2" xfId="15875" xr:uid="{F9CCCD0F-A981-4C83-8349-C659A5C4F980}"/>
    <cellStyle name="Normal 5 5 3 2 7" xfId="6756" xr:uid="{30FDD38E-FB5C-48A1-A220-B94341AC7688}"/>
    <cellStyle name="Normal 5 5 3 2 7 2" xfId="16704" xr:uid="{C75C4649-F996-4BFD-99FA-791A9833326C}"/>
    <cellStyle name="Normal 5 5 3 2 8" xfId="7585" xr:uid="{162097E1-CEB1-475F-AC3F-FD3DAC9A99B5}"/>
    <cellStyle name="Normal 5 5 3 2 8 2" xfId="17533" xr:uid="{F73E0CCC-4188-4E57-AC29-814E384099AE}"/>
    <cellStyle name="Normal 5 5 3 2 9" xfId="8414" xr:uid="{E40DADB0-587C-42C9-A469-12F32804A6B7}"/>
    <cellStyle name="Normal 5 5 3 2 9 2" xfId="18362" xr:uid="{40D69973-C773-48A0-9273-3C81C798884E}"/>
    <cellStyle name="Normal 5 5 3 3" xfId="2195" xr:uid="{00F65214-A2ED-470E-B23C-CBCFFDF92B3F}"/>
    <cellStyle name="Normal 5 5 3 3 2" xfId="12143" xr:uid="{9236A041-9553-4F7E-B149-1E3C7B1B20FB}"/>
    <cellStyle name="Normal 5 5 3 4" xfId="3024" xr:uid="{07D9FBFB-4A71-47DB-90CA-F4269B3B9A54}"/>
    <cellStyle name="Normal 5 5 3 4 2" xfId="12972" xr:uid="{B6CAC71D-9192-4B4C-8D30-E77524C09D44}"/>
    <cellStyle name="Normal 5 5 3 5" xfId="3853" xr:uid="{6B10847E-C334-4790-BF5F-9F89B4863B1D}"/>
    <cellStyle name="Normal 5 5 3 5 2" xfId="13801" xr:uid="{E1EFCE8C-73A1-4381-8AA1-DC6D8480CC18}"/>
    <cellStyle name="Normal 5 5 3 6" xfId="4682" xr:uid="{B1C0FAD3-61D4-44C4-88C9-13FCA07583D9}"/>
    <cellStyle name="Normal 5 5 3 6 2" xfId="14630" xr:uid="{6F7A865D-D920-48CB-95DC-1683AC9D73EC}"/>
    <cellStyle name="Normal 5 5 3 7" xfId="5511" xr:uid="{78E05047-F6F7-4172-955E-17F809D49F93}"/>
    <cellStyle name="Normal 5 5 3 7 2" xfId="15459" xr:uid="{CC11641D-E117-4F2A-86A4-E646248DEB67}"/>
    <cellStyle name="Normal 5 5 3 8" xfId="6340" xr:uid="{A13A2B4B-3148-4E04-A5FB-EDF016804521}"/>
    <cellStyle name="Normal 5 5 3 8 2" xfId="16288" xr:uid="{29149157-2A5B-4083-8E12-B0F962B25AD1}"/>
    <cellStyle name="Normal 5 5 3 9" xfId="7169" xr:uid="{AA240B62-8F27-47DC-AACC-4AFDCB7F9640}"/>
    <cellStyle name="Normal 5 5 3 9 2" xfId="17117" xr:uid="{0F20256A-B82D-44CC-815D-92E9CDA6E5BA}"/>
    <cellStyle name="Normal 5 5 4" xfId="946" xr:uid="{00000000-0005-0000-0000-00004C030000}"/>
    <cellStyle name="Normal 5 5 4 10" xfId="9240" xr:uid="{425F04D0-A119-4423-A492-DB6D27D6600D}"/>
    <cellStyle name="Normal 5 5 4 10 2" xfId="19188" xr:uid="{17AC840C-1851-4A2B-8ABD-31C779338946}"/>
    <cellStyle name="Normal 5 5 4 11" xfId="10069" xr:uid="{021E44CA-287A-42DE-B726-56EB401573EB}"/>
    <cellStyle name="Normal 5 5 4 11 2" xfId="20017" xr:uid="{AB360FA0-E434-4756-BB6F-FD6D4F9BF446}"/>
    <cellStyle name="Normal 5 5 4 12" xfId="10898" xr:uid="{1F61C265-7E69-476D-A239-84F2EC50BE81}"/>
    <cellStyle name="Normal 5 5 4 12 2" xfId="20846" xr:uid="{2F9F2DDA-A6F8-4639-A9E6-BF28A50A0AB7}"/>
    <cellStyle name="Normal 5 5 4 13" xfId="1779" xr:uid="{6622B19C-F0C4-4145-AADB-99C637BC7F24}"/>
    <cellStyle name="Normal 5 5 4 14" xfId="11727" xr:uid="{169A72D3-AF07-4502-B1C2-26345736A4AC}"/>
    <cellStyle name="Normal 5 5 4 2" xfId="2608" xr:uid="{617396C5-91BB-41D1-8C14-3ED9E467D1A4}"/>
    <cellStyle name="Normal 5 5 4 2 2" xfId="12556" xr:uid="{6F458A0F-6295-4ABA-AF3B-197ABF845626}"/>
    <cellStyle name="Normal 5 5 4 3" xfId="3437" xr:uid="{6C896F62-435E-4C39-AC70-597D98EECD79}"/>
    <cellStyle name="Normal 5 5 4 3 2" xfId="13385" xr:uid="{3E16C6EA-C301-47C6-AC83-92DA7330F075}"/>
    <cellStyle name="Normal 5 5 4 4" xfId="4266" xr:uid="{BC1DEBD1-D75C-4238-BD87-7871576C3DE6}"/>
    <cellStyle name="Normal 5 5 4 4 2" xfId="14214" xr:uid="{B6376A7A-5FD3-4302-86AA-A4C2B17B2C48}"/>
    <cellStyle name="Normal 5 5 4 5" xfId="5095" xr:uid="{9253D2F8-FFAD-43D6-9605-FA3CB36CE078}"/>
    <cellStyle name="Normal 5 5 4 5 2" xfId="15043" xr:uid="{31725BB5-28F3-4271-9B28-5AEF134F5892}"/>
    <cellStyle name="Normal 5 5 4 6" xfId="5924" xr:uid="{A730F5DB-7FB7-48AB-975A-74719E181A59}"/>
    <cellStyle name="Normal 5 5 4 6 2" xfId="15872" xr:uid="{BE427A8A-A1CE-4A97-B146-56361566997F}"/>
    <cellStyle name="Normal 5 5 4 7" xfId="6753" xr:uid="{B3638DCD-07ED-4E87-BD22-D1C62C849E6E}"/>
    <cellStyle name="Normal 5 5 4 7 2" xfId="16701" xr:uid="{55FE9426-A852-417E-9775-F9EBAB756E9A}"/>
    <cellStyle name="Normal 5 5 4 8" xfId="7582" xr:uid="{DC881417-D3E5-4A38-8322-E237D4CAEF9C}"/>
    <cellStyle name="Normal 5 5 4 8 2" xfId="17530" xr:uid="{6FE7DC64-5340-493C-9B67-5C861EB10379}"/>
    <cellStyle name="Normal 5 5 4 9" xfId="8411" xr:uid="{00093577-FC43-4652-993B-83F7DFE707CD}"/>
    <cellStyle name="Normal 5 5 4 9 2" xfId="18359" xr:uid="{4DA399D8-372B-4E18-942B-4C0043D11D4A}"/>
    <cellStyle name="Normal 5 5 5" xfId="2192" xr:uid="{5ACD6E47-0053-463F-A54D-E69E2A395D6F}"/>
    <cellStyle name="Normal 5 5 5 2" xfId="12140" xr:uid="{A940B109-025D-436B-B351-D37CE1069DE2}"/>
    <cellStyle name="Normal 5 5 6" xfId="3021" xr:uid="{915DAA47-E2FC-48A8-9F25-8E903846B3AF}"/>
    <cellStyle name="Normal 5 5 6 2" xfId="12969" xr:uid="{49DC3FD6-F6B5-470E-B7DE-5CE91322E8F4}"/>
    <cellStyle name="Normal 5 5 7" xfId="3850" xr:uid="{A0302046-0F4F-43A8-8E43-6F16D96475E8}"/>
    <cellStyle name="Normal 5 5 7 2" xfId="13798" xr:uid="{77982013-3D8B-4300-AB6A-D233549E028A}"/>
    <cellStyle name="Normal 5 5 8" xfId="4679" xr:uid="{BAD16B0A-B7A0-4F82-AA41-A0B75F36E1D9}"/>
    <cellStyle name="Normal 5 5 8 2" xfId="14627" xr:uid="{8C149123-563C-4322-8CCA-1263D2CBA69D}"/>
    <cellStyle name="Normal 5 5 9" xfId="5508" xr:uid="{1AE23087-4937-47C8-B720-4BDDAC61389C}"/>
    <cellStyle name="Normal 5 5 9 2" xfId="15456" xr:uid="{250948D9-FE32-4637-BDC1-4C70311FA6D9}"/>
    <cellStyle name="Normal 5 6" xfId="471" xr:uid="{00000000-0005-0000-0000-00004D030000}"/>
    <cellStyle name="Normal 5 6 10" xfId="7170" xr:uid="{0C75D4AC-A368-4C1D-9312-6EE18816BA46}"/>
    <cellStyle name="Normal 5 6 10 2" xfId="17118" xr:uid="{4D56363A-4C53-4735-93D9-EE51D024FA11}"/>
    <cellStyle name="Normal 5 6 11" xfId="7999" xr:uid="{47F2A138-47A6-4212-BADB-ABB695AA32E5}"/>
    <cellStyle name="Normal 5 6 11 2" xfId="17947" xr:uid="{95B3D9B0-49AA-4419-8AC6-47BCDA03634E}"/>
    <cellStyle name="Normal 5 6 12" xfId="8828" xr:uid="{CF2F6FB4-9816-44F4-A01B-63D137CDB023}"/>
    <cellStyle name="Normal 5 6 12 2" xfId="18776" xr:uid="{EDA6BCB2-A916-48DD-BAA0-30E7942EBEE9}"/>
    <cellStyle name="Normal 5 6 13" xfId="9657" xr:uid="{3759A732-1728-447E-B7C6-916262D5FC7A}"/>
    <cellStyle name="Normal 5 6 13 2" xfId="19605" xr:uid="{5F57439A-9853-45C3-A5D7-AAFC98861EBD}"/>
    <cellStyle name="Normal 5 6 14" xfId="10486" xr:uid="{AA0B1E71-C2BA-4B38-9936-4249F1D227C6}"/>
    <cellStyle name="Normal 5 6 14 2" xfId="20434" xr:uid="{6EDA6D01-FF45-4575-88E7-7CA7E3249E2E}"/>
    <cellStyle name="Normal 5 6 15" xfId="1367" xr:uid="{932B7466-468F-45A2-914F-ADC73117D677}"/>
    <cellStyle name="Normal 5 6 16" xfId="11315" xr:uid="{992CFF6A-A842-4AB2-92EC-168C9D9331B9}"/>
    <cellStyle name="Normal 5 6 2" xfId="472" xr:uid="{00000000-0005-0000-0000-00004E030000}"/>
    <cellStyle name="Normal 5 6 2 10" xfId="8000" xr:uid="{7D50607B-E3BA-41E2-941C-765E9D315297}"/>
    <cellStyle name="Normal 5 6 2 10 2" xfId="17948" xr:uid="{A96F93DC-9C96-4B48-BE67-C61D703F1985}"/>
    <cellStyle name="Normal 5 6 2 11" xfId="8829" xr:uid="{0859D483-DDB4-4497-BED1-325775849FFA}"/>
    <cellStyle name="Normal 5 6 2 11 2" xfId="18777" xr:uid="{9B77B201-B358-4C63-9B39-289239AAE51F}"/>
    <cellStyle name="Normal 5 6 2 12" xfId="9658" xr:uid="{248EC6B7-1688-4D6D-9957-CEA570C269F0}"/>
    <cellStyle name="Normal 5 6 2 12 2" xfId="19606" xr:uid="{BEFC6031-B22D-43EF-946E-831323C0CD6F}"/>
    <cellStyle name="Normal 5 6 2 13" xfId="10487" xr:uid="{1964246E-78E4-419E-BF94-90ADD285E4B4}"/>
    <cellStyle name="Normal 5 6 2 13 2" xfId="20435" xr:uid="{1017E2DE-7275-49E7-99FA-2FF84F8FAF1F}"/>
    <cellStyle name="Normal 5 6 2 14" xfId="1368" xr:uid="{DE059F42-49DB-4F75-9B25-D020B832A532}"/>
    <cellStyle name="Normal 5 6 2 15" xfId="11316" xr:uid="{3C30A341-DAD3-4587-A321-CFA7C39BE84B}"/>
    <cellStyle name="Normal 5 6 2 2" xfId="951" xr:uid="{00000000-0005-0000-0000-00004F030000}"/>
    <cellStyle name="Normal 5 6 2 2 10" xfId="9245" xr:uid="{040D270B-07F0-44D6-A2CD-CEFB3B89DF5A}"/>
    <cellStyle name="Normal 5 6 2 2 10 2" xfId="19193" xr:uid="{9B7D86E4-45B4-469C-9E01-C4584B300055}"/>
    <cellStyle name="Normal 5 6 2 2 11" xfId="10074" xr:uid="{AFC56D37-E150-451F-9F46-4B09A02C5B86}"/>
    <cellStyle name="Normal 5 6 2 2 11 2" xfId="20022" xr:uid="{FAC2012C-F671-44C4-9CE4-27F8804CF4C5}"/>
    <cellStyle name="Normal 5 6 2 2 12" xfId="10903" xr:uid="{B5FEBB6F-9256-4E9B-B54A-28B88360D78D}"/>
    <cellStyle name="Normal 5 6 2 2 12 2" xfId="20851" xr:uid="{ED5E1518-2726-4E82-BE0F-6C0C3E41A700}"/>
    <cellStyle name="Normal 5 6 2 2 13" xfId="1784" xr:uid="{6B0EFBCB-9045-4991-88A1-27D7DB90EBDC}"/>
    <cellStyle name="Normal 5 6 2 2 14" xfId="11732" xr:uid="{69406D01-CF54-41BD-B92F-2F17DF47E9F0}"/>
    <cellStyle name="Normal 5 6 2 2 2" xfId="2613" xr:uid="{F91C5AF8-2F10-4B1D-A47A-27235716CBAD}"/>
    <cellStyle name="Normal 5 6 2 2 2 2" xfId="12561" xr:uid="{1DDFD957-F912-4FEA-AD1D-78C102E2773B}"/>
    <cellStyle name="Normal 5 6 2 2 3" xfId="3442" xr:uid="{E1A21731-52E7-4D90-8712-6B22D9E7471E}"/>
    <cellStyle name="Normal 5 6 2 2 3 2" xfId="13390" xr:uid="{19AA7041-2412-40FA-90EC-A04AE97B7DCF}"/>
    <cellStyle name="Normal 5 6 2 2 4" xfId="4271" xr:uid="{C68D496C-6ECE-4A74-969E-3155D2EEB503}"/>
    <cellStyle name="Normal 5 6 2 2 4 2" xfId="14219" xr:uid="{764999F3-3D7B-4E15-8D01-9531536BA4C2}"/>
    <cellStyle name="Normal 5 6 2 2 5" xfId="5100" xr:uid="{2E0A256D-5690-4016-8F97-404336A883A7}"/>
    <cellStyle name="Normal 5 6 2 2 5 2" xfId="15048" xr:uid="{DF174515-7B27-4E63-90B3-7C20C9A98D63}"/>
    <cellStyle name="Normal 5 6 2 2 6" xfId="5929" xr:uid="{1D8301DA-99E5-4F46-916D-1985F0AB9BC5}"/>
    <cellStyle name="Normal 5 6 2 2 6 2" xfId="15877" xr:uid="{37DE5A19-119A-44CD-A9B7-819D12F0F68F}"/>
    <cellStyle name="Normal 5 6 2 2 7" xfId="6758" xr:uid="{683550EF-5427-4470-A1B1-6C7B320B0BA9}"/>
    <cellStyle name="Normal 5 6 2 2 7 2" xfId="16706" xr:uid="{CF80F078-E3A1-428B-A7B5-147842456C68}"/>
    <cellStyle name="Normal 5 6 2 2 8" xfId="7587" xr:uid="{02B5A324-7ED8-4B0A-803A-CC1F5EA9A208}"/>
    <cellStyle name="Normal 5 6 2 2 8 2" xfId="17535" xr:uid="{81A9D372-E9F4-4217-9930-F09516CCF5C1}"/>
    <cellStyle name="Normal 5 6 2 2 9" xfId="8416" xr:uid="{B5FD8466-5B6E-4789-B44A-ECA421E73EA4}"/>
    <cellStyle name="Normal 5 6 2 2 9 2" xfId="18364" xr:uid="{61F33770-4FC9-4E5A-BDB0-D669CA1CDB8E}"/>
    <cellStyle name="Normal 5 6 2 3" xfId="2197" xr:uid="{449F81FA-A3D2-421F-A3B2-F6D434FFDBDE}"/>
    <cellStyle name="Normal 5 6 2 3 2" xfId="12145" xr:uid="{09344E2D-0D99-4B8E-9543-1FBC3C118D2A}"/>
    <cellStyle name="Normal 5 6 2 4" xfId="3026" xr:uid="{66AA80BE-FA96-4EC1-BF1A-8E474A1F157F}"/>
    <cellStyle name="Normal 5 6 2 4 2" xfId="12974" xr:uid="{D8E94BC6-5A14-4D1B-87F5-55DF22D2CC60}"/>
    <cellStyle name="Normal 5 6 2 5" xfId="3855" xr:uid="{9E90197B-9225-4334-8B90-D48C348DFAC2}"/>
    <cellStyle name="Normal 5 6 2 5 2" xfId="13803" xr:uid="{F33B87FE-AEF3-458F-9A2B-524F5C068FF4}"/>
    <cellStyle name="Normal 5 6 2 6" xfId="4684" xr:uid="{06459677-3929-4C5A-85A4-16AF3888937A}"/>
    <cellStyle name="Normal 5 6 2 6 2" xfId="14632" xr:uid="{72B718B6-DAF2-45EC-9CEC-69D7F8C2BD08}"/>
    <cellStyle name="Normal 5 6 2 7" xfId="5513" xr:uid="{851F1FF3-ADE0-499B-8512-51A1E5EADB80}"/>
    <cellStyle name="Normal 5 6 2 7 2" xfId="15461" xr:uid="{495715FD-C12E-46D7-9A77-5D4D801846C0}"/>
    <cellStyle name="Normal 5 6 2 8" xfId="6342" xr:uid="{06B7C810-EC1B-45F9-BC0D-5010230617AF}"/>
    <cellStyle name="Normal 5 6 2 8 2" xfId="16290" xr:uid="{60303700-623B-4EEF-AA06-B56D45B63547}"/>
    <cellStyle name="Normal 5 6 2 9" xfId="7171" xr:uid="{4257E37C-92B0-44B0-AB31-EF8B14F2FA70}"/>
    <cellStyle name="Normal 5 6 2 9 2" xfId="17119" xr:uid="{86D8F488-ECD7-4A13-BE20-7AE74DA1A200}"/>
    <cellStyle name="Normal 5 6 3" xfId="950" xr:uid="{00000000-0005-0000-0000-000050030000}"/>
    <cellStyle name="Normal 5 6 3 10" xfId="9244" xr:uid="{4CDC150D-B358-453D-B11A-C0C547E5BC26}"/>
    <cellStyle name="Normal 5 6 3 10 2" xfId="19192" xr:uid="{C2FC508C-EA47-49FB-BC33-E78BB2F328E9}"/>
    <cellStyle name="Normal 5 6 3 11" xfId="10073" xr:uid="{3EE9A726-03CF-4F4A-855D-376165FDA3B7}"/>
    <cellStyle name="Normal 5 6 3 11 2" xfId="20021" xr:uid="{CA4F160A-9CE0-4A14-85F8-9B3FE6D970BC}"/>
    <cellStyle name="Normal 5 6 3 12" xfId="10902" xr:uid="{9E6C18F0-C353-4D4F-B86C-83F368437C11}"/>
    <cellStyle name="Normal 5 6 3 12 2" xfId="20850" xr:uid="{DA224FEA-D7AF-4500-B7FB-12C04434613B}"/>
    <cellStyle name="Normal 5 6 3 13" xfId="1783" xr:uid="{BC9B1155-A02B-448B-93D0-D3DDFE3FCEDA}"/>
    <cellStyle name="Normal 5 6 3 14" xfId="11731" xr:uid="{38D4EE9E-86DB-4979-92AD-FAA8CB2CF09F}"/>
    <cellStyle name="Normal 5 6 3 2" xfId="2612" xr:uid="{731509C7-9A1C-4854-B238-4A01ACABA3F9}"/>
    <cellStyle name="Normal 5 6 3 2 2" xfId="12560" xr:uid="{41526C53-04D9-4888-96C2-A4B973A2DBF2}"/>
    <cellStyle name="Normal 5 6 3 3" xfId="3441" xr:uid="{79885C0D-DAEB-4D94-812B-F89E78DB24D1}"/>
    <cellStyle name="Normal 5 6 3 3 2" xfId="13389" xr:uid="{25CFC85D-E38B-49D5-9233-1A93B9809307}"/>
    <cellStyle name="Normal 5 6 3 4" xfId="4270" xr:uid="{6E46A9F0-2C4A-4A41-9FC6-F07DA703CA5A}"/>
    <cellStyle name="Normal 5 6 3 4 2" xfId="14218" xr:uid="{0751835D-D7B3-4A12-8FFF-BDE0F899C003}"/>
    <cellStyle name="Normal 5 6 3 5" xfId="5099" xr:uid="{7647B3DD-E622-4EB3-9513-FA2F93C6D58A}"/>
    <cellStyle name="Normal 5 6 3 5 2" xfId="15047" xr:uid="{A2CF1106-0C43-40DD-9325-7C168AE1E122}"/>
    <cellStyle name="Normal 5 6 3 6" xfId="5928" xr:uid="{032A7663-F6FC-4F49-8CE9-FE82524DD419}"/>
    <cellStyle name="Normal 5 6 3 6 2" xfId="15876" xr:uid="{F6B22692-389C-48ED-B837-4342F63B15C7}"/>
    <cellStyle name="Normal 5 6 3 7" xfId="6757" xr:uid="{1E4C12A1-209A-481F-B966-BE055B12E832}"/>
    <cellStyle name="Normal 5 6 3 7 2" xfId="16705" xr:uid="{B1D31B5C-82B3-4C50-8ED4-EA6EEFCA8CBB}"/>
    <cellStyle name="Normal 5 6 3 8" xfId="7586" xr:uid="{3072CD4A-B7D1-4C6B-AF3C-23D8E06C686F}"/>
    <cellStyle name="Normal 5 6 3 8 2" xfId="17534" xr:uid="{103E39B1-91A1-42C2-B253-F19BB77BFABC}"/>
    <cellStyle name="Normal 5 6 3 9" xfId="8415" xr:uid="{9893BB01-E2D6-470E-8BEA-3A0F32653AEF}"/>
    <cellStyle name="Normal 5 6 3 9 2" xfId="18363" xr:uid="{FB9C2CBD-3F49-4772-986F-F3BD33483B39}"/>
    <cellStyle name="Normal 5 6 4" xfId="2196" xr:uid="{668709E4-820F-41D8-8253-9BFE160F2599}"/>
    <cellStyle name="Normal 5 6 4 2" xfId="12144" xr:uid="{659F3774-8404-4EA9-BB55-6A398617B875}"/>
    <cellStyle name="Normal 5 6 5" xfId="3025" xr:uid="{DA0023A8-DC2A-4E92-BCA7-6CA35D8FD623}"/>
    <cellStyle name="Normal 5 6 5 2" xfId="12973" xr:uid="{BF54CDC8-A48A-4372-9E00-C430973AD905}"/>
    <cellStyle name="Normal 5 6 6" xfId="3854" xr:uid="{6AF83C87-3787-46C1-A11B-15C9D84BA4E6}"/>
    <cellStyle name="Normal 5 6 6 2" xfId="13802" xr:uid="{6EABE5D2-9ACE-4033-A9B2-0328860C48AD}"/>
    <cellStyle name="Normal 5 6 7" xfId="4683" xr:uid="{8423FDC7-19EE-4356-8A35-CDFB673A3F52}"/>
    <cellStyle name="Normal 5 6 7 2" xfId="14631" xr:uid="{DCED3F4E-A959-48EC-BE7D-F017289A3F63}"/>
    <cellStyle name="Normal 5 6 8" xfId="5512" xr:uid="{BFC61751-4055-41C9-94D5-482212A57467}"/>
    <cellStyle name="Normal 5 6 8 2" xfId="15460" xr:uid="{1E824234-E8D1-4266-AB03-24FEAA8D8936}"/>
    <cellStyle name="Normal 5 6 9" xfId="6341" xr:uid="{AD3F19F8-48E2-4E3B-8E87-13F2D104AEF4}"/>
    <cellStyle name="Normal 5 6 9 2" xfId="16289" xr:uid="{A43C3625-CC96-4ED9-BE31-5BCCEC9BDDFA}"/>
    <cellStyle name="Normal 5 7" xfId="473" xr:uid="{00000000-0005-0000-0000-000051030000}"/>
    <cellStyle name="Normal 5 7 10" xfId="8001" xr:uid="{21912845-C424-47FD-9AA4-C7B4070F02A5}"/>
    <cellStyle name="Normal 5 7 10 2" xfId="17949" xr:uid="{BA4A41FD-C6F5-47AF-AE94-2C88F4D2F79D}"/>
    <cellStyle name="Normal 5 7 11" xfId="8830" xr:uid="{6BF440C6-F90D-41C3-92AB-CE73F123BE76}"/>
    <cellStyle name="Normal 5 7 11 2" xfId="18778" xr:uid="{4EE6D6AB-8DD4-4803-BD8F-E041DE7104D0}"/>
    <cellStyle name="Normal 5 7 12" xfId="9659" xr:uid="{5C0881EE-B79A-4EB1-9E66-864BEE1D954D}"/>
    <cellStyle name="Normal 5 7 12 2" xfId="19607" xr:uid="{D66E291C-F80A-4DB1-8518-496FCBFA79DB}"/>
    <cellStyle name="Normal 5 7 13" xfId="10488" xr:uid="{FDB5F096-3EC5-4074-A0F8-260485F40FFF}"/>
    <cellStyle name="Normal 5 7 13 2" xfId="20436" xr:uid="{4B745FEE-7296-479A-A427-5D45204EF2CB}"/>
    <cellStyle name="Normal 5 7 14" xfId="1369" xr:uid="{66D28814-14A2-4554-9D3F-11A7A364F6A1}"/>
    <cellStyle name="Normal 5 7 15" xfId="11317" xr:uid="{37965FE2-9071-445D-AE46-166382349080}"/>
    <cellStyle name="Normal 5 7 2" xfId="952" xr:uid="{00000000-0005-0000-0000-000052030000}"/>
    <cellStyle name="Normal 5 7 2 10" xfId="9246" xr:uid="{56183745-D9BA-4AD2-95A0-F7B13821FDD0}"/>
    <cellStyle name="Normal 5 7 2 10 2" xfId="19194" xr:uid="{EAFB3B40-E691-4BCF-B93A-4C6B7A7A4401}"/>
    <cellStyle name="Normal 5 7 2 11" xfId="10075" xr:uid="{95E31244-C126-487D-9236-9B6D0809FFC7}"/>
    <cellStyle name="Normal 5 7 2 11 2" xfId="20023" xr:uid="{20AFC6E9-E7A6-4A1A-B41A-1BF380FA70F7}"/>
    <cellStyle name="Normal 5 7 2 12" xfId="10904" xr:uid="{0C4E4482-A57B-4833-A236-D37DF5EFE966}"/>
    <cellStyle name="Normal 5 7 2 12 2" xfId="20852" xr:uid="{F60E91BB-7589-4E4E-80A7-C9DBC0A08B32}"/>
    <cellStyle name="Normal 5 7 2 13" xfId="1785" xr:uid="{8EC41372-B70D-4FB1-9751-6C8E6B5D382A}"/>
    <cellStyle name="Normal 5 7 2 14" xfId="11733" xr:uid="{C0F4E1BA-5F78-4003-9A64-8A3CF4449AC3}"/>
    <cellStyle name="Normal 5 7 2 2" xfId="2614" xr:uid="{30ED9CF2-5715-451D-9016-41F32046B085}"/>
    <cellStyle name="Normal 5 7 2 2 2" xfId="12562" xr:uid="{936E90CF-69FD-4640-AF0C-D0BE01C86F29}"/>
    <cellStyle name="Normal 5 7 2 3" xfId="3443" xr:uid="{4DAB1BF3-94A2-4C0B-A69C-A7B171FCF6D6}"/>
    <cellStyle name="Normal 5 7 2 3 2" xfId="13391" xr:uid="{71AF3F73-2F24-4E58-9066-725BCA7FD0E2}"/>
    <cellStyle name="Normal 5 7 2 4" xfId="4272" xr:uid="{30099917-367F-4477-8A24-2D0BB18F6547}"/>
    <cellStyle name="Normal 5 7 2 4 2" xfId="14220" xr:uid="{7758DEE1-F32C-4B4C-96E0-8524C6DAAD7B}"/>
    <cellStyle name="Normal 5 7 2 5" xfId="5101" xr:uid="{CDA2A1B8-4642-44CA-8FC2-89D366DCFD38}"/>
    <cellStyle name="Normal 5 7 2 5 2" xfId="15049" xr:uid="{CF26C1FC-A4C0-469C-A00F-EB9BF35BC2BE}"/>
    <cellStyle name="Normal 5 7 2 6" xfId="5930" xr:uid="{E64B4E1B-E2F2-40FC-BF54-2CC47296E342}"/>
    <cellStyle name="Normal 5 7 2 6 2" xfId="15878" xr:uid="{E6EA00B7-0119-431B-BCE6-5DEA9EB881DD}"/>
    <cellStyle name="Normal 5 7 2 7" xfId="6759" xr:uid="{2FB80FBC-CF31-4315-AA55-47DA28162C78}"/>
    <cellStyle name="Normal 5 7 2 7 2" xfId="16707" xr:uid="{95FD7C8E-82A2-42BE-AEDF-FC645395399B}"/>
    <cellStyle name="Normal 5 7 2 8" xfId="7588" xr:uid="{1791FA3C-5070-4B58-B2BB-07505ADBD171}"/>
    <cellStyle name="Normal 5 7 2 8 2" xfId="17536" xr:uid="{1A7E3460-1B5F-4659-9BC8-500395DCA1E8}"/>
    <cellStyle name="Normal 5 7 2 9" xfId="8417" xr:uid="{CDBC0D4E-C796-48CB-A71A-36F1333F789C}"/>
    <cellStyle name="Normal 5 7 2 9 2" xfId="18365" xr:uid="{81339DA6-19FD-4F6A-9A57-49CFD8FF5329}"/>
    <cellStyle name="Normal 5 7 3" xfId="2198" xr:uid="{3778218B-13B2-423B-B245-057C472CD07C}"/>
    <cellStyle name="Normal 5 7 3 2" xfId="12146" xr:uid="{CDF0BF59-4D02-4525-9244-666792A9338E}"/>
    <cellStyle name="Normal 5 7 4" xfId="3027" xr:uid="{4E14BF6F-048B-4A4D-BF3F-C264CFD81410}"/>
    <cellStyle name="Normal 5 7 4 2" xfId="12975" xr:uid="{86C1FD6F-8991-4AA6-9E92-A470310BADCA}"/>
    <cellStyle name="Normal 5 7 5" xfId="3856" xr:uid="{67E97505-5995-4E4B-82BD-7E92359F5FCF}"/>
    <cellStyle name="Normal 5 7 5 2" xfId="13804" xr:uid="{EF7A4E6B-6A52-486A-B788-95EA6E2DA80B}"/>
    <cellStyle name="Normal 5 7 6" xfId="4685" xr:uid="{6AC462DB-7069-4B9A-B094-577E2C5E205D}"/>
    <cellStyle name="Normal 5 7 6 2" xfId="14633" xr:uid="{B4AEF08A-7709-4812-AED7-28CCA762512D}"/>
    <cellStyle name="Normal 5 7 7" xfId="5514" xr:uid="{A2BCB686-021C-4F87-B3A2-902160429D9E}"/>
    <cellStyle name="Normal 5 7 7 2" xfId="15462" xr:uid="{E9ED7B66-7677-4F1D-AE45-54570C5CF762}"/>
    <cellStyle name="Normal 5 7 8" xfId="6343" xr:uid="{63125D0D-E7CD-4980-BD94-BF62ADFE1FE8}"/>
    <cellStyle name="Normal 5 7 8 2" xfId="16291" xr:uid="{C7B9D831-5D1A-4C72-98CB-E296256B1C17}"/>
    <cellStyle name="Normal 5 7 9" xfId="7172" xr:uid="{31B6A923-E5E6-4E96-99DA-38788112D9A4}"/>
    <cellStyle name="Normal 5 7 9 2" xfId="17120" xr:uid="{B2E88648-DC20-4053-8A95-A4CFB361B2F2}"/>
    <cellStyle name="Normal 5 8" xfId="888" xr:uid="{00000000-0005-0000-0000-000053030000}"/>
    <cellStyle name="Normal 5 8 10" xfId="9183" xr:uid="{CE8D96D5-7CD5-45B7-A48F-DD18EEB9EEAA}"/>
    <cellStyle name="Normal 5 8 10 2" xfId="19131" xr:uid="{6A1A55BC-12D2-4DA9-9FBA-2882E5DA497D}"/>
    <cellStyle name="Normal 5 8 11" xfId="10012" xr:uid="{6029CD7F-F5E7-404E-AB7C-C93A54DC216D}"/>
    <cellStyle name="Normal 5 8 11 2" xfId="19960" xr:uid="{BC9A7B85-1DA7-46E0-A260-E0811135BC20}"/>
    <cellStyle name="Normal 5 8 12" xfId="10841" xr:uid="{BD3EAEAD-05E5-4AC6-AEAA-B929F04072E1}"/>
    <cellStyle name="Normal 5 8 12 2" xfId="20789" xr:uid="{026B0897-BF6A-4486-B4BD-1D05F956DEF4}"/>
    <cellStyle name="Normal 5 8 13" xfId="1722" xr:uid="{1C068278-3ED7-42B9-826C-88BDE84A52E1}"/>
    <cellStyle name="Normal 5 8 14" xfId="11670" xr:uid="{05C64FF4-ED48-43C3-8428-28458B5F51E3}"/>
    <cellStyle name="Normal 5 8 2" xfId="2551" xr:uid="{FAFE6F37-9919-4F9E-B6FE-B241A8EAB24F}"/>
    <cellStyle name="Normal 5 8 2 2" xfId="12499" xr:uid="{D432BCD3-89E1-4DA9-A8CB-E00B01D31D09}"/>
    <cellStyle name="Normal 5 8 3" xfId="3380" xr:uid="{1143F8CC-FCD1-40A2-B14C-451E7D3A5E6C}"/>
    <cellStyle name="Normal 5 8 3 2" xfId="13328" xr:uid="{5F5941B6-EA12-40F9-96A4-CA13C0D69C4B}"/>
    <cellStyle name="Normal 5 8 4" xfId="4209" xr:uid="{9EAFE441-B085-4D2C-8B0E-093055F6973D}"/>
    <cellStyle name="Normal 5 8 4 2" xfId="14157" xr:uid="{3EF176C6-1408-4CD3-A407-2E44DFDC7578}"/>
    <cellStyle name="Normal 5 8 5" xfId="5038" xr:uid="{9BC5A433-B408-40CC-80E8-F12CDF15E234}"/>
    <cellStyle name="Normal 5 8 5 2" xfId="14986" xr:uid="{60DCAF58-3529-439A-826E-011BFE86B8D8}"/>
    <cellStyle name="Normal 5 8 6" xfId="5867" xr:uid="{AA1AA27E-83A0-4733-B0D2-ABDB8311C4C1}"/>
    <cellStyle name="Normal 5 8 6 2" xfId="15815" xr:uid="{B2BB3AFE-91A3-41A6-A896-66908C9E68DC}"/>
    <cellStyle name="Normal 5 8 7" xfId="6696" xr:uid="{C9B09364-70EE-4D73-944D-13D88AFF4EB2}"/>
    <cellStyle name="Normal 5 8 7 2" xfId="16644" xr:uid="{8B168185-9411-42AB-9FC1-1D80CFB80A24}"/>
    <cellStyle name="Normal 5 8 8" xfId="7525" xr:uid="{26AEA009-554F-4FBC-B278-8FBB78BF2B00}"/>
    <cellStyle name="Normal 5 8 8 2" xfId="17473" xr:uid="{088D0536-E5C2-4F61-893A-B307C727BEAE}"/>
    <cellStyle name="Normal 5 8 9" xfId="8354" xr:uid="{9E27723C-EBE8-41A5-9C17-3E6070AE6DEE}"/>
    <cellStyle name="Normal 5 8 9 2" xfId="18302" xr:uid="{2C7CA70D-5290-41C1-8A5A-9C23462073AB}"/>
    <cellStyle name="Normal 5 9" xfId="2135" xr:uid="{F94AD722-F907-4C56-A9AD-6B6C49258F38}"/>
    <cellStyle name="Normal 5 9 2" xfId="12083" xr:uid="{762B0204-BE8D-4668-98B6-AA57918CEE5F}"/>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10" xfId="3857" xr:uid="{7E42842B-507B-4C43-8DCE-0C94135FDE5D}"/>
    <cellStyle name="Normal 8 10 2" xfId="13805" xr:uid="{7524C763-247F-4D23-9626-80F237779327}"/>
    <cellStyle name="Normal 8 11" xfId="4686" xr:uid="{ECDDBFE6-8E71-4A42-BBAC-574736A2BC5F}"/>
    <cellStyle name="Normal 8 11 2" xfId="14634" xr:uid="{1D12451B-403E-4407-9F6B-377E3C4C3E66}"/>
    <cellStyle name="Normal 8 12" xfId="5515" xr:uid="{B38283B2-64A6-4CA1-8950-164FCE91D2D5}"/>
    <cellStyle name="Normal 8 12 2" xfId="15463" xr:uid="{776A668C-9657-4269-9A6D-31F98105E073}"/>
    <cellStyle name="Normal 8 13" xfId="6344" xr:uid="{DD1D4FBA-C46A-4A11-A782-3219959D7D32}"/>
    <cellStyle name="Normal 8 13 2" xfId="16292" xr:uid="{5F50CAA9-31C8-430C-8F71-0D878748A954}"/>
    <cellStyle name="Normal 8 14" xfId="7173" xr:uid="{185F6E7D-6669-4323-87DF-0A2E0F95ABCE}"/>
    <cellStyle name="Normal 8 14 2" xfId="17121" xr:uid="{D316C2EE-EF17-4876-A76F-6AFED7D448C2}"/>
    <cellStyle name="Normal 8 15" xfId="8002" xr:uid="{E34D3663-B0D7-4529-92D7-ED7C59C4F411}"/>
    <cellStyle name="Normal 8 15 2" xfId="17950" xr:uid="{176A24EC-6680-4E88-9913-37D8F38C079B}"/>
    <cellStyle name="Normal 8 16" xfId="8831" xr:uid="{E079325E-7156-4BE9-ADAD-4DF54B975DE7}"/>
    <cellStyle name="Normal 8 16 2" xfId="18779" xr:uid="{4A66DCEE-F461-4811-A78B-ECFD6705C488}"/>
    <cellStyle name="Normal 8 17" xfId="9660" xr:uid="{26C69C1A-A3B9-41D1-AAD4-4B2EA2A32761}"/>
    <cellStyle name="Normal 8 17 2" xfId="19608" xr:uid="{B4EE9D17-E567-427E-8C09-3C5F6549D5DF}"/>
    <cellStyle name="Normal 8 18" xfId="10489" xr:uid="{F8BC21CB-89D2-4768-AE53-E84394B43DB3}"/>
    <cellStyle name="Normal 8 18 2" xfId="20437" xr:uid="{EEB18F66-C9FD-4FEF-8E89-6904912182FE}"/>
    <cellStyle name="Normal 8 19" xfId="1370" xr:uid="{D6B72864-CBDC-4674-9FE8-2B8D11FC0636}"/>
    <cellStyle name="Normal 8 2" xfId="482" xr:uid="{00000000-0005-0000-0000-00005C030000}"/>
    <cellStyle name="Normal 8 2 10" xfId="4687" xr:uid="{C45A9387-4B85-4C60-B366-AA7A69FDE33A}"/>
    <cellStyle name="Normal 8 2 10 2" xfId="14635" xr:uid="{AADF873D-9AD6-4B94-AC19-73D4B61E5137}"/>
    <cellStyle name="Normal 8 2 11" xfId="5516" xr:uid="{D00D06D4-D67C-4561-AFD5-3FABF11FE2B5}"/>
    <cellStyle name="Normal 8 2 11 2" xfId="15464" xr:uid="{819CA342-482A-4AAA-9D7C-12BCC87A4A34}"/>
    <cellStyle name="Normal 8 2 12" xfId="6345" xr:uid="{A43E5C21-16F1-4BDA-9331-A7D814D3CB86}"/>
    <cellStyle name="Normal 8 2 12 2" xfId="16293" xr:uid="{CBFAB2D9-653B-4E5F-B469-BABD080E4C65}"/>
    <cellStyle name="Normal 8 2 13" xfId="7174" xr:uid="{143DA324-C5B0-444D-B24F-B4696FD5FBE1}"/>
    <cellStyle name="Normal 8 2 13 2" xfId="17122" xr:uid="{1583BD86-4ABF-4CF9-8629-B9EB38566DE0}"/>
    <cellStyle name="Normal 8 2 14" xfId="8003" xr:uid="{CA081C98-0A8A-4DE4-B172-69D2C1F9F8A0}"/>
    <cellStyle name="Normal 8 2 14 2" xfId="17951" xr:uid="{AACAEC63-DFC1-4101-A35E-F4DB8272E253}"/>
    <cellStyle name="Normal 8 2 15" xfId="8832" xr:uid="{CA090B82-F48F-4695-BC2E-F2B2FFF7FF86}"/>
    <cellStyle name="Normal 8 2 15 2" xfId="18780" xr:uid="{6EFD5BEA-4C94-48AF-BCA6-D67C33F63986}"/>
    <cellStyle name="Normal 8 2 16" xfId="9661" xr:uid="{9B4E22BA-2FAC-488F-A035-CDAA9932F390}"/>
    <cellStyle name="Normal 8 2 16 2" xfId="19609" xr:uid="{FAE5175D-CAC1-4A04-9C0F-F4361372359E}"/>
    <cellStyle name="Normal 8 2 17" xfId="10490" xr:uid="{CF79D0C9-B269-428C-A974-F3F25E6908D0}"/>
    <cellStyle name="Normal 8 2 17 2" xfId="20438" xr:uid="{46DA03C9-1CA9-45D0-ABB1-F4F71295BC86}"/>
    <cellStyle name="Normal 8 2 18" xfId="1371" xr:uid="{6941EB00-834C-4948-8E01-DBA8C1421465}"/>
    <cellStyle name="Normal 8 2 19" xfId="11319" xr:uid="{953652B3-A878-495D-85E1-C6B32FAD7CB7}"/>
    <cellStyle name="Normal 8 2 2" xfId="483" xr:uid="{00000000-0005-0000-0000-00005D030000}"/>
    <cellStyle name="Normal 8 2 2 10" xfId="5517" xr:uid="{5C4C9C74-5252-4962-9412-BAC10552CAC3}"/>
    <cellStyle name="Normal 8 2 2 10 2" xfId="15465" xr:uid="{22563D11-5712-4B1D-9896-EB293249A8B0}"/>
    <cellStyle name="Normal 8 2 2 11" xfId="6346" xr:uid="{3A73D8F4-B590-4D2A-8BC1-3309959FD606}"/>
    <cellStyle name="Normal 8 2 2 11 2" xfId="16294" xr:uid="{48602F2F-612C-4803-BAF7-3AA9D1D0A098}"/>
    <cellStyle name="Normal 8 2 2 12" xfId="7175" xr:uid="{E1587CA4-9D38-4BA9-B9DA-E12A85B27875}"/>
    <cellStyle name="Normal 8 2 2 12 2" xfId="17123" xr:uid="{20D504F6-5E9E-4491-B44B-2A53B63CBC59}"/>
    <cellStyle name="Normal 8 2 2 13" xfId="8004" xr:uid="{8A16E371-BF46-4909-B551-D880022B7EC0}"/>
    <cellStyle name="Normal 8 2 2 13 2" xfId="17952" xr:uid="{3130CEB7-FF88-4DDB-9796-38123ECBD884}"/>
    <cellStyle name="Normal 8 2 2 14" xfId="8833" xr:uid="{7F6BDFEB-78B1-4E62-A399-92C4E4963399}"/>
    <cellStyle name="Normal 8 2 2 14 2" xfId="18781" xr:uid="{4876A982-ED6A-42CD-A59C-45BDEF2E7391}"/>
    <cellStyle name="Normal 8 2 2 15" xfId="9662" xr:uid="{96F2BE3A-1E21-4188-98B7-38D3D4A280CC}"/>
    <cellStyle name="Normal 8 2 2 15 2" xfId="19610" xr:uid="{5E9A7BCD-E86F-4706-AC4B-8A6DC31B347D}"/>
    <cellStyle name="Normal 8 2 2 16" xfId="10491" xr:uid="{DA9FBA98-38A4-48C8-B340-BC3DAD61F77B}"/>
    <cellStyle name="Normal 8 2 2 16 2" xfId="20439" xr:uid="{85C873F4-A4F7-4B5D-A28C-C3BD97EAB772}"/>
    <cellStyle name="Normal 8 2 2 17" xfId="1372" xr:uid="{67D7168A-F2DB-4A03-9137-7AEBB93EE1C4}"/>
    <cellStyle name="Normal 8 2 2 18" xfId="11320" xr:uid="{3F7EEEB7-5C68-44BE-AB6F-1959723BBC43}"/>
    <cellStyle name="Normal 8 2 2 2" xfId="484" xr:uid="{00000000-0005-0000-0000-00005E030000}"/>
    <cellStyle name="Normal 8 2 2 2 10" xfId="6347" xr:uid="{BA29E943-6A1C-4622-B74F-11F57ABC337E}"/>
    <cellStyle name="Normal 8 2 2 2 10 2" xfId="16295" xr:uid="{767C67FF-22A9-4E5C-A58C-782E7BFE4F94}"/>
    <cellStyle name="Normal 8 2 2 2 11" xfId="7176" xr:uid="{14B0CB93-8215-42EA-B038-FA915C14EFA3}"/>
    <cellStyle name="Normal 8 2 2 2 11 2" xfId="17124" xr:uid="{28428068-0829-4F30-A26F-0289DE7C75E9}"/>
    <cellStyle name="Normal 8 2 2 2 12" xfId="8005" xr:uid="{F3B6480B-69FF-4B8E-97DB-A395CED754A0}"/>
    <cellStyle name="Normal 8 2 2 2 12 2" xfId="17953" xr:uid="{B3EB74EF-7C1D-48B0-B6A9-77285A0FD773}"/>
    <cellStyle name="Normal 8 2 2 2 13" xfId="8834" xr:uid="{629080C8-19F7-48CF-96E8-15F7C32BF224}"/>
    <cellStyle name="Normal 8 2 2 2 13 2" xfId="18782" xr:uid="{C77156C7-BF89-4ADE-8F1D-04E18B40D60E}"/>
    <cellStyle name="Normal 8 2 2 2 14" xfId="9663" xr:uid="{F5BCE8C5-EDF2-456B-8FBD-A34AF6AED91A}"/>
    <cellStyle name="Normal 8 2 2 2 14 2" xfId="19611" xr:uid="{DFE2D0FF-BCBB-4811-9C60-CC03B92B0BCA}"/>
    <cellStyle name="Normal 8 2 2 2 15" xfId="10492" xr:uid="{35D405AC-1046-46F1-AF04-66509858DFF6}"/>
    <cellStyle name="Normal 8 2 2 2 15 2" xfId="20440" xr:uid="{CC481FF9-4056-48AB-8DDF-3B2A334DC515}"/>
    <cellStyle name="Normal 8 2 2 2 16" xfId="1373" xr:uid="{D6011923-61D2-40E6-AEB4-B9F015DEF9EB}"/>
    <cellStyle name="Normal 8 2 2 2 17" xfId="11321" xr:uid="{01D0D4E4-8F12-4731-BA9C-8AE9A1AEA8E7}"/>
    <cellStyle name="Normal 8 2 2 2 2" xfId="485" xr:uid="{00000000-0005-0000-0000-00005F030000}"/>
    <cellStyle name="Normal 8 2 2 2 2 10" xfId="7177" xr:uid="{C4CAC4D9-73F7-4FFA-AA51-4B23F5C5E56A}"/>
    <cellStyle name="Normal 8 2 2 2 2 10 2" xfId="17125" xr:uid="{74E6B942-32CD-4DE1-A23A-A061F27B2093}"/>
    <cellStyle name="Normal 8 2 2 2 2 11" xfId="8006" xr:uid="{55153AA2-CC85-49C9-9B6C-1E7939553949}"/>
    <cellStyle name="Normal 8 2 2 2 2 11 2" xfId="17954" xr:uid="{4E70B179-FF45-4406-83CA-9940737F1C50}"/>
    <cellStyle name="Normal 8 2 2 2 2 12" xfId="8835" xr:uid="{1927A41E-2AEC-42E8-ADB8-E918C2DE3642}"/>
    <cellStyle name="Normal 8 2 2 2 2 12 2" xfId="18783" xr:uid="{05D1CDAF-9966-47AA-BC10-B808DA264742}"/>
    <cellStyle name="Normal 8 2 2 2 2 13" xfId="9664" xr:uid="{E4C64EC0-581E-4173-86E0-0F995E4D93AF}"/>
    <cellStyle name="Normal 8 2 2 2 2 13 2" xfId="19612" xr:uid="{9B60332A-E301-44FA-A026-03013F5AE5A1}"/>
    <cellStyle name="Normal 8 2 2 2 2 14" xfId="10493" xr:uid="{F3E80DD7-02AB-4A96-A06B-D0276EED38F4}"/>
    <cellStyle name="Normal 8 2 2 2 2 14 2" xfId="20441" xr:uid="{FE7F00DB-3973-4F56-8502-198E10A75CE9}"/>
    <cellStyle name="Normal 8 2 2 2 2 15" xfId="1374" xr:uid="{31A4A80D-C8AE-4510-A5E3-B43ECB6B9A64}"/>
    <cellStyle name="Normal 8 2 2 2 2 16" xfId="11322" xr:uid="{25327C7C-ABCF-4770-97F7-D12F4574C3AE}"/>
    <cellStyle name="Normal 8 2 2 2 2 2" xfId="486" xr:uid="{00000000-0005-0000-0000-000060030000}"/>
    <cellStyle name="Normal 8 2 2 2 2 2 10" xfId="8007" xr:uid="{D371F791-A1F9-45D0-8671-0B415D8C0F8B}"/>
    <cellStyle name="Normal 8 2 2 2 2 2 10 2" xfId="17955" xr:uid="{7992CE03-B335-4E9D-AF82-7CEE89052CC2}"/>
    <cellStyle name="Normal 8 2 2 2 2 2 11" xfId="8836" xr:uid="{C8829425-5A8A-4AD2-8015-A0169942511D}"/>
    <cellStyle name="Normal 8 2 2 2 2 2 11 2" xfId="18784" xr:uid="{47C7468A-5D4B-40C0-8D5F-8FD725657339}"/>
    <cellStyle name="Normal 8 2 2 2 2 2 12" xfId="9665" xr:uid="{D615EDAD-0B9C-442D-871A-0479CCFA890F}"/>
    <cellStyle name="Normal 8 2 2 2 2 2 12 2" xfId="19613" xr:uid="{31A41442-7D89-4902-8E29-4B407FEC5E3A}"/>
    <cellStyle name="Normal 8 2 2 2 2 2 13" xfId="10494" xr:uid="{394AE1B8-C0A1-4FC1-8BF8-5C3778678829}"/>
    <cellStyle name="Normal 8 2 2 2 2 2 13 2" xfId="20442" xr:uid="{CF9B4B6C-F8EC-4357-9741-6C0B6EBCC860}"/>
    <cellStyle name="Normal 8 2 2 2 2 2 14" xfId="1375" xr:uid="{F6B9CE3E-2CA6-4B29-9D28-69D293D64176}"/>
    <cellStyle name="Normal 8 2 2 2 2 2 15" xfId="11323" xr:uid="{679D076A-112D-40A4-8F01-7555AFB1CD64}"/>
    <cellStyle name="Normal 8 2 2 2 2 2 2" xfId="958" xr:uid="{00000000-0005-0000-0000-000061030000}"/>
    <cellStyle name="Normal 8 2 2 2 2 2 2 10" xfId="9252" xr:uid="{0CD6DD4B-9EE9-4318-96B2-235E29E2B6A1}"/>
    <cellStyle name="Normal 8 2 2 2 2 2 2 10 2" xfId="19200" xr:uid="{8BA9BFB8-93DC-4F08-84B7-3295B15DB595}"/>
    <cellStyle name="Normal 8 2 2 2 2 2 2 11" xfId="10081" xr:uid="{76F95030-7D12-4EE9-99D9-5E5F71C3EF8F}"/>
    <cellStyle name="Normal 8 2 2 2 2 2 2 11 2" xfId="20029" xr:uid="{5E924CDC-2033-4F48-88A2-9E8B1ED80182}"/>
    <cellStyle name="Normal 8 2 2 2 2 2 2 12" xfId="10910" xr:uid="{93726C8B-9D33-4FCD-B652-971A7895F017}"/>
    <cellStyle name="Normal 8 2 2 2 2 2 2 12 2" xfId="20858" xr:uid="{CB14B4D0-515D-4DC4-91DF-FFDE14E4C75C}"/>
    <cellStyle name="Normal 8 2 2 2 2 2 2 13" xfId="1791" xr:uid="{56ECDB4A-9F4F-4F2C-863F-733BC59413D9}"/>
    <cellStyle name="Normal 8 2 2 2 2 2 2 14" xfId="11739" xr:uid="{7E8FA6E6-D78F-45EB-B97D-55957C55CCC2}"/>
    <cellStyle name="Normal 8 2 2 2 2 2 2 2" xfId="2620" xr:uid="{C2965485-E663-4598-9CD9-E7BA37B88166}"/>
    <cellStyle name="Normal 8 2 2 2 2 2 2 2 2" xfId="12568" xr:uid="{7271ADAB-E12A-444B-B501-256DA331935C}"/>
    <cellStyle name="Normal 8 2 2 2 2 2 2 3" xfId="3449" xr:uid="{837A9337-EF99-4244-B19D-5117A368397E}"/>
    <cellStyle name="Normal 8 2 2 2 2 2 2 3 2" xfId="13397" xr:uid="{C2A6A7D0-79D2-49EF-8D7D-82830E3039FF}"/>
    <cellStyle name="Normal 8 2 2 2 2 2 2 4" xfId="4278" xr:uid="{FFEF7D59-7926-4A34-A5E9-D9E861F071A9}"/>
    <cellStyle name="Normal 8 2 2 2 2 2 2 4 2" xfId="14226" xr:uid="{081D9066-B6F3-4876-AD54-BD5E88F82965}"/>
    <cellStyle name="Normal 8 2 2 2 2 2 2 5" xfId="5107" xr:uid="{AEC76389-6B7F-4570-B5AC-F5717D48F121}"/>
    <cellStyle name="Normal 8 2 2 2 2 2 2 5 2" xfId="15055" xr:uid="{1CF4D8E5-8F2C-4053-A70F-8AFF42D0B7E8}"/>
    <cellStyle name="Normal 8 2 2 2 2 2 2 6" xfId="5936" xr:uid="{71ECD5C0-8203-4EA4-BBC1-3BD07DBEA775}"/>
    <cellStyle name="Normal 8 2 2 2 2 2 2 6 2" xfId="15884" xr:uid="{07DCF251-D0CA-4205-9EE3-CDEBFA130C82}"/>
    <cellStyle name="Normal 8 2 2 2 2 2 2 7" xfId="6765" xr:uid="{28B7F839-4579-4CB5-9C87-9215253FB33F}"/>
    <cellStyle name="Normal 8 2 2 2 2 2 2 7 2" xfId="16713" xr:uid="{3BFAA4EA-433A-434D-8A4E-278DA271AE45}"/>
    <cellStyle name="Normal 8 2 2 2 2 2 2 8" xfId="7594" xr:uid="{9B10E457-0246-4B45-85C9-85E7C0098F9E}"/>
    <cellStyle name="Normal 8 2 2 2 2 2 2 8 2" xfId="17542" xr:uid="{158886CD-74FD-4B30-A791-74D3791C75FE}"/>
    <cellStyle name="Normal 8 2 2 2 2 2 2 9" xfId="8423" xr:uid="{A25D4587-DAC3-43BF-AA02-5FAE249C4271}"/>
    <cellStyle name="Normal 8 2 2 2 2 2 2 9 2" xfId="18371" xr:uid="{534C8B40-5AB4-49DD-B7B4-A889C144CD1D}"/>
    <cellStyle name="Normal 8 2 2 2 2 2 3" xfId="2204" xr:uid="{BED4BBAC-0186-46AC-8D2E-09B66109F63C}"/>
    <cellStyle name="Normal 8 2 2 2 2 2 3 2" xfId="12152" xr:uid="{8BDC0B2B-60FF-471B-9CFA-233E9E0C9EB1}"/>
    <cellStyle name="Normal 8 2 2 2 2 2 4" xfId="3033" xr:uid="{75C695C5-9CD8-4403-8883-61C7B6A02489}"/>
    <cellStyle name="Normal 8 2 2 2 2 2 4 2" xfId="12981" xr:uid="{08D206EB-7F61-4537-8F39-D1355D26C517}"/>
    <cellStyle name="Normal 8 2 2 2 2 2 5" xfId="3862" xr:uid="{C1AADC1F-9225-4554-96AE-1430311069D7}"/>
    <cellStyle name="Normal 8 2 2 2 2 2 5 2" xfId="13810" xr:uid="{AC63D2FF-936A-424F-8794-16B12B86FB9C}"/>
    <cellStyle name="Normal 8 2 2 2 2 2 6" xfId="4691" xr:uid="{59D7ED44-CC6B-4A33-A71B-E8F6281B195D}"/>
    <cellStyle name="Normal 8 2 2 2 2 2 6 2" xfId="14639" xr:uid="{F7E4E92B-E054-4CCB-B770-B1B7FC34D1A9}"/>
    <cellStyle name="Normal 8 2 2 2 2 2 7" xfId="5520" xr:uid="{D1526782-336B-42FA-B198-E05D21266C7E}"/>
    <cellStyle name="Normal 8 2 2 2 2 2 7 2" xfId="15468" xr:uid="{C20A9316-CBB2-4272-A949-E340FE8FBB5B}"/>
    <cellStyle name="Normal 8 2 2 2 2 2 8" xfId="6349" xr:uid="{0CD7196F-1410-45FB-AF2C-26CE2ED734BE}"/>
    <cellStyle name="Normal 8 2 2 2 2 2 8 2" xfId="16297" xr:uid="{D80BD94C-EA00-4008-8442-CC7B61BA7AC5}"/>
    <cellStyle name="Normal 8 2 2 2 2 2 9" xfId="7178" xr:uid="{78A823BF-18E1-47CE-BC88-E8EA050CAA69}"/>
    <cellStyle name="Normal 8 2 2 2 2 2 9 2" xfId="17126" xr:uid="{EFDCB707-D80C-4A58-838F-B1356F66D98D}"/>
    <cellStyle name="Normal 8 2 2 2 2 3" xfId="957" xr:uid="{00000000-0005-0000-0000-000062030000}"/>
    <cellStyle name="Normal 8 2 2 2 2 3 10" xfId="9251" xr:uid="{6BB10F3D-E94C-4ADC-AC79-7BA65A810111}"/>
    <cellStyle name="Normal 8 2 2 2 2 3 10 2" xfId="19199" xr:uid="{E6284CDD-1A64-412C-8EC7-5412A810170A}"/>
    <cellStyle name="Normal 8 2 2 2 2 3 11" xfId="10080" xr:uid="{CB6B4727-C45A-4D74-810F-5DBEF316D1CB}"/>
    <cellStyle name="Normal 8 2 2 2 2 3 11 2" xfId="20028" xr:uid="{4B9FE429-FAA9-4FA4-A2B5-BC493EED641B}"/>
    <cellStyle name="Normal 8 2 2 2 2 3 12" xfId="10909" xr:uid="{823F32BC-D570-4585-B711-A2C78C265EF0}"/>
    <cellStyle name="Normal 8 2 2 2 2 3 12 2" xfId="20857" xr:uid="{9F80A7C0-DB16-4AAB-837B-42A306959061}"/>
    <cellStyle name="Normal 8 2 2 2 2 3 13" xfId="1790" xr:uid="{FCF28563-A890-4E92-9F2E-CC8A1884E74F}"/>
    <cellStyle name="Normal 8 2 2 2 2 3 14" xfId="11738" xr:uid="{D9479587-0C3F-4BFA-98EC-58DF1C9A8FD3}"/>
    <cellStyle name="Normal 8 2 2 2 2 3 2" xfId="2619" xr:uid="{D2105F8F-FF5C-4591-BF81-2C35E65A4C59}"/>
    <cellStyle name="Normal 8 2 2 2 2 3 2 2" xfId="12567" xr:uid="{5B02BC97-16C3-4CBB-86C6-597C003A7B1E}"/>
    <cellStyle name="Normal 8 2 2 2 2 3 3" xfId="3448" xr:uid="{5D2BDDCC-0E93-487F-9558-C1BCBF8E82A4}"/>
    <cellStyle name="Normal 8 2 2 2 2 3 3 2" xfId="13396" xr:uid="{0A202D5E-0C73-4747-BFA0-28243B571C87}"/>
    <cellStyle name="Normal 8 2 2 2 2 3 4" xfId="4277" xr:uid="{C3F2D6B7-B7F0-4A97-8DAC-47B398403DE7}"/>
    <cellStyle name="Normal 8 2 2 2 2 3 4 2" xfId="14225" xr:uid="{A44F9A0C-1305-41CC-8481-A3E43D88B049}"/>
    <cellStyle name="Normal 8 2 2 2 2 3 5" xfId="5106" xr:uid="{6AC964DC-102B-4CE1-BAC6-ECAF98CCA78C}"/>
    <cellStyle name="Normal 8 2 2 2 2 3 5 2" xfId="15054" xr:uid="{CB22EC9F-FC43-4645-A010-929C91046670}"/>
    <cellStyle name="Normal 8 2 2 2 2 3 6" xfId="5935" xr:uid="{1AEB9AA0-EE1C-4396-805D-9A1FE258EC52}"/>
    <cellStyle name="Normal 8 2 2 2 2 3 6 2" xfId="15883" xr:uid="{4B23CB30-1234-4BC7-8D7F-16844AB75615}"/>
    <cellStyle name="Normal 8 2 2 2 2 3 7" xfId="6764" xr:uid="{BF6AB6FE-EC97-4746-940C-0EB35FA9C2BD}"/>
    <cellStyle name="Normal 8 2 2 2 2 3 7 2" xfId="16712" xr:uid="{C1150261-D02A-4C5C-94B1-26D8AD8937D2}"/>
    <cellStyle name="Normal 8 2 2 2 2 3 8" xfId="7593" xr:uid="{34CF832A-9181-479A-A3C8-B3E953205241}"/>
    <cellStyle name="Normal 8 2 2 2 2 3 8 2" xfId="17541" xr:uid="{D6BC662F-7E43-4087-BEFA-7A8B980C282F}"/>
    <cellStyle name="Normal 8 2 2 2 2 3 9" xfId="8422" xr:uid="{54C5BF58-AE12-48BD-BF71-6E31B4094235}"/>
    <cellStyle name="Normal 8 2 2 2 2 3 9 2" xfId="18370" xr:uid="{EECCD38D-CEBF-4997-92A6-B7F9BC054EA4}"/>
    <cellStyle name="Normal 8 2 2 2 2 4" xfId="2203" xr:uid="{F816F166-1FB1-41B4-84A6-FFC7D5B9AA59}"/>
    <cellStyle name="Normal 8 2 2 2 2 4 2" xfId="12151" xr:uid="{D52DDC44-C281-40D7-A47A-9C270AC37731}"/>
    <cellStyle name="Normal 8 2 2 2 2 5" xfId="3032" xr:uid="{6C3EE32A-0119-4313-A431-223286629854}"/>
    <cellStyle name="Normal 8 2 2 2 2 5 2" xfId="12980" xr:uid="{478B132C-B922-4F44-AF08-F3A397AC6818}"/>
    <cellStyle name="Normal 8 2 2 2 2 6" xfId="3861" xr:uid="{B50B53AF-C05B-42AD-BDA9-ED910A20529B}"/>
    <cellStyle name="Normal 8 2 2 2 2 6 2" xfId="13809" xr:uid="{9FA1ECDC-164E-4699-AF13-89760EBE741A}"/>
    <cellStyle name="Normal 8 2 2 2 2 7" xfId="4690" xr:uid="{59CE3B68-B338-4F38-8852-286D90AA5390}"/>
    <cellStyle name="Normal 8 2 2 2 2 7 2" xfId="14638" xr:uid="{A05DE3AA-5D5B-4D90-9911-F9E1E42D6D64}"/>
    <cellStyle name="Normal 8 2 2 2 2 8" xfId="5519" xr:uid="{F9F3C3E0-F656-4377-A168-93C07DC5236D}"/>
    <cellStyle name="Normal 8 2 2 2 2 8 2" xfId="15467" xr:uid="{FEAD03BF-2715-43BA-BFF3-04D00F9BA981}"/>
    <cellStyle name="Normal 8 2 2 2 2 9" xfId="6348" xr:uid="{861893FC-DAB6-4EE8-8243-004CCA6C5168}"/>
    <cellStyle name="Normal 8 2 2 2 2 9 2" xfId="16296" xr:uid="{DCFBB7AF-0179-43B9-8FA4-CC09F7F142AD}"/>
    <cellStyle name="Normal 8 2 2 2 3" xfId="487" xr:uid="{00000000-0005-0000-0000-000063030000}"/>
    <cellStyle name="Normal 8 2 2 2 3 10" xfId="8008" xr:uid="{AA337E11-84CC-4723-8F97-F2CED22D21CC}"/>
    <cellStyle name="Normal 8 2 2 2 3 10 2" xfId="17956" xr:uid="{E8B6401B-78D3-48BE-A201-3AAD4C893E30}"/>
    <cellStyle name="Normal 8 2 2 2 3 11" xfId="8837" xr:uid="{205AE7BE-7B09-4AC9-BFF1-729CA2EACFFE}"/>
    <cellStyle name="Normal 8 2 2 2 3 11 2" xfId="18785" xr:uid="{069FA71D-BA37-45B3-BF18-155A0333E6C1}"/>
    <cellStyle name="Normal 8 2 2 2 3 12" xfId="9666" xr:uid="{806DEDCF-AD77-40C7-9738-D063BEF6CB5C}"/>
    <cellStyle name="Normal 8 2 2 2 3 12 2" xfId="19614" xr:uid="{4568E3EF-6517-4F2B-8C8E-88FE398C2F9C}"/>
    <cellStyle name="Normal 8 2 2 2 3 13" xfId="10495" xr:uid="{1EB96BA5-7CE9-49D6-B440-B903950CFC79}"/>
    <cellStyle name="Normal 8 2 2 2 3 13 2" xfId="20443" xr:uid="{C2B259FA-0DE7-4DB0-86A6-808CE9591D3E}"/>
    <cellStyle name="Normal 8 2 2 2 3 14" xfId="1376" xr:uid="{9A031320-3220-4CCC-8A47-401907A59882}"/>
    <cellStyle name="Normal 8 2 2 2 3 15" xfId="11324" xr:uid="{CBBB9EA0-BF1E-4F8D-85E5-4A5C0482818A}"/>
    <cellStyle name="Normal 8 2 2 2 3 2" xfId="959" xr:uid="{00000000-0005-0000-0000-000064030000}"/>
    <cellStyle name="Normal 8 2 2 2 3 2 10" xfId="9253" xr:uid="{78F32A27-3B1D-4A8C-A8A8-4F8D3C41DA4F}"/>
    <cellStyle name="Normal 8 2 2 2 3 2 10 2" xfId="19201" xr:uid="{DC2D13A3-2595-4205-B1F7-3304D50D2F5C}"/>
    <cellStyle name="Normal 8 2 2 2 3 2 11" xfId="10082" xr:uid="{8100DC39-58C7-4A0B-B3E7-3CF71231BB08}"/>
    <cellStyle name="Normal 8 2 2 2 3 2 11 2" xfId="20030" xr:uid="{D26BC615-BEF8-43F8-8E9B-41B0FB47CAF2}"/>
    <cellStyle name="Normal 8 2 2 2 3 2 12" xfId="10911" xr:uid="{7EF1CE0C-BEFB-4E6C-986B-2674E3B7F03E}"/>
    <cellStyle name="Normal 8 2 2 2 3 2 12 2" xfId="20859" xr:uid="{D75C9642-B1CE-424C-A8FE-58125ADDE7C0}"/>
    <cellStyle name="Normal 8 2 2 2 3 2 13" xfId="1792" xr:uid="{144196A1-5D87-4138-AFA3-41F0BE56BDB9}"/>
    <cellStyle name="Normal 8 2 2 2 3 2 14" xfId="11740" xr:uid="{9B4EE77E-2867-40DD-A6E5-8AC2D6FC5200}"/>
    <cellStyle name="Normal 8 2 2 2 3 2 2" xfId="2621" xr:uid="{6D721C93-AC40-4858-932F-F81EC84B6786}"/>
    <cellStyle name="Normal 8 2 2 2 3 2 2 2" xfId="12569" xr:uid="{A5AFE201-9142-4A04-825B-7B20BD71A3E1}"/>
    <cellStyle name="Normal 8 2 2 2 3 2 3" xfId="3450" xr:uid="{34E05D1D-E27C-4894-99F4-99016E9BE275}"/>
    <cellStyle name="Normal 8 2 2 2 3 2 3 2" xfId="13398" xr:uid="{5D616441-1A5F-4F27-9692-90663E04C8B3}"/>
    <cellStyle name="Normal 8 2 2 2 3 2 4" xfId="4279" xr:uid="{184C658B-1C9D-4FD2-B8A6-1B18169D0072}"/>
    <cellStyle name="Normal 8 2 2 2 3 2 4 2" xfId="14227" xr:uid="{A5EA2F36-FB20-4220-ACBA-CA64170C941A}"/>
    <cellStyle name="Normal 8 2 2 2 3 2 5" xfId="5108" xr:uid="{F7EF163F-1BA4-4C74-BC63-0CA22434CA12}"/>
    <cellStyle name="Normal 8 2 2 2 3 2 5 2" xfId="15056" xr:uid="{EA396967-FBE9-4A3B-A102-27D1C2FE76B6}"/>
    <cellStyle name="Normal 8 2 2 2 3 2 6" xfId="5937" xr:uid="{24A5144A-3307-4935-B3F4-A6107852CD6D}"/>
    <cellStyle name="Normal 8 2 2 2 3 2 6 2" xfId="15885" xr:uid="{36836023-47D3-43B2-8BB2-FFB0CACE9376}"/>
    <cellStyle name="Normal 8 2 2 2 3 2 7" xfId="6766" xr:uid="{BE963B24-1734-4D5E-B182-B28B9577C1D3}"/>
    <cellStyle name="Normal 8 2 2 2 3 2 7 2" xfId="16714" xr:uid="{C3B93AB8-F5B7-49EF-87BB-99D3933687EB}"/>
    <cellStyle name="Normal 8 2 2 2 3 2 8" xfId="7595" xr:uid="{F0A78DF6-415F-4FB7-83A9-560546F44601}"/>
    <cellStyle name="Normal 8 2 2 2 3 2 8 2" xfId="17543" xr:uid="{30028E02-2262-4FCB-BC61-002A1C45874C}"/>
    <cellStyle name="Normal 8 2 2 2 3 2 9" xfId="8424" xr:uid="{4C40E77D-04D6-4BE6-A6FB-1E38EDCEDCF7}"/>
    <cellStyle name="Normal 8 2 2 2 3 2 9 2" xfId="18372" xr:uid="{FEE955A9-3F25-480D-A1C1-DB6B98C72E30}"/>
    <cellStyle name="Normal 8 2 2 2 3 3" xfId="2205" xr:uid="{B90E3487-1D99-4755-924C-C951864A8B46}"/>
    <cellStyle name="Normal 8 2 2 2 3 3 2" xfId="12153" xr:uid="{9423970F-4CFB-472A-97E0-B4230FCF2BD0}"/>
    <cellStyle name="Normal 8 2 2 2 3 4" xfId="3034" xr:uid="{5C677A7C-6F20-4333-AA12-6E9BF53D8DB5}"/>
    <cellStyle name="Normal 8 2 2 2 3 4 2" xfId="12982" xr:uid="{86A2B967-23AE-4764-B166-72292A9EE448}"/>
    <cellStyle name="Normal 8 2 2 2 3 5" xfId="3863" xr:uid="{C1650EB7-E9D8-46E5-BFB4-E5DC35697345}"/>
    <cellStyle name="Normal 8 2 2 2 3 5 2" xfId="13811" xr:uid="{4EC3154F-A45A-429E-A080-045A4406A9E3}"/>
    <cellStyle name="Normal 8 2 2 2 3 6" xfId="4692" xr:uid="{CD939D04-7F1A-4CC9-BB06-AE23C62D0115}"/>
    <cellStyle name="Normal 8 2 2 2 3 6 2" xfId="14640" xr:uid="{205D361B-C051-4202-BA10-679E5AF5ED23}"/>
    <cellStyle name="Normal 8 2 2 2 3 7" xfId="5521" xr:uid="{68FC26EA-E212-4CD2-B924-14072FC46058}"/>
    <cellStyle name="Normal 8 2 2 2 3 7 2" xfId="15469" xr:uid="{4804B30C-60CE-4F71-858C-75F5E38B005B}"/>
    <cellStyle name="Normal 8 2 2 2 3 8" xfId="6350" xr:uid="{12389762-90ED-4E09-9EF7-1334BBCEE7F8}"/>
    <cellStyle name="Normal 8 2 2 2 3 8 2" xfId="16298" xr:uid="{043EC330-CB50-45E0-A46A-42B325CBDBC3}"/>
    <cellStyle name="Normal 8 2 2 2 3 9" xfId="7179" xr:uid="{8F42A575-B594-4E6A-A626-C9BE9015B478}"/>
    <cellStyle name="Normal 8 2 2 2 3 9 2" xfId="17127" xr:uid="{CE2B870C-4067-4100-89B2-B55FAEAEABEF}"/>
    <cellStyle name="Normal 8 2 2 2 4" xfId="956" xr:uid="{00000000-0005-0000-0000-000065030000}"/>
    <cellStyle name="Normal 8 2 2 2 4 10" xfId="9250" xr:uid="{4B270103-2AFD-43DC-8DFC-E44A545939B7}"/>
    <cellStyle name="Normal 8 2 2 2 4 10 2" xfId="19198" xr:uid="{4D569BB7-9085-4ED0-8F5A-B7BD9F2405E0}"/>
    <cellStyle name="Normal 8 2 2 2 4 11" xfId="10079" xr:uid="{CE26C5FE-7FC7-4CAC-836E-6DBD2FF77CE2}"/>
    <cellStyle name="Normal 8 2 2 2 4 11 2" xfId="20027" xr:uid="{6993EFEC-B27E-45C1-9E26-953D0E3E28BB}"/>
    <cellStyle name="Normal 8 2 2 2 4 12" xfId="10908" xr:uid="{D1A81142-EEC7-43D1-ADD9-491731D529F3}"/>
    <cellStyle name="Normal 8 2 2 2 4 12 2" xfId="20856" xr:uid="{7645D885-2BDE-4096-B558-47A8B4A54712}"/>
    <cellStyle name="Normal 8 2 2 2 4 13" xfId="1789" xr:uid="{BA09AE47-1D5B-4FA9-82BD-A14AAF4F71F8}"/>
    <cellStyle name="Normal 8 2 2 2 4 14" xfId="11737" xr:uid="{8811955D-A9A0-42D1-ADA9-029C2A958FB3}"/>
    <cellStyle name="Normal 8 2 2 2 4 2" xfId="2618" xr:uid="{6034D818-1D75-4A4B-A4C4-B0864033F0E6}"/>
    <cellStyle name="Normal 8 2 2 2 4 2 2" xfId="12566" xr:uid="{FCC7D094-C462-4B23-AE2D-768BB1BC40D1}"/>
    <cellStyle name="Normal 8 2 2 2 4 3" xfId="3447" xr:uid="{C7C67F28-A85F-4246-B265-502669E00177}"/>
    <cellStyle name="Normal 8 2 2 2 4 3 2" xfId="13395" xr:uid="{4B181155-C0B1-4A6F-AF8A-02B169F31FEF}"/>
    <cellStyle name="Normal 8 2 2 2 4 4" xfId="4276" xr:uid="{3EAEB4BD-4BF3-4886-B982-1BFDF047F675}"/>
    <cellStyle name="Normal 8 2 2 2 4 4 2" xfId="14224" xr:uid="{E48BFA52-EB9E-4DC8-8CDF-5E2AB9F87243}"/>
    <cellStyle name="Normal 8 2 2 2 4 5" xfId="5105" xr:uid="{0B8BFCC9-205B-47CF-BE15-B1A441B59A37}"/>
    <cellStyle name="Normal 8 2 2 2 4 5 2" xfId="15053" xr:uid="{221B1F29-5796-4B42-A146-CA5A8F0CD1EA}"/>
    <cellStyle name="Normal 8 2 2 2 4 6" xfId="5934" xr:uid="{2B8BBAEC-B732-49D3-B4C8-C86BFA038952}"/>
    <cellStyle name="Normal 8 2 2 2 4 6 2" xfId="15882" xr:uid="{26F8123F-148D-4149-A4AB-A67E190F956F}"/>
    <cellStyle name="Normal 8 2 2 2 4 7" xfId="6763" xr:uid="{795635AF-CA5B-445B-8861-90E29643BCF8}"/>
    <cellStyle name="Normal 8 2 2 2 4 7 2" xfId="16711" xr:uid="{B8CB3E90-6305-40BC-9B7C-0FC3F032D248}"/>
    <cellStyle name="Normal 8 2 2 2 4 8" xfId="7592" xr:uid="{D2D8828F-F54C-4D1E-991F-0B5C12115E5B}"/>
    <cellStyle name="Normal 8 2 2 2 4 8 2" xfId="17540" xr:uid="{ABE9EBCD-2089-4F8A-9C9E-34C3F0AC7EB4}"/>
    <cellStyle name="Normal 8 2 2 2 4 9" xfId="8421" xr:uid="{D8EB516B-5ADF-49E8-8552-774F07B5ABF6}"/>
    <cellStyle name="Normal 8 2 2 2 4 9 2" xfId="18369" xr:uid="{9C8C3C97-4DA8-4242-BC84-4C5835A20FAD}"/>
    <cellStyle name="Normal 8 2 2 2 5" xfId="2202" xr:uid="{B1C83B99-215D-426E-9D24-96899EDDA11D}"/>
    <cellStyle name="Normal 8 2 2 2 5 2" xfId="12150" xr:uid="{DC87A163-5F6D-4C38-9169-01112B7E0743}"/>
    <cellStyle name="Normal 8 2 2 2 6" xfId="3031" xr:uid="{3B0A4780-8C68-475E-B6E6-9DD1AC181042}"/>
    <cellStyle name="Normal 8 2 2 2 6 2" xfId="12979" xr:uid="{7973C990-979E-4E8E-952D-0DFC57715648}"/>
    <cellStyle name="Normal 8 2 2 2 7" xfId="3860" xr:uid="{925A02DC-2778-46AC-9B9F-A9B49639CD12}"/>
    <cellStyle name="Normal 8 2 2 2 7 2" xfId="13808" xr:uid="{6A5320F2-7857-49B9-9B51-C8F1978A9E64}"/>
    <cellStyle name="Normal 8 2 2 2 8" xfId="4689" xr:uid="{A8567842-79D7-4E8E-A437-FABB99ACF037}"/>
    <cellStyle name="Normal 8 2 2 2 8 2" xfId="14637" xr:uid="{B0802EEC-E534-4F87-B79C-43EBBD069905}"/>
    <cellStyle name="Normal 8 2 2 2 9" xfId="5518" xr:uid="{F4D3C482-A7EE-47B6-967A-16276AC52C2E}"/>
    <cellStyle name="Normal 8 2 2 2 9 2" xfId="15466" xr:uid="{48A92E9A-E0BB-48E0-8BE5-281A5F73B83B}"/>
    <cellStyle name="Normal 8 2 2 3" xfId="488" xr:uid="{00000000-0005-0000-0000-000066030000}"/>
    <cellStyle name="Normal 8 2 2 3 10" xfId="7180" xr:uid="{CF415768-74C4-478D-9934-ED89191E3AA8}"/>
    <cellStyle name="Normal 8 2 2 3 10 2" xfId="17128" xr:uid="{96B0EE5E-7FF4-48DE-9B7F-3DF5E3BA5F96}"/>
    <cellStyle name="Normal 8 2 2 3 11" xfId="8009" xr:uid="{0958E716-5E71-4372-85E5-8509F5D18847}"/>
    <cellStyle name="Normal 8 2 2 3 11 2" xfId="17957" xr:uid="{3B2BA0C4-ED3E-400C-A96D-EBFC116754A9}"/>
    <cellStyle name="Normal 8 2 2 3 12" xfId="8838" xr:uid="{7474FA0F-DEAC-44D6-8C4E-F6B1DF54560A}"/>
    <cellStyle name="Normal 8 2 2 3 12 2" xfId="18786" xr:uid="{76D0BE26-0D85-4402-8BA0-A6C4A5EDE3E0}"/>
    <cellStyle name="Normal 8 2 2 3 13" xfId="9667" xr:uid="{8A5B12D9-90BB-42B2-8240-53E2AB6956CA}"/>
    <cellStyle name="Normal 8 2 2 3 13 2" xfId="19615" xr:uid="{92E05F2C-608A-48F8-BCAB-8AA9BDBC60D3}"/>
    <cellStyle name="Normal 8 2 2 3 14" xfId="10496" xr:uid="{0189AE3C-B772-4C4D-A741-A3757F3322B0}"/>
    <cellStyle name="Normal 8 2 2 3 14 2" xfId="20444" xr:uid="{295E5EA3-4E98-4592-B20D-6C685A6BFAEE}"/>
    <cellStyle name="Normal 8 2 2 3 15" xfId="1377" xr:uid="{839DFF5E-57E4-4C44-8885-E5664DEF8057}"/>
    <cellStyle name="Normal 8 2 2 3 16" xfId="11325" xr:uid="{E2673BC7-B2CC-46CB-9319-33D5DD34093B}"/>
    <cellStyle name="Normal 8 2 2 3 2" xfId="489" xr:uid="{00000000-0005-0000-0000-000067030000}"/>
    <cellStyle name="Normal 8 2 2 3 2 10" xfId="8010" xr:uid="{D23C51CB-AD4A-4E5F-887A-81B2F6DACF21}"/>
    <cellStyle name="Normal 8 2 2 3 2 10 2" xfId="17958" xr:uid="{F020FE21-746D-4B99-BBA2-58348C7572E4}"/>
    <cellStyle name="Normal 8 2 2 3 2 11" xfId="8839" xr:uid="{6443E520-DE92-4EF3-BA1A-BEE88B0DD56E}"/>
    <cellStyle name="Normal 8 2 2 3 2 11 2" xfId="18787" xr:uid="{6A3A61A2-A0F3-498F-B512-4407C473AE35}"/>
    <cellStyle name="Normal 8 2 2 3 2 12" xfId="9668" xr:uid="{F0974271-70C4-4581-BD41-4E9809041ADA}"/>
    <cellStyle name="Normal 8 2 2 3 2 12 2" xfId="19616" xr:uid="{5E37DC01-005A-4254-AFB1-7D319C9E1B2B}"/>
    <cellStyle name="Normal 8 2 2 3 2 13" xfId="10497" xr:uid="{66E37E48-F3A2-47BB-8020-D09AC544C27A}"/>
    <cellStyle name="Normal 8 2 2 3 2 13 2" xfId="20445" xr:uid="{446A4757-0400-4BA5-BDF4-1A2C112DBDE0}"/>
    <cellStyle name="Normal 8 2 2 3 2 14" xfId="1378" xr:uid="{4C127DA8-CFF4-4477-80EE-6CE04863A7D9}"/>
    <cellStyle name="Normal 8 2 2 3 2 15" xfId="11326" xr:uid="{39E9F48B-E149-4554-B655-C26EEA1AFDBE}"/>
    <cellStyle name="Normal 8 2 2 3 2 2" xfId="961" xr:uid="{00000000-0005-0000-0000-000068030000}"/>
    <cellStyle name="Normal 8 2 2 3 2 2 10" xfId="9255" xr:uid="{FF564637-CCE3-469F-81FE-51D7C462AE1C}"/>
    <cellStyle name="Normal 8 2 2 3 2 2 10 2" xfId="19203" xr:uid="{D408D2F2-C3C0-48B7-B1DA-3CED9505AB22}"/>
    <cellStyle name="Normal 8 2 2 3 2 2 11" xfId="10084" xr:uid="{348596FF-11A8-4206-A580-95A77820995E}"/>
    <cellStyle name="Normal 8 2 2 3 2 2 11 2" xfId="20032" xr:uid="{BAB35F50-ADE0-41DF-ACA1-C2D897EA56FF}"/>
    <cellStyle name="Normal 8 2 2 3 2 2 12" xfId="10913" xr:uid="{39127139-CCD8-4EE6-AF6C-FAD05B6D07D0}"/>
    <cellStyle name="Normal 8 2 2 3 2 2 12 2" xfId="20861" xr:uid="{3D77430A-A4E4-4CFE-A2E9-EE8F4AF75420}"/>
    <cellStyle name="Normal 8 2 2 3 2 2 13" xfId="1794" xr:uid="{0F168224-84F7-46AE-85B7-3432590C6582}"/>
    <cellStyle name="Normal 8 2 2 3 2 2 14" xfId="11742" xr:uid="{D3CDFCB8-91A4-407F-BA07-190AD501B067}"/>
    <cellStyle name="Normal 8 2 2 3 2 2 2" xfId="2623" xr:uid="{A0678430-DFC3-43D1-9FC8-BDDED697035D}"/>
    <cellStyle name="Normal 8 2 2 3 2 2 2 2" xfId="12571" xr:uid="{A65B6446-CC13-4470-BCB9-FCEAA1A8D669}"/>
    <cellStyle name="Normal 8 2 2 3 2 2 3" xfId="3452" xr:uid="{C5E78F8B-BB2F-48B9-918C-A12CF86BFF8D}"/>
    <cellStyle name="Normal 8 2 2 3 2 2 3 2" xfId="13400" xr:uid="{D277882F-C4BB-4FB3-9AC2-5FC85BC917A0}"/>
    <cellStyle name="Normal 8 2 2 3 2 2 4" xfId="4281" xr:uid="{323E18F5-4964-4AC1-8039-632E55AFFD6A}"/>
    <cellStyle name="Normal 8 2 2 3 2 2 4 2" xfId="14229" xr:uid="{C9BD8863-586E-48D5-B004-2125D4300D3D}"/>
    <cellStyle name="Normal 8 2 2 3 2 2 5" xfId="5110" xr:uid="{C68E1F5A-1179-41B2-A822-5315668D2CC9}"/>
    <cellStyle name="Normal 8 2 2 3 2 2 5 2" xfId="15058" xr:uid="{4B79BAAC-C496-43FF-B0E7-8B7F3A5730C3}"/>
    <cellStyle name="Normal 8 2 2 3 2 2 6" xfId="5939" xr:uid="{FD3FE397-F1BD-4286-8DD1-913EC66148BB}"/>
    <cellStyle name="Normal 8 2 2 3 2 2 6 2" xfId="15887" xr:uid="{4F2E55C2-ADBC-4E9F-9E99-D66DE443C530}"/>
    <cellStyle name="Normal 8 2 2 3 2 2 7" xfId="6768" xr:uid="{B18D44D3-06AE-47B8-BC5B-B3F8C34662E2}"/>
    <cellStyle name="Normal 8 2 2 3 2 2 7 2" xfId="16716" xr:uid="{2795C835-6B30-4E42-8FDD-5F3DCABBFADF}"/>
    <cellStyle name="Normal 8 2 2 3 2 2 8" xfId="7597" xr:uid="{F4F460D3-256F-40E3-B4A8-C00B0A3942A4}"/>
    <cellStyle name="Normal 8 2 2 3 2 2 8 2" xfId="17545" xr:uid="{0A4238DB-D185-47F0-BFC8-73C6982DD09C}"/>
    <cellStyle name="Normal 8 2 2 3 2 2 9" xfId="8426" xr:uid="{A932BA72-1B4B-404E-A305-180622A9D2BE}"/>
    <cellStyle name="Normal 8 2 2 3 2 2 9 2" xfId="18374" xr:uid="{6AF7C29C-D0FB-44D3-A92D-ED4597AF37A2}"/>
    <cellStyle name="Normal 8 2 2 3 2 3" xfId="2207" xr:uid="{AD124AAE-7E74-4260-91D1-71A31E873EFA}"/>
    <cellStyle name="Normal 8 2 2 3 2 3 2" xfId="12155" xr:uid="{384EB102-0F0D-46BF-9F5C-4AC1EBB06EA4}"/>
    <cellStyle name="Normal 8 2 2 3 2 4" xfId="3036" xr:uid="{0C4EA31B-E7A3-46A2-B08D-CB526C7CED9A}"/>
    <cellStyle name="Normal 8 2 2 3 2 4 2" xfId="12984" xr:uid="{C027F63B-8ADF-4693-BC49-7DC4A6471ED9}"/>
    <cellStyle name="Normal 8 2 2 3 2 5" xfId="3865" xr:uid="{60C92D9C-8221-4993-ACD9-F239E089912D}"/>
    <cellStyle name="Normal 8 2 2 3 2 5 2" xfId="13813" xr:uid="{1B2B653D-546F-4A4B-AE9A-736E09EBA212}"/>
    <cellStyle name="Normal 8 2 2 3 2 6" xfId="4694" xr:uid="{08FD4E5B-D546-409F-8D82-642D1D8863C5}"/>
    <cellStyle name="Normal 8 2 2 3 2 6 2" xfId="14642" xr:uid="{DC17934C-843F-4DEE-AA18-3C26C8D61FEC}"/>
    <cellStyle name="Normal 8 2 2 3 2 7" xfId="5523" xr:uid="{602A2F51-034B-41D7-BD7A-9B7E71B7C7BE}"/>
    <cellStyle name="Normal 8 2 2 3 2 7 2" xfId="15471" xr:uid="{B05773D7-C20D-45DD-B641-FB7D55469B08}"/>
    <cellStyle name="Normal 8 2 2 3 2 8" xfId="6352" xr:uid="{02528990-7BA3-4C40-A5D1-8332192EE83F}"/>
    <cellStyle name="Normal 8 2 2 3 2 8 2" xfId="16300" xr:uid="{13D354D9-0654-4F92-B93F-62B75342BE98}"/>
    <cellStyle name="Normal 8 2 2 3 2 9" xfId="7181" xr:uid="{2DC5BAFF-C7AA-44AF-9CD5-B926A0DD54D1}"/>
    <cellStyle name="Normal 8 2 2 3 2 9 2" xfId="17129" xr:uid="{F772103E-27C7-417D-8E85-F67098E010DA}"/>
    <cellStyle name="Normal 8 2 2 3 3" xfId="960" xr:uid="{00000000-0005-0000-0000-000069030000}"/>
    <cellStyle name="Normal 8 2 2 3 3 10" xfId="9254" xr:uid="{F3F53D5D-C3CA-4A5B-B995-571B87AB771B}"/>
    <cellStyle name="Normal 8 2 2 3 3 10 2" xfId="19202" xr:uid="{E5808100-3827-436E-8FDD-A7A079C234FE}"/>
    <cellStyle name="Normal 8 2 2 3 3 11" xfId="10083" xr:uid="{5C30C3F2-7384-4E60-8A3A-B636F1C834C3}"/>
    <cellStyle name="Normal 8 2 2 3 3 11 2" xfId="20031" xr:uid="{A63C36E3-055B-413C-A00E-F7567BDA7F93}"/>
    <cellStyle name="Normal 8 2 2 3 3 12" xfId="10912" xr:uid="{99716F25-3FE3-44B1-87E8-1DA7772BF64C}"/>
    <cellStyle name="Normal 8 2 2 3 3 12 2" xfId="20860" xr:uid="{A04DB9A2-D98A-4550-BD77-B46C52596D59}"/>
    <cellStyle name="Normal 8 2 2 3 3 13" xfId="1793" xr:uid="{EAB49E02-49D7-4A8F-9CF8-B2F4196FA249}"/>
    <cellStyle name="Normal 8 2 2 3 3 14" xfId="11741" xr:uid="{728C1528-76ED-4EC3-B127-F54563857EF8}"/>
    <cellStyle name="Normal 8 2 2 3 3 2" xfId="2622" xr:uid="{AD9889E7-91FA-4E08-BA41-F612D050BDDA}"/>
    <cellStyle name="Normal 8 2 2 3 3 2 2" xfId="12570" xr:uid="{521147C8-948F-4E65-A6D8-D17842515BCB}"/>
    <cellStyle name="Normal 8 2 2 3 3 3" xfId="3451" xr:uid="{49A7EAC7-E73E-4A92-89FF-8E196B9956D2}"/>
    <cellStyle name="Normal 8 2 2 3 3 3 2" xfId="13399" xr:uid="{DB686E23-56EC-461C-BC1B-915798C26615}"/>
    <cellStyle name="Normal 8 2 2 3 3 4" xfId="4280" xr:uid="{676BE061-B561-4DBE-957F-8C4083F764F7}"/>
    <cellStyle name="Normal 8 2 2 3 3 4 2" xfId="14228" xr:uid="{F90B2F75-A467-4C29-8AC8-0340A2FE7E94}"/>
    <cellStyle name="Normal 8 2 2 3 3 5" xfId="5109" xr:uid="{1CA04B34-7C04-4A32-9277-E6EF02AA35DB}"/>
    <cellStyle name="Normal 8 2 2 3 3 5 2" xfId="15057" xr:uid="{8F6D529A-38E1-4103-B200-72FE57E60850}"/>
    <cellStyle name="Normal 8 2 2 3 3 6" xfId="5938" xr:uid="{436DF235-533A-4DD7-92E7-822B8838598F}"/>
    <cellStyle name="Normal 8 2 2 3 3 6 2" xfId="15886" xr:uid="{42BBBB5E-681A-44C3-ACF8-A2D0C2A71FCF}"/>
    <cellStyle name="Normal 8 2 2 3 3 7" xfId="6767" xr:uid="{566B99B7-7D80-43E5-8D3A-290C9981CF16}"/>
    <cellStyle name="Normal 8 2 2 3 3 7 2" xfId="16715" xr:uid="{70E291F3-20A8-4854-B7A3-E93F6F7B1049}"/>
    <cellStyle name="Normal 8 2 2 3 3 8" xfId="7596" xr:uid="{8368D14E-4E9A-4463-84B5-BBB43E7E928D}"/>
    <cellStyle name="Normal 8 2 2 3 3 8 2" xfId="17544" xr:uid="{11464808-E5FC-41A5-A58E-1C1073B40FA6}"/>
    <cellStyle name="Normal 8 2 2 3 3 9" xfId="8425" xr:uid="{F43613C9-A25B-4588-AAF4-6F5767DAA942}"/>
    <cellStyle name="Normal 8 2 2 3 3 9 2" xfId="18373" xr:uid="{6D9F4790-6418-4A89-86A7-9784405E41AF}"/>
    <cellStyle name="Normal 8 2 2 3 4" xfId="2206" xr:uid="{1D485D56-4981-431F-AB72-306F60EA5E16}"/>
    <cellStyle name="Normal 8 2 2 3 4 2" xfId="12154" xr:uid="{47F6C682-8EB6-4183-B3DE-F848C72477F1}"/>
    <cellStyle name="Normal 8 2 2 3 5" xfId="3035" xr:uid="{38703A10-B4D6-40EB-8E93-9D08EC9A0920}"/>
    <cellStyle name="Normal 8 2 2 3 5 2" xfId="12983" xr:uid="{A54C4D64-96A0-4A16-AA50-525582A0217D}"/>
    <cellStyle name="Normal 8 2 2 3 6" xfId="3864" xr:uid="{2475BE22-E0EE-4C6C-AEFA-E53E5BC75520}"/>
    <cellStyle name="Normal 8 2 2 3 6 2" xfId="13812" xr:uid="{78DC7F8B-DE75-4804-B953-B2DEAA79C79C}"/>
    <cellStyle name="Normal 8 2 2 3 7" xfId="4693" xr:uid="{3E87826A-4CDD-4ABE-BA08-3356CBC4FE01}"/>
    <cellStyle name="Normal 8 2 2 3 7 2" xfId="14641" xr:uid="{586383DE-9F8B-4049-9A98-773370B9E377}"/>
    <cellStyle name="Normal 8 2 2 3 8" xfId="5522" xr:uid="{6926A576-6C2B-4E6C-A1C7-3CB3D9D21960}"/>
    <cellStyle name="Normal 8 2 2 3 8 2" xfId="15470" xr:uid="{9BAC2432-4139-48E2-BC77-BB0EB67EA815}"/>
    <cellStyle name="Normal 8 2 2 3 9" xfId="6351" xr:uid="{FA1E0A62-AC2B-4D2B-9764-5C19748BA451}"/>
    <cellStyle name="Normal 8 2 2 3 9 2" xfId="16299" xr:uid="{2B3D936A-F6DD-42EB-8288-327D2DE09D27}"/>
    <cellStyle name="Normal 8 2 2 4" xfId="490" xr:uid="{00000000-0005-0000-0000-00006A030000}"/>
    <cellStyle name="Normal 8 2 2 4 10" xfId="8011" xr:uid="{7A9042E5-471A-4A1D-A0D7-4E569336833B}"/>
    <cellStyle name="Normal 8 2 2 4 10 2" xfId="17959" xr:uid="{CE21E005-FD8B-45F8-BFBC-6E195B07AC87}"/>
    <cellStyle name="Normal 8 2 2 4 11" xfId="8840" xr:uid="{CEAF9AAE-93FE-424B-A0F5-96C1F86008BC}"/>
    <cellStyle name="Normal 8 2 2 4 11 2" xfId="18788" xr:uid="{254C6622-734E-4A47-AE45-E6BEA2C95EB2}"/>
    <cellStyle name="Normal 8 2 2 4 12" xfId="9669" xr:uid="{3DCFFE2B-80D8-4689-B681-3C709A0E6E36}"/>
    <cellStyle name="Normal 8 2 2 4 12 2" xfId="19617" xr:uid="{99C8EA79-95A2-4B29-B65A-85EB8895102D}"/>
    <cellStyle name="Normal 8 2 2 4 13" xfId="10498" xr:uid="{747AF198-202D-47DE-B7D0-D6AD303B2442}"/>
    <cellStyle name="Normal 8 2 2 4 13 2" xfId="20446" xr:uid="{88E223D0-7DB3-4AD8-8802-732D838ED214}"/>
    <cellStyle name="Normal 8 2 2 4 14" xfId="1379" xr:uid="{4C8F0607-1BD3-41A9-9EEB-8F609745AC06}"/>
    <cellStyle name="Normal 8 2 2 4 15" xfId="11327" xr:uid="{2804DCED-43AC-444B-9B9D-9AB1BCCE854C}"/>
    <cellStyle name="Normal 8 2 2 4 2" xfId="962" xr:uid="{00000000-0005-0000-0000-00006B030000}"/>
    <cellStyle name="Normal 8 2 2 4 2 10" xfId="9256" xr:uid="{ADB6A797-727D-4357-BCD8-05628DEAC549}"/>
    <cellStyle name="Normal 8 2 2 4 2 10 2" xfId="19204" xr:uid="{903406CB-4959-4BB2-9924-5E2B24259DDB}"/>
    <cellStyle name="Normal 8 2 2 4 2 11" xfId="10085" xr:uid="{5539CF4F-01A9-4AFC-B8C6-196FE75C959E}"/>
    <cellStyle name="Normal 8 2 2 4 2 11 2" xfId="20033" xr:uid="{DBAB1450-B355-4A2C-B00A-E52A66B7B054}"/>
    <cellStyle name="Normal 8 2 2 4 2 12" xfId="10914" xr:uid="{F9248AFD-A228-483B-86D6-3FBCE2785D93}"/>
    <cellStyle name="Normal 8 2 2 4 2 12 2" xfId="20862" xr:uid="{5BC0E8BC-2FA1-4718-95E6-C980CBEBB53E}"/>
    <cellStyle name="Normal 8 2 2 4 2 13" xfId="1795" xr:uid="{4DB20B45-7796-4C32-AE45-1F14BD12E13D}"/>
    <cellStyle name="Normal 8 2 2 4 2 14" xfId="11743" xr:uid="{0DA1EB05-9F7E-4939-AE6E-DF03DA672C37}"/>
    <cellStyle name="Normal 8 2 2 4 2 2" xfId="2624" xr:uid="{D0295BC0-707D-4C2B-A8D5-628136FD7F45}"/>
    <cellStyle name="Normal 8 2 2 4 2 2 2" xfId="12572" xr:uid="{9A9B0962-6C70-4D7D-8FAB-257453C5C370}"/>
    <cellStyle name="Normal 8 2 2 4 2 3" xfId="3453" xr:uid="{62542E96-E500-423B-974F-B23D0D06D11B}"/>
    <cellStyle name="Normal 8 2 2 4 2 3 2" xfId="13401" xr:uid="{1104BCFE-FA6C-4E03-862D-E62BB6491664}"/>
    <cellStyle name="Normal 8 2 2 4 2 4" xfId="4282" xr:uid="{04C43D4A-235F-4D2A-A4C1-0DEB16F51DC2}"/>
    <cellStyle name="Normal 8 2 2 4 2 4 2" xfId="14230" xr:uid="{6D22BEFD-C2CA-488F-BC70-CF7365552089}"/>
    <cellStyle name="Normal 8 2 2 4 2 5" xfId="5111" xr:uid="{6C886BD1-3F11-49A3-9F29-EF9298D795CA}"/>
    <cellStyle name="Normal 8 2 2 4 2 5 2" xfId="15059" xr:uid="{F66ACA17-19A5-4D50-9F65-8EC10B9A0854}"/>
    <cellStyle name="Normal 8 2 2 4 2 6" xfId="5940" xr:uid="{3253BBBC-F94C-459B-B6B0-C5AC27697906}"/>
    <cellStyle name="Normal 8 2 2 4 2 6 2" xfId="15888" xr:uid="{BA0E9A86-F82C-4F3E-B172-4C5CEB071B0A}"/>
    <cellStyle name="Normal 8 2 2 4 2 7" xfId="6769" xr:uid="{9B61F2A3-470C-4AFC-8AA7-7244808725F8}"/>
    <cellStyle name="Normal 8 2 2 4 2 7 2" xfId="16717" xr:uid="{84EEF39C-C5D0-483E-9F62-7A5DB4197756}"/>
    <cellStyle name="Normal 8 2 2 4 2 8" xfId="7598" xr:uid="{0E04CD52-5223-47B9-9D19-CF8A17F2F17A}"/>
    <cellStyle name="Normal 8 2 2 4 2 8 2" xfId="17546" xr:uid="{9CEBA08D-37BF-4705-BDBC-6F3833651D23}"/>
    <cellStyle name="Normal 8 2 2 4 2 9" xfId="8427" xr:uid="{385B6FAD-110C-41A1-9DAA-78213FFDD91C}"/>
    <cellStyle name="Normal 8 2 2 4 2 9 2" xfId="18375" xr:uid="{A82126EF-8FF6-4F63-A2C2-B4E310911D6B}"/>
    <cellStyle name="Normal 8 2 2 4 3" xfId="2208" xr:uid="{E1EE4E36-79E6-4137-8FD5-923B7D31832F}"/>
    <cellStyle name="Normal 8 2 2 4 3 2" xfId="12156" xr:uid="{F67B6912-B3B2-4AC9-9E70-C5B6B8F6EBBF}"/>
    <cellStyle name="Normal 8 2 2 4 4" xfId="3037" xr:uid="{872D3439-73A8-4E7C-B8D9-1A4A8303ED36}"/>
    <cellStyle name="Normal 8 2 2 4 4 2" xfId="12985" xr:uid="{F39E1FF4-0DAF-49A3-8D74-BADBEBFABB5E}"/>
    <cellStyle name="Normal 8 2 2 4 5" xfId="3866" xr:uid="{262FFDCF-AED1-4628-9222-8003D360D073}"/>
    <cellStyle name="Normal 8 2 2 4 5 2" xfId="13814" xr:uid="{46F76C3C-E600-4234-BCDB-A0D8143F6A32}"/>
    <cellStyle name="Normal 8 2 2 4 6" xfId="4695" xr:uid="{341C5677-6A72-49A7-AC6F-A203C7711176}"/>
    <cellStyle name="Normal 8 2 2 4 6 2" xfId="14643" xr:uid="{3421316F-72B5-4EB1-8E5B-BD2301EC14D9}"/>
    <cellStyle name="Normal 8 2 2 4 7" xfId="5524" xr:uid="{8D6931C7-A793-4274-8CD2-4DFE538A9073}"/>
    <cellStyle name="Normal 8 2 2 4 7 2" xfId="15472" xr:uid="{786A5D99-DAF8-4D04-A958-722F8D4C96EB}"/>
    <cellStyle name="Normal 8 2 2 4 8" xfId="6353" xr:uid="{98E6A474-EE6B-4438-9298-6622A5988B43}"/>
    <cellStyle name="Normal 8 2 2 4 8 2" xfId="16301" xr:uid="{0E265E90-35E1-4798-871B-59FF0C035C3B}"/>
    <cellStyle name="Normal 8 2 2 4 9" xfId="7182" xr:uid="{9EE49212-3D4F-488E-9F4D-69599535DCDA}"/>
    <cellStyle name="Normal 8 2 2 4 9 2" xfId="17130" xr:uid="{4E1B0C7A-A633-4086-A7F0-2478D5146DA9}"/>
    <cellStyle name="Normal 8 2 2 5" xfId="955" xr:uid="{00000000-0005-0000-0000-00006C030000}"/>
    <cellStyle name="Normal 8 2 2 5 10" xfId="9249" xr:uid="{F8F68DE8-C8B4-4903-B5E4-64CED33C6130}"/>
    <cellStyle name="Normal 8 2 2 5 10 2" xfId="19197" xr:uid="{EA899981-A114-4C53-B3FE-9743DC01531D}"/>
    <cellStyle name="Normal 8 2 2 5 11" xfId="10078" xr:uid="{06CF3756-F570-455B-B79B-8EAF42DB6A41}"/>
    <cellStyle name="Normal 8 2 2 5 11 2" xfId="20026" xr:uid="{655BB80C-93BB-42B8-BD73-37E96C94B391}"/>
    <cellStyle name="Normal 8 2 2 5 12" xfId="10907" xr:uid="{E53A6A10-4851-45C4-AF33-E128A12A376F}"/>
    <cellStyle name="Normal 8 2 2 5 12 2" xfId="20855" xr:uid="{0CFF8A97-9864-4682-8224-0A93AC3FCB17}"/>
    <cellStyle name="Normal 8 2 2 5 13" xfId="1788" xr:uid="{3F5E8220-1309-4D3C-89F1-E4EAF31C0731}"/>
    <cellStyle name="Normal 8 2 2 5 14" xfId="11736" xr:uid="{EF727A60-1B2F-41CF-A37B-4831D4ADB3AF}"/>
    <cellStyle name="Normal 8 2 2 5 2" xfId="2617" xr:uid="{B7C24007-C636-4BD6-92D7-330A2C03A204}"/>
    <cellStyle name="Normal 8 2 2 5 2 2" xfId="12565" xr:uid="{17E7BAEB-9F26-44BC-BFF0-88F00B3BCA28}"/>
    <cellStyle name="Normal 8 2 2 5 3" xfId="3446" xr:uid="{25C8B2CA-13E5-4E9F-BF63-CE9499227510}"/>
    <cellStyle name="Normal 8 2 2 5 3 2" xfId="13394" xr:uid="{940DF0F1-9DDA-4732-99FA-54DA0361F5A7}"/>
    <cellStyle name="Normal 8 2 2 5 4" xfId="4275" xr:uid="{AB841778-16A5-4AC6-8F06-6DF7E843AEC9}"/>
    <cellStyle name="Normal 8 2 2 5 4 2" xfId="14223" xr:uid="{8739BD1C-A2ED-4D73-8FA9-26F8ED2D5A03}"/>
    <cellStyle name="Normal 8 2 2 5 5" xfId="5104" xr:uid="{5BEC3357-DA4D-44F3-993A-2775BF223B73}"/>
    <cellStyle name="Normal 8 2 2 5 5 2" xfId="15052" xr:uid="{B588440D-07EC-45F5-90AD-C1F6CB0C9913}"/>
    <cellStyle name="Normal 8 2 2 5 6" xfId="5933" xr:uid="{6111E7A1-4154-4637-B640-BB2BD9666676}"/>
    <cellStyle name="Normal 8 2 2 5 6 2" xfId="15881" xr:uid="{E68C6B0B-9B70-4E81-8BF2-17C91EFF94C0}"/>
    <cellStyle name="Normal 8 2 2 5 7" xfId="6762" xr:uid="{E41B65AF-6338-4FE7-85D9-AEA2878B4E1E}"/>
    <cellStyle name="Normal 8 2 2 5 7 2" xfId="16710" xr:uid="{A1D5F70A-2946-4CFD-9F39-4966FA93964F}"/>
    <cellStyle name="Normal 8 2 2 5 8" xfId="7591" xr:uid="{8B3BC1F8-945D-49D2-93CE-FDA4D0A56B5A}"/>
    <cellStyle name="Normal 8 2 2 5 8 2" xfId="17539" xr:uid="{8FFE6E54-28C0-4D4D-A8BA-9D677D3D0231}"/>
    <cellStyle name="Normal 8 2 2 5 9" xfId="8420" xr:uid="{94072B2F-DBC8-4742-B82E-19C718CC1719}"/>
    <cellStyle name="Normal 8 2 2 5 9 2" xfId="18368" xr:uid="{640542F5-C1AF-490B-929D-11CB2F5E549C}"/>
    <cellStyle name="Normal 8 2 2 6" xfId="2201" xr:uid="{4C3F6469-510B-40DE-9E4D-884BAF301F76}"/>
    <cellStyle name="Normal 8 2 2 6 2" xfId="12149" xr:uid="{28162FB9-9140-47E3-860E-DDA0CBD99FB6}"/>
    <cellStyle name="Normal 8 2 2 7" xfId="3030" xr:uid="{F87FE65B-7252-42F8-84D3-FB07F2587FC0}"/>
    <cellStyle name="Normal 8 2 2 7 2" xfId="12978" xr:uid="{2A879EAB-6AD3-49F3-8FC9-8CD21859EDAB}"/>
    <cellStyle name="Normal 8 2 2 8" xfId="3859" xr:uid="{BE87195A-36C0-42A9-BF97-769AAB82FDE7}"/>
    <cellStyle name="Normal 8 2 2 8 2" xfId="13807" xr:uid="{6C16EA40-C122-45D5-AC7B-737DCA868C4C}"/>
    <cellStyle name="Normal 8 2 2 9" xfId="4688" xr:uid="{1B0B1D5E-8EAD-4033-92AE-6531DACCF7C0}"/>
    <cellStyle name="Normal 8 2 2 9 2" xfId="14636" xr:uid="{0099D0E8-7F1C-4A8C-AC03-18F24761AB14}"/>
    <cellStyle name="Normal 8 2 3" xfId="491" xr:uid="{00000000-0005-0000-0000-00006D030000}"/>
    <cellStyle name="Normal 8 2 3 10" xfId="6354" xr:uid="{D0AE9425-C42A-4D75-9BE1-2BAFCA0F1CB7}"/>
    <cellStyle name="Normal 8 2 3 10 2" xfId="16302" xr:uid="{1CE32F13-87B1-46F2-BB3B-A5EAD19F9B95}"/>
    <cellStyle name="Normal 8 2 3 11" xfId="7183" xr:uid="{483A66B4-851E-4111-9614-4C8215EFF673}"/>
    <cellStyle name="Normal 8 2 3 11 2" xfId="17131" xr:uid="{B332DBF5-4D8B-489F-B624-6B0CD8DF9A4B}"/>
    <cellStyle name="Normal 8 2 3 12" xfId="8012" xr:uid="{FA994849-CB96-4421-B31E-1124CC4C6999}"/>
    <cellStyle name="Normal 8 2 3 12 2" xfId="17960" xr:uid="{5008E035-53AB-4FB0-8E4D-98FB82F4E91E}"/>
    <cellStyle name="Normal 8 2 3 13" xfId="8841" xr:uid="{48B3A84A-3224-443A-B088-283F6A13C6F5}"/>
    <cellStyle name="Normal 8 2 3 13 2" xfId="18789" xr:uid="{5DFE446D-76B1-494B-9179-6BBB89F9C0D1}"/>
    <cellStyle name="Normal 8 2 3 14" xfId="9670" xr:uid="{23F6028E-1182-466E-A60C-6D91E09960F0}"/>
    <cellStyle name="Normal 8 2 3 14 2" xfId="19618" xr:uid="{C14172B1-935E-4E10-870D-034630DC6FE2}"/>
    <cellStyle name="Normal 8 2 3 15" xfId="10499" xr:uid="{E388CDEC-B58A-42A7-AECA-15186494407F}"/>
    <cellStyle name="Normal 8 2 3 15 2" xfId="20447" xr:uid="{F5DC8F95-EF64-423F-9542-08B025795268}"/>
    <cellStyle name="Normal 8 2 3 16" xfId="1380" xr:uid="{72C8F2CB-A73C-43F9-A159-711E5CB6F1B6}"/>
    <cellStyle name="Normal 8 2 3 17" xfId="11328" xr:uid="{C980F13A-C3BE-4836-9EB5-9A26CA450CDD}"/>
    <cellStyle name="Normal 8 2 3 2" xfId="492" xr:uid="{00000000-0005-0000-0000-00006E030000}"/>
    <cellStyle name="Normal 8 2 3 2 10" xfId="7184" xr:uid="{838D3BF1-2023-43FA-8DEF-44FFEEB60AA8}"/>
    <cellStyle name="Normal 8 2 3 2 10 2" xfId="17132" xr:uid="{F14EB339-5D10-44FE-82C1-AE4E91E0594D}"/>
    <cellStyle name="Normal 8 2 3 2 11" xfId="8013" xr:uid="{E46F1B2A-6582-4EF7-8BE3-1F06470743B2}"/>
    <cellStyle name="Normal 8 2 3 2 11 2" xfId="17961" xr:uid="{8C1CD544-D9B0-4A3D-84E4-CA440B845BEA}"/>
    <cellStyle name="Normal 8 2 3 2 12" xfId="8842" xr:uid="{A5C82E77-6484-4039-9C0D-E22E3478C7D2}"/>
    <cellStyle name="Normal 8 2 3 2 12 2" xfId="18790" xr:uid="{FA32409E-BDBB-470C-9C96-059324902011}"/>
    <cellStyle name="Normal 8 2 3 2 13" xfId="9671" xr:uid="{F340FEF2-93B5-4A97-B682-CE2DE88E0AC6}"/>
    <cellStyle name="Normal 8 2 3 2 13 2" xfId="19619" xr:uid="{F6BCE2EC-DA00-44C3-ABE0-B91BFB9A532F}"/>
    <cellStyle name="Normal 8 2 3 2 14" xfId="10500" xr:uid="{8307C9F6-C324-4B0F-A13D-6A53033075C0}"/>
    <cellStyle name="Normal 8 2 3 2 14 2" xfId="20448" xr:uid="{60C22B22-F92A-4B5C-B264-066FAA26BAD7}"/>
    <cellStyle name="Normal 8 2 3 2 15" xfId="1381" xr:uid="{E8AD75F5-80F1-4544-A5EF-61D0E03C1BC3}"/>
    <cellStyle name="Normal 8 2 3 2 16" xfId="11329" xr:uid="{49349FA2-87DD-4A6F-BAC6-EB68A24C1022}"/>
    <cellStyle name="Normal 8 2 3 2 2" xfId="493" xr:uid="{00000000-0005-0000-0000-00006F030000}"/>
    <cellStyle name="Normal 8 2 3 2 2 10" xfId="8014" xr:uid="{3FCBCF9A-5F6F-449A-9788-AF1C7DA0035C}"/>
    <cellStyle name="Normal 8 2 3 2 2 10 2" xfId="17962" xr:uid="{0311FBCD-CACF-480F-9D47-370E1E3A1DEA}"/>
    <cellStyle name="Normal 8 2 3 2 2 11" xfId="8843" xr:uid="{2BE030BB-5661-461C-9352-B115EE59B16B}"/>
    <cellStyle name="Normal 8 2 3 2 2 11 2" xfId="18791" xr:uid="{C4153CDE-A5A5-4B00-BBF6-E320C3E97AC1}"/>
    <cellStyle name="Normal 8 2 3 2 2 12" xfId="9672" xr:uid="{34A6B9F0-1BE6-45EF-B25C-291726EC367E}"/>
    <cellStyle name="Normal 8 2 3 2 2 12 2" xfId="19620" xr:uid="{6E16D512-9DCA-4541-B3D1-715BFEA492ED}"/>
    <cellStyle name="Normal 8 2 3 2 2 13" xfId="10501" xr:uid="{26CEC854-064A-4CD3-B3A9-6834C0DEE5E6}"/>
    <cellStyle name="Normal 8 2 3 2 2 13 2" xfId="20449" xr:uid="{2F3B6161-9EAC-45A0-8C59-795E8D857A28}"/>
    <cellStyle name="Normal 8 2 3 2 2 14" xfId="1382" xr:uid="{0AE4C06A-410F-40FE-A309-D8EF0F1F4FDB}"/>
    <cellStyle name="Normal 8 2 3 2 2 15" xfId="11330" xr:uid="{954A1E9D-0859-47D2-A4AE-83DF0F7DF092}"/>
    <cellStyle name="Normal 8 2 3 2 2 2" xfId="965" xr:uid="{00000000-0005-0000-0000-000070030000}"/>
    <cellStyle name="Normal 8 2 3 2 2 2 10" xfId="9259" xr:uid="{E350DC13-09C8-4FBB-8DC1-3BB8C40A5887}"/>
    <cellStyle name="Normal 8 2 3 2 2 2 10 2" xfId="19207" xr:uid="{531B81E0-3640-48D6-B6E3-4856A82D3C1C}"/>
    <cellStyle name="Normal 8 2 3 2 2 2 11" xfId="10088" xr:uid="{D3EC16A8-8683-4080-A957-7E8BD457E8ED}"/>
    <cellStyle name="Normal 8 2 3 2 2 2 11 2" xfId="20036" xr:uid="{F2E905EE-8582-4AAD-B9B5-D1904AE72033}"/>
    <cellStyle name="Normal 8 2 3 2 2 2 12" xfId="10917" xr:uid="{5E5EA0B1-9915-482D-BA4D-6E885E043DD2}"/>
    <cellStyle name="Normal 8 2 3 2 2 2 12 2" xfId="20865" xr:uid="{A1AFE363-AA14-4450-A84F-8D8560DCBC80}"/>
    <cellStyle name="Normal 8 2 3 2 2 2 13" xfId="1798" xr:uid="{53C854F3-5419-4FBD-8EE5-19DDB75DBDB7}"/>
    <cellStyle name="Normal 8 2 3 2 2 2 14" xfId="11746" xr:uid="{231CCCB1-BCDA-489C-9B7E-2DC9DA45C679}"/>
    <cellStyle name="Normal 8 2 3 2 2 2 2" xfId="2627" xr:uid="{E8063940-3D6E-48B3-BDD9-3680604E9609}"/>
    <cellStyle name="Normal 8 2 3 2 2 2 2 2" xfId="12575" xr:uid="{79710B01-87B1-4412-A7BD-D36E6273D16F}"/>
    <cellStyle name="Normal 8 2 3 2 2 2 3" xfId="3456" xr:uid="{91438C1B-3186-4179-ACD1-34142BC93CD1}"/>
    <cellStyle name="Normal 8 2 3 2 2 2 3 2" xfId="13404" xr:uid="{C1C842F3-C80A-487F-8AA6-EE687B0271BB}"/>
    <cellStyle name="Normal 8 2 3 2 2 2 4" xfId="4285" xr:uid="{CF3C2F5D-EF86-4EA9-AE36-1568E29F1C52}"/>
    <cellStyle name="Normal 8 2 3 2 2 2 4 2" xfId="14233" xr:uid="{AEFA4965-E1C9-41C8-877F-61B988AFB9F9}"/>
    <cellStyle name="Normal 8 2 3 2 2 2 5" xfId="5114" xr:uid="{36286AFF-DEB5-4077-AD02-B025D23FB988}"/>
    <cellStyle name="Normal 8 2 3 2 2 2 5 2" xfId="15062" xr:uid="{C09665E7-2F7E-4CA4-A5BF-892A3609FD4D}"/>
    <cellStyle name="Normal 8 2 3 2 2 2 6" xfId="5943" xr:uid="{C42AC059-D63E-447F-92DC-E95221334BBC}"/>
    <cellStyle name="Normal 8 2 3 2 2 2 6 2" xfId="15891" xr:uid="{5B937934-AF1A-4B73-9DA4-E5A5ED52AF65}"/>
    <cellStyle name="Normal 8 2 3 2 2 2 7" xfId="6772" xr:uid="{23909BD8-5727-4DB3-A85E-D18456F4A3CB}"/>
    <cellStyle name="Normal 8 2 3 2 2 2 7 2" xfId="16720" xr:uid="{A51BE4D4-26FA-4A51-B359-727C7066D0CF}"/>
    <cellStyle name="Normal 8 2 3 2 2 2 8" xfId="7601" xr:uid="{47009A96-0CCA-48FF-8937-044D948ED5B5}"/>
    <cellStyle name="Normal 8 2 3 2 2 2 8 2" xfId="17549" xr:uid="{BFEA2D50-B782-4342-9E88-A6CB2ABC74BE}"/>
    <cellStyle name="Normal 8 2 3 2 2 2 9" xfId="8430" xr:uid="{FE302AA3-40C5-41A2-92A3-7B80AD15BBD8}"/>
    <cellStyle name="Normal 8 2 3 2 2 2 9 2" xfId="18378" xr:uid="{B849851F-54E7-4D7E-8474-D655EB9A0A6A}"/>
    <cellStyle name="Normal 8 2 3 2 2 3" xfId="2211" xr:uid="{8AAA361B-EFC4-4DBD-AEAC-B5BCA4824CF1}"/>
    <cellStyle name="Normal 8 2 3 2 2 3 2" xfId="12159" xr:uid="{F423A6A4-1F72-43D3-8835-0CF19FA40645}"/>
    <cellStyle name="Normal 8 2 3 2 2 4" xfId="3040" xr:uid="{6F97CC36-0369-4F3F-B282-0B1A5205FF33}"/>
    <cellStyle name="Normal 8 2 3 2 2 4 2" xfId="12988" xr:uid="{CC91EBA8-0DAA-4476-8E3A-6BA7261B6761}"/>
    <cellStyle name="Normal 8 2 3 2 2 5" xfId="3869" xr:uid="{50E08B4B-AC30-4898-9908-2CC189463B90}"/>
    <cellStyle name="Normal 8 2 3 2 2 5 2" xfId="13817" xr:uid="{AE35185F-1BD3-49E7-B2EF-7F0A390988ED}"/>
    <cellStyle name="Normal 8 2 3 2 2 6" xfId="4698" xr:uid="{063E7275-6070-4441-8C6E-D04BD016D0F2}"/>
    <cellStyle name="Normal 8 2 3 2 2 6 2" xfId="14646" xr:uid="{4B2618A1-F36D-481C-882C-EAF744315E84}"/>
    <cellStyle name="Normal 8 2 3 2 2 7" xfId="5527" xr:uid="{E3D13456-C128-4D5B-A2B0-D8A3DA01F758}"/>
    <cellStyle name="Normal 8 2 3 2 2 7 2" xfId="15475" xr:uid="{2D2CD94A-EF67-4539-A85B-135C21842E6B}"/>
    <cellStyle name="Normal 8 2 3 2 2 8" xfId="6356" xr:uid="{E64A2CF4-D292-4FCB-9099-11AC51F4EC5F}"/>
    <cellStyle name="Normal 8 2 3 2 2 8 2" xfId="16304" xr:uid="{721474D3-A20B-4CBB-90F2-92B2429BC80C}"/>
    <cellStyle name="Normal 8 2 3 2 2 9" xfId="7185" xr:uid="{C4EA55AB-549F-4866-BB53-452969CA8877}"/>
    <cellStyle name="Normal 8 2 3 2 2 9 2" xfId="17133" xr:uid="{B748781D-C6A2-4960-AE63-0DE6A0852110}"/>
    <cellStyle name="Normal 8 2 3 2 3" xfId="964" xr:uid="{00000000-0005-0000-0000-000071030000}"/>
    <cellStyle name="Normal 8 2 3 2 3 10" xfId="9258" xr:uid="{2E9A28EF-852A-471F-A780-329C4558E322}"/>
    <cellStyle name="Normal 8 2 3 2 3 10 2" xfId="19206" xr:uid="{C3ED91C5-5526-456F-933E-B1896A8EA71E}"/>
    <cellStyle name="Normal 8 2 3 2 3 11" xfId="10087" xr:uid="{290CDF76-1D92-4D65-B1BF-8BE85EAD946D}"/>
    <cellStyle name="Normal 8 2 3 2 3 11 2" xfId="20035" xr:uid="{A17B7129-A04B-4792-A20E-BC3A8DA086FD}"/>
    <cellStyle name="Normal 8 2 3 2 3 12" xfId="10916" xr:uid="{C7D64CEC-00CF-442D-8011-32D973CB45F7}"/>
    <cellStyle name="Normal 8 2 3 2 3 12 2" xfId="20864" xr:uid="{A5058535-3A0E-4A0B-A634-02262831C073}"/>
    <cellStyle name="Normal 8 2 3 2 3 13" xfId="1797" xr:uid="{1EF6ECE5-E095-4916-91A4-EB973661E6AB}"/>
    <cellStyle name="Normal 8 2 3 2 3 14" xfId="11745" xr:uid="{27426B3B-C485-45A2-9101-DE12C85B76D0}"/>
    <cellStyle name="Normal 8 2 3 2 3 2" xfId="2626" xr:uid="{AFB9BC02-BAB2-4181-9AEA-320DD35E4F2A}"/>
    <cellStyle name="Normal 8 2 3 2 3 2 2" xfId="12574" xr:uid="{60B6BC5C-D57A-45A1-BEC5-C39FE5A6CE00}"/>
    <cellStyle name="Normal 8 2 3 2 3 3" xfId="3455" xr:uid="{2D85310C-0359-428B-8AD0-8D820477B7AD}"/>
    <cellStyle name="Normal 8 2 3 2 3 3 2" xfId="13403" xr:uid="{D5C5B643-C6B4-4F9E-B5B2-196AE0A250D7}"/>
    <cellStyle name="Normal 8 2 3 2 3 4" xfId="4284" xr:uid="{F5B66F54-FE8D-423C-B313-63522E364401}"/>
    <cellStyle name="Normal 8 2 3 2 3 4 2" xfId="14232" xr:uid="{5968D0A1-3528-4C8F-937D-2E6982FE0FDB}"/>
    <cellStyle name="Normal 8 2 3 2 3 5" xfId="5113" xr:uid="{F8B31E9F-8AF6-489D-9103-0F1F636E7C63}"/>
    <cellStyle name="Normal 8 2 3 2 3 5 2" xfId="15061" xr:uid="{4EEF9FFA-1487-4635-A442-021EFAAE0E21}"/>
    <cellStyle name="Normal 8 2 3 2 3 6" xfId="5942" xr:uid="{4F85D392-AF3D-4460-B829-4EE80A826CEB}"/>
    <cellStyle name="Normal 8 2 3 2 3 6 2" xfId="15890" xr:uid="{E6B9ED53-0B1B-4A94-ABE5-CAF49C090123}"/>
    <cellStyle name="Normal 8 2 3 2 3 7" xfId="6771" xr:uid="{FD57EA69-8AF1-4EC9-B643-43CF84DB02D6}"/>
    <cellStyle name="Normal 8 2 3 2 3 7 2" xfId="16719" xr:uid="{507D2F50-17CB-4377-9FD1-C123692771AA}"/>
    <cellStyle name="Normal 8 2 3 2 3 8" xfId="7600" xr:uid="{C0349C60-EC12-44A8-B2FC-C386E939734B}"/>
    <cellStyle name="Normal 8 2 3 2 3 8 2" xfId="17548" xr:uid="{8F32F02E-073E-4611-A373-8B4591EBDACE}"/>
    <cellStyle name="Normal 8 2 3 2 3 9" xfId="8429" xr:uid="{124699E9-DE74-4BCF-8998-FA18958E31A1}"/>
    <cellStyle name="Normal 8 2 3 2 3 9 2" xfId="18377" xr:uid="{455C152D-CD95-4C80-B278-E04962220878}"/>
    <cellStyle name="Normal 8 2 3 2 4" xfId="2210" xr:uid="{0766CAD4-1D57-4777-835E-31BCE9994E32}"/>
    <cellStyle name="Normal 8 2 3 2 4 2" xfId="12158" xr:uid="{49223B14-474E-475B-B92C-D84C26699A6D}"/>
    <cellStyle name="Normal 8 2 3 2 5" xfId="3039" xr:uid="{ABAB44CA-999D-4860-82E4-EEF29BE3B1DC}"/>
    <cellStyle name="Normal 8 2 3 2 5 2" xfId="12987" xr:uid="{0B186529-AB98-4567-9F38-4E89D931DE8C}"/>
    <cellStyle name="Normal 8 2 3 2 6" xfId="3868" xr:uid="{3AB1B378-849E-4ECD-AEEF-12A8B65406A5}"/>
    <cellStyle name="Normal 8 2 3 2 6 2" xfId="13816" xr:uid="{B590D5D9-0333-433A-B8D5-75495E7CE9FE}"/>
    <cellStyle name="Normal 8 2 3 2 7" xfId="4697" xr:uid="{7886C6FB-7151-4943-A422-3ACD1AC60D2E}"/>
    <cellStyle name="Normal 8 2 3 2 7 2" xfId="14645" xr:uid="{06CDF3A1-B54D-4575-89BD-B2E791CEB014}"/>
    <cellStyle name="Normal 8 2 3 2 8" xfId="5526" xr:uid="{C3A54DEC-E616-4D34-A0D7-F7FC5D2EA770}"/>
    <cellStyle name="Normal 8 2 3 2 8 2" xfId="15474" xr:uid="{B448318C-E0B9-48FD-8E54-B7F91A03FD7D}"/>
    <cellStyle name="Normal 8 2 3 2 9" xfId="6355" xr:uid="{8C24551F-32DD-49CE-8F16-B0B1AC0086E1}"/>
    <cellStyle name="Normal 8 2 3 2 9 2" xfId="16303" xr:uid="{04F9099E-61DF-4430-93F1-C1E399AB0EE2}"/>
    <cellStyle name="Normal 8 2 3 3" xfId="494" xr:uid="{00000000-0005-0000-0000-000072030000}"/>
    <cellStyle name="Normal 8 2 3 3 10" xfId="8015" xr:uid="{5DE55CD6-8542-4A63-A4ED-39EF7203CCD9}"/>
    <cellStyle name="Normal 8 2 3 3 10 2" xfId="17963" xr:uid="{10ADE8CF-E79F-488E-BD16-59982DD6F730}"/>
    <cellStyle name="Normal 8 2 3 3 11" xfId="8844" xr:uid="{D4D17A79-3C67-4E07-9B91-221324DC7405}"/>
    <cellStyle name="Normal 8 2 3 3 11 2" xfId="18792" xr:uid="{18B4D412-2024-467F-811C-0BA0F1BA7FE9}"/>
    <cellStyle name="Normal 8 2 3 3 12" xfId="9673" xr:uid="{7C364829-C3BF-42CE-98F2-50538426EC05}"/>
    <cellStyle name="Normal 8 2 3 3 12 2" xfId="19621" xr:uid="{D2ABC60C-A105-4711-B871-D7B43864B7D1}"/>
    <cellStyle name="Normal 8 2 3 3 13" xfId="10502" xr:uid="{DCB0425D-22F2-4E0C-9CA6-EAF92C7B4126}"/>
    <cellStyle name="Normal 8 2 3 3 13 2" xfId="20450" xr:uid="{21BE32E4-7186-4B3A-8D06-E1F8AADA0B75}"/>
    <cellStyle name="Normal 8 2 3 3 14" xfId="1383" xr:uid="{2F8625C1-FE9E-43EA-AACE-A1508FEA103C}"/>
    <cellStyle name="Normal 8 2 3 3 15" xfId="11331" xr:uid="{4F3C9870-CA19-41D7-A2E0-13B49EED414F}"/>
    <cellStyle name="Normal 8 2 3 3 2" xfId="966" xr:uid="{00000000-0005-0000-0000-000073030000}"/>
    <cellStyle name="Normal 8 2 3 3 2 10" xfId="9260" xr:uid="{5052791A-9419-4C27-831C-AB08E40A6652}"/>
    <cellStyle name="Normal 8 2 3 3 2 10 2" xfId="19208" xr:uid="{098FC1A9-C7CC-4B62-91B2-E16183A9DB3C}"/>
    <cellStyle name="Normal 8 2 3 3 2 11" xfId="10089" xr:uid="{6F0C86AE-8461-46B5-9CD2-6240A2E3FAAE}"/>
    <cellStyle name="Normal 8 2 3 3 2 11 2" xfId="20037" xr:uid="{B97BD8ED-434D-4E6C-90B1-D0442559BCD7}"/>
    <cellStyle name="Normal 8 2 3 3 2 12" xfId="10918" xr:uid="{BBB89D91-614A-4851-951B-616D9A28E7E2}"/>
    <cellStyle name="Normal 8 2 3 3 2 12 2" xfId="20866" xr:uid="{24EF9729-CE4C-415D-8280-CC12CDACADA4}"/>
    <cellStyle name="Normal 8 2 3 3 2 13" xfId="1799" xr:uid="{56CDDDCE-D892-44DA-A4BD-F0B34D339E54}"/>
    <cellStyle name="Normal 8 2 3 3 2 14" xfId="11747" xr:uid="{14E4052C-167A-4068-A185-C748C82132E8}"/>
    <cellStyle name="Normal 8 2 3 3 2 2" xfId="2628" xr:uid="{27B1A225-4F34-4973-9416-A54AD3EB9ECB}"/>
    <cellStyle name="Normal 8 2 3 3 2 2 2" xfId="12576" xr:uid="{565F7444-ED68-4B8D-8FBD-43717D8F77B6}"/>
    <cellStyle name="Normal 8 2 3 3 2 3" xfId="3457" xr:uid="{DE6453DC-B291-4CF3-B5A4-4B08446E93E1}"/>
    <cellStyle name="Normal 8 2 3 3 2 3 2" xfId="13405" xr:uid="{4CB988F3-CE72-4BCE-A7F5-DC8E50BC256D}"/>
    <cellStyle name="Normal 8 2 3 3 2 4" xfId="4286" xr:uid="{51173ED4-F833-4BB5-8C45-2A12C1D68951}"/>
    <cellStyle name="Normal 8 2 3 3 2 4 2" xfId="14234" xr:uid="{B782AEEA-D709-4D29-A785-6E0277C1C70E}"/>
    <cellStyle name="Normal 8 2 3 3 2 5" xfId="5115" xr:uid="{38BB1A8C-E494-4B37-A6FE-2C363BD28242}"/>
    <cellStyle name="Normal 8 2 3 3 2 5 2" xfId="15063" xr:uid="{906AA4B1-07B8-4087-8CB9-C2E0E95B9074}"/>
    <cellStyle name="Normal 8 2 3 3 2 6" xfId="5944" xr:uid="{6AEBDCB3-FA03-458E-BD55-B52482022968}"/>
    <cellStyle name="Normal 8 2 3 3 2 6 2" xfId="15892" xr:uid="{EAE77D48-6EC7-4544-A1D7-BDFAFB32ACA2}"/>
    <cellStyle name="Normal 8 2 3 3 2 7" xfId="6773" xr:uid="{EFF4A529-4B50-4B9F-B72D-5B24547FEAAF}"/>
    <cellStyle name="Normal 8 2 3 3 2 7 2" xfId="16721" xr:uid="{8998CB0F-1654-404B-88F6-1C877FAB4E85}"/>
    <cellStyle name="Normal 8 2 3 3 2 8" xfId="7602" xr:uid="{F6528999-FF76-4FC1-A02D-86EDCF5C733E}"/>
    <cellStyle name="Normal 8 2 3 3 2 8 2" xfId="17550" xr:uid="{E1A45E93-8921-4623-A272-BF6F009F9933}"/>
    <cellStyle name="Normal 8 2 3 3 2 9" xfId="8431" xr:uid="{ADE65825-7451-4915-A2A1-5C8FE9127433}"/>
    <cellStyle name="Normal 8 2 3 3 2 9 2" xfId="18379" xr:uid="{8A6345E8-F833-442B-A3A8-A47F18D50469}"/>
    <cellStyle name="Normal 8 2 3 3 3" xfId="2212" xr:uid="{B052920F-077B-4396-B69B-FAADEF5AB4CE}"/>
    <cellStyle name="Normal 8 2 3 3 3 2" xfId="12160" xr:uid="{3B9FC61D-A9BB-4168-949F-F425E1A4D2F2}"/>
    <cellStyle name="Normal 8 2 3 3 4" xfId="3041" xr:uid="{DF79B286-E953-4B8D-8F60-9DE04212AFF2}"/>
    <cellStyle name="Normal 8 2 3 3 4 2" xfId="12989" xr:uid="{30C9107D-124D-4739-989B-CE7E79637D04}"/>
    <cellStyle name="Normal 8 2 3 3 5" xfId="3870" xr:uid="{B8F125D1-A250-4111-A960-4A6D69EEEBB5}"/>
    <cellStyle name="Normal 8 2 3 3 5 2" xfId="13818" xr:uid="{8382686F-D951-44F5-B04E-F00846F46995}"/>
    <cellStyle name="Normal 8 2 3 3 6" xfId="4699" xr:uid="{221B2FE2-AEDC-44A8-BF83-4C37B6F6A4E5}"/>
    <cellStyle name="Normal 8 2 3 3 6 2" xfId="14647" xr:uid="{863A5488-A683-473E-A4DB-755A039E7334}"/>
    <cellStyle name="Normal 8 2 3 3 7" xfId="5528" xr:uid="{48AF7F53-E13C-4B72-AFB7-09CF11A6509C}"/>
    <cellStyle name="Normal 8 2 3 3 7 2" xfId="15476" xr:uid="{DA794315-9CAB-44E7-AFDD-145F264DA601}"/>
    <cellStyle name="Normal 8 2 3 3 8" xfId="6357" xr:uid="{3501D1FC-F3DC-47CE-9796-0018469575F7}"/>
    <cellStyle name="Normal 8 2 3 3 8 2" xfId="16305" xr:uid="{18695870-540A-44C9-B6F6-5DA5EE49F87E}"/>
    <cellStyle name="Normal 8 2 3 3 9" xfId="7186" xr:uid="{2968B76A-951B-43DE-A86D-51AAD5615362}"/>
    <cellStyle name="Normal 8 2 3 3 9 2" xfId="17134" xr:uid="{B57D0DBF-BB29-417B-8890-6234BBD75DBA}"/>
    <cellStyle name="Normal 8 2 3 4" xfId="963" xr:uid="{00000000-0005-0000-0000-000074030000}"/>
    <cellStyle name="Normal 8 2 3 4 10" xfId="9257" xr:uid="{031E6811-5A39-4408-BD58-DE826A25CD5A}"/>
    <cellStyle name="Normal 8 2 3 4 10 2" xfId="19205" xr:uid="{19B477C5-005A-467A-A178-AB0B9FC1593E}"/>
    <cellStyle name="Normal 8 2 3 4 11" xfId="10086" xr:uid="{6EF3BF78-8ED9-4814-81C8-124C9C19D093}"/>
    <cellStyle name="Normal 8 2 3 4 11 2" xfId="20034" xr:uid="{67093FD2-BA0F-4658-ABC8-DF467F8BE077}"/>
    <cellStyle name="Normal 8 2 3 4 12" xfId="10915" xr:uid="{A7AEDBA1-99A7-4ABA-B6D0-86840F4BA4B1}"/>
    <cellStyle name="Normal 8 2 3 4 12 2" xfId="20863" xr:uid="{0E8F970E-BC1A-482F-B390-4231830A3CF2}"/>
    <cellStyle name="Normal 8 2 3 4 13" xfId="1796" xr:uid="{FB219183-F03D-4465-A083-C3E8E6B7BCC0}"/>
    <cellStyle name="Normal 8 2 3 4 14" xfId="11744" xr:uid="{8587ED72-F868-412E-81F5-6CF11DC626C9}"/>
    <cellStyle name="Normal 8 2 3 4 2" xfId="2625" xr:uid="{93E55052-9D60-462C-A10A-920C21FB79AF}"/>
    <cellStyle name="Normal 8 2 3 4 2 2" xfId="12573" xr:uid="{A529ECB9-D056-4FAB-A8CD-29EE2BC129B8}"/>
    <cellStyle name="Normal 8 2 3 4 3" xfId="3454" xr:uid="{E8C81AE1-8511-4BB1-806F-A8472A8C4710}"/>
    <cellStyle name="Normal 8 2 3 4 3 2" xfId="13402" xr:uid="{0A3F0525-A118-4F0D-8B6C-D405EED9C556}"/>
    <cellStyle name="Normal 8 2 3 4 4" xfId="4283" xr:uid="{A8D030E4-5964-4017-B3ED-EE4CEC824AB7}"/>
    <cellStyle name="Normal 8 2 3 4 4 2" xfId="14231" xr:uid="{01CF5AB0-F8C8-402C-A754-45DC2E179668}"/>
    <cellStyle name="Normal 8 2 3 4 5" xfId="5112" xr:uid="{5684FADC-2FC2-4806-ACB3-2B7C7ACBD227}"/>
    <cellStyle name="Normal 8 2 3 4 5 2" xfId="15060" xr:uid="{8EECC951-1041-428F-9B74-704AC39E3F82}"/>
    <cellStyle name="Normal 8 2 3 4 6" xfId="5941" xr:uid="{E6805BA0-15C8-4273-B77C-8E5B20AA33E7}"/>
    <cellStyle name="Normal 8 2 3 4 6 2" xfId="15889" xr:uid="{28AE23F4-10FC-49FC-975A-2ADEB8A452CD}"/>
    <cellStyle name="Normal 8 2 3 4 7" xfId="6770" xr:uid="{D2973B01-231A-41B6-AEF8-5CA56ABA00C6}"/>
    <cellStyle name="Normal 8 2 3 4 7 2" xfId="16718" xr:uid="{C886FFCE-5D4B-4FF8-AF4F-07E8052C3672}"/>
    <cellStyle name="Normal 8 2 3 4 8" xfId="7599" xr:uid="{B76F8601-598F-44EC-B566-D9B04F7CD36A}"/>
    <cellStyle name="Normal 8 2 3 4 8 2" xfId="17547" xr:uid="{60C587F6-7613-4138-893F-55574D1EE047}"/>
    <cellStyle name="Normal 8 2 3 4 9" xfId="8428" xr:uid="{72816E1F-9639-4AAF-A06D-C4F74E692920}"/>
    <cellStyle name="Normal 8 2 3 4 9 2" xfId="18376" xr:uid="{1869DBE5-5314-4E10-8F16-A189803D950F}"/>
    <cellStyle name="Normal 8 2 3 5" xfId="2209" xr:uid="{F454FE6B-B46C-43FA-AAE7-111B3F89CA7E}"/>
    <cellStyle name="Normal 8 2 3 5 2" xfId="12157" xr:uid="{2259CECA-0666-4F69-9E71-FE13835C506F}"/>
    <cellStyle name="Normal 8 2 3 6" xfId="3038" xr:uid="{5B990A29-C986-48E1-B576-11D343BD4D31}"/>
    <cellStyle name="Normal 8 2 3 6 2" xfId="12986" xr:uid="{5BAB58F2-8022-46DA-B89C-3BC1B0E05AD2}"/>
    <cellStyle name="Normal 8 2 3 7" xfId="3867" xr:uid="{A514BF75-0181-4BB9-8A37-23796DB64797}"/>
    <cellStyle name="Normal 8 2 3 7 2" xfId="13815" xr:uid="{F5527CAC-E841-4A5D-8894-3A2956C81121}"/>
    <cellStyle name="Normal 8 2 3 8" xfId="4696" xr:uid="{D86CD496-7B1D-476B-AE7E-3844ABBB0B5F}"/>
    <cellStyle name="Normal 8 2 3 8 2" xfId="14644" xr:uid="{6476713F-1D6C-4215-B028-56929994A926}"/>
    <cellStyle name="Normal 8 2 3 9" xfId="5525" xr:uid="{70991BBA-EF0B-4DAA-BC1A-92712FC32912}"/>
    <cellStyle name="Normal 8 2 3 9 2" xfId="15473" xr:uid="{FA61FBC9-F583-42C0-8AEB-925A72E54367}"/>
    <cellStyle name="Normal 8 2 4" xfId="495" xr:uid="{00000000-0005-0000-0000-000075030000}"/>
    <cellStyle name="Normal 8 2 4 10" xfId="7187" xr:uid="{01793021-60F3-4D78-88EC-9B3F01E8AD8F}"/>
    <cellStyle name="Normal 8 2 4 10 2" xfId="17135" xr:uid="{EBF9B689-09E0-4795-8531-EEF30F37D8C1}"/>
    <cellStyle name="Normal 8 2 4 11" xfId="8016" xr:uid="{61664C35-084D-4840-9F6C-99942DB4B036}"/>
    <cellStyle name="Normal 8 2 4 11 2" xfId="17964" xr:uid="{6D528024-5FA7-4782-A524-A205075D8DAD}"/>
    <cellStyle name="Normal 8 2 4 12" xfId="8845" xr:uid="{EBDF264B-356A-40DE-BE2A-46C2D4B5AA4E}"/>
    <cellStyle name="Normal 8 2 4 12 2" xfId="18793" xr:uid="{17540998-9972-42E0-8B61-129E4F205CC9}"/>
    <cellStyle name="Normal 8 2 4 13" xfId="9674" xr:uid="{67CCB9D3-1833-4B31-B4A9-3E5F39163B71}"/>
    <cellStyle name="Normal 8 2 4 13 2" xfId="19622" xr:uid="{7D210E40-A1BA-4C6F-967A-5C36E1E17482}"/>
    <cellStyle name="Normal 8 2 4 14" xfId="10503" xr:uid="{6DC59BC1-D563-4B2E-8DFE-06470535EC9A}"/>
    <cellStyle name="Normal 8 2 4 14 2" xfId="20451" xr:uid="{55D4CD39-D315-48D3-AE5A-D31E9FC82F1D}"/>
    <cellStyle name="Normal 8 2 4 15" xfId="1384" xr:uid="{9FB733E6-8BD5-4A7D-BC3D-BFF42B3C7C1C}"/>
    <cellStyle name="Normal 8 2 4 16" xfId="11332" xr:uid="{9856D5E0-D9F8-45E2-8D1C-3655897D0FED}"/>
    <cellStyle name="Normal 8 2 4 2" xfId="496" xr:uid="{00000000-0005-0000-0000-000076030000}"/>
    <cellStyle name="Normal 8 2 4 2 10" xfId="8017" xr:uid="{98580516-7C5D-4131-954E-9863A2300737}"/>
    <cellStyle name="Normal 8 2 4 2 10 2" xfId="17965" xr:uid="{21D64B10-F89B-4760-B173-8F66216C2C3A}"/>
    <cellStyle name="Normal 8 2 4 2 11" xfId="8846" xr:uid="{5A1FD85B-0438-4C2A-839E-7B214321223C}"/>
    <cellStyle name="Normal 8 2 4 2 11 2" xfId="18794" xr:uid="{94480A32-67FB-42C0-AC17-418EC0CABC55}"/>
    <cellStyle name="Normal 8 2 4 2 12" xfId="9675" xr:uid="{55B627B0-35D0-4384-AF93-4D117D38786B}"/>
    <cellStyle name="Normal 8 2 4 2 12 2" xfId="19623" xr:uid="{170E716A-7CA3-484D-9E1C-C148F87DA489}"/>
    <cellStyle name="Normal 8 2 4 2 13" xfId="10504" xr:uid="{20445815-40C5-48E9-A39E-A9D605571B51}"/>
    <cellStyle name="Normal 8 2 4 2 13 2" xfId="20452" xr:uid="{D455A148-A269-4BF4-B680-62E7D251FA4E}"/>
    <cellStyle name="Normal 8 2 4 2 14" xfId="1385" xr:uid="{65B6135C-5B90-419C-8D75-1165541CAAB6}"/>
    <cellStyle name="Normal 8 2 4 2 15" xfId="11333" xr:uid="{B9F1DECE-74BA-4DC0-9370-4C7A4199A637}"/>
    <cellStyle name="Normal 8 2 4 2 2" xfId="968" xr:uid="{00000000-0005-0000-0000-000077030000}"/>
    <cellStyle name="Normal 8 2 4 2 2 10" xfId="9262" xr:uid="{27BF9927-26DD-42C2-999D-CCCE1BF2DE6E}"/>
    <cellStyle name="Normal 8 2 4 2 2 10 2" xfId="19210" xr:uid="{5EEF3F16-3E46-4787-A0C6-5E70A43F6E86}"/>
    <cellStyle name="Normal 8 2 4 2 2 11" xfId="10091" xr:uid="{7058A530-1F51-47F3-BA5B-4C5507BBC07E}"/>
    <cellStyle name="Normal 8 2 4 2 2 11 2" xfId="20039" xr:uid="{AB689ECF-1BE2-4194-860D-052A4194AA62}"/>
    <cellStyle name="Normal 8 2 4 2 2 12" xfId="10920" xr:uid="{B63014E9-43F7-46BF-8121-DF97222F1BF0}"/>
    <cellStyle name="Normal 8 2 4 2 2 12 2" xfId="20868" xr:uid="{1BD20679-00C5-45BC-8030-9F51E404FC98}"/>
    <cellStyle name="Normal 8 2 4 2 2 13" xfId="1801" xr:uid="{DAACB07F-1B4E-4FA8-8A5E-14F0253B4CBE}"/>
    <cellStyle name="Normal 8 2 4 2 2 14" xfId="11749" xr:uid="{55F41064-B1A1-43ED-A307-D54EEB608ED2}"/>
    <cellStyle name="Normal 8 2 4 2 2 2" xfId="2630" xr:uid="{5BBBA7F1-0C55-4786-B045-CB29107A7A9C}"/>
    <cellStyle name="Normal 8 2 4 2 2 2 2" xfId="12578" xr:uid="{5EBB4969-C9B7-4C80-9840-072A74C97F9E}"/>
    <cellStyle name="Normal 8 2 4 2 2 3" xfId="3459" xr:uid="{BCFB4D31-FE52-4024-A56D-2FDF5FF350D7}"/>
    <cellStyle name="Normal 8 2 4 2 2 3 2" xfId="13407" xr:uid="{5E2B6036-68A2-4CF9-8D88-D1D4318093F4}"/>
    <cellStyle name="Normal 8 2 4 2 2 4" xfId="4288" xr:uid="{53A4896E-EC8B-44C4-A589-E44720659626}"/>
    <cellStyle name="Normal 8 2 4 2 2 4 2" xfId="14236" xr:uid="{49FF3674-9FD6-4356-A17F-9C96A20B1DB8}"/>
    <cellStyle name="Normal 8 2 4 2 2 5" xfId="5117" xr:uid="{0C471AF0-939E-4CB2-B6EA-0FF94EDCF279}"/>
    <cellStyle name="Normal 8 2 4 2 2 5 2" xfId="15065" xr:uid="{8E32798F-82F4-43D7-959F-4BCF312686FA}"/>
    <cellStyle name="Normal 8 2 4 2 2 6" xfId="5946" xr:uid="{BE717512-62C3-4D21-A83F-B304FBEB88A2}"/>
    <cellStyle name="Normal 8 2 4 2 2 6 2" xfId="15894" xr:uid="{338BE98D-921E-4A8A-B01B-4D20589023C4}"/>
    <cellStyle name="Normal 8 2 4 2 2 7" xfId="6775" xr:uid="{A2B6E16E-A028-45FB-9EB2-E6D3F2E3B479}"/>
    <cellStyle name="Normal 8 2 4 2 2 7 2" xfId="16723" xr:uid="{3012314A-2108-460F-9DF6-8C0DEE44A1D0}"/>
    <cellStyle name="Normal 8 2 4 2 2 8" xfId="7604" xr:uid="{3225BE3F-78BE-4B00-87D0-E7E2E82811AB}"/>
    <cellStyle name="Normal 8 2 4 2 2 8 2" xfId="17552" xr:uid="{3F19CB3A-475B-4CC5-B42C-FB1E9E68B72C}"/>
    <cellStyle name="Normal 8 2 4 2 2 9" xfId="8433" xr:uid="{79914189-65A1-4B67-9FA8-32770A7D4A9E}"/>
    <cellStyle name="Normal 8 2 4 2 2 9 2" xfId="18381" xr:uid="{39ACD287-0343-4384-9C84-A4F39DE8AE8F}"/>
    <cellStyle name="Normal 8 2 4 2 3" xfId="2214" xr:uid="{CEF52A4F-709B-4D68-9ED2-8077183F5959}"/>
    <cellStyle name="Normal 8 2 4 2 3 2" xfId="12162" xr:uid="{C944E4B4-E5CE-4CBC-84CD-6C97BC636F45}"/>
    <cellStyle name="Normal 8 2 4 2 4" xfId="3043" xr:uid="{CCAF94D7-2904-47F1-AA6D-03C65143D105}"/>
    <cellStyle name="Normal 8 2 4 2 4 2" xfId="12991" xr:uid="{C71C5CC9-1158-495E-9897-4A1A80D2019A}"/>
    <cellStyle name="Normal 8 2 4 2 5" xfId="3872" xr:uid="{D651C62A-A6BE-45A2-9828-85A1CD759D22}"/>
    <cellStyle name="Normal 8 2 4 2 5 2" xfId="13820" xr:uid="{23E2B11A-95F0-4478-ADBA-5DDAE590D4E3}"/>
    <cellStyle name="Normal 8 2 4 2 6" xfId="4701" xr:uid="{1735BCAB-6165-4E8A-A603-3EBF0EEAD1EA}"/>
    <cellStyle name="Normal 8 2 4 2 6 2" xfId="14649" xr:uid="{212E4E50-D482-4F00-9291-6FCA4388EA3F}"/>
    <cellStyle name="Normal 8 2 4 2 7" xfId="5530" xr:uid="{CEB5A3B3-4804-4634-8A75-604B8BD61259}"/>
    <cellStyle name="Normal 8 2 4 2 7 2" xfId="15478" xr:uid="{2AC887D1-5748-49A9-9CAC-88657A5B3F65}"/>
    <cellStyle name="Normal 8 2 4 2 8" xfId="6359" xr:uid="{5B0D549C-F9ED-499F-8DB6-CF25402A3A22}"/>
    <cellStyle name="Normal 8 2 4 2 8 2" xfId="16307" xr:uid="{9F229252-2ABB-4E8D-85BB-2CCE2FE8D983}"/>
    <cellStyle name="Normal 8 2 4 2 9" xfId="7188" xr:uid="{25E154A5-B2F8-4E51-85AA-92F68065711E}"/>
    <cellStyle name="Normal 8 2 4 2 9 2" xfId="17136" xr:uid="{8FC81590-7895-4373-9ADE-888CECBF431E}"/>
    <cellStyle name="Normal 8 2 4 3" xfId="967" xr:uid="{00000000-0005-0000-0000-000078030000}"/>
    <cellStyle name="Normal 8 2 4 3 10" xfId="9261" xr:uid="{CED2EFC9-E3B6-49BA-8A5D-9E99E0558FFE}"/>
    <cellStyle name="Normal 8 2 4 3 10 2" xfId="19209" xr:uid="{01248C6C-DDFD-4C15-AB26-42DED179FC7D}"/>
    <cellStyle name="Normal 8 2 4 3 11" xfId="10090" xr:uid="{A17E63B7-1BB1-490C-936B-DD268629E0DA}"/>
    <cellStyle name="Normal 8 2 4 3 11 2" xfId="20038" xr:uid="{146E0021-7618-4DAC-B85E-DD9D44C971C0}"/>
    <cellStyle name="Normal 8 2 4 3 12" xfId="10919" xr:uid="{72DBBE95-2BA1-4D6A-A8FB-B2CE2633511E}"/>
    <cellStyle name="Normal 8 2 4 3 12 2" xfId="20867" xr:uid="{007D88B8-2E46-4651-B380-561B1E62B3BD}"/>
    <cellStyle name="Normal 8 2 4 3 13" xfId="1800" xr:uid="{F98FB1FE-6B49-43CB-BAD4-8FE5F9909309}"/>
    <cellStyle name="Normal 8 2 4 3 14" xfId="11748" xr:uid="{601A7C96-E050-4B7F-BDFA-B30BDD2C96C7}"/>
    <cellStyle name="Normal 8 2 4 3 2" xfId="2629" xr:uid="{0308E9CE-8212-45A9-B58E-D3A1122EEB80}"/>
    <cellStyle name="Normal 8 2 4 3 2 2" xfId="12577" xr:uid="{296B8D8F-82A5-4405-BBAB-2D22470FE74A}"/>
    <cellStyle name="Normal 8 2 4 3 3" xfId="3458" xr:uid="{6A32F72B-AD4B-4794-B6AE-72EAF4B9CEA0}"/>
    <cellStyle name="Normal 8 2 4 3 3 2" xfId="13406" xr:uid="{B521A293-33CF-4F34-A560-1CD9E84A25B5}"/>
    <cellStyle name="Normal 8 2 4 3 4" xfId="4287" xr:uid="{36AD296C-D78B-4A58-B96B-15305760D99B}"/>
    <cellStyle name="Normal 8 2 4 3 4 2" xfId="14235" xr:uid="{D7AFBB12-B6C3-4FB8-92E5-4BB005FFD277}"/>
    <cellStyle name="Normal 8 2 4 3 5" xfId="5116" xr:uid="{C973CCFA-936C-447B-AB07-EE02EE753F4A}"/>
    <cellStyle name="Normal 8 2 4 3 5 2" xfId="15064" xr:uid="{7726C6BD-5026-43E9-ABD6-4F3F848E3994}"/>
    <cellStyle name="Normal 8 2 4 3 6" xfId="5945" xr:uid="{F97917AD-D298-4CC3-95CD-8B022FA90E2E}"/>
    <cellStyle name="Normal 8 2 4 3 6 2" xfId="15893" xr:uid="{6187BEBF-6B46-4045-ABFD-112ACE39A6EF}"/>
    <cellStyle name="Normal 8 2 4 3 7" xfId="6774" xr:uid="{6BD4004B-D578-4098-8E67-37B06FDB8E40}"/>
    <cellStyle name="Normal 8 2 4 3 7 2" xfId="16722" xr:uid="{97DE61D9-F602-4503-8552-5013A86397D9}"/>
    <cellStyle name="Normal 8 2 4 3 8" xfId="7603" xr:uid="{D919260F-59D4-4909-BD3E-AC19786BA12A}"/>
    <cellStyle name="Normal 8 2 4 3 8 2" xfId="17551" xr:uid="{538FECBE-9F6B-4191-A152-C7432D6EFA19}"/>
    <cellStyle name="Normal 8 2 4 3 9" xfId="8432" xr:uid="{523B9848-66EA-47DC-B5BB-69D1B452A6A9}"/>
    <cellStyle name="Normal 8 2 4 3 9 2" xfId="18380" xr:uid="{E8FCBB6B-96BF-456E-821D-2ED71BC4F2DF}"/>
    <cellStyle name="Normal 8 2 4 4" xfId="2213" xr:uid="{C4F774AE-EC5C-4A49-ABB3-B06485527C0A}"/>
    <cellStyle name="Normal 8 2 4 4 2" xfId="12161" xr:uid="{B5AE9590-2483-4A61-B9CF-C6890E01CDE2}"/>
    <cellStyle name="Normal 8 2 4 5" xfId="3042" xr:uid="{725FC903-3256-4666-A56A-4B9EF745A408}"/>
    <cellStyle name="Normal 8 2 4 5 2" xfId="12990" xr:uid="{CE7081B4-CF23-401F-BAC3-6055937407F3}"/>
    <cellStyle name="Normal 8 2 4 6" xfId="3871" xr:uid="{191B2E04-04DE-4B9C-A257-C7ADFD315318}"/>
    <cellStyle name="Normal 8 2 4 6 2" xfId="13819" xr:uid="{01974063-D5D1-4038-98E0-98B995BE06FC}"/>
    <cellStyle name="Normal 8 2 4 7" xfId="4700" xr:uid="{3049C7FF-D143-461A-8D95-02C6F7F54F18}"/>
    <cellStyle name="Normal 8 2 4 7 2" xfId="14648" xr:uid="{14364904-078E-4704-B78F-6DD055768C19}"/>
    <cellStyle name="Normal 8 2 4 8" xfId="5529" xr:uid="{9F8687DB-59B4-4E62-9694-43BA9D049480}"/>
    <cellStyle name="Normal 8 2 4 8 2" xfId="15477" xr:uid="{FF59654D-C645-4D09-A367-DF0E47E6042A}"/>
    <cellStyle name="Normal 8 2 4 9" xfId="6358" xr:uid="{22461014-231F-4DD9-8853-25D1CEA34F2C}"/>
    <cellStyle name="Normal 8 2 4 9 2" xfId="16306" xr:uid="{56A11D0A-F71D-4F80-80E5-AF5FF4E1F244}"/>
    <cellStyle name="Normal 8 2 5" xfId="497" xr:uid="{00000000-0005-0000-0000-000079030000}"/>
    <cellStyle name="Normal 8 2 5 10" xfId="8018" xr:uid="{9DDFD521-5AEA-4C52-B70F-1EB9E4A800FC}"/>
    <cellStyle name="Normal 8 2 5 10 2" xfId="17966" xr:uid="{643C72FF-FFFE-46D0-B97E-77B3DB18D6FE}"/>
    <cellStyle name="Normal 8 2 5 11" xfId="8847" xr:uid="{D1D09D2C-0A3E-4747-B3C9-A079D77E911C}"/>
    <cellStyle name="Normal 8 2 5 11 2" xfId="18795" xr:uid="{DE4BB460-C853-464A-8340-4343FEAE2674}"/>
    <cellStyle name="Normal 8 2 5 12" xfId="9676" xr:uid="{9C53CA57-F402-4715-9363-FDB06FB38DD8}"/>
    <cellStyle name="Normal 8 2 5 12 2" xfId="19624" xr:uid="{07EDC6BC-80D1-43E9-87BE-200737DF95E2}"/>
    <cellStyle name="Normal 8 2 5 13" xfId="10505" xr:uid="{D6B25FB5-2B0F-4D33-B7AF-8EF9CEC66707}"/>
    <cellStyle name="Normal 8 2 5 13 2" xfId="20453" xr:uid="{6A0B5109-A202-444C-BE79-5200F1958946}"/>
    <cellStyle name="Normal 8 2 5 14" xfId="1386" xr:uid="{09390A69-8C76-4894-8400-13E5BD303D59}"/>
    <cellStyle name="Normal 8 2 5 15" xfId="11334" xr:uid="{41F04BE2-1A65-4594-96D2-0656BD75A8C7}"/>
    <cellStyle name="Normal 8 2 5 2" xfId="969" xr:uid="{00000000-0005-0000-0000-00007A030000}"/>
    <cellStyle name="Normal 8 2 5 2 10" xfId="9263" xr:uid="{CE44A1B8-0D69-4334-B105-93E1A1BE27AC}"/>
    <cellStyle name="Normal 8 2 5 2 10 2" xfId="19211" xr:uid="{6691084B-6447-4D5C-B9E6-592A4CA6598C}"/>
    <cellStyle name="Normal 8 2 5 2 11" xfId="10092" xr:uid="{3879BEC9-B443-4455-AF2C-E16F0B0CC4B5}"/>
    <cellStyle name="Normal 8 2 5 2 11 2" xfId="20040" xr:uid="{5A61E061-1AAA-4736-9116-83079146EA67}"/>
    <cellStyle name="Normal 8 2 5 2 12" xfId="10921" xr:uid="{37B20941-C7E8-411F-9ED3-D0CE05F2D2E2}"/>
    <cellStyle name="Normal 8 2 5 2 12 2" xfId="20869" xr:uid="{4335AC13-FBF5-4BB4-AAD1-57D5A686F483}"/>
    <cellStyle name="Normal 8 2 5 2 13" xfId="1802" xr:uid="{D5A4B460-B8F5-4FF5-B42A-74A639D66743}"/>
    <cellStyle name="Normal 8 2 5 2 14" xfId="11750" xr:uid="{7707A4FD-1004-40ED-B605-7730995EF64C}"/>
    <cellStyle name="Normal 8 2 5 2 2" xfId="2631" xr:uid="{04B2BB7D-D986-406A-A769-CC8632EE9850}"/>
    <cellStyle name="Normal 8 2 5 2 2 2" xfId="12579" xr:uid="{FFA0EEBD-0D6D-4288-B2C2-7768C25157FB}"/>
    <cellStyle name="Normal 8 2 5 2 3" xfId="3460" xr:uid="{E83026EB-D9A2-4AEE-8C97-09B7AA0C7F5E}"/>
    <cellStyle name="Normal 8 2 5 2 3 2" xfId="13408" xr:uid="{1363F71B-B826-465D-AD75-22A55C751CDB}"/>
    <cellStyle name="Normal 8 2 5 2 4" xfId="4289" xr:uid="{6608BBA7-E1D6-4440-8665-AE1A8392B27E}"/>
    <cellStyle name="Normal 8 2 5 2 4 2" xfId="14237" xr:uid="{C32C00C2-1A01-48FA-9B62-A02762B009DB}"/>
    <cellStyle name="Normal 8 2 5 2 5" xfId="5118" xr:uid="{7DA2210D-204C-48E1-9696-4B3E987B3B91}"/>
    <cellStyle name="Normal 8 2 5 2 5 2" xfId="15066" xr:uid="{3FCB2BE4-3E02-46F5-9897-2043206FE720}"/>
    <cellStyle name="Normal 8 2 5 2 6" xfId="5947" xr:uid="{C11DD4D7-DE12-4838-8CB3-62C48B8E17EB}"/>
    <cellStyle name="Normal 8 2 5 2 6 2" xfId="15895" xr:uid="{AD0E9D6C-38B8-46B8-BB9B-6DE9C9B6F06A}"/>
    <cellStyle name="Normal 8 2 5 2 7" xfId="6776" xr:uid="{6F2C5878-6879-4147-9FFB-5779571A4EFC}"/>
    <cellStyle name="Normal 8 2 5 2 7 2" xfId="16724" xr:uid="{D12A8544-6F81-42BA-A8AB-A6192F95866A}"/>
    <cellStyle name="Normal 8 2 5 2 8" xfId="7605" xr:uid="{8A029047-56B5-45AF-A315-238BF28B7C8D}"/>
    <cellStyle name="Normal 8 2 5 2 8 2" xfId="17553" xr:uid="{11DFCD30-3032-40FB-91CB-DF2AE7355550}"/>
    <cellStyle name="Normal 8 2 5 2 9" xfId="8434" xr:uid="{E7D4E131-B96E-4B8E-8609-62D60BDE7C86}"/>
    <cellStyle name="Normal 8 2 5 2 9 2" xfId="18382" xr:uid="{43057351-1ACB-4192-A44A-3AAF42DFEAA2}"/>
    <cellStyle name="Normal 8 2 5 3" xfId="2215" xr:uid="{E403C216-E8EA-4C87-9E6B-FDB0FF7B874D}"/>
    <cellStyle name="Normal 8 2 5 3 2" xfId="12163" xr:uid="{B472DABA-D519-4CED-8E04-6201215E04F8}"/>
    <cellStyle name="Normal 8 2 5 4" xfId="3044" xr:uid="{EF7CBD29-5873-4C45-B6C7-BB076534DCB4}"/>
    <cellStyle name="Normal 8 2 5 4 2" xfId="12992" xr:uid="{18058C35-E6F9-4E99-996C-9469265DA642}"/>
    <cellStyle name="Normal 8 2 5 5" xfId="3873" xr:uid="{75C31950-0B52-449D-969F-8A2E1C2C3DB1}"/>
    <cellStyle name="Normal 8 2 5 5 2" xfId="13821" xr:uid="{FACE1A74-1085-4E54-B234-48D13D2A0C2B}"/>
    <cellStyle name="Normal 8 2 5 6" xfId="4702" xr:uid="{0E6DC8CF-06B4-4CE9-9DA6-7B525FB0BEEB}"/>
    <cellStyle name="Normal 8 2 5 6 2" xfId="14650" xr:uid="{6F91296B-40A0-4254-B67A-CA50B0F4451D}"/>
    <cellStyle name="Normal 8 2 5 7" xfId="5531" xr:uid="{D1EAA9E8-A31D-4ACD-9CD4-51634490C253}"/>
    <cellStyle name="Normal 8 2 5 7 2" xfId="15479" xr:uid="{2A1ABADA-8214-4CF7-9ED9-24F84BA24AA4}"/>
    <cellStyle name="Normal 8 2 5 8" xfId="6360" xr:uid="{52F29A1B-B8B1-453D-95B0-78CD32132CFA}"/>
    <cellStyle name="Normal 8 2 5 8 2" xfId="16308" xr:uid="{37939CB9-EDD7-4B32-BDEE-D39DBB9F6DE4}"/>
    <cellStyle name="Normal 8 2 5 9" xfId="7189" xr:uid="{08949A19-18BE-48E7-B619-901ED25EEEB0}"/>
    <cellStyle name="Normal 8 2 5 9 2" xfId="17137" xr:uid="{C40E1C6E-449F-459E-B287-A5C9BABFB87E}"/>
    <cellStyle name="Normal 8 2 6" xfId="954" xr:uid="{00000000-0005-0000-0000-00007B030000}"/>
    <cellStyle name="Normal 8 2 6 10" xfId="9248" xr:uid="{E7D1BFBD-B6D6-4693-A738-596FC30BBF17}"/>
    <cellStyle name="Normal 8 2 6 10 2" xfId="19196" xr:uid="{EB3AEA70-940B-43F8-8E62-51BC1C98F628}"/>
    <cellStyle name="Normal 8 2 6 11" xfId="10077" xr:uid="{65AFAD92-E30C-4C3F-9E72-BECC5001FF23}"/>
    <cellStyle name="Normal 8 2 6 11 2" xfId="20025" xr:uid="{8F2A2DD4-F0E3-4B29-972D-638BAE1CDA25}"/>
    <cellStyle name="Normal 8 2 6 12" xfId="10906" xr:uid="{5725AE8D-2531-4900-9893-289917FAACD2}"/>
    <cellStyle name="Normal 8 2 6 12 2" xfId="20854" xr:uid="{40C92C0B-60DF-43EA-B813-62531C05E486}"/>
    <cellStyle name="Normal 8 2 6 13" xfId="1787" xr:uid="{319302D6-7B0D-422A-BB15-F27A705B117E}"/>
    <cellStyle name="Normal 8 2 6 14" xfId="11735" xr:uid="{7D1DB99B-80AD-475F-A570-0AFEC11B9CC1}"/>
    <cellStyle name="Normal 8 2 6 2" xfId="2616" xr:uid="{99D30A18-F205-4291-AB05-E418C6463321}"/>
    <cellStyle name="Normal 8 2 6 2 2" xfId="12564" xr:uid="{A9A3662D-6F1E-450F-ABE7-F781901D3F04}"/>
    <cellStyle name="Normal 8 2 6 3" xfId="3445" xr:uid="{4BBBA833-1EDC-4A8B-9B3A-886F954F6E8F}"/>
    <cellStyle name="Normal 8 2 6 3 2" xfId="13393" xr:uid="{18A67DFA-9CA3-499B-BA3F-06C2A5703F21}"/>
    <cellStyle name="Normal 8 2 6 4" xfId="4274" xr:uid="{318D0CB7-3C13-4234-9E2A-A7F5E6C330A8}"/>
    <cellStyle name="Normal 8 2 6 4 2" xfId="14222" xr:uid="{2C4920ED-2D74-47BD-A17A-12B22C429924}"/>
    <cellStyle name="Normal 8 2 6 5" xfId="5103" xr:uid="{71C01842-AD7D-48F1-8320-93319F5B35AB}"/>
    <cellStyle name="Normal 8 2 6 5 2" xfId="15051" xr:uid="{CCA9CAD1-A227-4D34-B7BD-EF189F6366DF}"/>
    <cellStyle name="Normal 8 2 6 6" xfId="5932" xr:uid="{18ABEFC9-2A72-4630-99B5-6FFD6FA5166E}"/>
    <cellStyle name="Normal 8 2 6 6 2" xfId="15880" xr:uid="{5EC84BEF-6DA4-44D2-8401-847C048B97D6}"/>
    <cellStyle name="Normal 8 2 6 7" xfId="6761" xr:uid="{B19C4BE3-3CC7-448C-9A12-37A7EC2A76FA}"/>
    <cellStyle name="Normal 8 2 6 7 2" xfId="16709" xr:uid="{2C3A0178-638B-4F22-B139-FD3B42AE4D23}"/>
    <cellStyle name="Normal 8 2 6 8" xfId="7590" xr:uid="{39E200BF-E9F4-445A-9BE0-1DEFEED82D3C}"/>
    <cellStyle name="Normal 8 2 6 8 2" xfId="17538" xr:uid="{3695427B-0997-4A63-A3F2-D1CB3C746258}"/>
    <cellStyle name="Normal 8 2 6 9" xfId="8419" xr:uid="{33844FEE-E10F-49BF-8E5F-88869F1854D2}"/>
    <cellStyle name="Normal 8 2 6 9 2" xfId="18367" xr:uid="{7DE9F15A-BE1C-42BF-9B2E-15BB74CCC00B}"/>
    <cellStyle name="Normal 8 2 7" xfId="2200" xr:uid="{095EBB84-7A79-4A19-A3C3-89F13A97C45D}"/>
    <cellStyle name="Normal 8 2 7 2" xfId="12148" xr:uid="{6137BD4A-BFAF-46F7-8613-BF4BDAC2975B}"/>
    <cellStyle name="Normal 8 2 8" xfId="3029" xr:uid="{D86C8300-7C1D-4762-8491-59207E573521}"/>
    <cellStyle name="Normal 8 2 8 2" xfId="12977" xr:uid="{8FB4019D-DC77-48B4-804F-779C4031CE5A}"/>
    <cellStyle name="Normal 8 2 9" xfId="3858" xr:uid="{115B7C43-B813-414E-9265-86AEB1BA67D7}"/>
    <cellStyle name="Normal 8 2 9 2" xfId="13806" xr:uid="{DC81E850-06FB-4038-849F-7775566BB8BA}"/>
    <cellStyle name="Normal 8 20" xfId="11318" xr:uid="{B0350C74-0429-444F-8E79-97F792FF57D3}"/>
    <cellStyle name="Normal 8 3" xfId="498" xr:uid="{00000000-0005-0000-0000-00007C030000}"/>
    <cellStyle name="Normal 8 3 10" xfId="5532" xr:uid="{DE229CFB-D77C-475F-9CC1-681188B007D2}"/>
    <cellStyle name="Normal 8 3 10 2" xfId="15480" xr:uid="{F3F15C8D-A669-41DB-B9D4-66853C28668E}"/>
    <cellStyle name="Normal 8 3 11" xfId="6361" xr:uid="{AA22F546-FF9F-4947-BD45-245B0DE0AC56}"/>
    <cellStyle name="Normal 8 3 11 2" xfId="16309" xr:uid="{35B5EDAC-7EE5-4275-BC0A-4B787B38D76A}"/>
    <cellStyle name="Normal 8 3 12" xfId="7190" xr:uid="{BF15FCCE-3254-4D07-92BB-922F51790A36}"/>
    <cellStyle name="Normal 8 3 12 2" xfId="17138" xr:uid="{3C3EAF65-8FA6-42BE-A24D-FF71DCDEC2FE}"/>
    <cellStyle name="Normal 8 3 13" xfId="8019" xr:uid="{8DBE7FA8-C902-4749-8645-2D962C310705}"/>
    <cellStyle name="Normal 8 3 13 2" xfId="17967" xr:uid="{50AEDF50-AA8B-400E-9E1B-203FF5EA56E7}"/>
    <cellStyle name="Normal 8 3 14" xfId="8848" xr:uid="{3FA696BA-E628-4A00-A690-39CA955115BC}"/>
    <cellStyle name="Normal 8 3 14 2" xfId="18796" xr:uid="{A41A20F0-1376-4F0F-8DBE-CA9985E9B2D2}"/>
    <cellStyle name="Normal 8 3 15" xfId="9677" xr:uid="{FB1D5FEA-B22F-4388-8D87-818705505946}"/>
    <cellStyle name="Normal 8 3 15 2" xfId="19625" xr:uid="{580384B0-5F0D-45A1-97EC-B7A8E8764EFB}"/>
    <cellStyle name="Normal 8 3 16" xfId="10506" xr:uid="{AD253A77-CF2B-42FB-A872-678E5955C082}"/>
    <cellStyle name="Normal 8 3 16 2" xfId="20454" xr:uid="{AD4BF3E9-6CBD-46E9-9D05-10AD8066212B}"/>
    <cellStyle name="Normal 8 3 17" xfId="1387" xr:uid="{397102BF-6597-4CD3-8BD7-CF2ABE685629}"/>
    <cellStyle name="Normal 8 3 18" xfId="11335" xr:uid="{9EF496FA-C0FA-4ED5-A73F-85D09264206F}"/>
    <cellStyle name="Normal 8 3 2" xfId="499" xr:uid="{00000000-0005-0000-0000-00007D030000}"/>
    <cellStyle name="Normal 8 3 2 10" xfId="6362" xr:uid="{DDAE261E-E179-4D42-A6BA-0235E20328FF}"/>
    <cellStyle name="Normal 8 3 2 10 2" xfId="16310" xr:uid="{F24B0478-3890-4EA4-ADE6-7B681A37BF19}"/>
    <cellStyle name="Normal 8 3 2 11" xfId="7191" xr:uid="{0C2380A1-AC21-44EE-92D6-E64D7340A173}"/>
    <cellStyle name="Normal 8 3 2 11 2" xfId="17139" xr:uid="{23BAFCA2-BD2C-4DD6-8CA5-8625C84808B9}"/>
    <cellStyle name="Normal 8 3 2 12" xfId="8020" xr:uid="{D8371F27-E4E9-463D-ACA6-E60E64A82FF9}"/>
    <cellStyle name="Normal 8 3 2 12 2" xfId="17968" xr:uid="{8744064B-897B-4D94-8A93-3E4F62D5E7B6}"/>
    <cellStyle name="Normal 8 3 2 13" xfId="8849" xr:uid="{AE0CF9AA-A38E-42EE-B4C0-2018F644248C}"/>
    <cellStyle name="Normal 8 3 2 13 2" xfId="18797" xr:uid="{6694B2B3-929A-42A1-AD92-49502DE4178C}"/>
    <cellStyle name="Normal 8 3 2 14" xfId="9678" xr:uid="{063090A2-B05A-42FA-8536-800ADA9702E8}"/>
    <cellStyle name="Normal 8 3 2 14 2" xfId="19626" xr:uid="{2435BB33-F19A-4D86-8A55-2C3E536ECB4A}"/>
    <cellStyle name="Normal 8 3 2 15" xfId="10507" xr:uid="{6F845882-23EA-4950-A79C-520A52C11307}"/>
    <cellStyle name="Normal 8 3 2 15 2" xfId="20455" xr:uid="{DF7F00F2-8DEF-469F-8DBB-F9E4FAD70E91}"/>
    <cellStyle name="Normal 8 3 2 16" xfId="1388" xr:uid="{53DE9A98-5B3D-4C36-A381-2B228B844F40}"/>
    <cellStyle name="Normal 8 3 2 17" xfId="11336" xr:uid="{6C338C92-4E78-4887-84D9-153CB3E5850E}"/>
    <cellStyle name="Normal 8 3 2 2" xfId="500" xr:uid="{00000000-0005-0000-0000-00007E030000}"/>
    <cellStyle name="Normal 8 3 2 2 10" xfId="7192" xr:uid="{4A5F9FDA-922E-4030-8255-5E9BD1AA8AEC}"/>
    <cellStyle name="Normal 8 3 2 2 10 2" xfId="17140" xr:uid="{23227338-4E1A-46E3-8FDD-E09826CA02C1}"/>
    <cellStyle name="Normal 8 3 2 2 11" xfId="8021" xr:uid="{2A7EC83A-92BA-477F-8D5C-EC4F187F0448}"/>
    <cellStyle name="Normal 8 3 2 2 11 2" xfId="17969" xr:uid="{2F3C16FD-C3F3-4FFE-AFF3-B5874CB5C864}"/>
    <cellStyle name="Normal 8 3 2 2 12" xfId="8850" xr:uid="{14AA527A-425D-4532-A302-DE8C90BC6377}"/>
    <cellStyle name="Normal 8 3 2 2 12 2" xfId="18798" xr:uid="{3B137ACA-4949-4700-B7EC-2A0F36B19020}"/>
    <cellStyle name="Normal 8 3 2 2 13" xfId="9679" xr:uid="{084E3456-42F7-453A-B105-748A9FF973CF}"/>
    <cellStyle name="Normal 8 3 2 2 13 2" xfId="19627" xr:uid="{D9FC5A2E-1549-4AA1-8CC8-C8A78601F4C2}"/>
    <cellStyle name="Normal 8 3 2 2 14" xfId="10508" xr:uid="{BD819E36-856E-492D-891A-632CA6A1437F}"/>
    <cellStyle name="Normal 8 3 2 2 14 2" xfId="20456" xr:uid="{8179C694-BDCE-4AA6-8E2C-124C41BF2C0C}"/>
    <cellStyle name="Normal 8 3 2 2 15" xfId="1389" xr:uid="{94619C56-B0FC-4DE9-83C7-940A1820EF9A}"/>
    <cellStyle name="Normal 8 3 2 2 16" xfId="11337" xr:uid="{98C6F684-AFFF-425E-BFB7-ECAF7CD44167}"/>
    <cellStyle name="Normal 8 3 2 2 2" xfId="501" xr:uid="{00000000-0005-0000-0000-00007F030000}"/>
    <cellStyle name="Normal 8 3 2 2 2 10" xfId="8022" xr:uid="{7D985934-F32A-4B5E-AD58-239B6E49E308}"/>
    <cellStyle name="Normal 8 3 2 2 2 10 2" xfId="17970" xr:uid="{F2E6A4C6-D9C4-4593-A6BE-74C285EC2405}"/>
    <cellStyle name="Normal 8 3 2 2 2 11" xfId="8851" xr:uid="{812B4C97-DF85-490B-98C2-4AA68C99305D}"/>
    <cellStyle name="Normal 8 3 2 2 2 11 2" xfId="18799" xr:uid="{29719FFE-15A1-4BE4-8350-775D388D3F6D}"/>
    <cellStyle name="Normal 8 3 2 2 2 12" xfId="9680" xr:uid="{5A229921-5063-4EBE-AAF5-50A9CA458E81}"/>
    <cellStyle name="Normal 8 3 2 2 2 12 2" xfId="19628" xr:uid="{95681072-51D6-42BC-B225-9057ACD4EE60}"/>
    <cellStyle name="Normal 8 3 2 2 2 13" xfId="10509" xr:uid="{20A60A1A-AB5D-4705-8A4F-9380038766EC}"/>
    <cellStyle name="Normal 8 3 2 2 2 13 2" xfId="20457" xr:uid="{4DFC9957-5EDC-47D4-8F7B-D5E5E206D0CF}"/>
    <cellStyle name="Normal 8 3 2 2 2 14" xfId="1390" xr:uid="{B22CA50C-AD7B-45DD-B75A-C4F45EFDE751}"/>
    <cellStyle name="Normal 8 3 2 2 2 15" xfId="11338" xr:uid="{0BD27928-81B9-425B-BC88-E46C42E6CE66}"/>
    <cellStyle name="Normal 8 3 2 2 2 2" xfId="973" xr:uid="{00000000-0005-0000-0000-000080030000}"/>
    <cellStyle name="Normal 8 3 2 2 2 2 10" xfId="9267" xr:uid="{0668BD33-28F2-43FE-81C1-D7A34172EAC4}"/>
    <cellStyle name="Normal 8 3 2 2 2 2 10 2" xfId="19215" xr:uid="{39628666-3697-48B7-9EF3-D7CDD2F8EC0D}"/>
    <cellStyle name="Normal 8 3 2 2 2 2 11" xfId="10096" xr:uid="{A66DECC4-5514-4000-A3F8-FCABFD412424}"/>
    <cellStyle name="Normal 8 3 2 2 2 2 11 2" xfId="20044" xr:uid="{9E44B882-4A75-488C-AB8D-1E85803D0C9A}"/>
    <cellStyle name="Normal 8 3 2 2 2 2 12" xfId="10925" xr:uid="{4238EDED-CB74-424D-904E-49BC8C7229C9}"/>
    <cellStyle name="Normal 8 3 2 2 2 2 12 2" xfId="20873" xr:uid="{EE4D6E05-9823-49CE-916F-6F6C83A34E34}"/>
    <cellStyle name="Normal 8 3 2 2 2 2 13" xfId="1806" xr:uid="{C5E98D19-C788-4C5F-B9E1-763630330481}"/>
    <cellStyle name="Normal 8 3 2 2 2 2 14" xfId="11754" xr:uid="{5E392DAB-A2D3-43A7-98CD-9CDAB43450D0}"/>
    <cellStyle name="Normal 8 3 2 2 2 2 2" xfId="2635" xr:uid="{B968CCBF-5186-4529-8527-819FCAD5BEAB}"/>
    <cellStyle name="Normal 8 3 2 2 2 2 2 2" xfId="12583" xr:uid="{40AFDBD4-8D16-4FB5-A4F2-3D61FD648B18}"/>
    <cellStyle name="Normal 8 3 2 2 2 2 3" xfId="3464" xr:uid="{9B740034-8052-451D-8AB4-58B006C1611F}"/>
    <cellStyle name="Normal 8 3 2 2 2 2 3 2" xfId="13412" xr:uid="{76081C4E-9C06-489F-84D9-8E42FE2D7A49}"/>
    <cellStyle name="Normal 8 3 2 2 2 2 4" xfId="4293" xr:uid="{39759415-0571-442D-92CB-845691515F74}"/>
    <cellStyle name="Normal 8 3 2 2 2 2 4 2" xfId="14241" xr:uid="{C046975D-A9E3-49CB-AC65-575DF1A2C281}"/>
    <cellStyle name="Normal 8 3 2 2 2 2 5" xfId="5122" xr:uid="{C67BCEA3-EAD7-47AA-AA4E-3EDED9206B40}"/>
    <cellStyle name="Normal 8 3 2 2 2 2 5 2" xfId="15070" xr:uid="{8EB5B492-2076-4050-97E8-2921383E389A}"/>
    <cellStyle name="Normal 8 3 2 2 2 2 6" xfId="5951" xr:uid="{48D831BA-A2C5-4BC2-BDBD-8E7C6C64A353}"/>
    <cellStyle name="Normal 8 3 2 2 2 2 6 2" xfId="15899" xr:uid="{013BFE4C-55CD-4EEA-A278-80F65EAD2951}"/>
    <cellStyle name="Normal 8 3 2 2 2 2 7" xfId="6780" xr:uid="{22252EEA-BB77-4DF2-9E7D-927DCFC0D2F1}"/>
    <cellStyle name="Normal 8 3 2 2 2 2 7 2" xfId="16728" xr:uid="{3F027084-7CB5-46ED-98E9-5FA89350EB9D}"/>
    <cellStyle name="Normal 8 3 2 2 2 2 8" xfId="7609" xr:uid="{EDFC36E9-D805-4363-A0C1-D97A1BBC4AA1}"/>
    <cellStyle name="Normal 8 3 2 2 2 2 8 2" xfId="17557" xr:uid="{6D8C3F29-74A9-4F20-AAE6-C79F775A551B}"/>
    <cellStyle name="Normal 8 3 2 2 2 2 9" xfId="8438" xr:uid="{34339A12-869F-4B98-8D33-A02D22310247}"/>
    <cellStyle name="Normal 8 3 2 2 2 2 9 2" xfId="18386" xr:uid="{1DE2D363-F3BC-49F2-B396-F07A174E8B22}"/>
    <cellStyle name="Normal 8 3 2 2 2 3" xfId="2219" xr:uid="{EF7E6FAA-A4E1-47C3-A5CE-2A5D7748B457}"/>
    <cellStyle name="Normal 8 3 2 2 2 3 2" xfId="12167" xr:uid="{81C84AF0-21FF-46C8-9A1F-EA574FD17455}"/>
    <cellStyle name="Normal 8 3 2 2 2 4" xfId="3048" xr:uid="{AAE9C73F-BB60-4E69-80F9-A9E81198D4F0}"/>
    <cellStyle name="Normal 8 3 2 2 2 4 2" xfId="12996" xr:uid="{E1734C09-DE1D-4DD2-A6AC-7641FCEBD496}"/>
    <cellStyle name="Normal 8 3 2 2 2 5" xfId="3877" xr:uid="{D6E6AFD1-CC16-4302-93B8-25FEECC5335A}"/>
    <cellStyle name="Normal 8 3 2 2 2 5 2" xfId="13825" xr:uid="{AEA13B2B-5A71-47C1-A6FB-DBCC15A818F4}"/>
    <cellStyle name="Normal 8 3 2 2 2 6" xfId="4706" xr:uid="{63D90031-A509-4FB5-9056-02EE1D3BB446}"/>
    <cellStyle name="Normal 8 3 2 2 2 6 2" xfId="14654" xr:uid="{FE2BFD59-DA63-4FB8-9D65-DC44D9138F3A}"/>
    <cellStyle name="Normal 8 3 2 2 2 7" xfId="5535" xr:uid="{FEC03DB2-E8C5-4D27-BDA2-DB0020B8AC3D}"/>
    <cellStyle name="Normal 8 3 2 2 2 7 2" xfId="15483" xr:uid="{70B4BFE3-03F4-4DE8-86CE-CEF495FE48EA}"/>
    <cellStyle name="Normal 8 3 2 2 2 8" xfId="6364" xr:uid="{9366F3BE-7D02-4119-9E98-C996C11E9977}"/>
    <cellStyle name="Normal 8 3 2 2 2 8 2" xfId="16312" xr:uid="{AB500173-4DD0-4FEE-A8F0-2B2B8A24B137}"/>
    <cellStyle name="Normal 8 3 2 2 2 9" xfId="7193" xr:uid="{83F3E067-2854-49B6-811E-55624E711BC5}"/>
    <cellStyle name="Normal 8 3 2 2 2 9 2" xfId="17141" xr:uid="{9D50E060-25AA-4BEE-A86D-4CBDC94F2B30}"/>
    <cellStyle name="Normal 8 3 2 2 3" xfId="972" xr:uid="{00000000-0005-0000-0000-000081030000}"/>
    <cellStyle name="Normal 8 3 2 2 3 10" xfId="9266" xr:uid="{892847F5-93C2-4B10-ABB7-58890E159C55}"/>
    <cellStyle name="Normal 8 3 2 2 3 10 2" xfId="19214" xr:uid="{6C80B7CC-97D9-4811-B28E-A553467B7793}"/>
    <cellStyle name="Normal 8 3 2 2 3 11" xfId="10095" xr:uid="{2F97C950-A0F1-432B-AA6D-3FEA29CDC69E}"/>
    <cellStyle name="Normal 8 3 2 2 3 11 2" xfId="20043" xr:uid="{DF6047E2-17F8-402A-BB9E-6FFC38D02C48}"/>
    <cellStyle name="Normal 8 3 2 2 3 12" xfId="10924" xr:uid="{EFD07CE5-C33B-4B3C-8244-F3B93AEE3AAD}"/>
    <cellStyle name="Normal 8 3 2 2 3 12 2" xfId="20872" xr:uid="{2F72A13C-D5E8-4BB0-AB2A-7DAFDF502B30}"/>
    <cellStyle name="Normal 8 3 2 2 3 13" xfId="1805" xr:uid="{4852DDA3-6A17-4A1A-BF97-FA26DC9B6673}"/>
    <cellStyle name="Normal 8 3 2 2 3 14" xfId="11753" xr:uid="{B4ECF8EA-91FC-46D5-AD9B-0D71AA5966A9}"/>
    <cellStyle name="Normal 8 3 2 2 3 2" xfId="2634" xr:uid="{5EE4FDE2-AC60-4596-A0B6-98F025B5E5E7}"/>
    <cellStyle name="Normal 8 3 2 2 3 2 2" xfId="12582" xr:uid="{A2E966C8-0B3E-402F-BE07-2566BD924F53}"/>
    <cellStyle name="Normal 8 3 2 2 3 3" xfId="3463" xr:uid="{11F77E91-5E28-4563-A223-4821130B71E3}"/>
    <cellStyle name="Normal 8 3 2 2 3 3 2" xfId="13411" xr:uid="{486679E0-B336-4B2C-9CE4-F66705CEFA6C}"/>
    <cellStyle name="Normal 8 3 2 2 3 4" xfId="4292" xr:uid="{07C6B9E9-C8C4-4F66-A910-B8BEC57FA5B6}"/>
    <cellStyle name="Normal 8 3 2 2 3 4 2" xfId="14240" xr:uid="{A1EE691C-EFB8-4349-969B-2C8977F682DC}"/>
    <cellStyle name="Normal 8 3 2 2 3 5" xfId="5121" xr:uid="{20F20F54-2B16-41FF-982C-38309E7D3642}"/>
    <cellStyle name="Normal 8 3 2 2 3 5 2" xfId="15069" xr:uid="{5267075C-4FBB-4CCF-9D22-3C7D64C0C33A}"/>
    <cellStyle name="Normal 8 3 2 2 3 6" xfId="5950" xr:uid="{7132A7CD-14B4-4C8D-A41F-6644B6E9CDFC}"/>
    <cellStyle name="Normal 8 3 2 2 3 6 2" xfId="15898" xr:uid="{A6C259F1-18CC-4C1C-8903-A6F6B8A3A53B}"/>
    <cellStyle name="Normal 8 3 2 2 3 7" xfId="6779" xr:uid="{192AE88E-A578-428C-BF34-714973257E18}"/>
    <cellStyle name="Normal 8 3 2 2 3 7 2" xfId="16727" xr:uid="{A490F337-B9BD-49F5-A8D3-C529751B8B95}"/>
    <cellStyle name="Normal 8 3 2 2 3 8" xfId="7608" xr:uid="{4EF31785-0BD2-4F5B-A686-F7C16AB5315F}"/>
    <cellStyle name="Normal 8 3 2 2 3 8 2" xfId="17556" xr:uid="{71ECAA00-50B2-4BFC-8156-B2C55D03020A}"/>
    <cellStyle name="Normal 8 3 2 2 3 9" xfId="8437" xr:uid="{FEEE8F6F-51D4-4057-A31C-8A229B4A0DA0}"/>
    <cellStyle name="Normal 8 3 2 2 3 9 2" xfId="18385" xr:uid="{930E18EE-BC08-491E-A152-E2A42E2F024B}"/>
    <cellStyle name="Normal 8 3 2 2 4" xfId="2218" xr:uid="{42654BA1-016B-4956-AEFB-1EA7A8C62881}"/>
    <cellStyle name="Normal 8 3 2 2 4 2" xfId="12166" xr:uid="{7A6864FD-DCFD-4EB3-A6A0-B331620D1B0C}"/>
    <cellStyle name="Normal 8 3 2 2 5" xfId="3047" xr:uid="{D9655F1B-9F68-4C6B-9A06-E15E8D3974DD}"/>
    <cellStyle name="Normal 8 3 2 2 5 2" xfId="12995" xr:uid="{AB7BA193-3C58-4194-BFC2-AF3FD2F42F99}"/>
    <cellStyle name="Normal 8 3 2 2 6" xfId="3876" xr:uid="{D8B9F873-B7F9-4129-8A67-013F9CF62125}"/>
    <cellStyle name="Normal 8 3 2 2 6 2" xfId="13824" xr:uid="{F4556946-4BA0-40C0-B94C-C6770A1AC3D8}"/>
    <cellStyle name="Normal 8 3 2 2 7" xfId="4705" xr:uid="{2716A2C4-DA53-4E41-8B12-188BF343FA22}"/>
    <cellStyle name="Normal 8 3 2 2 7 2" xfId="14653" xr:uid="{DD8471D0-B46B-4C03-93DE-6954066F8D6C}"/>
    <cellStyle name="Normal 8 3 2 2 8" xfId="5534" xr:uid="{B85A5BAE-48FE-4A7B-87C9-5158F91C49F0}"/>
    <cellStyle name="Normal 8 3 2 2 8 2" xfId="15482" xr:uid="{7A72C46A-7A9B-4772-9B0C-E88172CEB3AF}"/>
    <cellStyle name="Normal 8 3 2 2 9" xfId="6363" xr:uid="{AF2C570A-C518-4B9F-9D5A-DD0047436832}"/>
    <cellStyle name="Normal 8 3 2 2 9 2" xfId="16311" xr:uid="{3250D03B-6CB2-466A-BBE7-1D52BB63046B}"/>
    <cellStyle name="Normal 8 3 2 3" xfId="502" xr:uid="{00000000-0005-0000-0000-000082030000}"/>
    <cellStyle name="Normal 8 3 2 3 10" xfId="8023" xr:uid="{E1F38FBB-EC1C-45EE-AF18-9A2F610450E0}"/>
    <cellStyle name="Normal 8 3 2 3 10 2" xfId="17971" xr:uid="{631FA530-FD1E-498C-8351-20984789A689}"/>
    <cellStyle name="Normal 8 3 2 3 11" xfId="8852" xr:uid="{7249FD5B-5B40-49A4-A986-E22CEBA75266}"/>
    <cellStyle name="Normal 8 3 2 3 11 2" xfId="18800" xr:uid="{F1C824EE-3D5C-45D6-B8E2-68586104974E}"/>
    <cellStyle name="Normal 8 3 2 3 12" xfId="9681" xr:uid="{34F022DD-B94A-4437-80EA-CBC74EFED0CC}"/>
    <cellStyle name="Normal 8 3 2 3 12 2" xfId="19629" xr:uid="{6F8A7A73-9A5F-4862-BF8B-DB7050CC9231}"/>
    <cellStyle name="Normal 8 3 2 3 13" xfId="10510" xr:uid="{7EA5BB0A-7BFE-4DAF-9A40-681D0CF1F652}"/>
    <cellStyle name="Normal 8 3 2 3 13 2" xfId="20458" xr:uid="{D73BFD01-A1ED-4402-A644-557B25DC5FE1}"/>
    <cellStyle name="Normal 8 3 2 3 14" xfId="1391" xr:uid="{12EEF0D6-D6D8-4519-A37A-1C32A9512CD0}"/>
    <cellStyle name="Normal 8 3 2 3 15" xfId="11339" xr:uid="{650FE0A6-6A1C-4BE9-B21A-CB9FF0636C0A}"/>
    <cellStyle name="Normal 8 3 2 3 2" xfId="974" xr:uid="{00000000-0005-0000-0000-000083030000}"/>
    <cellStyle name="Normal 8 3 2 3 2 10" xfId="9268" xr:uid="{755101CE-8683-41BE-852F-7593416D1DDF}"/>
    <cellStyle name="Normal 8 3 2 3 2 10 2" xfId="19216" xr:uid="{14A49141-4F3D-4C20-9113-7BC597A0F300}"/>
    <cellStyle name="Normal 8 3 2 3 2 11" xfId="10097" xr:uid="{A477D25D-4AAA-497B-8597-D417409CA405}"/>
    <cellStyle name="Normal 8 3 2 3 2 11 2" xfId="20045" xr:uid="{47DC849E-99CA-4B4D-8A50-E8ADC834C9D6}"/>
    <cellStyle name="Normal 8 3 2 3 2 12" xfId="10926" xr:uid="{48481365-8DFC-4A51-8039-DDF3B7947A8D}"/>
    <cellStyle name="Normal 8 3 2 3 2 12 2" xfId="20874" xr:uid="{A71C2789-4FE7-4E1E-BC51-0B29A3F8CE65}"/>
    <cellStyle name="Normal 8 3 2 3 2 13" xfId="1807" xr:uid="{ADD6073A-D07C-42FB-A845-B72E7BFA8F0C}"/>
    <cellStyle name="Normal 8 3 2 3 2 14" xfId="11755" xr:uid="{B7950E42-C8F6-49E3-9F77-2638417B7C25}"/>
    <cellStyle name="Normal 8 3 2 3 2 2" xfId="2636" xr:uid="{546A8B7C-5ABB-4B83-B7BA-C2A066D32C13}"/>
    <cellStyle name="Normal 8 3 2 3 2 2 2" xfId="12584" xr:uid="{59A8E22E-4F9A-435D-B595-9FD9C182BBBB}"/>
    <cellStyle name="Normal 8 3 2 3 2 3" xfId="3465" xr:uid="{B4FA7DFC-1E16-42F6-8476-97B7ED75BA36}"/>
    <cellStyle name="Normal 8 3 2 3 2 3 2" xfId="13413" xr:uid="{C82A2707-EDC0-4288-9DF5-B96D66EC79D0}"/>
    <cellStyle name="Normal 8 3 2 3 2 4" xfId="4294" xr:uid="{12FB0D6E-6CCD-43AD-993B-B24F36BA4C77}"/>
    <cellStyle name="Normal 8 3 2 3 2 4 2" xfId="14242" xr:uid="{5639889B-E982-4794-9AC3-7DAA1B36B32E}"/>
    <cellStyle name="Normal 8 3 2 3 2 5" xfId="5123" xr:uid="{99842646-29E6-47E7-958F-4D82146CB7D7}"/>
    <cellStyle name="Normal 8 3 2 3 2 5 2" xfId="15071" xr:uid="{D277CF42-D6C1-499A-BB49-81BA383DEA8A}"/>
    <cellStyle name="Normal 8 3 2 3 2 6" xfId="5952" xr:uid="{5BF8DA97-B18A-4CDD-A06E-E162C1214806}"/>
    <cellStyle name="Normal 8 3 2 3 2 6 2" xfId="15900" xr:uid="{6FAD4A10-5730-442B-9630-D4F4DDE8AC12}"/>
    <cellStyle name="Normal 8 3 2 3 2 7" xfId="6781" xr:uid="{06F1CAEE-B27E-4961-A486-21DF189C574E}"/>
    <cellStyle name="Normal 8 3 2 3 2 7 2" xfId="16729" xr:uid="{2564D11D-665E-43C8-9BB3-8843E3C83196}"/>
    <cellStyle name="Normal 8 3 2 3 2 8" xfId="7610" xr:uid="{499D785F-DE76-4747-95FC-BB8EF7273278}"/>
    <cellStyle name="Normal 8 3 2 3 2 8 2" xfId="17558" xr:uid="{7BCD6DEA-7840-4F28-8009-22D2E0376A89}"/>
    <cellStyle name="Normal 8 3 2 3 2 9" xfId="8439" xr:uid="{97F9DFAF-1C8C-4E50-B1CC-BB5E255C407D}"/>
    <cellStyle name="Normal 8 3 2 3 2 9 2" xfId="18387" xr:uid="{C18BA08E-A1ED-40B7-B0C4-5C04AD50B273}"/>
    <cellStyle name="Normal 8 3 2 3 3" xfId="2220" xr:uid="{EEF1FBF7-1CBC-4A20-8AB0-3534C531130C}"/>
    <cellStyle name="Normal 8 3 2 3 3 2" xfId="12168" xr:uid="{B18F12B2-1655-4B04-9EC0-32B4A538A837}"/>
    <cellStyle name="Normal 8 3 2 3 4" xfId="3049" xr:uid="{6E648F6B-0429-4DD2-84B7-6D6BADF3BB3A}"/>
    <cellStyle name="Normal 8 3 2 3 4 2" xfId="12997" xr:uid="{81E099E7-52FB-4C50-BB17-7027461F720D}"/>
    <cellStyle name="Normal 8 3 2 3 5" xfId="3878" xr:uid="{0981B76B-56B5-4D99-BE70-024C4B89EB37}"/>
    <cellStyle name="Normal 8 3 2 3 5 2" xfId="13826" xr:uid="{D764E43E-5733-4892-B7A0-D08459B7CA12}"/>
    <cellStyle name="Normal 8 3 2 3 6" xfId="4707" xr:uid="{69D4B69C-7C97-4422-ADC0-F02737A68014}"/>
    <cellStyle name="Normal 8 3 2 3 6 2" xfId="14655" xr:uid="{00252000-E59E-4671-92BB-6B5F8B096595}"/>
    <cellStyle name="Normal 8 3 2 3 7" xfId="5536" xr:uid="{C5127462-FA1C-486D-BFFD-51D8F241186F}"/>
    <cellStyle name="Normal 8 3 2 3 7 2" xfId="15484" xr:uid="{BB3D15C1-8DCE-4398-8289-61A6311EDED9}"/>
    <cellStyle name="Normal 8 3 2 3 8" xfId="6365" xr:uid="{ADD42D4B-9A74-477A-BDFA-6CF79EC0152C}"/>
    <cellStyle name="Normal 8 3 2 3 8 2" xfId="16313" xr:uid="{8575CDBF-5C22-46E4-9777-EC5B9373047B}"/>
    <cellStyle name="Normal 8 3 2 3 9" xfId="7194" xr:uid="{E68D6066-5E29-4D31-9CAA-BDAB88267E00}"/>
    <cellStyle name="Normal 8 3 2 3 9 2" xfId="17142" xr:uid="{FFF759D6-E3AE-4EF3-ACB0-CCA20154A947}"/>
    <cellStyle name="Normal 8 3 2 4" xfId="971" xr:uid="{00000000-0005-0000-0000-000084030000}"/>
    <cellStyle name="Normal 8 3 2 4 10" xfId="9265" xr:uid="{12D2F5CA-1FB9-4DA8-B264-8467DAF67BF5}"/>
    <cellStyle name="Normal 8 3 2 4 10 2" xfId="19213" xr:uid="{1B23EF0C-DF31-4A68-9D5A-A1306DADDD4F}"/>
    <cellStyle name="Normal 8 3 2 4 11" xfId="10094" xr:uid="{5F0F055A-3E66-4B5C-8EDA-89E226D21B60}"/>
    <cellStyle name="Normal 8 3 2 4 11 2" xfId="20042" xr:uid="{DB6C24B1-C353-4BC1-BAC8-5E1DEB0A0921}"/>
    <cellStyle name="Normal 8 3 2 4 12" xfId="10923" xr:uid="{F64B85FC-11C2-4548-BBBD-0F29C421131D}"/>
    <cellStyle name="Normal 8 3 2 4 12 2" xfId="20871" xr:uid="{1CECA95D-B8DE-4379-B9D1-9564FFA19710}"/>
    <cellStyle name="Normal 8 3 2 4 13" xfId="1804" xr:uid="{D3EA80A5-71A1-4E66-BB3A-5F408B9E2A12}"/>
    <cellStyle name="Normal 8 3 2 4 14" xfId="11752" xr:uid="{7D4EA8D7-6F17-4309-AD74-C603A31A2FE6}"/>
    <cellStyle name="Normal 8 3 2 4 2" xfId="2633" xr:uid="{FCB02397-EECC-4336-9889-9BA15AABAE2C}"/>
    <cellStyle name="Normal 8 3 2 4 2 2" xfId="12581" xr:uid="{3B8C6946-2DE9-4EF6-9FD9-7ECCBD5F1577}"/>
    <cellStyle name="Normal 8 3 2 4 3" xfId="3462" xr:uid="{A0A1B09E-930F-4C3A-8361-26D21EF15C47}"/>
    <cellStyle name="Normal 8 3 2 4 3 2" xfId="13410" xr:uid="{EA93848B-AAC5-41B4-A711-81C3C72281FB}"/>
    <cellStyle name="Normal 8 3 2 4 4" xfId="4291" xr:uid="{A6A4F3F6-04C2-4B1E-B300-B80C225B21B4}"/>
    <cellStyle name="Normal 8 3 2 4 4 2" xfId="14239" xr:uid="{11E402EE-8DD7-4F79-BDD4-55F82753976F}"/>
    <cellStyle name="Normal 8 3 2 4 5" xfId="5120" xr:uid="{C48094CA-E9D3-4B7D-AD23-7F91AD1CF8A7}"/>
    <cellStyle name="Normal 8 3 2 4 5 2" xfId="15068" xr:uid="{FA4CA580-F067-4245-9F98-0A680CF9B585}"/>
    <cellStyle name="Normal 8 3 2 4 6" xfId="5949" xr:uid="{964610D4-6897-4F81-9B46-96A191B843B1}"/>
    <cellStyle name="Normal 8 3 2 4 6 2" xfId="15897" xr:uid="{6F12032F-5E0F-4FA8-90E1-5185AA1FACD9}"/>
    <cellStyle name="Normal 8 3 2 4 7" xfId="6778" xr:uid="{8A1F6E7D-EA52-460E-B525-D73A1D1FA6C5}"/>
    <cellStyle name="Normal 8 3 2 4 7 2" xfId="16726" xr:uid="{5BB01EBB-BAE8-4359-B0BA-7087CF318C00}"/>
    <cellStyle name="Normal 8 3 2 4 8" xfId="7607" xr:uid="{EE2789A5-EC81-4AF7-B05D-569DC6518DB2}"/>
    <cellStyle name="Normal 8 3 2 4 8 2" xfId="17555" xr:uid="{69DB656C-6E2B-4930-BF9A-F5650FDB7E0D}"/>
    <cellStyle name="Normal 8 3 2 4 9" xfId="8436" xr:uid="{0171E97A-245B-4AAE-9445-D85CDFBD864D}"/>
    <cellStyle name="Normal 8 3 2 4 9 2" xfId="18384" xr:uid="{4FB62815-33FD-4467-8164-FA213FF4CFD2}"/>
    <cellStyle name="Normal 8 3 2 5" xfId="2217" xr:uid="{BA044041-7BA5-471A-93FC-E03924AE330C}"/>
    <cellStyle name="Normal 8 3 2 5 2" xfId="12165" xr:uid="{4B151DFE-1E4B-45FF-B4D3-0FACE5E3F985}"/>
    <cellStyle name="Normal 8 3 2 6" xfId="3046" xr:uid="{3FA26E5A-1999-482F-94D3-BC41BAEB8FC1}"/>
    <cellStyle name="Normal 8 3 2 6 2" xfId="12994" xr:uid="{D50F06C7-0464-4A52-A651-FE6E9ABB63AB}"/>
    <cellStyle name="Normal 8 3 2 7" xfId="3875" xr:uid="{ACDCB69E-198E-4DAB-A9C7-8BE2D26AD75D}"/>
    <cellStyle name="Normal 8 3 2 7 2" xfId="13823" xr:uid="{90208E7F-8994-4656-ACED-3775B13BBAE5}"/>
    <cellStyle name="Normal 8 3 2 8" xfId="4704" xr:uid="{7CD0AD7A-1742-4E1F-989D-9536CEB7DD0A}"/>
    <cellStyle name="Normal 8 3 2 8 2" xfId="14652" xr:uid="{6BC20394-C770-445A-BDE9-0EE22C7C480E}"/>
    <cellStyle name="Normal 8 3 2 9" xfId="5533" xr:uid="{C19AC84C-A256-41A6-92DE-B4A5A4197639}"/>
    <cellStyle name="Normal 8 3 2 9 2" xfId="15481" xr:uid="{AB9979A6-712A-4662-B0D0-CFFAEBDB4E37}"/>
    <cellStyle name="Normal 8 3 3" xfId="503" xr:uid="{00000000-0005-0000-0000-000085030000}"/>
    <cellStyle name="Normal 8 3 3 10" xfId="7195" xr:uid="{EAB081B8-67CE-412A-9A7D-8A312C2B589B}"/>
    <cellStyle name="Normal 8 3 3 10 2" xfId="17143" xr:uid="{85FA2687-81A4-4DB3-8E70-06F7BCA86542}"/>
    <cellStyle name="Normal 8 3 3 11" xfId="8024" xr:uid="{70306BD4-A88F-4D50-9CFE-365F59CBF968}"/>
    <cellStyle name="Normal 8 3 3 11 2" xfId="17972" xr:uid="{A28B805F-44FE-4EC5-A04F-31A47378A74A}"/>
    <cellStyle name="Normal 8 3 3 12" xfId="8853" xr:uid="{1E1C6B25-3795-4BE2-8A85-963E32B04D27}"/>
    <cellStyle name="Normal 8 3 3 12 2" xfId="18801" xr:uid="{4A2049F5-A821-488B-A83A-C98F7E09BE75}"/>
    <cellStyle name="Normal 8 3 3 13" xfId="9682" xr:uid="{9632E7B5-7685-4CB6-AF76-6F5962D2265B}"/>
    <cellStyle name="Normal 8 3 3 13 2" xfId="19630" xr:uid="{BB0E843B-1C42-4B7F-9CB8-079BBB21606E}"/>
    <cellStyle name="Normal 8 3 3 14" xfId="10511" xr:uid="{891CC98D-400A-4E12-9757-962B31DC0A50}"/>
    <cellStyle name="Normal 8 3 3 14 2" xfId="20459" xr:uid="{CCE143C4-1ECE-4E2E-9A06-030740148A27}"/>
    <cellStyle name="Normal 8 3 3 15" xfId="1392" xr:uid="{4E7B0147-AE98-43A8-BE87-24AA42FB8CF9}"/>
    <cellStyle name="Normal 8 3 3 16" xfId="11340" xr:uid="{942C9580-9115-4D5A-A99E-891F73578DA4}"/>
    <cellStyle name="Normal 8 3 3 2" xfId="504" xr:uid="{00000000-0005-0000-0000-000086030000}"/>
    <cellStyle name="Normal 8 3 3 2 10" xfId="8025" xr:uid="{5DD0EB41-3ECB-4389-B4CC-E27E36DBE8FA}"/>
    <cellStyle name="Normal 8 3 3 2 10 2" xfId="17973" xr:uid="{1D363D47-B10F-4A26-A8AD-660BC48676A8}"/>
    <cellStyle name="Normal 8 3 3 2 11" xfId="8854" xr:uid="{40420D36-4CA8-4C22-B461-2CBE28AA6873}"/>
    <cellStyle name="Normal 8 3 3 2 11 2" xfId="18802" xr:uid="{CDFD0E89-B931-486C-8FC1-E39B8B2C072C}"/>
    <cellStyle name="Normal 8 3 3 2 12" xfId="9683" xr:uid="{79929959-155B-457A-B5E3-6445DEE70C8A}"/>
    <cellStyle name="Normal 8 3 3 2 12 2" xfId="19631" xr:uid="{4B98ECE8-AB0B-44EA-9285-8FAF1BC18D01}"/>
    <cellStyle name="Normal 8 3 3 2 13" xfId="10512" xr:uid="{535B4A48-7E16-4088-AD02-9072597A4B99}"/>
    <cellStyle name="Normal 8 3 3 2 13 2" xfId="20460" xr:uid="{F301AAE9-662E-4E55-B889-7753EE73314F}"/>
    <cellStyle name="Normal 8 3 3 2 14" xfId="1393" xr:uid="{84B08BA7-5ADA-44E3-BC13-D2417B5D5F24}"/>
    <cellStyle name="Normal 8 3 3 2 15" xfId="11341" xr:uid="{A70B73F4-EA07-44E7-866C-9C702F4658AF}"/>
    <cellStyle name="Normal 8 3 3 2 2" xfId="976" xr:uid="{00000000-0005-0000-0000-000087030000}"/>
    <cellStyle name="Normal 8 3 3 2 2 10" xfId="9270" xr:uid="{6AE7FBA0-40F4-490F-A047-395C83299502}"/>
    <cellStyle name="Normal 8 3 3 2 2 10 2" xfId="19218" xr:uid="{BDDEA7F0-C120-41C9-AFAA-6BB074A4A7C4}"/>
    <cellStyle name="Normal 8 3 3 2 2 11" xfId="10099" xr:uid="{D93FEEBE-68A9-47DD-945E-D904F4D41F9B}"/>
    <cellStyle name="Normal 8 3 3 2 2 11 2" xfId="20047" xr:uid="{C4A33138-68F9-4D4F-8706-B916D7BCAF30}"/>
    <cellStyle name="Normal 8 3 3 2 2 12" xfId="10928" xr:uid="{80CD561F-37FF-4216-8E56-1D137346D178}"/>
    <cellStyle name="Normal 8 3 3 2 2 12 2" xfId="20876" xr:uid="{D16F8A6A-0E8B-4E17-A1DF-C2741BE56DE3}"/>
    <cellStyle name="Normal 8 3 3 2 2 13" xfId="1809" xr:uid="{B944CF6D-DE6C-4003-A41F-0756ABB19AF5}"/>
    <cellStyle name="Normal 8 3 3 2 2 14" xfId="11757" xr:uid="{061C229A-4255-45A8-8AF9-B965FAB85D91}"/>
    <cellStyle name="Normal 8 3 3 2 2 2" xfId="2638" xr:uid="{D6DD44DD-BC90-4C2B-841D-4F6527839E48}"/>
    <cellStyle name="Normal 8 3 3 2 2 2 2" xfId="12586" xr:uid="{43CEF8B5-F356-490E-B9F5-73A46EB36ABB}"/>
    <cellStyle name="Normal 8 3 3 2 2 3" xfId="3467" xr:uid="{547C85AE-9190-4A0D-B59F-619FAFCE0BAD}"/>
    <cellStyle name="Normal 8 3 3 2 2 3 2" xfId="13415" xr:uid="{E88024F6-4B46-4CB1-B956-B484EAB68967}"/>
    <cellStyle name="Normal 8 3 3 2 2 4" xfId="4296" xr:uid="{8CDD882F-C714-429E-9459-0E61FCE3C0AA}"/>
    <cellStyle name="Normal 8 3 3 2 2 4 2" xfId="14244" xr:uid="{11E96C63-C7BB-4ECD-93C2-41D5533F12BB}"/>
    <cellStyle name="Normal 8 3 3 2 2 5" xfId="5125" xr:uid="{17F96560-5EF9-4A25-8D16-E9597E899FA4}"/>
    <cellStyle name="Normal 8 3 3 2 2 5 2" xfId="15073" xr:uid="{69DDF1BC-025B-4819-8055-8565742B5502}"/>
    <cellStyle name="Normal 8 3 3 2 2 6" xfId="5954" xr:uid="{34FAC0A2-19B0-42A0-914F-7C7DB0D992E0}"/>
    <cellStyle name="Normal 8 3 3 2 2 6 2" xfId="15902" xr:uid="{1B1439BF-4ED8-4BBB-8473-E6C678AD8C1D}"/>
    <cellStyle name="Normal 8 3 3 2 2 7" xfId="6783" xr:uid="{CDC8855B-746D-40B5-BE6E-D2D0A1C78DDC}"/>
    <cellStyle name="Normal 8 3 3 2 2 7 2" xfId="16731" xr:uid="{99ADB52F-4FA8-44BC-B9E9-F77FD92046C0}"/>
    <cellStyle name="Normal 8 3 3 2 2 8" xfId="7612" xr:uid="{04F45C21-3742-4D5D-AE53-F09EEBCEECFE}"/>
    <cellStyle name="Normal 8 3 3 2 2 8 2" xfId="17560" xr:uid="{FBAE7717-99B6-4F57-B56E-1A3AC634240D}"/>
    <cellStyle name="Normal 8 3 3 2 2 9" xfId="8441" xr:uid="{C7E95546-D3C9-43D9-AE69-8266A3DCE8AE}"/>
    <cellStyle name="Normal 8 3 3 2 2 9 2" xfId="18389" xr:uid="{BB76C7A1-8BA5-4F29-A466-0B89E7ABE17B}"/>
    <cellStyle name="Normal 8 3 3 2 3" xfId="2222" xr:uid="{F5FDA7B2-43D1-4739-AE51-3B795273F6B5}"/>
    <cellStyle name="Normal 8 3 3 2 3 2" xfId="12170" xr:uid="{7805C23F-7219-41DC-971D-62E556F29402}"/>
    <cellStyle name="Normal 8 3 3 2 4" xfId="3051" xr:uid="{136F7AE6-C958-4211-AD83-B3C37D0ADFC3}"/>
    <cellStyle name="Normal 8 3 3 2 4 2" xfId="12999" xr:uid="{AD8BBCE7-00E7-4BF7-A70F-157D4C4A18B0}"/>
    <cellStyle name="Normal 8 3 3 2 5" xfId="3880" xr:uid="{C8286116-8CC7-4652-8E7B-80ECA8D38E32}"/>
    <cellStyle name="Normal 8 3 3 2 5 2" xfId="13828" xr:uid="{957FC323-6BF2-49F8-B6C4-5076F76F9551}"/>
    <cellStyle name="Normal 8 3 3 2 6" xfId="4709" xr:uid="{9A4E9000-4E70-423A-9382-95B7F4F0FB0B}"/>
    <cellStyle name="Normal 8 3 3 2 6 2" xfId="14657" xr:uid="{6FE00503-6056-4280-83D2-8F5CF1CDB577}"/>
    <cellStyle name="Normal 8 3 3 2 7" xfId="5538" xr:uid="{980DEC2B-D04E-4F5B-A5B8-61C8356A69A0}"/>
    <cellStyle name="Normal 8 3 3 2 7 2" xfId="15486" xr:uid="{17EDD87C-C01E-49BD-ACF4-F69A5FA507B9}"/>
    <cellStyle name="Normal 8 3 3 2 8" xfId="6367" xr:uid="{038A8146-321F-4BFB-9EAD-92B8E3A133AB}"/>
    <cellStyle name="Normal 8 3 3 2 8 2" xfId="16315" xr:uid="{CE209104-DC63-465C-BBE4-CDD17920E6FE}"/>
    <cellStyle name="Normal 8 3 3 2 9" xfId="7196" xr:uid="{25CEBF51-669A-46F9-9D67-3926BE617A0B}"/>
    <cellStyle name="Normal 8 3 3 2 9 2" xfId="17144" xr:uid="{D808717B-61A8-470F-AD70-C8469460EC2D}"/>
    <cellStyle name="Normal 8 3 3 3" xfId="975" xr:uid="{00000000-0005-0000-0000-000088030000}"/>
    <cellStyle name="Normal 8 3 3 3 10" xfId="9269" xr:uid="{10AB2E42-3F54-4D51-A9C3-25B2F123A30C}"/>
    <cellStyle name="Normal 8 3 3 3 10 2" xfId="19217" xr:uid="{F9B54825-3E67-4AE7-82AB-4E1AAC9068C2}"/>
    <cellStyle name="Normal 8 3 3 3 11" xfId="10098" xr:uid="{E602775C-BFE3-46B3-9148-A90782ED49BD}"/>
    <cellStyle name="Normal 8 3 3 3 11 2" xfId="20046" xr:uid="{EFBB0182-11FC-4B8F-AA98-54631B6A97C9}"/>
    <cellStyle name="Normal 8 3 3 3 12" xfId="10927" xr:uid="{EFD694B5-D913-40E5-9A48-C13E5B91E43C}"/>
    <cellStyle name="Normal 8 3 3 3 12 2" xfId="20875" xr:uid="{53B31A21-06A5-4E1B-A214-F006B13999EB}"/>
    <cellStyle name="Normal 8 3 3 3 13" xfId="1808" xr:uid="{B4B205B1-5F80-4BC5-9845-3FE379012A93}"/>
    <cellStyle name="Normal 8 3 3 3 14" xfId="11756" xr:uid="{0EA04317-9AEF-42D8-A3BD-4B9A307561D5}"/>
    <cellStyle name="Normal 8 3 3 3 2" xfId="2637" xr:uid="{B4F140E1-29D9-4D43-80B6-955BAB2A6A17}"/>
    <cellStyle name="Normal 8 3 3 3 2 2" xfId="12585" xr:uid="{F19092D4-5AD0-409D-95A3-FA568467C027}"/>
    <cellStyle name="Normal 8 3 3 3 3" xfId="3466" xr:uid="{2AB8D6B1-8905-4333-8AF0-51514B032C1D}"/>
    <cellStyle name="Normal 8 3 3 3 3 2" xfId="13414" xr:uid="{79A78407-E967-4CF9-9830-48E84EB3F53D}"/>
    <cellStyle name="Normal 8 3 3 3 4" xfId="4295" xr:uid="{1BA029B8-154F-4C7E-861E-693E94926BAA}"/>
    <cellStyle name="Normal 8 3 3 3 4 2" xfId="14243" xr:uid="{91A1FF7F-7645-4D79-BBA3-6040A4C6D2E0}"/>
    <cellStyle name="Normal 8 3 3 3 5" xfId="5124" xr:uid="{50CE09E0-3B84-4740-916D-E660B18F0825}"/>
    <cellStyle name="Normal 8 3 3 3 5 2" xfId="15072" xr:uid="{CFFC8590-BA4D-4CD5-B123-83753F15F513}"/>
    <cellStyle name="Normal 8 3 3 3 6" xfId="5953" xr:uid="{40086B90-CD7E-4988-8E9B-7FA458687DCD}"/>
    <cellStyle name="Normal 8 3 3 3 6 2" xfId="15901" xr:uid="{6626FF9E-161D-4CD4-B899-A352BF3655EE}"/>
    <cellStyle name="Normal 8 3 3 3 7" xfId="6782" xr:uid="{295E1940-6037-4AFF-A0DF-9C233324B3AE}"/>
    <cellStyle name="Normal 8 3 3 3 7 2" xfId="16730" xr:uid="{7B62C126-669D-4A7C-92FD-17A0A1EC7A83}"/>
    <cellStyle name="Normal 8 3 3 3 8" xfId="7611" xr:uid="{BE650101-7BF6-4C17-B5FE-BA24073518EC}"/>
    <cellStyle name="Normal 8 3 3 3 8 2" xfId="17559" xr:uid="{CB4A41FD-F81C-44FF-9596-4592965C2BFA}"/>
    <cellStyle name="Normal 8 3 3 3 9" xfId="8440" xr:uid="{D7954671-43CB-49AC-85E0-9DD453D6F496}"/>
    <cellStyle name="Normal 8 3 3 3 9 2" xfId="18388" xr:uid="{B8420EFF-7A74-46CC-8589-C321B76FA864}"/>
    <cellStyle name="Normal 8 3 3 4" xfId="2221" xr:uid="{16FCE6E1-CF79-4AAD-9997-D7EBCD766CFA}"/>
    <cellStyle name="Normal 8 3 3 4 2" xfId="12169" xr:uid="{A405B4EB-D41E-447C-A138-46226F55B437}"/>
    <cellStyle name="Normal 8 3 3 5" xfId="3050" xr:uid="{74D02A98-6D75-4BCF-9A3E-3550BD84FF48}"/>
    <cellStyle name="Normal 8 3 3 5 2" xfId="12998" xr:uid="{D6ECE328-71D4-4794-8A68-8119B478AF0E}"/>
    <cellStyle name="Normal 8 3 3 6" xfId="3879" xr:uid="{6412F919-EB3E-4BEB-B5ED-AA54F42F6C0E}"/>
    <cellStyle name="Normal 8 3 3 6 2" xfId="13827" xr:uid="{39911D95-CE53-4439-A04C-D54E007B6963}"/>
    <cellStyle name="Normal 8 3 3 7" xfId="4708" xr:uid="{845BCF2B-853E-4388-8735-8CD1E09B17F6}"/>
    <cellStyle name="Normal 8 3 3 7 2" xfId="14656" xr:uid="{276615D1-E108-4FC4-9B96-353EF8D47169}"/>
    <cellStyle name="Normal 8 3 3 8" xfId="5537" xr:uid="{13C2779C-EEBB-4287-9E29-50CC3953C572}"/>
    <cellStyle name="Normal 8 3 3 8 2" xfId="15485" xr:uid="{64ABC5CA-91AF-438D-9E6C-E9C7528E451E}"/>
    <cellStyle name="Normal 8 3 3 9" xfId="6366" xr:uid="{6E2056AF-5A74-4C0A-B9BC-DAB1FAF3704D}"/>
    <cellStyle name="Normal 8 3 3 9 2" xfId="16314" xr:uid="{9948B5F1-DA40-4874-8475-DE4E857ABA7C}"/>
    <cellStyle name="Normal 8 3 4" xfId="505" xr:uid="{00000000-0005-0000-0000-000089030000}"/>
    <cellStyle name="Normal 8 3 4 10" xfId="8026" xr:uid="{5FFDDF03-BBFC-436E-A7AF-4B8429DA0A7D}"/>
    <cellStyle name="Normal 8 3 4 10 2" xfId="17974" xr:uid="{B1517FA4-E6B3-4361-95D6-071BBDE750FB}"/>
    <cellStyle name="Normal 8 3 4 11" xfId="8855" xr:uid="{D68FC212-4954-4959-A3D3-54C02803661A}"/>
    <cellStyle name="Normal 8 3 4 11 2" xfId="18803" xr:uid="{E75C137C-027D-4804-B12F-F97BD3CEDC9D}"/>
    <cellStyle name="Normal 8 3 4 12" xfId="9684" xr:uid="{0C1B3DF8-65BD-4340-9799-6291E0A560B9}"/>
    <cellStyle name="Normal 8 3 4 12 2" xfId="19632" xr:uid="{9846273F-049C-44A2-B769-EF67BF111EF0}"/>
    <cellStyle name="Normal 8 3 4 13" xfId="10513" xr:uid="{96E01EC1-116C-455D-BD46-20DA7BF88EDB}"/>
    <cellStyle name="Normal 8 3 4 13 2" xfId="20461" xr:uid="{65095FD8-BC03-4854-9382-B4C93FF41A46}"/>
    <cellStyle name="Normal 8 3 4 14" xfId="1394" xr:uid="{01C1BC2D-7DF7-452C-A927-8D3A4ABADD97}"/>
    <cellStyle name="Normal 8 3 4 15" xfId="11342" xr:uid="{BD8549D8-58AF-4847-B215-89B5F81DAD70}"/>
    <cellStyle name="Normal 8 3 4 2" xfId="977" xr:uid="{00000000-0005-0000-0000-00008A030000}"/>
    <cellStyle name="Normal 8 3 4 2 10" xfId="9271" xr:uid="{00970C27-8E97-4CD6-89F5-A7C1579F4C3D}"/>
    <cellStyle name="Normal 8 3 4 2 10 2" xfId="19219" xr:uid="{9BC7352B-303C-440A-8210-9EF355C1EDB6}"/>
    <cellStyle name="Normal 8 3 4 2 11" xfId="10100" xr:uid="{7C6ACF29-EF8F-4867-A543-E1099B11BCC9}"/>
    <cellStyle name="Normal 8 3 4 2 11 2" xfId="20048" xr:uid="{E52D385D-8148-455F-9B27-A90E8C7E1287}"/>
    <cellStyle name="Normal 8 3 4 2 12" xfId="10929" xr:uid="{F808DC4F-A94C-4499-A90E-9F6298B7C142}"/>
    <cellStyle name="Normal 8 3 4 2 12 2" xfId="20877" xr:uid="{6C7DC4F3-5FF1-47C5-A6AE-A409495A3D52}"/>
    <cellStyle name="Normal 8 3 4 2 13" xfId="1810" xr:uid="{945A6C50-B853-43C1-8F8C-B0D4EB9F3147}"/>
    <cellStyle name="Normal 8 3 4 2 14" xfId="11758" xr:uid="{9E79AC9D-DCB7-4A2C-B943-968247EE7B17}"/>
    <cellStyle name="Normal 8 3 4 2 2" xfId="2639" xr:uid="{15CE037A-BFE8-473F-98AF-306B7F58E112}"/>
    <cellStyle name="Normal 8 3 4 2 2 2" xfId="12587" xr:uid="{0FF83663-7481-4786-8B44-6B77E0046FA6}"/>
    <cellStyle name="Normal 8 3 4 2 3" xfId="3468" xr:uid="{CE705361-A7AA-4D69-9C9B-21755D0D53D1}"/>
    <cellStyle name="Normal 8 3 4 2 3 2" xfId="13416" xr:uid="{092AB33D-232C-44C0-8AF6-7864EE3BBD27}"/>
    <cellStyle name="Normal 8 3 4 2 4" xfId="4297" xr:uid="{B7BCA344-10D2-4F38-8515-DA6407FD4793}"/>
    <cellStyle name="Normal 8 3 4 2 4 2" xfId="14245" xr:uid="{38524599-3401-4651-B175-5862E4A8E60E}"/>
    <cellStyle name="Normal 8 3 4 2 5" xfId="5126" xr:uid="{E734A3DC-13C5-42F2-8B98-50A6338C18AC}"/>
    <cellStyle name="Normal 8 3 4 2 5 2" xfId="15074" xr:uid="{23B36247-381F-47A8-A380-CAFA786759F6}"/>
    <cellStyle name="Normal 8 3 4 2 6" xfId="5955" xr:uid="{20D6717D-6F69-4F48-9B84-2F8E24B4829B}"/>
    <cellStyle name="Normal 8 3 4 2 6 2" xfId="15903" xr:uid="{09600060-595C-4AC4-B6B3-3BB1371BADF6}"/>
    <cellStyle name="Normal 8 3 4 2 7" xfId="6784" xr:uid="{662227A7-80F9-4D13-A29C-CF404D63ED26}"/>
    <cellStyle name="Normal 8 3 4 2 7 2" xfId="16732" xr:uid="{3B794E80-2A56-4134-B6AE-DAE176840477}"/>
    <cellStyle name="Normal 8 3 4 2 8" xfId="7613" xr:uid="{49B7F127-145D-4425-8060-86E316104AC4}"/>
    <cellStyle name="Normal 8 3 4 2 8 2" xfId="17561" xr:uid="{C1B21C88-1592-419C-9EFE-C18D7280EBEE}"/>
    <cellStyle name="Normal 8 3 4 2 9" xfId="8442" xr:uid="{EC30D295-60D3-4B50-B540-F56736689289}"/>
    <cellStyle name="Normal 8 3 4 2 9 2" xfId="18390" xr:uid="{46E89033-33D4-4E8C-9C98-471F2038EC22}"/>
    <cellStyle name="Normal 8 3 4 3" xfId="2223" xr:uid="{76E5AD08-15BA-49AC-8500-DEFD371A45E7}"/>
    <cellStyle name="Normal 8 3 4 3 2" xfId="12171" xr:uid="{1F876CAE-C82D-4BC4-A179-6402E9C16112}"/>
    <cellStyle name="Normal 8 3 4 4" xfId="3052" xr:uid="{F19D3927-A236-4682-9910-205BA02A69E8}"/>
    <cellStyle name="Normal 8 3 4 4 2" xfId="13000" xr:uid="{CD5F0460-103E-4BF5-A75B-FA1ED79AC622}"/>
    <cellStyle name="Normal 8 3 4 5" xfId="3881" xr:uid="{92542883-FFB4-4C06-9A07-0D35960A0139}"/>
    <cellStyle name="Normal 8 3 4 5 2" xfId="13829" xr:uid="{713B2CAE-454D-42BB-A980-5C721DA7BB21}"/>
    <cellStyle name="Normal 8 3 4 6" xfId="4710" xr:uid="{0899E6F5-BDB1-45F8-A217-5B256DDA60EE}"/>
    <cellStyle name="Normal 8 3 4 6 2" xfId="14658" xr:uid="{112F2AF4-6E4C-4477-94A1-D0C1EA045353}"/>
    <cellStyle name="Normal 8 3 4 7" xfId="5539" xr:uid="{9ED97751-77D9-4A5E-88E2-97D4450AC920}"/>
    <cellStyle name="Normal 8 3 4 7 2" xfId="15487" xr:uid="{4631A50B-B198-4FBE-9C40-2FA6250CB95E}"/>
    <cellStyle name="Normal 8 3 4 8" xfId="6368" xr:uid="{3BDC9257-1E7C-49E0-98D9-ADD9A4788EF3}"/>
    <cellStyle name="Normal 8 3 4 8 2" xfId="16316" xr:uid="{20A8E7CC-9CE6-4805-99D2-F8A38AB8EC0D}"/>
    <cellStyle name="Normal 8 3 4 9" xfId="7197" xr:uid="{06502CE1-1100-423D-9EB8-CEE414A99BDA}"/>
    <cellStyle name="Normal 8 3 4 9 2" xfId="17145" xr:uid="{171B2C4A-587D-4E22-A492-32DF9F348ECD}"/>
    <cellStyle name="Normal 8 3 5" xfId="970" xr:uid="{00000000-0005-0000-0000-00008B030000}"/>
    <cellStyle name="Normal 8 3 5 10" xfId="9264" xr:uid="{B528A5EF-A1F1-40A3-94FB-049DE53593EB}"/>
    <cellStyle name="Normal 8 3 5 10 2" xfId="19212" xr:uid="{369B2EBC-8F36-42EC-BC79-D6AD0878F3D6}"/>
    <cellStyle name="Normal 8 3 5 11" xfId="10093" xr:uid="{6CA662E8-4B3F-49A7-BDFB-FBB8B325A9C2}"/>
    <cellStyle name="Normal 8 3 5 11 2" xfId="20041" xr:uid="{FF29301C-77C2-4EBB-9856-7301E621114D}"/>
    <cellStyle name="Normal 8 3 5 12" xfId="10922" xr:uid="{2A051DCC-B6A4-4ABE-878F-808855A0D31F}"/>
    <cellStyle name="Normal 8 3 5 12 2" xfId="20870" xr:uid="{196EC290-69DF-4BF3-A37C-41C31D452EBE}"/>
    <cellStyle name="Normal 8 3 5 13" xfId="1803" xr:uid="{3DBC3E76-0BCE-42F8-9F36-0040FAE1AA27}"/>
    <cellStyle name="Normal 8 3 5 14" xfId="11751" xr:uid="{6D0EEAEC-4531-4785-AA53-21F93EA75BB5}"/>
    <cellStyle name="Normal 8 3 5 2" xfId="2632" xr:uid="{6FB0FD35-B564-4E90-A4B3-F3E0AB1CF9A7}"/>
    <cellStyle name="Normal 8 3 5 2 2" xfId="12580" xr:uid="{A4EF4667-1043-4F2A-8524-FD311D5F6D2E}"/>
    <cellStyle name="Normal 8 3 5 3" xfId="3461" xr:uid="{7C9C7279-5BE6-4459-A9BD-3A7F1335E9DB}"/>
    <cellStyle name="Normal 8 3 5 3 2" xfId="13409" xr:uid="{C4DA30E4-9D70-4F6E-974F-329D0EC6E6BE}"/>
    <cellStyle name="Normal 8 3 5 4" xfId="4290" xr:uid="{CA7675B4-C54D-4D7E-9CA1-61DDDF08A62A}"/>
    <cellStyle name="Normal 8 3 5 4 2" xfId="14238" xr:uid="{28B2B3CC-6B38-4A08-ADCF-8F58C148EDD3}"/>
    <cellStyle name="Normal 8 3 5 5" xfId="5119" xr:uid="{A6DEF65F-E1AC-44CD-8429-73559A685889}"/>
    <cellStyle name="Normal 8 3 5 5 2" xfId="15067" xr:uid="{B63168DA-A28B-4A0A-B934-A0512B3B78CE}"/>
    <cellStyle name="Normal 8 3 5 6" xfId="5948" xr:uid="{02368603-082D-4778-B5E1-243C3B169C3D}"/>
    <cellStyle name="Normal 8 3 5 6 2" xfId="15896" xr:uid="{A0E7BF1B-D472-49E8-9B52-02328DF69AAA}"/>
    <cellStyle name="Normal 8 3 5 7" xfId="6777" xr:uid="{5B4D167B-51BB-47AC-9B00-16274AD2EB94}"/>
    <cellStyle name="Normal 8 3 5 7 2" xfId="16725" xr:uid="{B29B8530-28EA-4BEB-BC7F-005E0F768DC0}"/>
    <cellStyle name="Normal 8 3 5 8" xfId="7606" xr:uid="{0A530DAC-AF03-48E1-927C-68B85619E5B3}"/>
    <cellStyle name="Normal 8 3 5 8 2" xfId="17554" xr:uid="{667E93BE-2631-4CED-89B7-E1AE69A54922}"/>
    <cellStyle name="Normal 8 3 5 9" xfId="8435" xr:uid="{EEDB3FB6-B0E6-4E6A-9468-0B8A59B86390}"/>
    <cellStyle name="Normal 8 3 5 9 2" xfId="18383" xr:uid="{97923833-CD80-4BD5-8D83-130F3F2E82D6}"/>
    <cellStyle name="Normal 8 3 6" xfId="2216" xr:uid="{DD23A491-1A8B-4E23-9F54-A4DE02BCE49A}"/>
    <cellStyle name="Normal 8 3 6 2" xfId="12164" xr:uid="{BC9DC36F-0F02-4DDD-8196-B8E12050087F}"/>
    <cellStyle name="Normal 8 3 7" xfId="3045" xr:uid="{FE76B549-FB4F-476B-ACED-55698E94FFB5}"/>
    <cellStyle name="Normal 8 3 7 2" xfId="12993" xr:uid="{F57D8BC1-A1B4-410E-B814-2D0F0B600E1E}"/>
    <cellStyle name="Normal 8 3 8" xfId="3874" xr:uid="{5806E843-6438-454A-A6FD-DBE3A18DB4C1}"/>
    <cellStyle name="Normal 8 3 8 2" xfId="13822" xr:uid="{9BBA2A54-D953-4958-8C45-D892514C2B26}"/>
    <cellStyle name="Normal 8 3 9" xfId="4703" xr:uid="{03610440-90D1-4B07-9277-CA201E95DB7C}"/>
    <cellStyle name="Normal 8 3 9 2" xfId="14651" xr:uid="{E5B122FD-E0DA-4018-85EB-D3DC31A58EE0}"/>
    <cellStyle name="Normal 8 4" xfId="506" xr:uid="{00000000-0005-0000-0000-00008C030000}"/>
    <cellStyle name="Normal 8 4 10" xfId="6369" xr:uid="{3087D8F8-5469-4531-8346-AF56F511245F}"/>
    <cellStyle name="Normal 8 4 10 2" xfId="16317" xr:uid="{4A11ECF2-560D-493B-9092-7EBCF40B9002}"/>
    <cellStyle name="Normal 8 4 11" xfId="7198" xr:uid="{F3AD8C20-FA4A-4DCA-9788-8A3723920957}"/>
    <cellStyle name="Normal 8 4 11 2" xfId="17146" xr:uid="{FCC17A68-0CF9-4CB3-8D68-9BD68713447A}"/>
    <cellStyle name="Normal 8 4 12" xfId="8027" xr:uid="{FCDF3820-B818-4C4C-A966-B8219A3B2660}"/>
    <cellStyle name="Normal 8 4 12 2" xfId="17975" xr:uid="{8FA56344-F6E6-4303-8FAE-A4FC5B4C07C8}"/>
    <cellStyle name="Normal 8 4 13" xfId="8856" xr:uid="{4C86FC87-67D6-41FB-828E-9A31C2BA77EB}"/>
    <cellStyle name="Normal 8 4 13 2" xfId="18804" xr:uid="{F9173FEC-2CD6-405E-B176-946B6F2D5308}"/>
    <cellStyle name="Normal 8 4 14" xfId="9685" xr:uid="{552E0AAF-688D-419A-8F5C-42C0A267A13D}"/>
    <cellStyle name="Normal 8 4 14 2" xfId="19633" xr:uid="{5CC9BE00-E5B7-4B14-A6AC-E418A1A10FB1}"/>
    <cellStyle name="Normal 8 4 15" xfId="10514" xr:uid="{F3B10103-0C49-4D52-A6CD-8C370D11BAB9}"/>
    <cellStyle name="Normal 8 4 15 2" xfId="20462" xr:uid="{16DD2C6C-5027-4B68-B3C5-A5A7D6D155A5}"/>
    <cellStyle name="Normal 8 4 16" xfId="1395" xr:uid="{51097958-C698-47A6-88CE-50ED315E0B8D}"/>
    <cellStyle name="Normal 8 4 17" xfId="11343" xr:uid="{E9925211-6B37-4156-959E-6F68C3DBFE93}"/>
    <cellStyle name="Normal 8 4 2" xfId="507" xr:uid="{00000000-0005-0000-0000-00008D030000}"/>
    <cellStyle name="Normal 8 4 2 10" xfId="7199" xr:uid="{9D30EC75-4962-4668-A4FF-0EC223A9F19C}"/>
    <cellStyle name="Normal 8 4 2 10 2" xfId="17147" xr:uid="{E55C3A7C-F72E-4619-B40B-F91C3C09F57A}"/>
    <cellStyle name="Normal 8 4 2 11" xfId="8028" xr:uid="{EA916E4E-89A4-4E8A-A49F-D43D612E47EE}"/>
    <cellStyle name="Normal 8 4 2 11 2" xfId="17976" xr:uid="{5DDD1783-E8D2-4BAC-B49A-BADA23A398B7}"/>
    <cellStyle name="Normal 8 4 2 12" xfId="8857" xr:uid="{8B8A4FB9-31C6-4E11-9228-586796FF2AFE}"/>
    <cellStyle name="Normal 8 4 2 12 2" xfId="18805" xr:uid="{64E08434-EFD5-42B8-BEFF-199BE876BAC1}"/>
    <cellStyle name="Normal 8 4 2 13" xfId="9686" xr:uid="{EEA2E16D-1C46-4D16-B189-30385F0F9E96}"/>
    <cellStyle name="Normal 8 4 2 13 2" xfId="19634" xr:uid="{944E8E93-F7E3-4765-BCD9-11CEB4D17E0C}"/>
    <cellStyle name="Normal 8 4 2 14" xfId="10515" xr:uid="{953054E4-3CDA-4D50-8D25-C5F22221D434}"/>
    <cellStyle name="Normal 8 4 2 14 2" xfId="20463" xr:uid="{1AA51B7C-F190-44C3-8025-D0DDE71126B0}"/>
    <cellStyle name="Normal 8 4 2 15" xfId="1396" xr:uid="{5E02CE9A-B361-4D4C-BBC5-CC8FFA5C587D}"/>
    <cellStyle name="Normal 8 4 2 16" xfId="11344" xr:uid="{B94B94DD-06D0-4A88-8063-286DBE5E7E20}"/>
    <cellStyle name="Normal 8 4 2 2" xfId="508" xr:uid="{00000000-0005-0000-0000-00008E030000}"/>
    <cellStyle name="Normal 8 4 2 2 10" xfId="8029" xr:uid="{FBD40178-C9A3-495B-AA0B-EB4F6E73B336}"/>
    <cellStyle name="Normal 8 4 2 2 10 2" xfId="17977" xr:uid="{BB9E208A-562D-4290-B001-CC1AE910723F}"/>
    <cellStyle name="Normal 8 4 2 2 11" xfId="8858" xr:uid="{9502DC54-5F39-451E-A7E6-16BF2A203F5E}"/>
    <cellStyle name="Normal 8 4 2 2 11 2" xfId="18806" xr:uid="{90ADB6C5-BB13-4368-8C44-0B759E44984E}"/>
    <cellStyle name="Normal 8 4 2 2 12" xfId="9687" xr:uid="{8B489C1F-7373-42C4-93B5-A80442515231}"/>
    <cellStyle name="Normal 8 4 2 2 12 2" xfId="19635" xr:uid="{DAE7F7E9-E81E-47A5-9345-0DE56C72EFB2}"/>
    <cellStyle name="Normal 8 4 2 2 13" xfId="10516" xr:uid="{0D778D81-9421-41DF-A71E-A10FE8389DC2}"/>
    <cellStyle name="Normal 8 4 2 2 13 2" xfId="20464" xr:uid="{EABD37DD-7485-495B-A563-8E0D026C080B}"/>
    <cellStyle name="Normal 8 4 2 2 14" xfId="1397" xr:uid="{F47A1876-C6DD-493C-8C67-CBF8EA67D8E3}"/>
    <cellStyle name="Normal 8 4 2 2 15" xfId="11345" xr:uid="{FE959D28-12E3-48E8-ADE1-4C4EE1AA79BC}"/>
    <cellStyle name="Normal 8 4 2 2 2" xfId="980" xr:uid="{00000000-0005-0000-0000-00008F030000}"/>
    <cellStyle name="Normal 8 4 2 2 2 10" xfId="9274" xr:uid="{FA7A11F8-9C8B-4763-95B0-E96762767FDC}"/>
    <cellStyle name="Normal 8 4 2 2 2 10 2" xfId="19222" xr:uid="{F0FB6DE3-A7D4-4CE8-9441-619EFAC6C354}"/>
    <cellStyle name="Normal 8 4 2 2 2 11" xfId="10103" xr:uid="{BA7BB675-70A0-416D-A6A1-4114981728FC}"/>
    <cellStyle name="Normal 8 4 2 2 2 11 2" xfId="20051" xr:uid="{4A17FBB0-D50B-4936-82E5-D7FAFE6019EE}"/>
    <cellStyle name="Normal 8 4 2 2 2 12" xfId="10932" xr:uid="{66B2488E-5CDB-4010-AE4F-FEED6D2B5B97}"/>
    <cellStyle name="Normal 8 4 2 2 2 12 2" xfId="20880" xr:uid="{A6E46683-554B-4AD9-B61A-945978A3C14A}"/>
    <cellStyle name="Normal 8 4 2 2 2 13" xfId="1813" xr:uid="{271FA46F-98E1-4028-970E-D04D761A2A87}"/>
    <cellStyle name="Normal 8 4 2 2 2 14" xfId="11761" xr:uid="{1AAA02E4-DC81-41C6-B5DF-FA9958BFF693}"/>
    <cellStyle name="Normal 8 4 2 2 2 2" xfId="2642" xr:uid="{A065DD98-93AE-4569-B69E-0DA9693D517E}"/>
    <cellStyle name="Normal 8 4 2 2 2 2 2" xfId="12590" xr:uid="{FD3FE945-16D1-4F0D-8D05-FCFAB2D55283}"/>
    <cellStyle name="Normal 8 4 2 2 2 3" xfId="3471" xr:uid="{14C546F0-32D8-4651-B2F2-8BA80EFFC17B}"/>
    <cellStyle name="Normal 8 4 2 2 2 3 2" xfId="13419" xr:uid="{7909AAB4-B23A-409A-9147-DF0480BCB35B}"/>
    <cellStyle name="Normal 8 4 2 2 2 4" xfId="4300" xr:uid="{CD221643-242D-432A-A83D-FABC9A8E6597}"/>
    <cellStyle name="Normal 8 4 2 2 2 4 2" xfId="14248" xr:uid="{BFC68D2F-8814-40E7-A3ED-00CD36DF8247}"/>
    <cellStyle name="Normal 8 4 2 2 2 5" xfId="5129" xr:uid="{C8BA1069-0CA3-4F98-B510-7A487AB50E7C}"/>
    <cellStyle name="Normal 8 4 2 2 2 5 2" xfId="15077" xr:uid="{8A8F0892-5169-430B-8E74-BE507C7F7C99}"/>
    <cellStyle name="Normal 8 4 2 2 2 6" xfId="5958" xr:uid="{776AB530-9A73-45DF-BD06-481CE30C0C82}"/>
    <cellStyle name="Normal 8 4 2 2 2 6 2" xfId="15906" xr:uid="{DF52DE63-6660-4285-9C1F-D71DB7CC97F1}"/>
    <cellStyle name="Normal 8 4 2 2 2 7" xfId="6787" xr:uid="{56EF2D68-00F7-4BFB-94F9-ED00A699A96E}"/>
    <cellStyle name="Normal 8 4 2 2 2 7 2" xfId="16735" xr:uid="{C09477C6-96ED-460C-9CF0-D4C4EFA26FB8}"/>
    <cellStyle name="Normal 8 4 2 2 2 8" xfId="7616" xr:uid="{8840D752-B409-4BE4-9875-A7F100E17547}"/>
    <cellStyle name="Normal 8 4 2 2 2 8 2" xfId="17564" xr:uid="{009115DB-FDE3-4BAF-9760-CEDCC1B9B2D9}"/>
    <cellStyle name="Normal 8 4 2 2 2 9" xfId="8445" xr:uid="{A6F3D7D5-B893-42A5-AFC4-31576B3173BD}"/>
    <cellStyle name="Normal 8 4 2 2 2 9 2" xfId="18393" xr:uid="{B148276C-73E9-4D31-84F7-281B979A3990}"/>
    <cellStyle name="Normal 8 4 2 2 3" xfId="2226" xr:uid="{8FE60892-73A1-429B-9B58-0C1339D72377}"/>
    <cellStyle name="Normal 8 4 2 2 3 2" xfId="12174" xr:uid="{B9107B6E-70C9-4467-83A1-6B482714A800}"/>
    <cellStyle name="Normal 8 4 2 2 4" xfId="3055" xr:uid="{D44F30DA-2AE6-4179-A558-D32692E4E979}"/>
    <cellStyle name="Normal 8 4 2 2 4 2" xfId="13003" xr:uid="{C1842077-4793-41A5-850B-A52E3EC40217}"/>
    <cellStyle name="Normal 8 4 2 2 5" xfId="3884" xr:uid="{26B20D64-1180-4DF7-B225-1EDA07EB2B82}"/>
    <cellStyle name="Normal 8 4 2 2 5 2" xfId="13832" xr:uid="{E64C7464-457F-40A9-9C80-120739811E0C}"/>
    <cellStyle name="Normal 8 4 2 2 6" xfId="4713" xr:uid="{D3E8FD78-F9FE-4E28-A50E-03B2F1D26C4C}"/>
    <cellStyle name="Normal 8 4 2 2 6 2" xfId="14661" xr:uid="{800648C9-AFD6-480C-88B7-9E1DCBED1FAE}"/>
    <cellStyle name="Normal 8 4 2 2 7" xfId="5542" xr:uid="{2B8FA5BC-0A5B-4D7A-82CA-69374C5A0C62}"/>
    <cellStyle name="Normal 8 4 2 2 7 2" xfId="15490" xr:uid="{71B10A8E-7A0A-450F-B1A3-2C5E5E029EE6}"/>
    <cellStyle name="Normal 8 4 2 2 8" xfId="6371" xr:uid="{AB198435-4796-478F-9EFF-1FF3E7C1E79A}"/>
    <cellStyle name="Normal 8 4 2 2 8 2" xfId="16319" xr:uid="{D735AAAC-BC74-499C-B838-49F907C36473}"/>
    <cellStyle name="Normal 8 4 2 2 9" xfId="7200" xr:uid="{B143ED25-9159-4AD9-882B-6BED561CC69E}"/>
    <cellStyle name="Normal 8 4 2 2 9 2" xfId="17148" xr:uid="{B990586E-913F-423A-9A23-D21C7119F05F}"/>
    <cellStyle name="Normal 8 4 2 3" xfId="979" xr:uid="{00000000-0005-0000-0000-000090030000}"/>
    <cellStyle name="Normal 8 4 2 3 10" xfId="9273" xr:uid="{BCF8D716-3458-483A-9E83-AE080D0321EB}"/>
    <cellStyle name="Normal 8 4 2 3 10 2" xfId="19221" xr:uid="{38BE6B08-048F-453F-BE97-E80D95BD2C31}"/>
    <cellStyle name="Normal 8 4 2 3 11" xfId="10102" xr:uid="{15EEC101-B5A9-460A-AA31-E56411426C20}"/>
    <cellStyle name="Normal 8 4 2 3 11 2" xfId="20050" xr:uid="{E8B13961-2084-4F1E-AEFA-8CB531E17F17}"/>
    <cellStyle name="Normal 8 4 2 3 12" xfId="10931" xr:uid="{908B6218-BDDF-46BB-834A-753642BC27F8}"/>
    <cellStyle name="Normal 8 4 2 3 12 2" xfId="20879" xr:uid="{A0679F09-4086-4871-9B8D-301C020B125C}"/>
    <cellStyle name="Normal 8 4 2 3 13" xfId="1812" xr:uid="{8B44EE53-1635-43F9-B964-AF1D103EF6C6}"/>
    <cellStyle name="Normal 8 4 2 3 14" xfId="11760" xr:uid="{B589F18D-139F-4FDB-82B8-EE6300E1C316}"/>
    <cellStyle name="Normal 8 4 2 3 2" xfId="2641" xr:uid="{14CCC56F-8B62-4266-8C3E-E8C9CFE678BF}"/>
    <cellStyle name="Normal 8 4 2 3 2 2" xfId="12589" xr:uid="{121C57A5-6A32-4408-89F1-F90460348F6E}"/>
    <cellStyle name="Normal 8 4 2 3 3" xfId="3470" xr:uid="{443C48D4-5C68-4238-A8A4-59A7D0F37A38}"/>
    <cellStyle name="Normal 8 4 2 3 3 2" xfId="13418" xr:uid="{BEBAE6B8-1C85-4F76-8FB3-E2D5B2C66D36}"/>
    <cellStyle name="Normal 8 4 2 3 4" xfId="4299" xr:uid="{1AA6F74F-8039-4B51-B9F2-965EACD57CB8}"/>
    <cellStyle name="Normal 8 4 2 3 4 2" xfId="14247" xr:uid="{32855D6C-445E-4CFD-955E-BC6308256171}"/>
    <cellStyle name="Normal 8 4 2 3 5" xfId="5128" xr:uid="{8CE31F92-0860-4FFD-8BEB-09F96E6ECBE4}"/>
    <cellStyle name="Normal 8 4 2 3 5 2" xfId="15076" xr:uid="{E8D8A469-35E6-4EFF-84BE-20F710444879}"/>
    <cellStyle name="Normal 8 4 2 3 6" xfId="5957" xr:uid="{AAE9CD3C-46B7-4C97-9E46-E4DB6BEC5BEF}"/>
    <cellStyle name="Normal 8 4 2 3 6 2" xfId="15905" xr:uid="{2EA0FE32-EFCD-41B4-BB7D-C09FE47B82B4}"/>
    <cellStyle name="Normal 8 4 2 3 7" xfId="6786" xr:uid="{B15B7BFD-8209-432B-A78E-DCFDF8F558E5}"/>
    <cellStyle name="Normal 8 4 2 3 7 2" xfId="16734" xr:uid="{ED285D09-BC26-44B2-8757-68A85647153B}"/>
    <cellStyle name="Normal 8 4 2 3 8" xfId="7615" xr:uid="{CD87C6C0-ED4B-4F62-9C4B-6BC5E4B423AA}"/>
    <cellStyle name="Normal 8 4 2 3 8 2" xfId="17563" xr:uid="{C5E5E6A4-B283-44D7-8792-0B0EDA5B8AA3}"/>
    <cellStyle name="Normal 8 4 2 3 9" xfId="8444" xr:uid="{2D3D479F-7049-4747-9B47-D1403F593EB8}"/>
    <cellStyle name="Normal 8 4 2 3 9 2" xfId="18392" xr:uid="{AEC82594-27D0-4043-8767-3501B8FEE667}"/>
    <cellStyle name="Normal 8 4 2 4" xfId="2225" xr:uid="{D1FA6DE6-37EB-4227-9249-EA8EA17AE9B9}"/>
    <cellStyle name="Normal 8 4 2 4 2" xfId="12173" xr:uid="{DAB9C88C-6134-4AC8-B2FF-A0B3EE7E854D}"/>
    <cellStyle name="Normal 8 4 2 5" xfId="3054" xr:uid="{0227C837-E7EE-401D-A86F-639301371E4E}"/>
    <cellStyle name="Normal 8 4 2 5 2" xfId="13002" xr:uid="{F17FD28A-1691-445F-8A66-2DBFAC6055F9}"/>
    <cellStyle name="Normal 8 4 2 6" xfId="3883" xr:uid="{4AD00539-1DD3-4B62-A697-5296BCBB893F}"/>
    <cellStyle name="Normal 8 4 2 6 2" xfId="13831" xr:uid="{DF730E9E-41D5-4B20-94DF-EE7F3FA517AA}"/>
    <cellStyle name="Normal 8 4 2 7" xfId="4712" xr:uid="{333CA120-ABA3-49DF-9A35-B6AA60FAE755}"/>
    <cellStyle name="Normal 8 4 2 7 2" xfId="14660" xr:uid="{9A3A84B4-E504-45B0-82E0-BAD16C7F014D}"/>
    <cellStyle name="Normal 8 4 2 8" xfId="5541" xr:uid="{EC09889D-0397-4D5F-AA55-9CC954542F40}"/>
    <cellStyle name="Normal 8 4 2 8 2" xfId="15489" xr:uid="{F5902B98-30BA-45FC-B763-507119F7AC89}"/>
    <cellStyle name="Normal 8 4 2 9" xfId="6370" xr:uid="{C4CDBCA7-94CC-4EFA-9B6B-46CEAE53C947}"/>
    <cellStyle name="Normal 8 4 2 9 2" xfId="16318" xr:uid="{0F7A4571-B51E-4256-BF3A-35E69B549DC6}"/>
    <cellStyle name="Normal 8 4 3" xfId="509" xr:uid="{00000000-0005-0000-0000-000091030000}"/>
    <cellStyle name="Normal 8 4 3 10" xfId="8030" xr:uid="{130E1D19-4A5C-4738-9277-0BC499B45B66}"/>
    <cellStyle name="Normal 8 4 3 10 2" xfId="17978" xr:uid="{FD6E5FBF-BDD1-4838-9A08-4156E8B34195}"/>
    <cellStyle name="Normal 8 4 3 11" xfId="8859" xr:uid="{06E6DF4C-1943-4F57-9C12-95050F0DBA66}"/>
    <cellStyle name="Normal 8 4 3 11 2" xfId="18807" xr:uid="{604F0D31-597A-40BD-B682-EBF29D662A4C}"/>
    <cellStyle name="Normal 8 4 3 12" xfId="9688" xr:uid="{E4B28057-7CD5-4B92-A551-129B374368CA}"/>
    <cellStyle name="Normal 8 4 3 12 2" xfId="19636" xr:uid="{18614603-B529-4846-B2E9-001D5B169889}"/>
    <cellStyle name="Normal 8 4 3 13" xfId="10517" xr:uid="{D6A12736-9C3D-48B5-BFE9-AA6A850C54B2}"/>
    <cellStyle name="Normal 8 4 3 13 2" xfId="20465" xr:uid="{80F90CAD-C0CA-46E9-AA69-3D2C233EE77B}"/>
    <cellStyle name="Normal 8 4 3 14" xfId="1398" xr:uid="{93639B43-D73D-4C4A-8622-8A271F539B63}"/>
    <cellStyle name="Normal 8 4 3 15" xfId="11346" xr:uid="{42299F32-618D-4585-A6DB-F518714DD972}"/>
    <cellStyle name="Normal 8 4 3 2" xfId="981" xr:uid="{00000000-0005-0000-0000-000092030000}"/>
    <cellStyle name="Normal 8 4 3 2 10" xfId="9275" xr:uid="{6FCE0D01-DD1A-4D5B-B544-4CD8757D6E11}"/>
    <cellStyle name="Normal 8 4 3 2 10 2" xfId="19223" xr:uid="{098E128C-B55D-404D-809F-B0258DA0A535}"/>
    <cellStyle name="Normal 8 4 3 2 11" xfId="10104" xr:uid="{E62E75AD-00D0-47C5-ABAE-783CB58332AB}"/>
    <cellStyle name="Normal 8 4 3 2 11 2" xfId="20052" xr:uid="{E34EA553-FA7D-45F0-9968-B20FD761DA79}"/>
    <cellStyle name="Normal 8 4 3 2 12" xfId="10933" xr:uid="{4AD46059-3063-4B56-BA24-37B25B6C394C}"/>
    <cellStyle name="Normal 8 4 3 2 12 2" xfId="20881" xr:uid="{84BF0045-4FBB-44BC-949F-640874221765}"/>
    <cellStyle name="Normal 8 4 3 2 13" xfId="1814" xr:uid="{CBA142E9-E637-4354-9612-FBB69FC8069F}"/>
    <cellStyle name="Normal 8 4 3 2 14" xfId="11762" xr:uid="{475D42D0-1B3F-4CAA-B519-34726F557C21}"/>
    <cellStyle name="Normal 8 4 3 2 2" xfId="2643" xr:uid="{D703C883-414E-4D20-BF63-4C6CAF68058F}"/>
    <cellStyle name="Normal 8 4 3 2 2 2" xfId="12591" xr:uid="{52B4BC1C-1F3D-4B0C-AD2A-47009A66CFBB}"/>
    <cellStyle name="Normal 8 4 3 2 3" xfId="3472" xr:uid="{842D75F3-2B1C-4A4E-ABF6-E29BC1BC78EA}"/>
    <cellStyle name="Normal 8 4 3 2 3 2" xfId="13420" xr:uid="{39DEB79F-3EE7-4E6E-8153-FCF910975B68}"/>
    <cellStyle name="Normal 8 4 3 2 4" xfId="4301" xr:uid="{99A5E4C8-EC83-4614-AAA8-2BCFCCDA64AF}"/>
    <cellStyle name="Normal 8 4 3 2 4 2" xfId="14249" xr:uid="{A26E86AF-2F9F-4CAE-8FAD-721BD1FEBDFB}"/>
    <cellStyle name="Normal 8 4 3 2 5" xfId="5130" xr:uid="{3A431D2A-4F57-4C44-B6EB-64303B572C5F}"/>
    <cellStyle name="Normal 8 4 3 2 5 2" xfId="15078" xr:uid="{D8C77B9E-A07F-41C0-8182-5521334384C8}"/>
    <cellStyle name="Normal 8 4 3 2 6" xfId="5959" xr:uid="{DDDB5E7C-7857-4A81-BD29-8986FFE76245}"/>
    <cellStyle name="Normal 8 4 3 2 6 2" xfId="15907" xr:uid="{4394F825-FA64-42BA-BF48-CC623D27A041}"/>
    <cellStyle name="Normal 8 4 3 2 7" xfId="6788" xr:uid="{7E3EAC14-7920-420C-90D9-9E7ED45E623F}"/>
    <cellStyle name="Normal 8 4 3 2 7 2" xfId="16736" xr:uid="{CF44FC64-33E6-4705-BA3F-3C6F670F2BA4}"/>
    <cellStyle name="Normal 8 4 3 2 8" xfId="7617" xr:uid="{FB0C69EC-28D8-4664-A80E-04BE34F4DE48}"/>
    <cellStyle name="Normal 8 4 3 2 8 2" xfId="17565" xr:uid="{1B72BADE-89C3-419C-9906-C9639449AB04}"/>
    <cellStyle name="Normal 8 4 3 2 9" xfId="8446" xr:uid="{EFB49610-F024-4545-B263-43229F4B864C}"/>
    <cellStyle name="Normal 8 4 3 2 9 2" xfId="18394" xr:uid="{D743BD06-742F-4DD6-AD17-BECAFAEA4788}"/>
    <cellStyle name="Normal 8 4 3 3" xfId="2227" xr:uid="{23804787-C76E-421B-92CE-FA2C99615A21}"/>
    <cellStyle name="Normal 8 4 3 3 2" xfId="12175" xr:uid="{BCA77189-141E-46A5-A24C-B39D1AD6301A}"/>
    <cellStyle name="Normal 8 4 3 4" xfId="3056" xr:uid="{CEB33BCA-2838-46F7-8781-459729645FDF}"/>
    <cellStyle name="Normal 8 4 3 4 2" xfId="13004" xr:uid="{41923E98-3A39-4F18-ACD8-8F3FE444344C}"/>
    <cellStyle name="Normal 8 4 3 5" xfId="3885" xr:uid="{DD6269A4-843E-4BD5-821D-9B473A067031}"/>
    <cellStyle name="Normal 8 4 3 5 2" xfId="13833" xr:uid="{B7E53ABF-4699-45F5-86B0-2BBDDD19893C}"/>
    <cellStyle name="Normal 8 4 3 6" xfId="4714" xr:uid="{17CCBE2A-425F-47F6-B756-BB9DAE474CEB}"/>
    <cellStyle name="Normal 8 4 3 6 2" xfId="14662" xr:uid="{E2B59C83-7040-43DC-808D-813781209EDF}"/>
    <cellStyle name="Normal 8 4 3 7" xfId="5543" xr:uid="{A3BBA701-10D2-44BC-B9CE-FC7DB03FC1CD}"/>
    <cellStyle name="Normal 8 4 3 7 2" xfId="15491" xr:uid="{2C9D4AD4-67DB-4E95-AB25-B28E8DB182EB}"/>
    <cellStyle name="Normal 8 4 3 8" xfId="6372" xr:uid="{319B159A-D0C5-4C66-A0E8-3D14E1D792A4}"/>
    <cellStyle name="Normal 8 4 3 8 2" xfId="16320" xr:uid="{6910BC2E-CA19-4B13-A10D-830474BD27CF}"/>
    <cellStyle name="Normal 8 4 3 9" xfId="7201" xr:uid="{CF8DC7F7-9DCD-4F2C-820C-6F671025DA6C}"/>
    <cellStyle name="Normal 8 4 3 9 2" xfId="17149" xr:uid="{523F2362-B183-498A-9479-F1C450C2DFFC}"/>
    <cellStyle name="Normal 8 4 4" xfId="978" xr:uid="{00000000-0005-0000-0000-000093030000}"/>
    <cellStyle name="Normal 8 4 4 10" xfId="9272" xr:uid="{69BD0DCF-F8C3-42AC-A673-4ED946745C74}"/>
    <cellStyle name="Normal 8 4 4 10 2" xfId="19220" xr:uid="{F8847BAD-3ED5-4C7A-8B3D-EB892B6D76E1}"/>
    <cellStyle name="Normal 8 4 4 11" xfId="10101" xr:uid="{21677CD3-64D0-4C49-9CDC-257FB3B600B2}"/>
    <cellStyle name="Normal 8 4 4 11 2" xfId="20049" xr:uid="{4AE54DC4-AFB2-4ED9-9FEA-CD6D8D038118}"/>
    <cellStyle name="Normal 8 4 4 12" xfId="10930" xr:uid="{EE51476C-1965-4AAB-88DA-1F8B4DA5901D}"/>
    <cellStyle name="Normal 8 4 4 12 2" xfId="20878" xr:uid="{6665E51D-FED9-4C44-91AF-373F0E8FC300}"/>
    <cellStyle name="Normal 8 4 4 13" xfId="1811" xr:uid="{8A9CC0D6-6891-4AB0-8195-29957B256DAA}"/>
    <cellStyle name="Normal 8 4 4 14" xfId="11759" xr:uid="{0D070385-9CF7-4DEC-AA9E-41B168CAB47B}"/>
    <cellStyle name="Normal 8 4 4 2" xfId="2640" xr:uid="{86EF03B6-BCDA-44CD-8528-AACDFE180B5D}"/>
    <cellStyle name="Normal 8 4 4 2 2" xfId="12588" xr:uid="{FB5A96CC-8B2F-4D4C-9368-76A65E8B73AF}"/>
    <cellStyle name="Normal 8 4 4 3" xfId="3469" xr:uid="{5A492409-6689-4913-85A2-71E99ECA414F}"/>
    <cellStyle name="Normal 8 4 4 3 2" xfId="13417" xr:uid="{BD645B3A-3F15-48D9-9641-1F6E55DECFBD}"/>
    <cellStyle name="Normal 8 4 4 4" xfId="4298" xr:uid="{47B979B0-CBD3-4399-B716-0B8974F74A73}"/>
    <cellStyle name="Normal 8 4 4 4 2" xfId="14246" xr:uid="{BC60F78E-DA55-46DD-96C5-B8794883278D}"/>
    <cellStyle name="Normal 8 4 4 5" xfId="5127" xr:uid="{3B97568B-7C9C-4DDA-BAEA-135ADB875520}"/>
    <cellStyle name="Normal 8 4 4 5 2" xfId="15075" xr:uid="{1285AADA-8A29-48A9-AFBE-584CF667FCDB}"/>
    <cellStyle name="Normal 8 4 4 6" xfId="5956" xr:uid="{FF52FEBD-7D1B-4378-920E-7EC959671C5B}"/>
    <cellStyle name="Normal 8 4 4 6 2" xfId="15904" xr:uid="{32162775-A332-47C2-BD9B-71931C158B06}"/>
    <cellStyle name="Normal 8 4 4 7" xfId="6785" xr:uid="{30E94FA3-9221-4168-892D-F07EFDC3B20C}"/>
    <cellStyle name="Normal 8 4 4 7 2" xfId="16733" xr:uid="{E8D72707-A405-421B-A194-4E749B2BD411}"/>
    <cellStyle name="Normal 8 4 4 8" xfId="7614" xr:uid="{BC327055-E01C-42DA-9F6F-C1C954524535}"/>
    <cellStyle name="Normal 8 4 4 8 2" xfId="17562" xr:uid="{A79398B3-2A34-4C92-A7F4-C62BC53D834C}"/>
    <cellStyle name="Normal 8 4 4 9" xfId="8443" xr:uid="{B4BB7D0D-2B9A-488E-9BDE-F31023892572}"/>
    <cellStyle name="Normal 8 4 4 9 2" xfId="18391" xr:uid="{7A49DA63-DA15-4D12-8135-5705F8D3383C}"/>
    <cellStyle name="Normal 8 4 5" xfId="2224" xr:uid="{C788C4D7-E1B7-493A-8FA1-F9790E9CB775}"/>
    <cellStyle name="Normal 8 4 5 2" xfId="12172" xr:uid="{4E16ECE6-5B4F-4758-95C1-D0433307BD08}"/>
    <cellStyle name="Normal 8 4 6" xfId="3053" xr:uid="{AB1E7EB0-F580-48C3-9BCD-6B4BAA193EAF}"/>
    <cellStyle name="Normal 8 4 6 2" xfId="13001" xr:uid="{F13B488B-64D0-42E2-898A-737062111928}"/>
    <cellStyle name="Normal 8 4 7" xfId="3882" xr:uid="{E661CB3A-D475-4737-813F-733F7746F91B}"/>
    <cellStyle name="Normal 8 4 7 2" xfId="13830" xr:uid="{8BA47F79-28BD-4932-8B97-4AA35D372F9A}"/>
    <cellStyle name="Normal 8 4 8" xfId="4711" xr:uid="{F1DDF29A-1AF5-4E74-A980-5ECED257C859}"/>
    <cellStyle name="Normal 8 4 8 2" xfId="14659" xr:uid="{A8006A91-FA39-4216-AD00-ADF486805020}"/>
    <cellStyle name="Normal 8 4 9" xfId="5540" xr:uid="{F12C506A-3441-4B30-83E5-0254DE192C86}"/>
    <cellStyle name="Normal 8 4 9 2" xfId="15488" xr:uid="{9F569BB7-23B4-4E06-A346-4E8723C4842D}"/>
    <cellStyle name="Normal 8 5" xfId="510" xr:uid="{00000000-0005-0000-0000-000094030000}"/>
    <cellStyle name="Normal 8 5 10" xfId="7202" xr:uid="{6C0D3670-CD61-4309-ACE8-23F60A2CB899}"/>
    <cellStyle name="Normal 8 5 10 2" xfId="17150" xr:uid="{B95CC574-4CEE-4EBC-90CE-6C8B503075BE}"/>
    <cellStyle name="Normal 8 5 11" xfId="8031" xr:uid="{F0F69B81-D170-4965-8C75-5613BE63A972}"/>
    <cellStyle name="Normal 8 5 11 2" xfId="17979" xr:uid="{EEB1A464-7D40-40B9-B3DA-FF3F7BAEED69}"/>
    <cellStyle name="Normal 8 5 12" xfId="8860" xr:uid="{68216E89-0981-46D0-9AC5-F55310A3FB3C}"/>
    <cellStyle name="Normal 8 5 12 2" xfId="18808" xr:uid="{7CD81215-FF5E-4880-9E6A-289132684483}"/>
    <cellStyle name="Normal 8 5 13" xfId="9689" xr:uid="{ECA1A9DB-D2F7-4D36-8528-883A96663030}"/>
    <cellStyle name="Normal 8 5 13 2" xfId="19637" xr:uid="{C7D8E642-3210-419A-A928-5EFFD8EAE723}"/>
    <cellStyle name="Normal 8 5 14" xfId="10518" xr:uid="{3E6A1F41-2C14-4F92-A983-7EE8E35BA3D5}"/>
    <cellStyle name="Normal 8 5 14 2" xfId="20466" xr:uid="{E80CAB43-6490-4FEA-954A-07495FE27672}"/>
    <cellStyle name="Normal 8 5 15" xfId="1399" xr:uid="{885252DD-8EF2-44CF-9DBE-4F0CEA7E5C5B}"/>
    <cellStyle name="Normal 8 5 16" xfId="11347" xr:uid="{84DCAF78-6713-4FA6-9C8C-1560FC42C2CE}"/>
    <cellStyle name="Normal 8 5 2" xfId="511" xr:uid="{00000000-0005-0000-0000-000095030000}"/>
    <cellStyle name="Normal 8 5 2 10" xfId="8032" xr:uid="{9D6F61CA-6DD9-47E3-9F57-9B0506C8C9FF}"/>
    <cellStyle name="Normal 8 5 2 10 2" xfId="17980" xr:uid="{092F2FE2-BB75-4B31-80CB-0DF7347B1563}"/>
    <cellStyle name="Normal 8 5 2 11" xfId="8861" xr:uid="{A9ECA0D9-358F-406B-9E20-6AE3D19ABDDA}"/>
    <cellStyle name="Normal 8 5 2 11 2" xfId="18809" xr:uid="{04B5EE00-24D5-4371-AB11-2080C0C3EA0D}"/>
    <cellStyle name="Normal 8 5 2 12" xfId="9690" xr:uid="{7499C33E-7F17-4DB9-AC8D-67B9CEF36E0D}"/>
    <cellStyle name="Normal 8 5 2 12 2" xfId="19638" xr:uid="{EFFE3734-DD6E-41C5-9100-F33FA4F94430}"/>
    <cellStyle name="Normal 8 5 2 13" xfId="10519" xr:uid="{8E707E7C-D76F-429B-95E2-CFDC632C3C62}"/>
    <cellStyle name="Normal 8 5 2 13 2" xfId="20467" xr:uid="{FC031640-7263-4B9D-8428-BE6F40F96760}"/>
    <cellStyle name="Normal 8 5 2 14" xfId="1400" xr:uid="{E65C4322-C0FC-453B-B2B8-427E9FFD3FF3}"/>
    <cellStyle name="Normal 8 5 2 15" xfId="11348" xr:uid="{F280E46F-DDAF-4424-BD76-CE85AE7A4C4B}"/>
    <cellStyle name="Normal 8 5 2 2" xfId="983" xr:uid="{00000000-0005-0000-0000-000096030000}"/>
    <cellStyle name="Normal 8 5 2 2 10" xfId="9277" xr:uid="{19E2418C-DD6E-4AF6-B672-EAFC68F91D33}"/>
    <cellStyle name="Normal 8 5 2 2 10 2" xfId="19225" xr:uid="{DCDFBC74-DF71-4BC1-A26A-C1E2973C052E}"/>
    <cellStyle name="Normal 8 5 2 2 11" xfId="10106" xr:uid="{39BF8337-DF54-45F6-86D9-B7518C8DAD3E}"/>
    <cellStyle name="Normal 8 5 2 2 11 2" xfId="20054" xr:uid="{707BFF94-E852-4C1E-B3CA-823E5A3197EE}"/>
    <cellStyle name="Normal 8 5 2 2 12" xfId="10935" xr:uid="{6BC38256-0AC5-48D4-93E2-4602282387D0}"/>
    <cellStyle name="Normal 8 5 2 2 12 2" xfId="20883" xr:uid="{810D5064-D038-4720-A444-15156237C2D2}"/>
    <cellStyle name="Normal 8 5 2 2 13" xfId="1816" xr:uid="{CFEE70F0-A7DF-4D9D-8DE9-724EF70120C1}"/>
    <cellStyle name="Normal 8 5 2 2 14" xfId="11764" xr:uid="{A9536A55-5A2C-4A3B-8842-4A80E4441EB0}"/>
    <cellStyle name="Normal 8 5 2 2 2" xfId="2645" xr:uid="{AF8B81C0-22C8-44A0-89FD-A2BF07B37709}"/>
    <cellStyle name="Normal 8 5 2 2 2 2" xfId="12593" xr:uid="{EB83F985-9E8A-4990-8FCD-8774E394037D}"/>
    <cellStyle name="Normal 8 5 2 2 3" xfId="3474" xr:uid="{9FEC7894-1BF2-42F8-8656-8BE63E464EAB}"/>
    <cellStyle name="Normal 8 5 2 2 3 2" xfId="13422" xr:uid="{19589521-4498-44FE-B2F8-3C14D956013E}"/>
    <cellStyle name="Normal 8 5 2 2 4" xfId="4303" xr:uid="{89D80198-3F9A-4BC1-B116-721B42D9837F}"/>
    <cellStyle name="Normal 8 5 2 2 4 2" xfId="14251" xr:uid="{54126C15-3372-4B87-9125-826AD1CEEAEB}"/>
    <cellStyle name="Normal 8 5 2 2 5" xfId="5132" xr:uid="{57BE7FE7-B188-4301-AFA8-005252CF6CEF}"/>
    <cellStyle name="Normal 8 5 2 2 5 2" xfId="15080" xr:uid="{C1C20233-8B31-43C1-97D8-9144570FC832}"/>
    <cellStyle name="Normal 8 5 2 2 6" xfId="5961" xr:uid="{DC621F22-1501-4534-942C-EFFD1610CCD7}"/>
    <cellStyle name="Normal 8 5 2 2 6 2" xfId="15909" xr:uid="{897C772F-046A-4C88-8FCF-AB84DB3E07FD}"/>
    <cellStyle name="Normal 8 5 2 2 7" xfId="6790" xr:uid="{9DF72BE9-7614-4D88-9437-C3577DE59CE6}"/>
    <cellStyle name="Normal 8 5 2 2 7 2" xfId="16738" xr:uid="{84C7D774-9531-400A-A446-6E4CEA2BDECB}"/>
    <cellStyle name="Normal 8 5 2 2 8" xfId="7619" xr:uid="{43DE13C8-DB88-499C-977A-BBBEF76A5EF9}"/>
    <cellStyle name="Normal 8 5 2 2 8 2" xfId="17567" xr:uid="{50BDB47A-A487-41C7-B15F-ED3C1F977139}"/>
    <cellStyle name="Normal 8 5 2 2 9" xfId="8448" xr:uid="{B12421C8-71E6-41F5-AC28-0EA8D7C9CD47}"/>
    <cellStyle name="Normal 8 5 2 2 9 2" xfId="18396" xr:uid="{FA33D39F-00BA-4F90-8C17-38F051ED2B6E}"/>
    <cellStyle name="Normal 8 5 2 3" xfId="2229" xr:uid="{E214D94D-038A-4C7F-8181-8F64D68D8CEC}"/>
    <cellStyle name="Normal 8 5 2 3 2" xfId="12177" xr:uid="{02EC53AA-49A7-4E85-AE7B-08C80535013A}"/>
    <cellStyle name="Normal 8 5 2 4" xfId="3058" xr:uid="{671ACE02-069C-4F6C-9917-2358DAEC3ADF}"/>
    <cellStyle name="Normal 8 5 2 4 2" xfId="13006" xr:uid="{65F5D850-07C3-464E-84CC-8D6E3EF3C662}"/>
    <cellStyle name="Normal 8 5 2 5" xfId="3887" xr:uid="{1B0A5BEA-DC03-4003-8E03-101F404B41AB}"/>
    <cellStyle name="Normal 8 5 2 5 2" xfId="13835" xr:uid="{C9150AB3-7C47-4217-B0F1-3A48A9A533F6}"/>
    <cellStyle name="Normal 8 5 2 6" xfId="4716" xr:uid="{714DF19D-4161-429F-AA23-6A43E0C03924}"/>
    <cellStyle name="Normal 8 5 2 6 2" xfId="14664" xr:uid="{F8DADC02-C76E-4751-8400-5AA7688E6B5A}"/>
    <cellStyle name="Normal 8 5 2 7" xfId="5545" xr:uid="{4ED3FF99-598A-4174-8E1F-2520D9B6758A}"/>
    <cellStyle name="Normal 8 5 2 7 2" xfId="15493" xr:uid="{D409F29C-9FC3-4D75-98F5-5968497B7625}"/>
    <cellStyle name="Normal 8 5 2 8" xfId="6374" xr:uid="{330B73F3-4898-4994-A014-B3E258201757}"/>
    <cellStyle name="Normal 8 5 2 8 2" xfId="16322" xr:uid="{12781EEB-8DB4-4B92-82EC-C6E5FAB4B94B}"/>
    <cellStyle name="Normal 8 5 2 9" xfId="7203" xr:uid="{0245274E-1702-4604-A68C-B4C4B1D9F24D}"/>
    <cellStyle name="Normal 8 5 2 9 2" xfId="17151" xr:uid="{3ECE41EB-21D2-4D3A-ADB3-F5D3ED7DE4E4}"/>
    <cellStyle name="Normal 8 5 3" xfId="982" xr:uid="{00000000-0005-0000-0000-000097030000}"/>
    <cellStyle name="Normal 8 5 3 10" xfId="9276" xr:uid="{54406FE7-E935-43D4-9EFF-3CFE22C1E5E7}"/>
    <cellStyle name="Normal 8 5 3 10 2" xfId="19224" xr:uid="{3F0A0DF5-A845-469E-9B43-EC854F9A80F6}"/>
    <cellStyle name="Normal 8 5 3 11" xfId="10105" xr:uid="{2D379CD5-2F7F-4C3C-B1EE-A34FC27D1D72}"/>
    <cellStyle name="Normal 8 5 3 11 2" xfId="20053" xr:uid="{CB7F0989-3926-43E4-8A7B-DAA0F6ECD7EB}"/>
    <cellStyle name="Normal 8 5 3 12" xfId="10934" xr:uid="{6A6A0108-A7A5-4DFB-803D-8720063679D3}"/>
    <cellStyle name="Normal 8 5 3 12 2" xfId="20882" xr:uid="{3F4E35A1-205C-4BBB-B191-7BA8F0CD1848}"/>
    <cellStyle name="Normal 8 5 3 13" xfId="1815" xr:uid="{814DE561-B5C1-4DFC-BF14-D9E8321FCC08}"/>
    <cellStyle name="Normal 8 5 3 14" xfId="11763" xr:uid="{8B731BAB-0C4C-48E8-98E2-E452CF7FE5C3}"/>
    <cellStyle name="Normal 8 5 3 2" xfId="2644" xr:uid="{6128AC3A-EFB5-4206-9937-5DA539198842}"/>
    <cellStyle name="Normal 8 5 3 2 2" xfId="12592" xr:uid="{36BF9C9C-0DF7-41EA-82A4-368C59F370F3}"/>
    <cellStyle name="Normal 8 5 3 3" xfId="3473" xr:uid="{E48458E5-5929-4C4F-8A12-07E36707C548}"/>
    <cellStyle name="Normal 8 5 3 3 2" xfId="13421" xr:uid="{47666F65-5762-4942-BFFE-8677FE367598}"/>
    <cellStyle name="Normal 8 5 3 4" xfId="4302" xr:uid="{BD7CD5FE-5503-494E-9608-E9B447BEEC22}"/>
    <cellStyle name="Normal 8 5 3 4 2" xfId="14250" xr:uid="{9F97F474-D8D2-49F2-BED3-1ECC4E14CB1B}"/>
    <cellStyle name="Normal 8 5 3 5" xfId="5131" xr:uid="{728A7116-C812-465F-B6A8-4F40341558B4}"/>
    <cellStyle name="Normal 8 5 3 5 2" xfId="15079" xr:uid="{573EC7E3-28E3-499B-B2C3-8070F7121F3A}"/>
    <cellStyle name="Normal 8 5 3 6" xfId="5960" xr:uid="{8E6749B1-753A-445F-8ED3-60EA5C4E5513}"/>
    <cellStyle name="Normal 8 5 3 6 2" xfId="15908" xr:uid="{DDD343E3-4758-4652-BCE0-AC9119DEC2BA}"/>
    <cellStyle name="Normal 8 5 3 7" xfId="6789" xr:uid="{B2E9E4B7-3ABF-4F8B-B2D9-D908901E97E6}"/>
    <cellStyle name="Normal 8 5 3 7 2" xfId="16737" xr:uid="{7731B7E1-3166-4EC3-92EF-0BC66BE8C63C}"/>
    <cellStyle name="Normal 8 5 3 8" xfId="7618" xr:uid="{4B7986A1-76E8-4CAF-A9D6-B03D9E4C9533}"/>
    <cellStyle name="Normal 8 5 3 8 2" xfId="17566" xr:uid="{22616EB0-84C2-42C2-944B-80F6BF0EF69B}"/>
    <cellStyle name="Normal 8 5 3 9" xfId="8447" xr:uid="{D16D16D9-C6E2-4C46-B17D-317B7950FF1C}"/>
    <cellStyle name="Normal 8 5 3 9 2" xfId="18395" xr:uid="{41790E64-60FB-4D09-9001-8456870EFE05}"/>
    <cellStyle name="Normal 8 5 4" xfId="2228" xr:uid="{7CB81C25-31F3-4598-B04F-F362661EB807}"/>
    <cellStyle name="Normal 8 5 4 2" xfId="12176" xr:uid="{B12C8E62-370D-45E8-84AF-3C6162684742}"/>
    <cellStyle name="Normal 8 5 5" xfId="3057" xr:uid="{A67FB1E6-8F9A-416A-B946-EA585F7FD9B1}"/>
    <cellStyle name="Normal 8 5 5 2" xfId="13005" xr:uid="{DF9F1C9B-E8E5-452D-82A8-10BE213EDC5E}"/>
    <cellStyle name="Normal 8 5 6" xfId="3886" xr:uid="{128C4B37-F29D-446B-B6B7-6CAB6E1EA24E}"/>
    <cellStyle name="Normal 8 5 6 2" xfId="13834" xr:uid="{84E9AF8C-DD33-4AE2-A7D7-3081517C053F}"/>
    <cellStyle name="Normal 8 5 7" xfId="4715" xr:uid="{5D10CA1E-CC91-46A3-A905-E5C5576A88D2}"/>
    <cellStyle name="Normal 8 5 7 2" xfId="14663" xr:uid="{D068D696-CBF3-4B3E-B761-67F5B1EEDAC6}"/>
    <cellStyle name="Normal 8 5 8" xfId="5544" xr:uid="{B3C2F4E2-EA26-40C9-88E0-9F0C603C06CD}"/>
    <cellStyle name="Normal 8 5 8 2" xfId="15492" xr:uid="{17136542-7134-4A9D-9636-B473B099E5E9}"/>
    <cellStyle name="Normal 8 5 9" xfId="6373" xr:uid="{986488F1-9CBD-4B94-9619-C1CD81F60156}"/>
    <cellStyle name="Normal 8 5 9 2" xfId="16321" xr:uid="{203B84EA-DD9F-40B9-B3F6-ADDEFA92C329}"/>
    <cellStyle name="Normal 8 6" xfId="512" xr:uid="{00000000-0005-0000-0000-000098030000}"/>
    <cellStyle name="Normal 8 6 10" xfId="8033" xr:uid="{F339B759-2690-4C04-950F-BCA8A3C8086C}"/>
    <cellStyle name="Normal 8 6 10 2" xfId="17981" xr:uid="{9397AA7B-EB2C-4136-866F-1F110FFD13D0}"/>
    <cellStyle name="Normal 8 6 11" xfId="8862" xr:uid="{03BE0EA3-6EEB-4A05-B2CF-A26A1C73A40E}"/>
    <cellStyle name="Normal 8 6 11 2" xfId="18810" xr:uid="{0010A750-C6FE-4439-B6CA-40CC92C07760}"/>
    <cellStyle name="Normal 8 6 12" xfId="9691" xr:uid="{BAD404E8-AD66-4BEA-B940-B329561B92CC}"/>
    <cellStyle name="Normal 8 6 12 2" xfId="19639" xr:uid="{BA6C9906-1DB5-47F3-9426-3C756F529667}"/>
    <cellStyle name="Normal 8 6 13" xfId="10520" xr:uid="{229E91BA-ED68-4CC2-BC8E-30BADAD8F86C}"/>
    <cellStyle name="Normal 8 6 13 2" xfId="20468" xr:uid="{E86D75E5-2CC8-47C5-AF94-10B4A2799670}"/>
    <cellStyle name="Normal 8 6 14" xfId="1401" xr:uid="{8CF3BF5E-5AD1-461D-94E9-5506A2187DA7}"/>
    <cellStyle name="Normal 8 6 15" xfId="11349" xr:uid="{6C21C503-4766-4A50-A920-3884FFC6B8C1}"/>
    <cellStyle name="Normal 8 6 2" xfId="984" xr:uid="{00000000-0005-0000-0000-000099030000}"/>
    <cellStyle name="Normal 8 6 2 10" xfId="9278" xr:uid="{A485A7B5-3E7F-4393-9FED-99C8F6005858}"/>
    <cellStyle name="Normal 8 6 2 10 2" xfId="19226" xr:uid="{68BEF0A9-E06B-4587-9DE2-96B75E92D46C}"/>
    <cellStyle name="Normal 8 6 2 11" xfId="10107" xr:uid="{BB027557-0BF2-4F69-8018-BA86F8FD774B}"/>
    <cellStyle name="Normal 8 6 2 11 2" xfId="20055" xr:uid="{52D79DAF-3FE9-483C-A6B6-5136B941654C}"/>
    <cellStyle name="Normal 8 6 2 12" xfId="10936" xr:uid="{458674BB-B2C5-41F2-ABAE-41F2AB7CFD68}"/>
    <cellStyle name="Normal 8 6 2 12 2" xfId="20884" xr:uid="{19A0CA56-43D5-47DF-99C6-44E2272949FA}"/>
    <cellStyle name="Normal 8 6 2 13" xfId="1817" xr:uid="{B60F0674-86E6-4965-8B38-2A6033DE1743}"/>
    <cellStyle name="Normal 8 6 2 14" xfId="11765" xr:uid="{98A69D09-07AA-4E4F-A9A4-F9D84CCB1A55}"/>
    <cellStyle name="Normal 8 6 2 2" xfId="2646" xr:uid="{545ACFBD-0D14-43B2-A45F-3B70465D040E}"/>
    <cellStyle name="Normal 8 6 2 2 2" xfId="12594" xr:uid="{994BFE40-7AA2-4865-B2B8-FF32DDE81032}"/>
    <cellStyle name="Normal 8 6 2 3" xfId="3475" xr:uid="{A7A48DE5-CB57-453B-8C58-B06AD5B9B62F}"/>
    <cellStyle name="Normal 8 6 2 3 2" xfId="13423" xr:uid="{06D79989-A03D-4310-BD65-73DD022A6C74}"/>
    <cellStyle name="Normal 8 6 2 4" xfId="4304" xr:uid="{2FF795EC-B8E3-4EA6-972F-12C20EC483C4}"/>
    <cellStyle name="Normal 8 6 2 4 2" xfId="14252" xr:uid="{EACB32B2-A166-44E4-A36A-422D58248E1A}"/>
    <cellStyle name="Normal 8 6 2 5" xfId="5133" xr:uid="{8790192D-AA52-42A6-A0DD-D45069230301}"/>
    <cellStyle name="Normal 8 6 2 5 2" xfId="15081" xr:uid="{D82B2E43-2F3B-42CD-8779-400013BA74B5}"/>
    <cellStyle name="Normal 8 6 2 6" xfId="5962" xr:uid="{A3648E9B-7B97-45C5-8EF4-6C4AAA96A6AC}"/>
    <cellStyle name="Normal 8 6 2 6 2" xfId="15910" xr:uid="{24BFF200-436C-4D73-955B-ECF31CC7C575}"/>
    <cellStyle name="Normal 8 6 2 7" xfId="6791" xr:uid="{FD4F2B7F-B37A-49AC-A395-AF6238A03865}"/>
    <cellStyle name="Normal 8 6 2 7 2" xfId="16739" xr:uid="{C5FCB0D1-C978-423F-AE01-68D92AD22886}"/>
    <cellStyle name="Normal 8 6 2 8" xfId="7620" xr:uid="{A42D838C-45C6-4A5D-BCF3-C880CABB569F}"/>
    <cellStyle name="Normal 8 6 2 8 2" xfId="17568" xr:uid="{D3F0CD53-EF9F-498C-9D87-9CDFF57F913B}"/>
    <cellStyle name="Normal 8 6 2 9" xfId="8449" xr:uid="{13DED6A0-2414-4631-8FF0-3471A262100A}"/>
    <cellStyle name="Normal 8 6 2 9 2" xfId="18397" xr:uid="{DDDEABC7-3BB8-4663-9E6F-976C699DDDCB}"/>
    <cellStyle name="Normal 8 6 3" xfId="2230" xr:uid="{4D3DA02C-3679-46C7-8085-1DB281594E52}"/>
    <cellStyle name="Normal 8 6 3 2" xfId="12178" xr:uid="{0204256E-6DC0-486F-AB56-484074EEC844}"/>
    <cellStyle name="Normal 8 6 4" xfId="3059" xr:uid="{59B185BA-C9BE-48DD-ACE0-2D2D57370875}"/>
    <cellStyle name="Normal 8 6 4 2" xfId="13007" xr:uid="{AAD646A9-11EA-4E8D-ADF9-7754D5251CEF}"/>
    <cellStyle name="Normal 8 6 5" xfId="3888" xr:uid="{3E623F71-6B82-45DF-BBAA-37717E440092}"/>
    <cellStyle name="Normal 8 6 5 2" xfId="13836" xr:uid="{C7ABFAB7-FB76-4F26-976A-E70E91CCD005}"/>
    <cellStyle name="Normal 8 6 6" xfId="4717" xr:uid="{3C2BF6F6-039A-4BFB-8252-89212DBE792B}"/>
    <cellStyle name="Normal 8 6 6 2" xfId="14665" xr:uid="{F6479A8F-810F-4E48-8F19-18B28736E562}"/>
    <cellStyle name="Normal 8 6 7" xfId="5546" xr:uid="{CFE8A5EF-723F-41F7-85BF-649B3B6761BA}"/>
    <cellStyle name="Normal 8 6 7 2" xfId="15494" xr:uid="{50198118-020D-4EB0-BD9F-1EDABE4767B6}"/>
    <cellStyle name="Normal 8 6 8" xfId="6375" xr:uid="{A7C2CE87-BA53-43C3-9215-DA29964D000A}"/>
    <cellStyle name="Normal 8 6 8 2" xfId="16323" xr:uid="{1554E849-ED53-44E9-AE86-BBBBC5B5AF6E}"/>
    <cellStyle name="Normal 8 6 9" xfId="7204" xr:uid="{5B1D435F-61E9-4770-B57E-61BF43F991D5}"/>
    <cellStyle name="Normal 8 6 9 2" xfId="17152" xr:uid="{B9667D65-F187-4BAC-8B43-8362DBDA33B4}"/>
    <cellStyle name="Normal 8 7" xfId="953" xr:uid="{00000000-0005-0000-0000-00009A030000}"/>
    <cellStyle name="Normal 8 7 10" xfId="9247" xr:uid="{0E365EB0-B301-4707-9700-D2A13BDD1A5E}"/>
    <cellStyle name="Normal 8 7 10 2" xfId="19195" xr:uid="{2E1E89F9-0873-4135-86D6-7A52F0855CA0}"/>
    <cellStyle name="Normal 8 7 11" xfId="10076" xr:uid="{35BB7296-15BB-4F05-BE03-91D3824074DD}"/>
    <cellStyle name="Normal 8 7 11 2" xfId="20024" xr:uid="{BC96E798-0232-4A49-95D7-4E04D1E608A8}"/>
    <cellStyle name="Normal 8 7 12" xfId="10905" xr:uid="{58FD03BF-6062-4717-A651-A4FC27F871E8}"/>
    <cellStyle name="Normal 8 7 12 2" xfId="20853" xr:uid="{0A7D48D3-404F-4A09-B071-6A1B40BF2911}"/>
    <cellStyle name="Normal 8 7 13" xfId="1786" xr:uid="{12203D55-3141-4AD8-8045-5EE410E50BE1}"/>
    <cellStyle name="Normal 8 7 14" xfId="11734" xr:uid="{652776F9-D4B3-4B51-A8AA-DB76974D1B5D}"/>
    <cellStyle name="Normal 8 7 2" xfId="2615" xr:uid="{ADEA29F1-4927-4B75-93F7-C0D0A9B53195}"/>
    <cellStyle name="Normal 8 7 2 2" xfId="12563" xr:uid="{A7A3FA75-B5AC-4A95-83E9-9802DB1E44BF}"/>
    <cellStyle name="Normal 8 7 3" xfId="3444" xr:uid="{B6A397D5-7CF3-4A37-8D98-6BDA515CD8DE}"/>
    <cellStyle name="Normal 8 7 3 2" xfId="13392" xr:uid="{3D12F0E8-E282-4B8A-A534-AE75AFDE9485}"/>
    <cellStyle name="Normal 8 7 4" xfId="4273" xr:uid="{6319819A-9362-49ED-B625-3A20AEAEC401}"/>
    <cellStyle name="Normal 8 7 4 2" xfId="14221" xr:uid="{08B1AF82-7618-45D2-99B6-FC83C3BF888B}"/>
    <cellStyle name="Normal 8 7 5" xfId="5102" xr:uid="{5080D814-7B09-4B76-AB90-48FF4F4BC418}"/>
    <cellStyle name="Normal 8 7 5 2" xfId="15050" xr:uid="{48A31C4B-1D50-4772-890B-2572BB1939BB}"/>
    <cellStyle name="Normal 8 7 6" xfId="5931" xr:uid="{01AC5261-F6BC-4A1A-9C38-DAC00D2E5739}"/>
    <cellStyle name="Normal 8 7 6 2" xfId="15879" xr:uid="{9140C720-EEC0-4CA0-95A2-FD255BDA2C4E}"/>
    <cellStyle name="Normal 8 7 7" xfId="6760" xr:uid="{C8ACE14E-9F7F-4991-B226-113702A90DD2}"/>
    <cellStyle name="Normal 8 7 7 2" xfId="16708" xr:uid="{FBBE72AE-E71D-4AFF-8D9E-1A3EA76D907B}"/>
    <cellStyle name="Normal 8 7 8" xfId="7589" xr:uid="{806605AF-699D-481D-84A8-5ED5FEFEAA09}"/>
    <cellStyle name="Normal 8 7 8 2" xfId="17537" xr:uid="{4289345A-F9E6-4C8B-84C4-ED00E046643D}"/>
    <cellStyle name="Normal 8 7 9" xfId="8418" xr:uid="{A7E642B4-425B-4739-A372-4EE9DA052090}"/>
    <cellStyle name="Normal 8 7 9 2" xfId="18366" xr:uid="{779274F8-13CF-4211-8595-4376A7A97445}"/>
    <cellStyle name="Normal 8 8" xfId="2199" xr:uid="{26AA5294-3B08-45CB-B537-26A57EA3C4E8}"/>
    <cellStyle name="Normal 8 8 2" xfId="12147" xr:uid="{50F9CD99-2FB5-4E79-A989-275B5FB39FFF}"/>
    <cellStyle name="Normal 8 9" xfId="3028" xr:uid="{066988C5-379B-4C8D-ABB3-2EE125C7F737}"/>
    <cellStyle name="Normal 8 9 2" xfId="12976" xr:uid="{18944D35-9D8B-4C8D-B076-47A5F8E7FF41}"/>
    <cellStyle name="Normal 9" xfId="513" xr:uid="{00000000-0005-0000-0000-00009B030000}"/>
    <cellStyle name="Normal 9 2" xfId="514" xr:uid="{00000000-0005-0000-0000-00009C030000}"/>
    <cellStyle name="Normal 9 2 10" xfId="4718" xr:uid="{85A65B26-BE49-4E0E-AE1A-78B0C7338D2B}"/>
    <cellStyle name="Normal 9 2 10 2" xfId="14666" xr:uid="{9420BE02-572C-4FF1-B2E1-405982D5CC94}"/>
    <cellStyle name="Normal 9 2 11" xfId="5547" xr:uid="{A451547A-2A37-4C85-9D20-841BCE816BE4}"/>
    <cellStyle name="Normal 9 2 11 2" xfId="15495" xr:uid="{B3740519-36F5-426D-999C-A5DAC9433138}"/>
    <cellStyle name="Normal 9 2 12" xfId="6376" xr:uid="{6A04ECA7-B749-4704-B4CD-86DC473F70F4}"/>
    <cellStyle name="Normal 9 2 12 2" xfId="16324" xr:uid="{F4AA4346-382F-451D-96C8-09799084012E}"/>
    <cellStyle name="Normal 9 2 13" xfId="7205" xr:uid="{F08182DF-53FC-493B-9449-18F7DC8DD78E}"/>
    <cellStyle name="Normal 9 2 13 2" xfId="17153" xr:uid="{0FA1BFB7-0087-496C-8351-CE2AD4F4E02B}"/>
    <cellStyle name="Normal 9 2 14" xfId="8034" xr:uid="{18CC7FFB-D675-4989-AE88-02AF1963D0E9}"/>
    <cellStyle name="Normal 9 2 14 2" xfId="17982" xr:uid="{531C642F-204B-478D-81A7-A1CBA23D5D1F}"/>
    <cellStyle name="Normal 9 2 15" xfId="8863" xr:uid="{9C631DD3-879E-4558-AD26-6B5FEBD59737}"/>
    <cellStyle name="Normal 9 2 15 2" xfId="18811" xr:uid="{DC3C34A3-FEEF-4DC5-88D8-D9B952B507AB}"/>
    <cellStyle name="Normal 9 2 16" xfId="9692" xr:uid="{C22A8A65-07D3-4737-939B-D735376E01EE}"/>
    <cellStyle name="Normal 9 2 16 2" xfId="19640" xr:uid="{296B7EB7-72CC-4817-A83B-0E612E6302A2}"/>
    <cellStyle name="Normal 9 2 17" xfId="10521" xr:uid="{0E7526CB-C772-422A-AECA-0F1591F5CEDE}"/>
    <cellStyle name="Normal 9 2 17 2" xfId="20469" xr:uid="{35907FE4-4258-44B0-BFA6-251442D16C42}"/>
    <cellStyle name="Normal 9 2 18" xfId="1402" xr:uid="{16687592-E68D-437C-A81C-310EFA808A7B}"/>
    <cellStyle name="Normal 9 2 19" xfId="11350" xr:uid="{71419814-4544-4955-ADDC-40B17059D314}"/>
    <cellStyle name="Normal 9 2 2" xfId="515" xr:uid="{00000000-0005-0000-0000-00009D030000}"/>
    <cellStyle name="Normal 9 2 2 10" xfId="5548" xr:uid="{EDC37A74-9429-4483-8B9E-CEF146416AB6}"/>
    <cellStyle name="Normal 9 2 2 10 2" xfId="15496" xr:uid="{49881B75-C13C-4B9A-A276-BDD15FB75987}"/>
    <cellStyle name="Normal 9 2 2 11" xfId="6377" xr:uid="{25276F6E-9CEC-4B2D-9C73-924B8956E0FD}"/>
    <cellStyle name="Normal 9 2 2 11 2" xfId="16325" xr:uid="{89BE65AC-EFD7-418F-8F97-6F4E28296173}"/>
    <cellStyle name="Normal 9 2 2 12" xfId="7206" xr:uid="{828D805C-78A5-4247-BBCD-E753C2CF7F3C}"/>
    <cellStyle name="Normal 9 2 2 12 2" xfId="17154" xr:uid="{26EEE8AB-F5AE-4CEE-AA29-231F6DCB9776}"/>
    <cellStyle name="Normal 9 2 2 13" xfId="8035" xr:uid="{9AF8DA6B-2A9F-4B57-8AED-ED8F35B824C0}"/>
    <cellStyle name="Normal 9 2 2 13 2" xfId="17983" xr:uid="{E5A1CB93-4FB6-4AFA-BD3A-CECD61FC6EAE}"/>
    <cellStyle name="Normal 9 2 2 14" xfId="8864" xr:uid="{78CB9BAC-DF16-4EA5-A5E4-F4BF3B79B94B}"/>
    <cellStyle name="Normal 9 2 2 14 2" xfId="18812" xr:uid="{70AC2C7A-CB7E-4581-B77A-D5976B64123B}"/>
    <cellStyle name="Normal 9 2 2 15" xfId="9693" xr:uid="{87B86027-36DA-471E-AF02-7E935751F4FF}"/>
    <cellStyle name="Normal 9 2 2 15 2" xfId="19641" xr:uid="{B9BE9CB8-94FD-41E5-9F7A-15876594BEE9}"/>
    <cellStyle name="Normal 9 2 2 16" xfId="10522" xr:uid="{33E50B93-B01A-4B35-B7C5-55469B6FAB2A}"/>
    <cellStyle name="Normal 9 2 2 16 2" xfId="20470" xr:uid="{8993C9CF-49A4-4804-9269-C2CEF1ED8C7D}"/>
    <cellStyle name="Normal 9 2 2 17" xfId="1403" xr:uid="{4E530EB7-5E88-489A-906F-DE622C51F917}"/>
    <cellStyle name="Normal 9 2 2 18" xfId="11351" xr:uid="{BDD6A0C6-22CB-4825-AABB-DB1D42708DCA}"/>
    <cellStyle name="Normal 9 2 2 2" xfId="516" xr:uid="{00000000-0005-0000-0000-00009E030000}"/>
    <cellStyle name="Normal 9 2 2 2 10" xfId="6378" xr:uid="{49BF75EB-5895-4DA1-882F-9231B4875591}"/>
    <cellStyle name="Normal 9 2 2 2 10 2" xfId="16326" xr:uid="{55D086F3-6DF3-4B56-9A21-C8BD5D15DD58}"/>
    <cellStyle name="Normal 9 2 2 2 11" xfId="7207" xr:uid="{0AE7FADB-F093-43A8-8A08-B5306E66FF0C}"/>
    <cellStyle name="Normal 9 2 2 2 11 2" xfId="17155" xr:uid="{012811B7-FDE2-4397-8D10-F0390259F841}"/>
    <cellStyle name="Normal 9 2 2 2 12" xfId="8036" xr:uid="{E306C0EB-9306-4CE4-AE59-382EA520AD32}"/>
    <cellStyle name="Normal 9 2 2 2 12 2" xfId="17984" xr:uid="{D3B00932-C814-4FD5-9366-6849B049AE9A}"/>
    <cellStyle name="Normal 9 2 2 2 13" xfId="8865" xr:uid="{DCF611E5-3683-480F-836A-B23D296D7892}"/>
    <cellStyle name="Normal 9 2 2 2 13 2" xfId="18813" xr:uid="{BD3F9FC4-7F98-4A87-B286-3AE3AED985E0}"/>
    <cellStyle name="Normal 9 2 2 2 14" xfId="9694" xr:uid="{D13A76F9-6A97-4490-9405-7D687EFDBF1E}"/>
    <cellStyle name="Normal 9 2 2 2 14 2" xfId="19642" xr:uid="{54345421-8F84-40D5-A409-997410E33FEF}"/>
    <cellStyle name="Normal 9 2 2 2 15" xfId="10523" xr:uid="{DF60C4DD-1872-41DF-B5D5-F1A358617F67}"/>
    <cellStyle name="Normal 9 2 2 2 15 2" xfId="20471" xr:uid="{EB1F24A8-9F38-48F2-9664-5332970528D7}"/>
    <cellStyle name="Normal 9 2 2 2 16" xfId="1404" xr:uid="{46A34DBF-A807-41EC-8B67-D9B97601B874}"/>
    <cellStyle name="Normal 9 2 2 2 17" xfId="11352" xr:uid="{6B0B17D5-41DB-464A-BA61-5DD2B3CE663B}"/>
    <cellStyle name="Normal 9 2 2 2 2" xfId="517" xr:uid="{00000000-0005-0000-0000-00009F030000}"/>
    <cellStyle name="Normal 9 2 2 2 2 10" xfId="7208" xr:uid="{776E7FD1-F64D-4909-A0CB-BC2808CB35D1}"/>
    <cellStyle name="Normal 9 2 2 2 2 10 2" xfId="17156" xr:uid="{1D31246C-25CC-434B-AD94-A9E02CAE3209}"/>
    <cellStyle name="Normal 9 2 2 2 2 11" xfId="8037" xr:uid="{4711BFB8-4A00-4433-B7E6-8D12D840C69E}"/>
    <cellStyle name="Normal 9 2 2 2 2 11 2" xfId="17985" xr:uid="{78FEDCC6-EDBC-4D77-A5BA-CC73BB130D1E}"/>
    <cellStyle name="Normal 9 2 2 2 2 12" xfId="8866" xr:uid="{EFB03AD1-ABB1-49B0-A8B9-D40689352B6B}"/>
    <cellStyle name="Normal 9 2 2 2 2 12 2" xfId="18814" xr:uid="{B1634E28-BBF9-4337-87F5-2F707DA09C66}"/>
    <cellStyle name="Normal 9 2 2 2 2 13" xfId="9695" xr:uid="{BC366876-262A-4022-BCEC-4477D0FB27D7}"/>
    <cellStyle name="Normal 9 2 2 2 2 13 2" xfId="19643" xr:uid="{34B0595F-F21B-42C7-9AC5-F1043EC7B191}"/>
    <cellStyle name="Normal 9 2 2 2 2 14" xfId="10524" xr:uid="{50EEE8FE-1C6F-4F32-9C7C-00A882C5033D}"/>
    <cellStyle name="Normal 9 2 2 2 2 14 2" xfId="20472" xr:uid="{684E172F-9647-4A9C-B164-F5135C06CF2A}"/>
    <cellStyle name="Normal 9 2 2 2 2 15" xfId="1405" xr:uid="{C72C84F3-7DAE-47BA-B2DD-2636EEA7FE8E}"/>
    <cellStyle name="Normal 9 2 2 2 2 16" xfId="11353" xr:uid="{793066A2-CCFC-4389-B014-7D8E5E7B687A}"/>
    <cellStyle name="Normal 9 2 2 2 2 2" xfId="518" xr:uid="{00000000-0005-0000-0000-0000A0030000}"/>
    <cellStyle name="Normal 9 2 2 2 2 2 10" xfId="8038" xr:uid="{6F9097F3-DB07-4B2B-8AF4-1BD1B840CC80}"/>
    <cellStyle name="Normal 9 2 2 2 2 2 10 2" xfId="17986" xr:uid="{7C883003-15B8-454D-AB12-18BAD681A2A2}"/>
    <cellStyle name="Normal 9 2 2 2 2 2 11" xfId="8867" xr:uid="{6F7FCB48-502F-416A-9EA5-52611FD7A913}"/>
    <cellStyle name="Normal 9 2 2 2 2 2 11 2" xfId="18815" xr:uid="{2DF1A117-334D-415E-9B0D-62D22CF01501}"/>
    <cellStyle name="Normal 9 2 2 2 2 2 12" xfId="9696" xr:uid="{4D0AC6EC-CD3B-41B9-A558-D93AEF842BE8}"/>
    <cellStyle name="Normal 9 2 2 2 2 2 12 2" xfId="19644" xr:uid="{FA199B63-E54C-49B4-B06A-A41AE791C870}"/>
    <cellStyle name="Normal 9 2 2 2 2 2 13" xfId="10525" xr:uid="{A81877B3-89CE-4963-9F37-EDE23CD04078}"/>
    <cellStyle name="Normal 9 2 2 2 2 2 13 2" xfId="20473" xr:uid="{317AEDB8-9D5A-4C7E-A7F6-474815C2D118}"/>
    <cellStyle name="Normal 9 2 2 2 2 2 14" xfId="1406" xr:uid="{73B09408-1956-4B12-8561-788886A18A7C}"/>
    <cellStyle name="Normal 9 2 2 2 2 2 15" xfId="11354" xr:uid="{22372387-3BC4-4CCA-A927-FFCB38BCC190}"/>
    <cellStyle name="Normal 9 2 2 2 2 2 2" xfId="990" xr:uid="{00000000-0005-0000-0000-0000A1030000}"/>
    <cellStyle name="Normal 9 2 2 2 2 2 2 10" xfId="9283" xr:uid="{870562E1-53BC-4374-B49A-2173C630E6D8}"/>
    <cellStyle name="Normal 9 2 2 2 2 2 2 10 2" xfId="19231" xr:uid="{61B9708A-9E72-415C-98DA-8328221EFE2D}"/>
    <cellStyle name="Normal 9 2 2 2 2 2 2 11" xfId="10112" xr:uid="{9A2BE2FF-7E72-4D32-8B10-134EA073A3E8}"/>
    <cellStyle name="Normal 9 2 2 2 2 2 2 11 2" xfId="20060" xr:uid="{C6B1AE86-0052-4AFA-A7CD-5963DB00B549}"/>
    <cellStyle name="Normal 9 2 2 2 2 2 2 12" xfId="10941" xr:uid="{1998B8A6-EAD8-4EBC-AC50-0C23CE13A2EC}"/>
    <cellStyle name="Normal 9 2 2 2 2 2 2 12 2" xfId="20889" xr:uid="{77D14852-423F-4C40-83DE-34465B4504B0}"/>
    <cellStyle name="Normal 9 2 2 2 2 2 2 13" xfId="1822" xr:uid="{0B7B3833-B5A9-4637-A318-B63C6D11BCED}"/>
    <cellStyle name="Normal 9 2 2 2 2 2 2 14" xfId="11770" xr:uid="{F4B423EF-7749-42D0-A432-03E1C5CB8F8B}"/>
    <cellStyle name="Normal 9 2 2 2 2 2 2 2" xfId="2651" xr:uid="{4AD76F03-61A5-45CA-A1DA-38A962DEBB9D}"/>
    <cellStyle name="Normal 9 2 2 2 2 2 2 2 2" xfId="12599" xr:uid="{92687B80-F7DF-4BD3-ACA4-D8EB5B8D24AC}"/>
    <cellStyle name="Normal 9 2 2 2 2 2 2 3" xfId="3480" xr:uid="{1F81E197-A3A5-4E26-81B0-E4605A6F473F}"/>
    <cellStyle name="Normal 9 2 2 2 2 2 2 3 2" xfId="13428" xr:uid="{B77F9F5B-9487-446D-9A89-D256673B09E5}"/>
    <cellStyle name="Normal 9 2 2 2 2 2 2 4" xfId="4309" xr:uid="{6DFE0AEB-7F28-4361-B139-D84210A0FCD0}"/>
    <cellStyle name="Normal 9 2 2 2 2 2 2 4 2" xfId="14257" xr:uid="{2F48EB79-7274-45DE-B65A-01CBD4D1782D}"/>
    <cellStyle name="Normal 9 2 2 2 2 2 2 5" xfId="5138" xr:uid="{BF608308-74CA-4A37-B655-6C7BD983221A}"/>
    <cellStyle name="Normal 9 2 2 2 2 2 2 5 2" xfId="15086" xr:uid="{1B4DE49B-D7B2-4072-96A2-C2E1399D8EC1}"/>
    <cellStyle name="Normal 9 2 2 2 2 2 2 6" xfId="5967" xr:uid="{996B7FCE-2D95-4F79-8149-31B22A5BA5F5}"/>
    <cellStyle name="Normal 9 2 2 2 2 2 2 6 2" xfId="15915" xr:uid="{C4BFC601-8ADE-428F-984C-4CC388B682A0}"/>
    <cellStyle name="Normal 9 2 2 2 2 2 2 7" xfId="6796" xr:uid="{BEE483B3-AC45-49DF-94E0-E2BA6694A158}"/>
    <cellStyle name="Normal 9 2 2 2 2 2 2 7 2" xfId="16744" xr:uid="{9C6BFC56-2E14-4630-AE31-C25B6B781F23}"/>
    <cellStyle name="Normal 9 2 2 2 2 2 2 8" xfId="7625" xr:uid="{345DD020-1CFF-4C34-8A48-3A43FC75482A}"/>
    <cellStyle name="Normal 9 2 2 2 2 2 2 8 2" xfId="17573" xr:uid="{4EE9E9C6-3F87-4E3E-9B35-24099875E9AA}"/>
    <cellStyle name="Normal 9 2 2 2 2 2 2 9" xfId="8454" xr:uid="{43ED186B-D735-4405-A568-B7AD5A8E4CA7}"/>
    <cellStyle name="Normal 9 2 2 2 2 2 2 9 2" xfId="18402" xr:uid="{CA1FBF2E-B358-4769-87F7-2610D3B7EE04}"/>
    <cellStyle name="Normal 9 2 2 2 2 2 3" xfId="2235" xr:uid="{377B95E7-68F5-4EC5-90F1-E4D27466C180}"/>
    <cellStyle name="Normal 9 2 2 2 2 2 3 2" xfId="12183" xr:uid="{9ABC76C4-3F51-467B-901C-72B40C899DE1}"/>
    <cellStyle name="Normal 9 2 2 2 2 2 4" xfId="3064" xr:uid="{F7929C99-1541-4F16-8FF5-F16966FFDC1D}"/>
    <cellStyle name="Normal 9 2 2 2 2 2 4 2" xfId="13012" xr:uid="{D9067037-656C-465F-A3CA-56F0FDBE8196}"/>
    <cellStyle name="Normal 9 2 2 2 2 2 5" xfId="3893" xr:uid="{4DA4974C-F264-4B0B-8747-C22B557C51E5}"/>
    <cellStyle name="Normal 9 2 2 2 2 2 5 2" xfId="13841" xr:uid="{5AFDFFD7-DE14-4358-8BD0-E38D0FA0E1CA}"/>
    <cellStyle name="Normal 9 2 2 2 2 2 6" xfId="4722" xr:uid="{4F4D4477-28B9-4BA1-80EF-1A84F52266DC}"/>
    <cellStyle name="Normal 9 2 2 2 2 2 6 2" xfId="14670" xr:uid="{AF1450C9-BA54-4FFC-A8BD-70AA64C67149}"/>
    <cellStyle name="Normal 9 2 2 2 2 2 7" xfId="5551" xr:uid="{242F574A-2CEC-48CC-BBFC-60428F3E322A}"/>
    <cellStyle name="Normal 9 2 2 2 2 2 7 2" xfId="15499" xr:uid="{89555541-F2FD-48B1-87FA-AA0641310789}"/>
    <cellStyle name="Normal 9 2 2 2 2 2 8" xfId="6380" xr:uid="{D028E44B-CA55-4E05-BB1D-5513F78EC120}"/>
    <cellStyle name="Normal 9 2 2 2 2 2 8 2" xfId="16328" xr:uid="{5DEC6B5F-97C6-4DD2-A4F6-9B74C9B79434}"/>
    <cellStyle name="Normal 9 2 2 2 2 2 9" xfId="7209" xr:uid="{954A9827-E2FB-43B0-B3F5-CCB19FBE974D}"/>
    <cellStyle name="Normal 9 2 2 2 2 2 9 2" xfId="17157" xr:uid="{3723D525-0BEF-45D0-90F0-130C3B057055}"/>
    <cellStyle name="Normal 9 2 2 2 2 3" xfId="989" xr:uid="{00000000-0005-0000-0000-0000A2030000}"/>
    <cellStyle name="Normal 9 2 2 2 2 3 10" xfId="9282" xr:uid="{383D9586-43EA-4C74-953D-A0F12B99E834}"/>
    <cellStyle name="Normal 9 2 2 2 2 3 10 2" xfId="19230" xr:uid="{A6DFB579-AA82-404F-AAEA-92CA249156C2}"/>
    <cellStyle name="Normal 9 2 2 2 2 3 11" xfId="10111" xr:uid="{D6BE6E7D-9CB1-4A25-B9C8-27B5B13D133C}"/>
    <cellStyle name="Normal 9 2 2 2 2 3 11 2" xfId="20059" xr:uid="{3B90A283-B4B5-4B4A-8B84-B63EE23B9E33}"/>
    <cellStyle name="Normal 9 2 2 2 2 3 12" xfId="10940" xr:uid="{BC2D5AD3-0CA0-4E0D-8EED-6F9DDD7D77C1}"/>
    <cellStyle name="Normal 9 2 2 2 2 3 12 2" xfId="20888" xr:uid="{B2A2F6EA-76C3-4C4D-B487-387237FF3E16}"/>
    <cellStyle name="Normal 9 2 2 2 2 3 13" xfId="1821" xr:uid="{B558557F-9EA0-4250-AF8C-6E50EBCFE15A}"/>
    <cellStyle name="Normal 9 2 2 2 2 3 14" xfId="11769" xr:uid="{8073C35B-A5FA-41AE-8004-E21CF2B2524A}"/>
    <cellStyle name="Normal 9 2 2 2 2 3 2" xfId="2650" xr:uid="{7432C46F-84B9-4462-B870-FEFA5CCD207E}"/>
    <cellStyle name="Normal 9 2 2 2 2 3 2 2" xfId="12598" xr:uid="{9CDBBE2E-7B69-4280-B2CB-8122D6F8A3B9}"/>
    <cellStyle name="Normal 9 2 2 2 2 3 3" xfId="3479" xr:uid="{BA0124F8-8871-478C-9A56-0F9E0ACC0A88}"/>
    <cellStyle name="Normal 9 2 2 2 2 3 3 2" xfId="13427" xr:uid="{207926C0-9615-488A-9779-6C1CB23B4156}"/>
    <cellStyle name="Normal 9 2 2 2 2 3 4" xfId="4308" xr:uid="{0CB0B355-B0B8-4C40-B0D0-013BA3C7DA65}"/>
    <cellStyle name="Normal 9 2 2 2 2 3 4 2" xfId="14256" xr:uid="{3CE700E5-81CD-47A8-8B0C-9D253E9A836C}"/>
    <cellStyle name="Normal 9 2 2 2 2 3 5" xfId="5137" xr:uid="{85F41154-D6EF-491F-A66C-002B6E3EB5E3}"/>
    <cellStyle name="Normal 9 2 2 2 2 3 5 2" xfId="15085" xr:uid="{91CD3430-9450-479B-90BC-B3DA9FE2259F}"/>
    <cellStyle name="Normal 9 2 2 2 2 3 6" xfId="5966" xr:uid="{060EBD4F-6B60-4762-9090-5F1A08220DEC}"/>
    <cellStyle name="Normal 9 2 2 2 2 3 6 2" xfId="15914" xr:uid="{F9C4C4FA-E8E6-4395-A766-4F80112C5A72}"/>
    <cellStyle name="Normal 9 2 2 2 2 3 7" xfId="6795" xr:uid="{23B08D1F-DA9D-4C9F-9D02-31F25AF8E171}"/>
    <cellStyle name="Normal 9 2 2 2 2 3 7 2" xfId="16743" xr:uid="{1330FFA6-E6C4-4BA0-A7A8-6D7D6579225E}"/>
    <cellStyle name="Normal 9 2 2 2 2 3 8" xfId="7624" xr:uid="{28ECD321-418C-44CC-BD0D-B0D1B7D95F22}"/>
    <cellStyle name="Normal 9 2 2 2 2 3 8 2" xfId="17572" xr:uid="{36610B8D-49EC-43DD-8693-994D7CB19229}"/>
    <cellStyle name="Normal 9 2 2 2 2 3 9" xfId="8453" xr:uid="{75A32250-C31F-49E5-A5AD-3DF8F359FE6E}"/>
    <cellStyle name="Normal 9 2 2 2 2 3 9 2" xfId="18401" xr:uid="{9B82A502-4C7A-4513-A375-689167537833}"/>
    <cellStyle name="Normal 9 2 2 2 2 4" xfId="2234" xr:uid="{F34E844C-9832-4843-9A08-F4614F9B6DC0}"/>
    <cellStyle name="Normal 9 2 2 2 2 4 2" xfId="12182" xr:uid="{2EC91FA9-2A53-4D64-BCBD-1BD82DE6C1F6}"/>
    <cellStyle name="Normal 9 2 2 2 2 5" xfId="3063" xr:uid="{F19BA479-60F7-4EDC-B219-78B3CB0C9065}"/>
    <cellStyle name="Normal 9 2 2 2 2 5 2" xfId="13011" xr:uid="{B7CA22F7-0E4E-4919-B766-C6458E309B40}"/>
    <cellStyle name="Normal 9 2 2 2 2 6" xfId="3892" xr:uid="{6BFC1B0C-6EDE-4A16-8333-9268C55F7CA0}"/>
    <cellStyle name="Normal 9 2 2 2 2 6 2" xfId="13840" xr:uid="{DC57C580-5195-4D03-9305-B66F3BBC664B}"/>
    <cellStyle name="Normal 9 2 2 2 2 7" xfId="4721" xr:uid="{F43F3EA5-A58C-4AC7-BA39-BB808320CAFF}"/>
    <cellStyle name="Normal 9 2 2 2 2 7 2" xfId="14669" xr:uid="{A7D7505D-1951-4548-9989-24531FD7263A}"/>
    <cellStyle name="Normal 9 2 2 2 2 8" xfId="5550" xr:uid="{A7C75B20-9AA7-492B-888A-D793BA4B5DA4}"/>
    <cellStyle name="Normal 9 2 2 2 2 8 2" xfId="15498" xr:uid="{DA433794-8E69-4947-88BB-01505F57DA3A}"/>
    <cellStyle name="Normal 9 2 2 2 2 9" xfId="6379" xr:uid="{52C82B94-6FF0-4552-B47F-F360B0F5350D}"/>
    <cellStyle name="Normal 9 2 2 2 2 9 2" xfId="16327" xr:uid="{672F182E-4402-4B05-9A4B-C5CBBD55FC22}"/>
    <cellStyle name="Normal 9 2 2 2 3" xfId="519" xr:uid="{00000000-0005-0000-0000-0000A3030000}"/>
    <cellStyle name="Normal 9 2 2 2 3 10" xfId="8039" xr:uid="{6A509E31-24AC-497B-97CC-6916A9BA0D7C}"/>
    <cellStyle name="Normal 9 2 2 2 3 10 2" xfId="17987" xr:uid="{135E3816-82DE-4FBC-8212-3198E3B27F6D}"/>
    <cellStyle name="Normal 9 2 2 2 3 11" xfId="8868" xr:uid="{A1513ABF-100E-4694-9CF3-F593E5E3F8B9}"/>
    <cellStyle name="Normal 9 2 2 2 3 11 2" xfId="18816" xr:uid="{9FE1E924-BFD1-41D1-8CDF-C3E9558B3B88}"/>
    <cellStyle name="Normal 9 2 2 2 3 12" xfId="9697" xr:uid="{E7113D78-A8E3-4368-A8C1-059098828A01}"/>
    <cellStyle name="Normal 9 2 2 2 3 12 2" xfId="19645" xr:uid="{825A4DD9-5D6A-43B8-B1A6-6BD9AF3BC9F7}"/>
    <cellStyle name="Normal 9 2 2 2 3 13" xfId="10526" xr:uid="{9BD3B10B-1933-497E-B69D-4B5E620F500A}"/>
    <cellStyle name="Normal 9 2 2 2 3 13 2" xfId="20474" xr:uid="{47FAF3DE-A9C9-4720-B331-22C270CED22C}"/>
    <cellStyle name="Normal 9 2 2 2 3 14" xfId="1407" xr:uid="{4CDC7703-79BD-432A-B39B-7EBFAAF3138B}"/>
    <cellStyle name="Normal 9 2 2 2 3 15" xfId="11355" xr:uid="{840ABB09-7348-4D34-945A-677794EBE1D5}"/>
    <cellStyle name="Normal 9 2 2 2 3 2" xfId="991" xr:uid="{00000000-0005-0000-0000-0000A4030000}"/>
    <cellStyle name="Normal 9 2 2 2 3 2 10" xfId="9284" xr:uid="{FA9577A2-3824-4A9B-9947-7F7ACFD5E2E9}"/>
    <cellStyle name="Normal 9 2 2 2 3 2 10 2" xfId="19232" xr:uid="{AD167ACE-0F11-4BFB-8139-7B7CBF2121F3}"/>
    <cellStyle name="Normal 9 2 2 2 3 2 11" xfId="10113" xr:uid="{ACD85007-5A01-4FEF-98C1-25BC7D7EA4A4}"/>
    <cellStyle name="Normal 9 2 2 2 3 2 11 2" xfId="20061" xr:uid="{F7818B4D-B6D5-4339-888C-F853F5F3BAAC}"/>
    <cellStyle name="Normal 9 2 2 2 3 2 12" xfId="10942" xr:uid="{07FA1DB4-061A-492A-A854-8131B6956AE4}"/>
    <cellStyle name="Normal 9 2 2 2 3 2 12 2" xfId="20890" xr:uid="{593C7112-EF46-4114-9D52-7AE40C9829A8}"/>
    <cellStyle name="Normal 9 2 2 2 3 2 13" xfId="1823" xr:uid="{7326C1F9-E77B-43A6-B70E-D724A8B7BF0C}"/>
    <cellStyle name="Normal 9 2 2 2 3 2 14" xfId="11771" xr:uid="{6F6315CD-41B5-43AC-999F-BB8950EACB17}"/>
    <cellStyle name="Normal 9 2 2 2 3 2 2" xfId="2652" xr:uid="{F17EA2E7-F306-4D93-A3B4-548CEA55AE64}"/>
    <cellStyle name="Normal 9 2 2 2 3 2 2 2" xfId="12600" xr:uid="{24461608-22F7-4A73-9330-53500CB0BB2C}"/>
    <cellStyle name="Normal 9 2 2 2 3 2 3" xfId="3481" xr:uid="{7D7B333B-DF3F-4582-9702-9BF4167B0FF5}"/>
    <cellStyle name="Normal 9 2 2 2 3 2 3 2" xfId="13429" xr:uid="{664DDE8F-68E3-4460-895B-3BD8CBC7897A}"/>
    <cellStyle name="Normal 9 2 2 2 3 2 4" xfId="4310" xr:uid="{4DC34B18-1E15-4F07-8838-87B135DD9E92}"/>
    <cellStyle name="Normal 9 2 2 2 3 2 4 2" xfId="14258" xr:uid="{A55E511A-6298-4046-8207-B4AA3C193D56}"/>
    <cellStyle name="Normal 9 2 2 2 3 2 5" xfId="5139" xr:uid="{ED6504E4-A987-43FE-8256-1129A33D57C0}"/>
    <cellStyle name="Normal 9 2 2 2 3 2 5 2" xfId="15087" xr:uid="{C9DE74C4-DB6E-4585-BD27-ED9C678A2FCD}"/>
    <cellStyle name="Normal 9 2 2 2 3 2 6" xfId="5968" xr:uid="{40957BC6-2A61-4A51-918E-DB2D972D283C}"/>
    <cellStyle name="Normal 9 2 2 2 3 2 6 2" xfId="15916" xr:uid="{BD95F458-D560-493A-B083-574FD73ED455}"/>
    <cellStyle name="Normal 9 2 2 2 3 2 7" xfId="6797" xr:uid="{0C28ADA6-D2BA-47AC-BFA1-ABDB2C232B31}"/>
    <cellStyle name="Normal 9 2 2 2 3 2 7 2" xfId="16745" xr:uid="{6A8EAE70-A27E-45BB-BFEB-A6E7321A9194}"/>
    <cellStyle name="Normal 9 2 2 2 3 2 8" xfId="7626" xr:uid="{6500DE9C-237A-4764-B0D2-8EBDC98B183C}"/>
    <cellStyle name="Normal 9 2 2 2 3 2 8 2" xfId="17574" xr:uid="{4E6B846A-B16A-4C4C-BA02-677AD6EA5044}"/>
    <cellStyle name="Normal 9 2 2 2 3 2 9" xfId="8455" xr:uid="{66808563-388D-4274-B7FB-39DD298A3C25}"/>
    <cellStyle name="Normal 9 2 2 2 3 2 9 2" xfId="18403" xr:uid="{85406BEB-917D-4752-BD32-09C61077B674}"/>
    <cellStyle name="Normal 9 2 2 2 3 3" xfId="2236" xr:uid="{1DB63359-4AE6-490C-AE1D-3580847B70E0}"/>
    <cellStyle name="Normal 9 2 2 2 3 3 2" xfId="12184" xr:uid="{92FB72B9-23B9-46EC-AC1E-2825AAFC3865}"/>
    <cellStyle name="Normal 9 2 2 2 3 4" xfId="3065" xr:uid="{9B2EF0BC-9855-44A4-B03D-7FFBE37301B2}"/>
    <cellStyle name="Normal 9 2 2 2 3 4 2" xfId="13013" xr:uid="{EED3640F-1D21-4DD8-B32E-50D2C23FD0D4}"/>
    <cellStyle name="Normal 9 2 2 2 3 5" xfId="3894" xr:uid="{7BFF368D-E5C5-4B3E-8129-F97AC92ED1A5}"/>
    <cellStyle name="Normal 9 2 2 2 3 5 2" xfId="13842" xr:uid="{E7A9080D-06FE-4F1E-BE5F-8538B67FE8E9}"/>
    <cellStyle name="Normal 9 2 2 2 3 6" xfId="4723" xr:uid="{4619CDEE-85EC-43B2-B7AB-098AF5D37B34}"/>
    <cellStyle name="Normal 9 2 2 2 3 6 2" xfId="14671" xr:uid="{FF5048CD-3F19-47FC-87DB-0081F0DA9F0B}"/>
    <cellStyle name="Normal 9 2 2 2 3 7" xfId="5552" xr:uid="{4150E399-7C4C-4B93-9B3E-58CCC205D72A}"/>
    <cellStyle name="Normal 9 2 2 2 3 7 2" xfId="15500" xr:uid="{046B560C-A866-4123-BB0C-C6E3CAC1A5A0}"/>
    <cellStyle name="Normal 9 2 2 2 3 8" xfId="6381" xr:uid="{1B8BAD52-25D5-4D45-ACCA-37A95559B710}"/>
    <cellStyle name="Normal 9 2 2 2 3 8 2" xfId="16329" xr:uid="{73171682-5279-4211-A41E-31D5DF306E54}"/>
    <cellStyle name="Normal 9 2 2 2 3 9" xfId="7210" xr:uid="{D67970ED-E535-454C-B773-D642A4A451D0}"/>
    <cellStyle name="Normal 9 2 2 2 3 9 2" xfId="17158" xr:uid="{414F4476-97A8-42FC-904B-23035B0F9A23}"/>
    <cellStyle name="Normal 9 2 2 2 4" xfId="988" xr:uid="{00000000-0005-0000-0000-0000A5030000}"/>
    <cellStyle name="Normal 9 2 2 2 4 10" xfId="9281" xr:uid="{84EE7347-7AE0-4408-AE40-EDEFF0D86B53}"/>
    <cellStyle name="Normal 9 2 2 2 4 10 2" xfId="19229" xr:uid="{250C868E-F047-4433-8471-387B3C2DF8D0}"/>
    <cellStyle name="Normal 9 2 2 2 4 11" xfId="10110" xr:uid="{81C6324A-99F7-47DE-B4E3-0452151663AA}"/>
    <cellStyle name="Normal 9 2 2 2 4 11 2" xfId="20058" xr:uid="{7F97F734-EDEB-4A00-9CB6-0D6F2ADC0812}"/>
    <cellStyle name="Normal 9 2 2 2 4 12" xfId="10939" xr:uid="{9D8D086F-C8E6-4E3B-BBF1-16CC5B55FE1E}"/>
    <cellStyle name="Normal 9 2 2 2 4 12 2" xfId="20887" xr:uid="{BC49BF1B-848E-4638-BEB6-6FFF43259D33}"/>
    <cellStyle name="Normal 9 2 2 2 4 13" xfId="1820" xr:uid="{058F485A-3A04-4AB1-BCC0-843AE8F1A399}"/>
    <cellStyle name="Normal 9 2 2 2 4 14" xfId="11768" xr:uid="{1730D5E9-12D4-4C84-AC8E-F45ECBE0A326}"/>
    <cellStyle name="Normal 9 2 2 2 4 2" xfId="2649" xr:uid="{9C2C6332-E6D9-4334-8B85-5EBC1CFF23C3}"/>
    <cellStyle name="Normal 9 2 2 2 4 2 2" xfId="12597" xr:uid="{C8959690-5412-49E8-817B-1B69EF98D788}"/>
    <cellStyle name="Normal 9 2 2 2 4 3" xfId="3478" xr:uid="{AE28CD34-B5F5-44AA-B9C6-244448EF150E}"/>
    <cellStyle name="Normal 9 2 2 2 4 3 2" xfId="13426" xr:uid="{208A5785-C69C-46C2-B0BD-6CC30C62A8AB}"/>
    <cellStyle name="Normal 9 2 2 2 4 4" xfId="4307" xr:uid="{3E0A4F9B-805C-47FE-B476-074AD28A2DBC}"/>
    <cellStyle name="Normal 9 2 2 2 4 4 2" xfId="14255" xr:uid="{FDE7522C-96F3-45B8-95A9-6B938452F42E}"/>
    <cellStyle name="Normal 9 2 2 2 4 5" xfId="5136" xr:uid="{C10E0588-B584-475C-A1BC-2A38C7918A4C}"/>
    <cellStyle name="Normal 9 2 2 2 4 5 2" xfId="15084" xr:uid="{8B3D1455-D351-4F5D-B031-656C37E67840}"/>
    <cellStyle name="Normal 9 2 2 2 4 6" xfId="5965" xr:uid="{E710502C-429F-4F5B-8ACE-8F1399CCF441}"/>
    <cellStyle name="Normal 9 2 2 2 4 6 2" xfId="15913" xr:uid="{5F438A62-90FC-4F4F-B8B3-2A35A2069984}"/>
    <cellStyle name="Normal 9 2 2 2 4 7" xfId="6794" xr:uid="{69EA70FD-50CD-412D-A239-6043F24F6883}"/>
    <cellStyle name="Normal 9 2 2 2 4 7 2" xfId="16742" xr:uid="{AD7E8A04-2C8E-4A04-8717-22856FEBA048}"/>
    <cellStyle name="Normal 9 2 2 2 4 8" xfId="7623" xr:uid="{0E84272C-1746-4C96-A106-AD68ECFFEDF6}"/>
    <cellStyle name="Normal 9 2 2 2 4 8 2" xfId="17571" xr:uid="{8FDBECA7-0D0B-4FBD-B944-385156F375BC}"/>
    <cellStyle name="Normal 9 2 2 2 4 9" xfId="8452" xr:uid="{0929062C-5660-48AA-8D67-A2B9AEAF417A}"/>
    <cellStyle name="Normal 9 2 2 2 4 9 2" xfId="18400" xr:uid="{63039BE9-78AA-4936-AA70-9E6850FAF6F1}"/>
    <cellStyle name="Normal 9 2 2 2 5" xfId="2233" xr:uid="{3B2EB597-E5A8-44C4-BA6E-2A74CA3A5633}"/>
    <cellStyle name="Normal 9 2 2 2 5 2" xfId="12181" xr:uid="{3D08FB52-3B73-40B2-A8CF-A75EBB2458B2}"/>
    <cellStyle name="Normal 9 2 2 2 6" xfId="3062" xr:uid="{E1E1F1D4-2281-4B6B-A397-6C09BDB63143}"/>
    <cellStyle name="Normal 9 2 2 2 6 2" xfId="13010" xr:uid="{6B2A92AE-3FF9-4ED0-9213-C806A71447F7}"/>
    <cellStyle name="Normal 9 2 2 2 7" xfId="3891" xr:uid="{A2FEB737-4A6B-45A8-B549-F02DA170297C}"/>
    <cellStyle name="Normal 9 2 2 2 7 2" xfId="13839" xr:uid="{31A53788-6148-46B2-8E87-436F28C573EC}"/>
    <cellStyle name="Normal 9 2 2 2 8" xfId="4720" xr:uid="{8531C6B3-3A5D-497B-9CF7-1CC5B26B5D5B}"/>
    <cellStyle name="Normal 9 2 2 2 8 2" xfId="14668" xr:uid="{C70C69F4-82AA-491D-8FF8-AE5701D3EA7C}"/>
    <cellStyle name="Normal 9 2 2 2 9" xfId="5549" xr:uid="{A4A40BA6-E55D-4402-9F72-6CFCDF628592}"/>
    <cellStyle name="Normal 9 2 2 2 9 2" xfId="15497" xr:uid="{0F8BC84C-7802-4EBC-A132-AF646FDCDAEB}"/>
    <cellStyle name="Normal 9 2 2 3" xfId="520" xr:uid="{00000000-0005-0000-0000-0000A6030000}"/>
    <cellStyle name="Normal 9 2 2 3 10" xfId="7211" xr:uid="{B80A0CEE-D0A8-434A-B5B3-D71131ECA8FF}"/>
    <cellStyle name="Normal 9 2 2 3 10 2" xfId="17159" xr:uid="{371752A3-5E0B-4C3B-A0C5-4D9D82269A91}"/>
    <cellStyle name="Normal 9 2 2 3 11" xfId="8040" xr:uid="{54895D66-D7B3-482D-B87B-F26BDC7CD688}"/>
    <cellStyle name="Normal 9 2 2 3 11 2" xfId="17988" xr:uid="{EBFCD027-5C94-405A-BED9-44B1B9C97209}"/>
    <cellStyle name="Normal 9 2 2 3 12" xfId="8869" xr:uid="{0CA1B741-59CC-4484-A205-7EFC959B04A5}"/>
    <cellStyle name="Normal 9 2 2 3 12 2" xfId="18817" xr:uid="{E4A3D14F-CBCC-4026-8A3B-65A76F93501E}"/>
    <cellStyle name="Normal 9 2 2 3 13" xfId="9698" xr:uid="{24471E1F-82CE-4B0D-916F-A96FA3CFC7E8}"/>
    <cellStyle name="Normal 9 2 2 3 13 2" xfId="19646" xr:uid="{488F87FA-AE3C-4A50-B387-31390EC46DAD}"/>
    <cellStyle name="Normal 9 2 2 3 14" xfId="10527" xr:uid="{4FB51BF0-9FB0-4A64-BE6A-B1582DCC4B49}"/>
    <cellStyle name="Normal 9 2 2 3 14 2" xfId="20475" xr:uid="{BE19647C-66DE-4E51-83F2-173E24E1E087}"/>
    <cellStyle name="Normal 9 2 2 3 15" xfId="1408" xr:uid="{77AEC84A-D631-4DCC-A13C-676B312414EC}"/>
    <cellStyle name="Normal 9 2 2 3 16" xfId="11356" xr:uid="{E06CF4E0-DF09-4671-8203-EADC09D6FEEB}"/>
    <cellStyle name="Normal 9 2 2 3 2" xfId="521" xr:uid="{00000000-0005-0000-0000-0000A7030000}"/>
    <cellStyle name="Normal 9 2 2 3 2 10" xfId="8041" xr:uid="{1D9572C7-33C2-43AE-9ACE-05082463675C}"/>
    <cellStyle name="Normal 9 2 2 3 2 10 2" xfId="17989" xr:uid="{F894C50D-53BE-42FB-AF4B-07A467CFCA29}"/>
    <cellStyle name="Normal 9 2 2 3 2 11" xfId="8870" xr:uid="{D19658D3-78D0-4D71-808B-BF6833E4D072}"/>
    <cellStyle name="Normal 9 2 2 3 2 11 2" xfId="18818" xr:uid="{62EAE918-C880-4C29-8161-B06E278F5634}"/>
    <cellStyle name="Normal 9 2 2 3 2 12" xfId="9699" xr:uid="{8D9B5F24-1323-413A-B5AC-FC4981570EEE}"/>
    <cellStyle name="Normal 9 2 2 3 2 12 2" xfId="19647" xr:uid="{04B8D15C-4E93-44AC-99C4-394A67C9B230}"/>
    <cellStyle name="Normal 9 2 2 3 2 13" xfId="10528" xr:uid="{F840BB58-83B9-447B-9646-C03FC5C8EC9B}"/>
    <cellStyle name="Normal 9 2 2 3 2 13 2" xfId="20476" xr:uid="{8CF088D6-A9D9-4E41-AD6B-DEFAD420FAA4}"/>
    <cellStyle name="Normal 9 2 2 3 2 14" xfId="1409" xr:uid="{90743931-2013-4528-A17D-E2173AB63D83}"/>
    <cellStyle name="Normal 9 2 2 3 2 15" xfId="11357" xr:uid="{5EB66779-47E1-426A-9B84-48738FF20486}"/>
    <cellStyle name="Normal 9 2 2 3 2 2" xfId="993" xr:uid="{00000000-0005-0000-0000-0000A8030000}"/>
    <cellStyle name="Normal 9 2 2 3 2 2 10" xfId="9286" xr:uid="{53E16969-9CE5-4112-8EA2-7DE3768B9CCB}"/>
    <cellStyle name="Normal 9 2 2 3 2 2 10 2" xfId="19234" xr:uid="{D22FC1C9-5434-40D9-BD45-A5D3180B78E1}"/>
    <cellStyle name="Normal 9 2 2 3 2 2 11" xfId="10115" xr:uid="{D45DCC2C-2174-4297-A85F-2F248C61520D}"/>
    <cellStyle name="Normal 9 2 2 3 2 2 11 2" xfId="20063" xr:uid="{8DE10A56-4FE2-4E9F-8D8B-049248996384}"/>
    <cellStyle name="Normal 9 2 2 3 2 2 12" xfId="10944" xr:uid="{9B13F9EB-EAFD-4EF3-9CF7-A7324D4E2672}"/>
    <cellStyle name="Normal 9 2 2 3 2 2 12 2" xfId="20892" xr:uid="{2DBE9D01-3A93-42F6-A49C-DEB38DFE7349}"/>
    <cellStyle name="Normal 9 2 2 3 2 2 13" xfId="1825" xr:uid="{B860ABBB-A417-452C-B0BD-142ADD19DD99}"/>
    <cellStyle name="Normal 9 2 2 3 2 2 14" xfId="11773" xr:uid="{D53BACDC-46BD-49CC-A34C-C6BA0623AFB2}"/>
    <cellStyle name="Normal 9 2 2 3 2 2 2" xfId="2654" xr:uid="{A88FF914-D7F1-4735-A480-42CDBC7DDAE9}"/>
    <cellStyle name="Normal 9 2 2 3 2 2 2 2" xfId="12602" xr:uid="{4B96F19F-605A-41D7-A29B-B4FFE405173C}"/>
    <cellStyle name="Normal 9 2 2 3 2 2 3" xfId="3483" xr:uid="{A553736A-2B51-4FA8-A678-B8E9CA791FF0}"/>
    <cellStyle name="Normal 9 2 2 3 2 2 3 2" xfId="13431" xr:uid="{445051FD-59BB-436E-B955-C8276462A2B9}"/>
    <cellStyle name="Normal 9 2 2 3 2 2 4" xfId="4312" xr:uid="{F021A8B9-AFFE-4449-BE41-C8D6D5E4EFAE}"/>
    <cellStyle name="Normal 9 2 2 3 2 2 4 2" xfId="14260" xr:uid="{3AD29129-6D54-4856-BD35-C1158940FBFA}"/>
    <cellStyle name="Normal 9 2 2 3 2 2 5" xfId="5141" xr:uid="{2800E618-96AD-4C21-BBA7-8DFD5A8CC2A7}"/>
    <cellStyle name="Normal 9 2 2 3 2 2 5 2" xfId="15089" xr:uid="{F6A535B5-E0BB-4D65-A8CA-B22BF51EF988}"/>
    <cellStyle name="Normal 9 2 2 3 2 2 6" xfId="5970" xr:uid="{0BF5169D-B26C-4C7B-881C-210F2291969A}"/>
    <cellStyle name="Normal 9 2 2 3 2 2 6 2" xfId="15918" xr:uid="{2E42860B-6BC7-403F-9543-9EC57B6BC8FE}"/>
    <cellStyle name="Normal 9 2 2 3 2 2 7" xfId="6799" xr:uid="{04A915B0-02BA-44F2-9B3B-92B0070CADC1}"/>
    <cellStyle name="Normal 9 2 2 3 2 2 7 2" xfId="16747" xr:uid="{A0002950-180D-4DF5-AB23-F6DCF38C51A6}"/>
    <cellStyle name="Normal 9 2 2 3 2 2 8" xfId="7628" xr:uid="{492D5D08-8955-4589-9A17-6E80EF17148A}"/>
    <cellStyle name="Normal 9 2 2 3 2 2 8 2" xfId="17576" xr:uid="{11BE291B-E9BB-40C6-96BE-0777AF4CFADA}"/>
    <cellStyle name="Normal 9 2 2 3 2 2 9" xfId="8457" xr:uid="{887F8E34-4FDF-47DC-814D-30DA2E2FDA32}"/>
    <cellStyle name="Normal 9 2 2 3 2 2 9 2" xfId="18405" xr:uid="{01353AC1-20BF-4A02-AB67-832334D975C9}"/>
    <cellStyle name="Normal 9 2 2 3 2 3" xfId="2238" xr:uid="{D19BE14E-9A99-49CD-8593-FA80FF612533}"/>
    <cellStyle name="Normal 9 2 2 3 2 3 2" xfId="12186" xr:uid="{50A2E412-17AB-46EF-8120-76AFA396E573}"/>
    <cellStyle name="Normal 9 2 2 3 2 4" xfId="3067" xr:uid="{087621A3-E70C-42D9-B7B3-10D6C4552D0B}"/>
    <cellStyle name="Normal 9 2 2 3 2 4 2" xfId="13015" xr:uid="{9C9EC909-1FA4-4DE0-84AF-82AC0AF8A169}"/>
    <cellStyle name="Normal 9 2 2 3 2 5" xfId="3896" xr:uid="{488524AB-228C-45EC-87D6-A92855382092}"/>
    <cellStyle name="Normal 9 2 2 3 2 5 2" xfId="13844" xr:uid="{773F3C7F-5C43-44BE-83FF-F3A407073956}"/>
    <cellStyle name="Normal 9 2 2 3 2 6" xfId="4725" xr:uid="{04122E28-3479-496C-98D2-F84BD50FC759}"/>
    <cellStyle name="Normal 9 2 2 3 2 6 2" xfId="14673" xr:uid="{B5E94A98-FCE3-4A6B-B2D6-07C1C58F194A}"/>
    <cellStyle name="Normal 9 2 2 3 2 7" xfId="5554" xr:uid="{B295ACB6-868D-4DF9-B69B-59FE5EA30571}"/>
    <cellStyle name="Normal 9 2 2 3 2 7 2" xfId="15502" xr:uid="{A01428D0-67E9-4B53-8409-38CA9E7A5BF8}"/>
    <cellStyle name="Normal 9 2 2 3 2 8" xfId="6383" xr:uid="{272912B2-1151-4B03-8D88-018F78A643EF}"/>
    <cellStyle name="Normal 9 2 2 3 2 8 2" xfId="16331" xr:uid="{9AC0FA1C-463D-4C0E-B0A0-CE9548BF127D}"/>
    <cellStyle name="Normal 9 2 2 3 2 9" xfId="7212" xr:uid="{11CAA659-F68C-4806-AB3F-4153C2DCF6BF}"/>
    <cellStyle name="Normal 9 2 2 3 2 9 2" xfId="17160" xr:uid="{9B1913C0-0175-4523-BD1F-FC7D25205B3F}"/>
    <cellStyle name="Normal 9 2 2 3 3" xfId="992" xr:uid="{00000000-0005-0000-0000-0000A9030000}"/>
    <cellStyle name="Normal 9 2 2 3 3 10" xfId="9285" xr:uid="{FB273614-500A-4F85-B3C3-04FFE45311C2}"/>
    <cellStyle name="Normal 9 2 2 3 3 10 2" xfId="19233" xr:uid="{AEEEC48D-2BBC-466E-957E-EDBCCC689D2E}"/>
    <cellStyle name="Normal 9 2 2 3 3 11" xfId="10114" xr:uid="{16C093F0-81BE-4A32-B27C-B7B2A39E6248}"/>
    <cellStyle name="Normal 9 2 2 3 3 11 2" xfId="20062" xr:uid="{824F5DC6-6F51-4514-88A3-F906E77101DA}"/>
    <cellStyle name="Normal 9 2 2 3 3 12" xfId="10943" xr:uid="{C1E68DDE-E3BE-4CD9-81D2-227B8C57217A}"/>
    <cellStyle name="Normal 9 2 2 3 3 12 2" xfId="20891" xr:uid="{3467BD3E-BD44-43C2-801E-6D04560B4026}"/>
    <cellStyle name="Normal 9 2 2 3 3 13" xfId="1824" xr:uid="{A3773942-B122-4DFD-9CE6-82B128B2C3F5}"/>
    <cellStyle name="Normal 9 2 2 3 3 14" xfId="11772" xr:uid="{2CFE2B0E-2268-4CEA-AE26-D59B291E9A73}"/>
    <cellStyle name="Normal 9 2 2 3 3 2" xfId="2653" xr:uid="{C898B244-3600-4ECE-B09A-0478C301BBE8}"/>
    <cellStyle name="Normal 9 2 2 3 3 2 2" xfId="12601" xr:uid="{F5CC58D7-A7BA-4003-A0FA-D83E9B3822BD}"/>
    <cellStyle name="Normal 9 2 2 3 3 3" xfId="3482" xr:uid="{7EA0DB25-7276-4B85-9805-E380682E8B36}"/>
    <cellStyle name="Normal 9 2 2 3 3 3 2" xfId="13430" xr:uid="{E257B0BF-1860-4989-BA57-18491A1D0B36}"/>
    <cellStyle name="Normal 9 2 2 3 3 4" xfId="4311" xr:uid="{C7713C65-F45D-45B0-8CE0-B1B28658BBB5}"/>
    <cellStyle name="Normal 9 2 2 3 3 4 2" xfId="14259" xr:uid="{4337C52F-89B5-46D1-8C9D-BD310C9B7CCC}"/>
    <cellStyle name="Normal 9 2 2 3 3 5" xfId="5140" xr:uid="{45526142-F6D8-4B24-AB1C-4B839B6E8E41}"/>
    <cellStyle name="Normal 9 2 2 3 3 5 2" xfId="15088" xr:uid="{9AECF62C-56EC-4DA0-AFF5-39498C5E956F}"/>
    <cellStyle name="Normal 9 2 2 3 3 6" xfId="5969" xr:uid="{50E5AC18-55E9-44A2-A263-75742302796D}"/>
    <cellStyle name="Normal 9 2 2 3 3 6 2" xfId="15917" xr:uid="{FCE7A7FB-04FB-440A-B8EE-48D0787A5558}"/>
    <cellStyle name="Normal 9 2 2 3 3 7" xfId="6798" xr:uid="{FF38C1E5-30FC-4F6F-BEAC-56B356C94421}"/>
    <cellStyle name="Normal 9 2 2 3 3 7 2" xfId="16746" xr:uid="{56A96EDF-282C-4DAD-AC48-7F9ECA6B0AB9}"/>
    <cellStyle name="Normal 9 2 2 3 3 8" xfId="7627" xr:uid="{83167CAC-0917-4AD3-A9F4-97FA51AEB24F}"/>
    <cellStyle name="Normal 9 2 2 3 3 8 2" xfId="17575" xr:uid="{E71DF15D-21D2-4EF7-98FF-25483F1FC1DB}"/>
    <cellStyle name="Normal 9 2 2 3 3 9" xfId="8456" xr:uid="{86887978-B428-40BB-91C9-3E2A66B94D79}"/>
    <cellStyle name="Normal 9 2 2 3 3 9 2" xfId="18404" xr:uid="{00176E0E-412C-414A-AD17-3D31D98E0820}"/>
    <cellStyle name="Normal 9 2 2 3 4" xfId="2237" xr:uid="{6DBC90FF-51E7-4C0A-83D6-09E45F5D45E7}"/>
    <cellStyle name="Normal 9 2 2 3 4 2" xfId="12185" xr:uid="{2E4B2526-7DF4-4209-A397-B258FB78109D}"/>
    <cellStyle name="Normal 9 2 2 3 5" xfId="3066" xr:uid="{3ECDCA81-F904-49DB-85F0-EB449F036068}"/>
    <cellStyle name="Normal 9 2 2 3 5 2" xfId="13014" xr:uid="{6C798EB1-5A72-45AA-A158-45BFF86BA24E}"/>
    <cellStyle name="Normal 9 2 2 3 6" xfId="3895" xr:uid="{806FC80A-1295-4270-B776-344AA5057B44}"/>
    <cellStyle name="Normal 9 2 2 3 6 2" xfId="13843" xr:uid="{ECBB46A4-E82B-4E35-BB7E-6646B7C9CE71}"/>
    <cellStyle name="Normal 9 2 2 3 7" xfId="4724" xr:uid="{62EAA251-746E-495A-9C96-EDA3C4BCEC70}"/>
    <cellStyle name="Normal 9 2 2 3 7 2" xfId="14672" xr:uid="{7A858574-1868-4FA5-B2B0-FE26A1F1BF00}"/>
    <cellStyle name="Normal 9 2 2 3 8" xfId="5553" xr:uid="{344AF0CF-1095-4CBF-BA2B-1C8467338CA2}"/>
    <cellStyle name="Normal 9 2 2 3 8 2" xfId="15501" xr:uid="{00397246-21BF-40A3-B6D1-97CED6AB05DE}"/>
    <cellStyle name="Normal 9 2 2 3 9" xfId="6382" xr:uid="{B7467DE4-0336-4722-939D-3F4F295F4419}"/>
    <cellStyle name="Normal 9 2 2 3 9 2" xfId="16330" xr:uid="{282B890C-4B33-49B6-B4C9-12426A9C5B84}"/>
    <cellStyle name="Normal 9 2 2 4" xfId="522" xr:uid="{00000000-0005-0000-0000-0000AA030000}"/>
    <cellStyle name="Normal 9 2 2 4 10" xfId="8042" xr:uid="{6DFA1F2B-6A03-4446-B7C3-185568732DDA}"/>
    <cellStyle name="Normal 9 2 2 4 10 2" xfId="17990" xr:uid="{AA03264E-AF86-4930-9421-F9FC960F708F}"/>
    <cellStyle name="Normal 9 2 2 4 11" xfId="8871" xr:uid="{0B258B9B-C1EF-44C8-BFEA-25D8B762D943}"/>
    <cellStyle name="Normal 9 2 2 4 11 2" xfId="18819" xr:uid="{73C4903A-7BE2-487F-AB5A-D2AA636F5C06}"/>
    <cellStyle name="Normal 9 2 2 4 12" xfId="9700" xr:uid="{68700AC3-58BD-4F42-BB38-F79889F4607C}"/>
    <cellStyle name="Normal 9 2 2 4 12 2" xfId="19648" xr:uid="{459F9BC3-5F16-4A17-9095-581BDE187465}"/>
    <cellStyle name="Normal 9 2 2 4 13" xfId="10529" xr:uid="{CD9183D1-3275-4528-AFA3-F5629DA2B674}"/>
    <cellStyle name="Normal 9 2 2 4 13 2" xfId="20477" xr:uid="{63B89296-A5B7-4AF1-9698-C16FA6380625}"/>
    <cellStyle name="Normal 9 2 2 4 14" xfId="1410" xr:uid="{C0FDAB43-600B-4278-8BEC-5C0FC48EB64E}"/>
    <cellStyle name="Normal 9 2 2 4 15" xfId="11358" xr:uid="{0FF34D69-9BCA-404D-9C2D-8E1618AAFE27}"/>
    <cellStyle name="Normal 9 2 2 4 2" xfId="994" xr:uid="{00000000-0005-0000-0000-0000AB030000}"/>
    <cellStyle name="Normal 9 2 2 4 2 10" xfId="9287" xr:uid="{F22A424D-5B5F-4B44-8BC3-098B3457E7B2}"/>
    <cellStyle name="Normal 9 2 2 4 2 10 2" xfId="19235" xr:uid="{7F841915-36E3-4A84-8A21-8218EB94CE31}"/>
    <cellStyle name="Normal 9 2 2 4 2 11" xfId="10116" xr:uid="{F87C3A2C-CA4E-4691-8ECB-C68C9B5EB2F9}"/>
    <cellStyle name="Normal 9 2 2 4 2 11 2" xfId="20064" xr:uid="{A652832D-493A-48E8-822B-52DECAC8DDDE}"/>
    <cellStyle name="Normal 9 2 2 4 2 12" xfId="10945" xr:uid="{8A9761F5-7813-44AD-891C-9C7462746518}"/>
    <cellStyle name="Normal 9 2 2 4 2 12 2" xfId="20893" xr:uid="{B70FF938-12C7-4892-B830-CDD7833DC3CC}"/>
    <cellStyle name="Normal 9 2 2 4 2 13" xfId="1826" xr:uid="{95D34172-1C1E-4AF0-B529-21AE77DD7A02}"/>
    <cellStyle name="Normal 9 2 2 4 2 14" xfId="11774" xr:uid="{F93D8363-9EA7-4777-8B66-5C7C06DA4877}"/>
    <cellStyle name="Normal 9 2 2 4 2 2" xfId="2655" xr:uid="{88223C0B-3725-4836-85DA-B93186817E2E}"/>
    <cellStyle name="Normal 9 2 2 4 2 2 2" xfId="12603" xr:uid="{18B4FE8A-B972-4E93-9C45-354C3666B7C5}"/>
    <cellStyle name="Normal 9 2 2 4 2 3" xfId="3484" xr:uid="{80674842-F3B7-4D69-8DBB-8F02799A0129}"/>
    <cellStyle name="Normal 9 2 2 4 2 3 2" xfId="13432" xr:uid="{FE252868-E338-4C52-9B29-E98CF4D49862}"/>
    <cellStyle name="Normal 9 2 2 4 2 4" xfId="4313" xr:uid="{6B43BAB3-9333-4ABA-BE72-E25ED8477109}"/>
    <cellStyle name="Normal 9 2 2 4 2 4 2" xfId="14261" xr:uid="{5D36703C-6B1B-4C67-A2E2-FEAA9713A17F}"/>
    <cellStyle name="Normal 9 2 2 4 2 5" xfId="5142" xr:uid="{23404CC5-B13A-4F34-ADFE-666713D214D1}"/>
    <cellStyle name="Normal 9 2 2 4 2 5 2" xfId="15090" xr:uid="{D0D25A5F-62BB-4FA4-8D94-4EBA66BD89B8}"/>
    <cellStyle name="Normal 9 2 2 4 2 6" xfId="5971" xr:uid="{06AD222E-E562-41C0-B2A2-F065AAB97F56}"/>
    <cellStyle name="Normal 9 2 2 4 2 6 2" xfId="15919" xr:uid="{BCFC0BBE-314D-435C-9158-17FE8CB96DB4}"/>
    <cellStyle name="Normal 9 2 2 4 2 7" xfId="6800" xr:uid="{A880ECB4-8DE2-4F6B-B604-305714F24072}"/>
    <cellStyle name="Normal 9 2 2 4 2 7 2" xfId="16748" xr:uid="{F134CE51-9FDC-43E2-81F8-6D28448D2B42}"/>
    <cellStyle name="Normal 9 2 2 4 2 8" xfId="7629" xr:uid="{5723E3C9-9DAD-4DA9-9D32-5A39CBDF9BCB}"/>
    <cellStyle name="Normal 9 2 2 4 2 8 2" xfId="17577" xr:uid="{601351E7-3277-422F-B568-B322E1438D83}"/>
    <cellStyle name="Normal 9 2 2 4 2 9" xfId="8458" xr:uid="{DF5715C5-BD2C-4F37-BEB3-ABB376D14934}"/>
    <cellStyle name="Normal 9 2 2 4 2 9 2" xfId="18406" xr:uid="{C3E5878C-58D7-4B1A-8A49-7265B391A031}"/>
    <cellStyle name="Normal 9 2 2 4 3" xfId="2239" xr:uid="{F9279433-4953-4A79-B82D-2ED41AD4B5E1}"/>
    <cellStyle name="Normal 9 2 2 4 3 2" xfId="12187" xr:uid="{90AF096F-6C99-41B6-8A22-1CA342F36C7A}"/>
    <cellStyle name="Normal 9 2 2 4 4" xfId="3068" xr:uid="{E14D1150-5B8B-403E-B0FD-C774064E2216}"/>
    <cellStyle name="Normal 9 2 2 4 4 2" xfId="13016" xr:uid="{A01D95FE-4FAD-4606-991B-17CEDA2D377F}"/>
    <cellStyle name="Normal 9 2 2 4 5" xfId="3897" xr:uid="{0DB9C2FB-9E35-486A-8160-7721E7AEE5FD}"/>
    <cellStyle name="Normal 9 2 2 4 5 2" xfId="13845" xr:uid="{11A44577-956E-4F3C-B4BF-C5F83BEEFA2F}"/>
    <cellStyle name="Normal 9 2 2 4 6" xfId="4726" xr:uid="{7C335D07-2AB6-4C9A-95E0-2F45289DDD56}"/>
    <cellStyle name="Normal 9 2 2 4 6 2" xfId="14674" xr:uid="{95A6A5BE-F27D-4F56-8A6C-037B7485FF4A}"/>
    <cellStyle name="Normal 9 2 2 4 7" xfId="5555" xr:uid="{44D67675-D1D6-41BE-8E4E-664318B2E952}"/>
    <cellStyle name="Normal 9 2 2 4 7 2" xfId="15503" xr:uid="{12089BC3-E10A-40DE-B366-1ED435CF083A}"/>
    <cellStyle name="Normal 9 2 2 4 8" xfId="6384" xr:uid="{671439C9-CFAA-4EF5-934A-3E528EF0CF59}"/>
    <cellStyle name="Normal 9 2 2 4 8 2" xfId="16332" xr:uid="{90DEB4FC-5ED3-47B5-8F38-8EF356DB7BBA}"/>
    <cellStyle name="Normal 9 2 2 4 9" xfId="7213" xr:uid="{AE177D91-3CB8-4607-B5A1-603564BB3DEE}"/>
    <cellStyle name="Normal 9 2 2 4 9 2" xfId="17161" xr:uid="{8DE057D8-FF1F-45D1-8670-0F1E8C021BEC}"/>
    <cellStyle name="Normal 9 2 2 5" xfId="987" xr:uid="{00000000-0005-0000-0000-0000AC030000}"/>
    <cellStyle name="Normal 9 2 2 5 10" xfId="9280" xr:uid="{8C5D74A7-1850-4E04-829D-2AC4DFC945B9}"/>
    <cellStyle name="Normal 9 2 2 5 10 2" xfId="19228" xr:uid="{9053E9D6-5FF2-430D-93B9-FDBB5E1E06AD}"/>
    <cellStyle name="Normal 9 2 2 5 11" xfId="10109" xr:uid="{28A3B969-DB1B-485D-8FCF-F850C88A38DC}"/>
    <cellStyle name="Normal 9 2 2 5 11 2" xfId="20057" xr:uid="{B42E66E4-E60A-4661-A3CE-865A52B00E90}"/>
    <cellStyle name="Normal 9 2 2 5 12" xfId="10938" xr:uid="{AB88BA25-0C8D-4831-8F5D-812860A9EA07}"/>
    <cellStyle name="Normal 9 2 2 5 12 2" xfId="20886" xr:uid="{73AAE139-03AB-48DD-B793-C1F28259C731}"/>
    <cellStyle name="Normal 9 2 2 5 13" xfId="1819" xr:uid="{7044A5E3-B02E-4FA5-BF58-7FD3FA8FC585}"/>
    <cellStyle name="Normal 9 2 2 5 14" xfId="11767" xr:uid="{0E191915-747A-4F93-AF97-0B81677B84B8}"/>
    <cellStyle name="Normal 9 2 2 5 2" xfId="2648" xr:uid="{1E639FF8-5EFC-48A8-83A1-00D5EFFC04F8}"/>
    <cellStyle name="Normal 9 2 2 5 2 2" xfId="12596" xr:uid="{AEDE6CE9-9C7D-4759-8F32-F87E6655DC75}"/>
    <cellStyle name="Normal 9 2 2 5 3" xfId="3477" xr:uid="{196358B5-D342-4D3A-8ADD-B5353F674271}"/>
    <cellStyle name="Normal 9 2 2 5 3 2" xfId="13425" xr:uid="{DEEFC5A9-D88F-474A-AC27-1CCF4F24DD4B}"/>
    <cellStyle name="Normal 9 2 2 5 4" xfId="4306" xr:uid="{18443CE5-C3F8-4CD8-A3AE-E858201C9CAB}"/>
    <cellStyle name="Normal 9 2 2 5 4 2" xfId="14254" xr:uid="{64765EDF-E378-49C9-9500-B65EAC6391B7}"/>
    <cellStyle name="Normal 9 2 2 5 5" xfId="5135" xr:uid="{DFE81F9C-3EC9-4F4A-971E-89ADC7C73236}"/>
    <cellStyle name="Normal 9 2 2 5 5 2" xfId="15083" xr:uid="{3F9F5967-EDF5-48C5-AD85-E11B20061E04}"/>
    <cellStyle name="Normal 9 2 2 5 6" xfId="5964" xr:uid="{4DDB9120-6237-40B3-85BF-F30E15818D42}"/>
    <cellStyle name="Normal 9 2 2 5 6 2" xfId="15912" xr:uid="{AA00957E-3E88-4669-ADDC-5D402AD82088}"/>
    <cellStyle name="Normal 9 2 2 5 7" xfId="6793" xr:uid="{C86FEEB9-DE04-408F-A573-1238D465A285}"/>
    <cellStyle name="Normal 9 2 2 5 7 2" xfId="16741" xr:uid="{361493E0-69B2-41E8-8378-EFF3BF88C45F}"/>
    <cellStyle name="Normal 9 2 2 5 8" xfId="7622" xr:uid="{74092331-782D-44FC-BB70-9D254559CC47}"/>
    <cellStyle name="Normal 9 2 2 5 8 2" xfId="17570" xr:uid="{9AF7198A-A63C-4085-952E-DECA3C16FB19}"/>
    <cellStyle name="Normal 9 2 2 5 9" xfId="8451" xr:uid="{E01B851E-0B05-4F78-A9E0-F3D5A098CD09}"/>
    <cellStyle name="Normal 9 2 2 5 9 2" xfId="18399" xr:uid="{3D5A152C-014C-485B-99AA-24501583F251}"/>
    <cellStyle name="Normal 9 2 2 6" xfId="2232" xr:uid="{935B4F96-0F0E-46EA-9D97-50E3E8435EF6}"/>
    <cellStyle name="Normal 9 2 2 6 2" xfId="12180" xr:uid="{2EFDF9B6-8067-434A-9369-272132A6F989}"/>
    <cellStyle name="Normal 9 2 2 7" xfId="3061" xr:uid="{C03D78FF-B1F1-4A54-B10E-238C2FB78CDA}"/>
    <cellStyle name="Normal 9 2 2 7 2" xfId="13009" xr:uid="{F774DBED-324B-4D03-A364-27DABD1967A6}"/>
    <cellStyle name="Normal 9 2 2 8" xfId="3890" xr:uid="{AF2BB294-62CF-4302-8BCA-58651B84F93E}"/>
    <cellStyle name="Normal 9 2 2 8 2" xfId="13838" xr:uid="{1DC0065E-C7E7-4776-A40C-662EB34C9971}"/>
    <cellStyle name="Normal 9 2 2 9" xfId="4719" xr:uid="{B99AD344-C221-4FE3-BF1C-48EF1149927A}"/>
    <cellStyle name="Normal 9 2 2 9 2" xfId="14667" xr:uid="{661CDFF9-2670-46D3-A11C-4983E3318E5F}"/>
    <cellStyle name="Normal 9 2 3" xfId="523" xr:uid="{00000000-0005-0000-0000-0000AD030000}"/>
    <cellStyle name="Normal 9 2 3 10" xfId="6385" xr:uid="{70384A96-8D44-4FA6-BC76-5408EA131491}"/>
    <cellStyle name="Normal 9 2 3 10 2" xfId="16333" xr:uid="{37E52C1B-F4DE-4305-AF32-70BFDB5936B3}"/>
    <cellStyle name="Normal 9 2 3 11" xfId="7214" xr:uid="{91C34008-6A90-4E71-8471-8240088CDFDA}"/>
    <cellStyle name="Normal 9 2 3 11 2" xfId="17162" xr:uid="{C5B2C366-6C70-4BDF-B375-E10E43855BF9}"/>
    <cellStyle name="Normal 9 2 3 12" xfId="8043" xr:uid="{D44AAFB2-3193-4738-A7D8-62BA9149E375}"/>
    <cellStyle name="Normal 9 2 3 12 2" xfId="17991" xr:uid="{0A75CCAE-77A7-41E3-B022-B7C8FA4C999F}"/>
    <cellStyle name="Normal 9 2 3 13" xfId="8872" xr:uid="{DA35280A-37E2-4C9E-9700-732005F3F8D5}"/>
    <cellStyle name="Normal 9 2 3 13 2" xfId="18820" xr:uid="{36AC64B1-F4AE-4959-AA86-841C1F2820EE}"/>
    <cellStyle name="Normal 9 2 3 14" xfId="9701" xr:uid="{270E5195-27EC-4E60-B8BD-CC81A2032C8C}"/>
    <cellStyle name="Normal 9 2 3 14 2" xfId="19649" xr:uid="{F46A3585-08CA-4FA3-A947-F9FA3AAF8D66}"/>
    <cellStyle name="Normal 9 2 3 15" xfId="10530" xr:uid="{8EA3CCC7-6CBC-499E-A787-C8706F71707D}"/>
    <cellStyle name="Normal 9 2 3 15 2" xfId="20478" xr:uid="{337924A3-52D0-48DA-97F0-31CC4E3745DC}"/>
    <cellStyle name="Normal 9 2 3 16" xfId="1411" xr:uid="{B66B923B-A001-43AF-90C5-195A9108AAAD}"/>
    <cellStyle name="Normal 9 2 3 17" xfId="11359" xr:uid="{43F534F4-6912-4094-A82E-07AF995CECF1}"/>
    <cellStyle name="Normal 9 2 3 2" xfId="524" xr:uid="{00000000-0005-0000-0000-0000AE030000}"/>
    <cellStyle name="Normal 9 2 3 2 10" xfId="7215" xr:uid="{3B74B16F-0765-4E19-9104-6EDE1C278FD2}"/>
    <cellStyle name="Normal 9 2 3 2 10 2" xfId="17163" xr:uid="{823939A2-2505-4A24-B33B-5C4840387D66}"/>
    <cellStyle name="Normal 9 2 3 2 11" xfId="8044" xr:uid="{A5AF999A-4310-4B74-AB9E-AF4BCDE105F2}"/>
    <cellStyle name="Normal 9 2 3 2 11 2" xfId="17992" xr:uid="{EAF950D2-9151-4FB9-81CA-3C3A445B0A16}"/>
    <cellStyle name="Normal 9 2 3 2 12" xfId="8873" xr:uid="{54262BCA-E017-4C1F-BF6D-B32DDF9BD354}"/>
    <cellStyle name="Normal 9 2 3 2 12 2" xfId="18821" xr:uid="{C90E9DA5-0A2D-40C5-AACE-F239C3043D4B}"/>
    <cellStyle name="Normal 9 2 3 2 13" xfId="9702" xr:uid="{FBA167F4-51C9-4D6B-AEE9-7B95772DCE3F}"/>
    <cellStyle name="Normal 9 2 3 2 13 2" xfId="19650" xr:uid="{340B39D9-E33B-4F9C-81EA-99033EA41F8C}"/>
    <cellStyle name="Normal 9 2 3 2 14" xfId="10531" xr:uid="{FAE4C1D6-4AC5-4629-9120-97C868F80CDE}"/>
    <cellStyle name="Normal 9 2 3 2 14 2" xfId="20479" xr:uid="{56E41ECB-3197-48D3-8B80-5D20A8302E6C}"/>
    <cellStyle name="Normal 9 2 3 2 15" xfId="1412" xr:uid="{C41A1BD6-014E-493E-AF02-1CA7BD2ABF88}"/>
    <cellStyle name="Normal 9 2 3 2 16" xfId="11360" xr:uid="{53CD4761-EEB6-496B-B3D0-6237F6A837ED}"/>
    <cellStyle name="Normal 9 2 3 2 2" xfId="525" xr:uid="{00000000-0005-0000-0000-0000AF030000}"/>
    <cellStyle name="Normal 9 2 3 2 2 10" xfId="8045" xr:uid="{4DCF70F9-60A2-443C-B2F6-C846F92939C7}"/>
    <cellStyle name="Normal 9 2 3 2 2 10 2" xfId="17993" xr:uid="{450CAB3E-6EB8-4B09-A7C3-CF31A2E43648}"/>
    <cellStyle name="Normal 9 2 3 2 2 11" xfId="8874" xr:uid="{498B3199-D023-4770-99EA-6DFCD35B0865}"/>
    <cellStyle name="Normal 9 2 3 2 2 11 2" xfId="18822" xr:uid="{B5831EF2-4185-4240-8F21-4B1A68590CF3}"/>
    <cellStyle name="Normal 9 2 3 2 2 12" xfId="9703" xr:uid="{7292B3A2-C3AC-4FF6-B79F-A862F014DC2E}"/>
    <cellStyle name="Normal 9 2 3 2 2 12 2" xfId="19651" xr:uid="{B59206C8-358E-4CCE-92AF-7623719A04E2}"/>
    <cellStyle name="Normal 9 2 3 2 2 13" xfId="10532" xr:uid="{D327DE90-FC38-492E-9FAD-DF918DDDDFCB}"/>
    <cellStyle name="Normal 9 2 3 2 2 13 2" xfId="20480" xr:uid="{EF5D82F0-66B8-4270-8DAF-CD025FFC6CBF}"/>
    <cellStyle name="Normal 9 2 3 2 2 14" xfId="1413" xr:uid="{FE182294-0C24-4217-8068-0087AE424695}"/>
    <cellStyle name="Normal 9 2 3 2 2 15" xfId="11361" xr:uid="{17888611-4AD0-4285-88EC-415924480FBC}"/>
    <cellStyle name="Normal 9 2 3 2 2 2" xfId="997" xr:uid="{00000000-0005-0000-0000-0000B0030000}"/>
    <cellStyle name="Normal 9 2 3 2 2 2 10" xfId="9290" xr:uid="{E4D8320C-8426-4C7F-B753-E9B02DB3CDE5}"/>
    <cellStyle name="Normal 9 2 3 2 2 2 10 2" xfId="19238" xr:uid="{B8320067-4365-4BE9-99B5-578F90F2A245}"/>
    <cellStyle name="Normal 9 2 3 2 2 2 11" xfId="10119" xr:uid="{16DC089B-7429-45EB-9B59-DFB5CC486B26}"/>
    <cellStyle name="Normal 9 2 3 2 2 2 11 2" xfId="20067" xr:uid="{491EED36-8892-470D-AE49-0E67E22A6BDC}"/>
    <cellStyle name="Normal 9 2 3 2 2 2 12" xfId="10948" xr:uid="{568C8681-691A-45A2-9C8D-812F52F3AB21}"/>
    <cellStyle name="Normal 9 2 3 2 2 2 12 2" xfId="20896" xr:uid="{14D1D9A4-C51E-4523-8D86-6F7B5D96B57A}"/>
    <cellStyle name="Normal 9 2 3 2 2 2 13" xfId="1829" xr:uid="{F97ED476-0CD3-40A7-8A82-14D5E3753231}"/>
    <cellStyle name="Normal 9 2 3 2 2 2 14" xfId="11777" xr:uid="{A9129A94-C945-4B8E-BC2D-FB8754135CE6}"/>
    <cellStyle name="Normal 9 2 3 2 2 2 2" xfId="2658" xr:uid="{7A6AA997-1EE1-42BC-AF89-ADFA5718FFFE}"/>
    <cellStyle name="Normal 9 2 3 2 2 2 2 2" xfId="12606" xr:uid="{3A7E880C-F415-4271-B292-C343157863C1}"/>
    <cellStyle name="Normal 9 2 3 2 2 2 3" xfId="3487" xr:uid="{16C13C54-1E2F-431B-9644-76D4AB1B5F63}"/>
    <cellStyle name="Normal 9 2 3 2 2 2 3 2" xfId="13435" xr:uid="{54C50412-852F-4855-84C1-B7BFC48986F1}"/>
    <cellStyle name="Normal 9 2 3 2 2 2 4" xfId="4316" xr:uid="{4AD7C93B-9A1E-42D6-8DF2-5BC9BC8EE3B1}"/>
    <cellStyle name="Normal 9 2 3 2 2 2 4 2" xfId="14264" xr:uid="{E3C39131-B066-448B-915D-541780858634}"/>
    <cellStyle name="Normal 9 2 3 2 2 2 5" xfId="5145" xr:uid="{79713AB0-649A-4550-89C6-EBBB85B94A34}"/>
    <cellStyle name="Normal 9 2 3 2 2 2 5 2" xfId="15093" xr:uid="{5AB692EF-0ABD-4ABE-9C5C-B37CDD8D7FDC}"/>
    <cellStyle name="Normal 9 2 3 2 2 2 6" xfId="5974" xr:uid="{A95F9361-2AD6-40D8-BCCF-D433A4B7852D}"/>
    <cellStyle name="Normal 9 2 3 2 2 2 6 2" xfId="15922" xr:uid="{A11E5921-9F2C-4135-8C03-7488146AD0C6}"/>
    <cellStyle name="Normal 9 2 3 2 2 2 7" xfId="6803" xr:uid="{919196F2-C46A-4BD9-9B12-B72899BA8E31}"/>
    <cellStyle name="Normal 9 2 3 2 2 2 7 2" xfId="16751" xr:uid="{DC5893C6-2BBA-4EB2-9352-6E2011EA3374}"/>
    <cellStyle name="Normal 9 2 3 2 2 2 8" xfId="7632" xr:uid="{651D3B86-E3DD-4318-AA80-7AE43718614F}"/>
    <cellStyle name="Normal 9 2 3 2 2 2 8 2" xfId="17580" xr:uid="{FA6012EB-0358-409E-BE94-5865CEC46CFC}"/>
    <cellStyle name="Normal 9 2 3 2 2 2 9" xfId="8461" xr:uid="{6F3D11E1-EFD5-4277-939C-9585AE87E58B}"/>
    <cellStyle name="Normal 9 2 3 2 2 2 9 2" xfId="18409" xr:uid="{92EA8D35-5417-4F8B-BF8A-B7D068FB1A46}"/>
    <cellStyle name="Normal 9 2 3 2 2 3" xfId="2242" xr:uid="{4DC718EF-EB35-4EA9-92D2-7E22D0D65360}"/>
    <cellStyle name="Normal 9 2 3 2 2 3 2" xfId="12190" xr:uid="{60B24BFF-6C40-4A49-8401-B299ED8750D1}"/>
    <cellStyle name="Normal 9 2 3 2 2 4" xfId="3071" xr:uid="{D3454BA4-2085-4356-B059-C8B0F3252B87}"/>
    <cellStyle name="Normal 9 2 3 2 2 4 2" xfId="13019" xr:uid="{ED26BE0C-8D60-491D-A58E-49DF35C3730F}"/>
    <cellStyle name="Normal 9 2 3 2 2 5" xfId="3900" xr:uid="{3E2B8AD6-CE43-4073-BF6C-01A0697C48AB}"/>
    <cellStyle name="Normal 9 2 3 2 2 5 2" xfId="13848" xr:uid="{06217ECD-863A-4914-A415-F7AC77C0F439}"/>
    <cellStyle name="Normal 9 2 3 2 2 6" xfId="4729" xr:uid="{698100B8-6054-4FE8-8FAB-7B699454B455}"/>
    <cellStyle name="Normal 9 2 3 2 2 6 2" xfId="14677" xr:uid="{9FFA0569-5B70-4FC4-81CE-BD179FC74E5C}"/>
    <cellStyle name="Normal 9 2 3 2 2 7" xfId="5558" xr:uid="{2904702F-2874-42F5-B65F-7A1FE3568BEC}"/>
    <cellStyle name="Normal 9 2 3 2 2 7 2" xfId="15506" xr:uid="{9DE084B3-10FE-495A-950F-2DA8FB6AB558}"/>
    <cellStyle name="Normal 9 2 3 2 2 8" xfId="6387" xr:uid="{8BE5CF01-951D-4111-A896-E111E9955F80}"/>
    <cellStyle name="Normal 9 2 3 2 2 8 2" xfId="16335" xr:uid="{8C38A23D-FEC4-4F65-8907-2A8E7DAE10A1}"/>
    <cellStyle name="Normal 9 2 3 2 2 9" xfId="7216" xr:uid="{E75A489F-41CF-4DCB-9029-2F6F8BF39B83}"/>
    <cellStyle name="Normal 9 2 3 2 2 9 2" xfId="17164" xr:uid="{EBEFB2D4-BBB2-4BB0-BC38-96AE0C05D4D2}"/>
    <cellStyle name="Normal 9 2 3 2 3" xfId="996" xr:uid="{00000000-0005-0000-0000-0000B1030000}"/>
    <cellStyle name="Normal 9 2 3 2 3 10" xfId="9289" xr:uid="{AF94D1D3-F32A-42A7-B261-23254EE96C48}"/>
    <cellStyle name="Normal 9 2 3 2 3 10 2" xfId="19237" xr:uid="{E883D642-532C-4FE8-9E8E-BEE7ADC0683C}"/>
    <cellStyle name="Normal 9 2 3 2 3 11" xfId="10118" xr:uid="{FFE26DB0-384F-415F-8374-03FE2ED5515B}"/>
    <cellStyle name="Normal 9 2 3 2 3 11 2" xfId="20066" xr:uid="{7DFA980D-90B5-4338-BE49-CE8C8B2C337F}"/>
    <cellStyle name="Normal 9 2 3 2 3 12" xfId="10947" xr:uid="{D0D54FD8-7E04-4847-8302-A352613AE75B}"/>
    <cellStyle name="Normal 9 2 3 2 3 12 2" xfId="20895" xr:uid="{58C05CA1-2893-49C7-BC53-5B466B3C8207}"/>
    <cellStyle name="Normal 9 2 3 2 3 13" xfId="1828" xr:uid="{B14215F5-601B-4D2E-A624-6B96397D413E}"/>
    <cellStyle name="Normal 9 2 3 2 3 14" xfId="11776" xr:uid="{9184D778-AD86-4D1D-8964-C906506A175E}"/>
    <cellStyle name="Normal 9 2 3 2 3 2" xfId="2657" xr:uid="{BFE15EE0-8C7A-41AC-9F16-845D18627808}"/>
    <cellStyle name="Normal 9 2 3 2 3 2 2" xfId="12605" xr:uid="{0486FB8C-E36E-4726-824B-F921BC6B08B0}"/>
    <cellStyle name="Normal 9 2 3 2 3 3" xfId="3486" xr:uid="{B30BB818-9F5E-4B7E-A977-44085DE38D28}"/>
    <cellStyle name="Normal 9 2 3 2 3 3 2" xfId="13434" xr:uid="{C7A81EAA-C252-4DEE-BE5F-A760E0553F7A}"/>
    <cellStyle name="Normal 9 2 3 2 3 4" xfId="4315" xr:uid="{604509B6-58D9-40C1-8694-96505F3673AA}"/>
    <cellStyle name="Normal 9 2 3 2 3 4 2" xfId="14263" xr:uid="{E1361A11-0EE3-400A-8952-DE0E9BD7C7F3}"/>
    <cellStyle name="Normal 9 2 3 2 3 5" xfId="5144" xr:uid="{015AFF21-1EFB-4E63-B039-922CA76AD88C}"/>
    <cellStyle name="Normal 9 2 3 2 3 5 2" xfId="15092" xr:uid="{650D844B-68A0-4FCB-854D-A5436F2B760D}"/>
    <cellStyle name="Normal 9 2 3 2 3 6" xfId="5973" xr:uid="{BD8EB9CA-D696-40CA-8F67-1517CDB2D196}"/>
    <cellStyle name="Normal 9 2 3 2 3 6 2" xfId="15921" xr:uid="{88540EDC-7BDB-4239-8326-357EB18FB8B3}"/>
    <cellStyle name="Normal 9 2 3 2 3 7" xfId="6802" xr:uid="{BE351FBD-DDB9-461D-B93B-6595029F969D}"/>
    <cellStyle name="Normal 9 2 3 2 3 7 2" xfId="16750" xr:uid="{18CB7B7B-E7C9-4E39-A686-F4CD104B7287}"/>
    <cellStyle name="Normal 9 2 3 2 3 8" xfId="7631" xr:uid="{51F25F89-4A85-43A3-A37F-0CD04083957F}"/>
    <cellStyle name="Normal 9 2 3 2 3 8 2" xfId="17579" xr:uid="{5E898CCE-CD85-4A0F-B3B3-731103F70A6A}"/>
    <cellStyle name="Normal 9 2 3 2 3 9" xfId="8460" xr:uid="{D948095F-84D0-4BB9-A1B8-FF9FF4DD6FAA}"/>
    <cellStyle name="Normal 9 2 3 2 3 9 2" xfId="18408" xr:uid="{C59393F4-36F6-43D7-878F-4AB0B1CECE69}"/>
    <cellStyle name="Normal 9 2 3 2 4" xfId="2241" xr:uid="{99C44631-2FC0-4A60-AE95-9ED8460F23D3}"/>
    <cellStyle name="Normal 9 2 3 2 4 2" xfId="12189" xr:uid="{37B97975-ABF9-4A43-9B28-967CBE475FC1}"/>
    <cellStyle name="Normal 9 2 3 2 5" xfId="3070" xr:uid="{A0982675-DDC6-4B25-BA16-311ADE793B4E}"/>
    <cellStyle name="Normal 9 2 3 2 5 2" xfId="13018" xr:uid="{4C8F7BB2-E2C7-4F5F-8273-1A5A0A97671A}"/>
    <cellStyle name="Normal 9 2 3 2 6" xfId="3899" xr:uid="{400E9E28-3A5B-46D4-92B3-E5223FAD8859}"/>
    <cellStyle name="Normal 9 2 3 2 6 2" xfId="13847" xr:uid="{BADF46CD-3BD8-4568-A2FD-BFF1DE395317}"/>
    <cellStyle name="Normal 9 2 3 2 7" xfId="4728" xr:uid="{1F7DED31-8C6C-4CFA-9BA7-374A4F323725}"/>
    <cellStyle name="Normal 9 2 3 2 7 2" xfId="14676" xr:uid="{08F5A827-2228-41EC-BA67-F038D15C2D22}"/>
    <cellStyle name="Normal 9 2 3 2 8" xfId="5557" xr:uid="{EA6EB66B-3AF5-47EA-8065-C162B453E581}"/>
    <cellStyle name="Normal 9 2 3 2 8 2" xfId="15505" xr:uid="{D6E516E1-70B2-4700-BAF3-FBD1DF71FC5F}"/>
    <cellStyle name="Normal 9 2 3 2 9" xfId="6386" xr:uid="{ECE88249-8C06-4376-B978-A2ABAEB92414}"/>
    <cellStyle name="Normal 9 2 3 2 9 2" xfId="16334" xr:uid="{83B9A3A5-04A7-4A11-A478-A05EE975B22B}"/>
    <cellStyle name="Normal 9 2 3 3" xfId="526" xr:uid="{00000000-0005-0000-0000-0000B2030000}"/>
    <cellStyle name="Normal 9 2 3 3 10" xfId="8046" xr:uid="{4DC7F6CD-7698-40AC-81DD-E43BA5CC4ED1}"/>
    <cellStyle name="Normal 9 2 3 3 10 2" xfId="17994" xr:uid="{95F9B7CB-1862-4A92-B290-894BD17D71C2}"/>
    <cellStyle name="Normal 9 2 3 3 11" xfId="8875" xr:uid="{B0B2A575-C0C7-4BF1-89D8-7C6E8D744874}"/>
    <cellStyle name="Normal 9 2 3 3 11 2" xfId="18823" xr:uid="{9A17ABBB-8A00-4D6D-89EE-FE4CD2847A6E}"/>
    <cellStyle name="Normal 9 2 3 3 12" xfId="9704" xr:uid="{07CB2E12-9990-44C5-A773-5917AF10AA8D}"/>
    <cellStyle name="Normal 9 2 3 3 12 2" xfId="19652" xr:uid="{298DAFDB-D2C2-4964-96CE-8EE405ED80FA}"/>
    <cellStyle name="Normal 9 2 3 3 13" xfId="10533" xr:uid="{DC4288BB-30C7-4014-A584-1AF7AFFB6D24}"/>
    <cellStyle name="Normal 9 2 3 3 13 2" xfId="20481" xr:uid="{9AB2CE58-0950-47E6-BE92-8A614B67A0A6}"/>
    <cellStyle name="Normal 9 2 3 3 14" xfId="1414" xr:uid="{BAFD908D-B979-4F12-B991-8F62F44A0FB0}"/>
    <cellStyle name="Normal 9 2 3 3 15" xfId="11362" xr:uid="{61079316-F6BC-4DFA-AC04-81AE4A468CD4}"/>
    <cellStyle name="Normal 9 2 3 3 2" xfId="998" xr:uid="{00000000-0005-0000-0000-0000B3030000}"/>
    <cellStyle name="Normal 9 2 3 3 2 10" xfId="9291" xr:uid="{7811268A-556D-4E77-9986-61B5C4A2C4C6}"/>
    <cellStyle name="Normal 9 2 3 3 2 10 2" xfId="19239" xr:uid="{9EBD97D4-7F58-494D-A843-C87CAB953A6A}"/>
    <cellStyle name="Normal 9 2 3 3 2 11" xfId="10120" xr:uid="{764849B0-CEDC-43B9-AD19-81E4951C7072}"/>
    <cellStyle name="Normal 9 2 3 3 2 11 2" xfId="20068" xr:uid="{73399093-9968-406C-BDF8-CF884C30C6BA}"/>
    <cellStyle name="Normal 9 2 3 3 2 12" xfId="10949" xr:uid="{66F09133-AA66-4718-99F3-8650F653AFFF}"/>
    <cellStyle name="Normal 9 2 3 3 2 12 2" xfId="20897" xr:uid="{6DD49AAB-AD23-422A-AB0F-FD34D2744D91}"/>
    <cellStyle name="Normal 9 2 3 3 2 13" xfId="1830" xr:uid="{CD3382FC-0DB6-4256-9FC0-59C86D2B899A}"/>
    <cellStyle name="Normal 9 2 3 3 2 14" xfId="11778" xr:uid="{0D745475-1E6B-4B84-B556-98317E70F30B}"/>
    <cellStyle name="Normal 9 2 3 3 2 2" xfId="2659" xr:uid="{2203301A-D08F-47D1-8731-54B4F9D5ED68}"/>
    <cellStyle name="Normal 9 2 3 3 2 2 2" xfId="12607" xr:uid="{6A5059AA-9A1F-4012-81D3-92F38D1295AD}"/>
    <cellStyle name="Normal 9 2 3 3 2 3" xfId="3488" xr:uid="{A0C2368A-CACE-400B-A85E-A73FA6C3CC5B}"/>
    <cellStyle name="Normal 9 2 3 3 2 3 2" xfId="13436" xr:uid="{8D3422F3-3F1F-435B-9E3C-59C19D154FAA}"/>
    <cellStyle name="Normal 9 2 3 3 2 4" xfId="4317" xr:uid="{0D20DDF5-3444-4FE5-A16A-BD3639D14FC3}"/>
    <cellStyle name="Normal 9 2 3 3 2 4 2" xfId="14265" xr:uid="{693B3933-079B-4123-9CD5-DCDB10F9A912}"/>
    <cellStyle name="Normal 9 2 3 3 2 5" xfId="5146" xr:uid="{62BDE493-DB88-4C59-BD28-31A17F64359B}"/>
    <cellStyle name="Normal 9 2 3 3 2 5 2" xfId="15094" xr:uid="{8CDDEE87-DEBA-4612-971C-0E340D676EAF}"/>
    <cellStyle name="Normal 9 2 3 3 2 6" xfId="5975" xr:uid="{881A3E6B-CEDA-4DBD-9083-2A8BCD4B657E}"/>
    <cellStyle name="Normal 9 2 3 3 2 6 2" xfId="15923" xr:uid="{54CAD891-0B20-4E22-8262-789606336D7F}"/>
    <cellStyle name="Normal 9 2 3 3 2 7" xfId="6804" xr:uid="{4E28EF9B-66A1-439B-A5C6-29E6C3353FEE}"/>
    <cellStyle name="Normal 9 2 3 3 2 7 2" xfId="16752" xr:uid="{B8EA2216-B20C-4ACF-BB97-B336C422242B}"/>
    <cellStyle name="Normal 9 2 3 3 2 8" xfId="7633" xr:uid="{055EE3FC-EAEF-4EE9-BA01-F777C62C3E75}"/>
    <cellStyle name="Normal 9 2 3 3 2 8 2" xfId="17581" xr:uid="{2F138913-C7BE-4AEA-A969-48711EF90F67}"/>
    <cellStyle name="Normal 9 2 3 3 2 9" xfId="8462" xr:uid="{3C1B3DFF-2782-4CCD-8898-40F8854983F6}"/>
    <cellStyle name="Normal 9 2 3 3 2 9 2" xfId="18410" xr:uid="{98536809-C1CA-4EC9-8352-887603854841}"/>
    <cellStyle name="Normal 9 2 3 3 3" xfId="2243" xr:uid="{E5EB5584-2ABB-485D-A0FA-14116B18F14E}"/>
    <cellStyle name="Normal 9 2 3 3 3 2" xfId="12191" xr:uid="{C89855EA-2EA7-4283-8AF5-9BF93A4A1899}"/>
    <cellStyle name="Normal 9 2 3 3 4" xfId="3072" xr:uid="{F3739E12-0CEC-47B6-A4B7-E1A4A45CEC2E}"/>
    <cellStyle name="Normal 9 2 3 3 4 2" xfId="13020" xr:uid="{0CA0DD56-8BE4-4599-AE26-36EFE93FBACB}"/>
    <cellStyle name="Normal 9 2 3 3 5" xfId="3901" xr:uid="{71FCF279-A664-4697-BE21-0AD5C21F69A6}"/>
    <cellStyle name="Normal 9 2 3 3 5 2" xfId="13849" xr:uid="{C45C501A-9F76-4A51-AB5D-6B3537989A48}"/>
    <cellStyle name="Normal 9 2 3 3 6" xfId="4730" xr:uid="{6BFEFE4D-8650-404B-8029-49028CC8A1E1}"/>
    <cellStyle name="Normal 9 2 3 3 6 2" xfId="14678" xr:uid="{FDCAD001-C79A-4F7A-AC02-1FF28CEE8B86}"/>
    <cellStyle name="Normal 9 2 3 3 7" xfId="5559" xr:uid="{B4EA58D1-D438-494C-B9DC-6593E6A24D3A}"/>
    <cellStyle name="Normal 9 2 3 3 7 2" xfId="15507" xr:uid="{CCFF2566-EC5A-4B39-BFDC-D720ABA976CA}"/>
    <cellStyle name="Normal 9 2 3 3 8" xfId="6388" xr:uid="{D49BECBC-E7C9-44A7-BBE4-ED2B89A262D1}"/>
    <cellStyle name="Normal 9 2 3 3 8 2" xfId="16336" xr:uid="{4824BB8C-9A6E-4092-828C-C9ED1369F190}"/>
    <cellStyle name="Normal 9 2 3 3 9" xfId="7217" xr:uid="{1854F9E4-F7F4-4E86-993D-856F2C74269C}"/>
    <cellStyle name="Normal 9 2 3 3 9 2" xfId="17165" xr:uid="{6B3E1137-D806-4C05-8D6D-D1C6444FC436}"/>
    <cellStyle name="Normal 9 2 3 4" xfId="995" xr:uid="{00000000-0005-0000-0000-0000B4030000}"/>
    <cellStyle name="Normal 9 2 3 4 10" xfId="9288" xr:uid="{5E50E8BD-DD46-4573-831C-B8E93371E55B}"/>
    <cellStyle name="Normal 9 2 3 4 10 2" xfId="19236" xr:uid="{D717DC48-46E5-4F58-8E02-2D849F780E33}"/>
    <cellStyle name="Normal 9 2 3 4 11" xfId="10117" xr:uid="{7B132734-2BD6-4501-9151-6385F48191A3}"/>
    <cellStyle name="Normal 9 2 3 4 11 2" xfId="20065" xr:uid="{F2B1768B-9A33-4BCC-A8CC-0FBD3759CCDD}"/>
    <cellStyle name="Normal 9 2 3 4 12" xfId="10946" xr:uid="{41DAD880-CB50-4E79-B653-030327CD0976}"/>
    <cellStyle name="Normal 9 2 3 4 12 2" xfId="20894" xr:uid="{B79DB88E-A7CD-4D63-956D-0371FEA886BB}"/>
    <cellStyle name="Normal 9 2 3 4 13" xfId="1827" xr:uid="{9B888ACF-F308-453E-9F28-96873DD1BE07}"/>
    <cellStyle name="Normal 9 2 3 4 14" xfId="11775" xr:uid="{10CFEA46-34C7-47D2-B19C-EA48590C0AF8}"/>
    <cellStyle name="Normal 9 2 3 4 2" xfId="2656" xr:uid="{415A3B43-AFF7-4F13-8767-904F0731C18B}"/>
    <cellStyle name="Normal 9 2 3 4 2 2" xfId="12604" xr:uid="{9A77A01D-A980-4D45-9D32-A04DD23762C6}"/>
    <cellStyle name="Normal 9 2 3 4 3" xfId="3485" xr:uid="{EC08FFE3-11A4-4690-9A4A-7BBA8EB1802D}"/>
    <cellStyle name="Normal 9 2 3 4 3 2" xfId="13433" xr:uid="{F5FE3572-453D-4F89-9EEC-0AE117D3ED8D}"/>
    <cellStyle name="Normal 9 2 3 4 4" xfId="4314" xr:uid="{D66B0DBD-A1A9-41B8-86F5-8FB66C45E4FF}"/>
    <cellStyle name="Normal 9 2 3 4 4 2" xfId="14262" xr:uid="{3ECEC971-CCAA-446A-8A1D-10E14AAD2ECC}"/>
    <cellStyle name="Normal 9 2 3 4 5" xfId="5143" xr:uid="{A971FD6D-486C-49F9-A422-01D2A398FC03}"/>
    <cellStyle name="Normal 9 2 3 4 5 2" xfId="15091" xr:uid="{3C2850F6-56EE-4574-955E-09501634E586}"/>
    <cellStyle name="Normal 9 2 3 4 6" xfId="5972" xr:uid="{946C1ADC-07CA-4DFC-85E8-F0088A8038F1}"/>
    <cellStyle name="Normal 9 2 3 4 6 2" xfId="15920" xr:uid="{2291A454-0516-4DBF-B572-D3AA177FC1C5}"/>
    <cellStyle name="Normal 9 2 3 4 7" xfId="6801" xr:uid="{3B898179-C897-4A0B-B30D-17493BFEE680}"/>
    <cellStyle name="Normal 9 2 3 4 7 2" xfId="16749" xr:uid="{036D9CB6-5606-4A1A-A489-37EA38C342C8}"/>
    <cellStyle name="Normal 9 2 3 4 8" xfId="7630" xr:uid="{6DF0D273-2848-4166-9B04-310583CAB178}"/>
    <cellStyle name="Normal 9 2 3 4 8 2" xfId="17578" xr:uid="{EC25184E-2FFD-4573-B3D0-26FD4C25E8C7}"/>
    <cellStyle name="Normal 9 2 3 4 9" xfId="8459" xr:uid="{31B3CB4F-9EE9-452A-8EE4-574638E0380E}"/>
    <cellStyle name="Normal 9 2 3 4 9 2" xfId="18407" xr:uid="{9C30B56A-36D2-45B4-B516-24545BE0B9B8}"/>
    <cellStyle name="Normal 9 2 3 5" xfId="2240" xr:uid="{811E9FEF-A8A5-4E1C-B9F4-5AA7A918B240}"/>
    <cellStyle name="Normal 9 2 3 5 2" xfId="12188" xr:uid="{08B09426-EAFD-4334-AC27-85F7D67A9A05}"/>
    <cellStyle name="Normal 9 2 3 6" xfId="3069" xr:uid="{EA5C636D-6CAC-4BD9-99A0-B122FF97D2F3}"/>
    <cellStyle name="Normal 9 2 3 6 2" xfId="13017" xr:uid="{562ED986-7DEC-4379-A08E-0440FAEED673}"/>
    <cellStyle name="Normal 9 2 3 7" xfId="3898" xr:uid="{30CC5781-A07D-4FFA-BD8F-83F61DD4F5E6}"/>
    <cellStyle name="Normal 9 2 3 7 2" xfId="13846" xr:uid="{4EE7CC95-82B0-447A-856E-742C2EE8F78D}"/>
    <cellStyle name="Normal 9 2 3 8" xfId="4727" xr:uid="{348DC3E2-8ECE-415B-B3BD-2CCEFFD53391}"/>
    <cellStyle name="Normal 9 2 3 8 2" xfId="14675" xr:uid="{861AE50E-7B05-471A-86CB-8AAD9BCA51D5}"/>
    <cellStyle name="Normal 9 2 3 9" xfId="5556" xr:uid="{04E4FBDD-3849-48D4-A250-75A058A8FFB9}"/>
    <cellStyle name="Normal 9 2 3 9 2" xfId="15504" xr:uid="{8AAD21E6-C6AB-433E-AB2A-35736143E3AC}"/>
    <cellStyle name="Normal 9 2 4" xfId="527" xr:uid="{00000000-0005-0000-0000-0000B5030000}"/>
    <cellStyle name="Normal 9 2 4 10" xfId="7218" xr:uid="{DE4BBF8B-65CE-4775-AE96-3C2EADAD46FC}"/>
    <cellStyle name="Normal 9 2 4 10 2" xfId="17166" xr:uid="{E8C9932F-A2D8-44EF-88DD-31970AC44288}"/>
    <cellStyle name="Normal 9 2 4 11" xfId="8047" xr:uid="{80F046BE-24D3-45B7-B603-8F9F8C1E8D76}"/>
    <cellStyle name="Normal 9 2 4 11 2" xfId="17995" xr:uid="{A13F87E2-237B-4D6C-A7AB-A9607902B918}"/>
    <cellStyle name="Normal 9 2 4 12" xfId="8876" xr:uid="{2DCE48E0-1406-42C5-9358-51A65E83FDCF}"/>
    <cellStyle name="Normal 9 2 4 12 2" xfId="18824" xr:uid="{68BF5660-9D28-4989-9931-B1531F7C64DF}"/>
    <cellStyle name="Normal 9 2 4 13" xfId="9705" xr:uid="{66A0127C-1147-481B-9E82-B2ECED82D005}"/>
    <cellStyle name="Normal 9 2 4 13 2" xfId="19653" xr:uid="{53308E3D-5F63-47E2-BFCD-DF8A691B7A6B}"/>
    <cellStyle name="Normal 9 2 4 14" xfId="10534" xr:uid="{85FFB172-5F95-4434-8134-0685CDEF7393}"/>
    <cellStyle name="Normal 9 2 4 14 2" xfId="20482" xr:uid="{286958E6-83FD-4DCE-BCB1-703ED878FD3C}"/>
    <cellStyle name="Normal 9 2 4 15" xfId="1415" xr:uid="{E6C95646-AA82-453D-8A69-40018855231A}"/>
    <cellStyle name="Normal 9 2 4 16" xfId="11363" xr:uid="{070CD8E3-C70A-45F9-8235-19E57369567A}"/>
    <cellStyle name="Normal 9 2 4 2" xfId="528" xr:uid="{00000000-0005-0000-0000-0000B6030000}"/>
    <cellStyle name="Normal 9 2 4 2 10" xfId="8048" xr:uid="{9BD9597D-0BAE-40C7-AF49-65524199FCAB}"/>
    <cellStyle name="Normal 9 2 4 2 10 2" xfId="17996" xr:uid="{95FDD718-51B2-411D-954B-8D552D0CDC34}"/>
    <cellStyle name="Normal 9 2 4 2 11" xfId="8877" xr:uid="{C5F2817D-15F5-44B0-830E-36453DB0627B}"/>
    <cellStyle name="Normal 9 2 4 2 11 2" xfId="18825" xr:uid="{878645ED-30E2-4A90-9A4F-9E7116F18CF9}"/>
    <cellStyle name="Normal 9 2 4 2 12" xfId="9706" xr:uid="{2983DB26-DDC3-4178-84A3-A419A3E0BB19}"/>
    <cellStyle name="Normal 9 2 4 2 12 2" xfId="19654" xr:uid="{D5F681B4-F4F9-4B58-9DF8-61B6FFF0DCCB}"/>
    <cellStyle name="Normal 9 2 4 2 13" xfId="10535" xr:uid="{6A2F0BFC-6A42-4810-87EB-C2E9081005E1}"/>
    <cellStyle name="Normal 9 2 4 2 13 2" xfId="20483" xr:uid="{2F6F0EFC-1EC6-4BC0-979A-083F8F79C84B}"/>
    <cellStyle name="Normal 9 2 4 2 14" xfId="1416" xr:uid="{085685B2-81E3-4AAC-98B8-FE91FB07E60C}"/>
    <cellStyle name="Normal 9 2 4 2 15" xfId="11364" xr:uid="{A50023E2-4881-40AE-8013-375A5B1E75B8}"/>
    <cellStyle name="Normal 9 2 4 2 2" xfId="1000" xr:uid="{00000000-0005-0000-0000-0000B7030000}"/>
    <cellStyle name="Normal 9 2 4 2 2 10" xfId="9293" xr:uid="{E09871FA-FAF6-49DD-AC25-52EA01C112D5}"/>
    <cellStyle name="Normal 9 2 4 2 2 10 2" xfId="19241" xr:uid="{F8834FA2-6AFD-4799-92C0-22CCCAC04CA5}"/>
    <cellStyle name="Normal 9 2 4 2 2 11" xfId="10122" xr:uid="{E88371B6-C58C-4DF4-9070-65C83F00C48C}"/>
    <cellStyle name="Normal 9 2 4 2 2 11 2" xfId="20070" xr:uid="{EAA4C9FF-0646-4EC2-B056-DE638EA13EF1}"/>
    <cellStyle name="Normal 9 2 4 2 2 12" xfId="10951" xr:uid="{47E6956C-A8A6-466B-8ADC-4D62C248917B}"/>
    <cellStyle name="Normal 9 2 4 2 2 12 2" xfId="20899" xr:uid="{719FA2B9-2A90-461D-B827-EB3C8F9B3682}"/>
    <cellStyle name="Normal 9 2 4 2 2 13" xfId="1832" xr:uid="{F622F96C-40A3-49DB-B8C4-637BC75A3465}"/>
    <cellStyle name="Normal 9 2 4 2 2 14" xfId="11780" xr:uid="{16A05559-0B4F-48E0-B34B-CD3B4210EE32}"/>
    <cellStyle name="Normal 9 2 4 2 2 2" xfId="2661" xr:uid="{62A19D4A-31A2-4B41-B9D3-1CCD98A115C2}"/>
    <cellStyle name="Normal 9 2 4 2 2 2 2" xfId="12609" xr:uid="{D4E3365E-85B1-4023-A8CE-43EDBD383851}"/>
    <cellStyle name="Normal 9 2 4 2 2 3" xfId="3490" xr:uid="{B4F76341-0B44-4276-98C1-D224AC473AA2}"/>
    <cellStyle name="Normal 9 2 4 2 2 3 2" xfId="13438" xr:uid="{441A06CE-A557-42C4-8E13-D12A933EAFBA}"/>
    <cellStyle name="Normal 9 2 4 2 2 4" xfId="4319" xr:uid="{874C521B-4EA2-407B-B629-4836915C8721}"/>
    <cellStyle name="Normal 9 2 4 2 2 4 2" xfId="14267" xr:uid="{35B69E13-4F33-4FAA-9D90-D44B3CEC9689}"/>
    <cellStyle name="Normal 9 2 4 2 2 5" xfId="5148" xr:uid="{9B08AFA5-9DED-48D3-AA2D-718B6DE55B6D}"/>
    <cellStyle name="Normal 9 2 4 2 2 5 2" xfId="15096" xr:uid="{B6E254D3-2D28-4CD4-A66F-B590F248737A}"/>
    <cellStyle name="Normal 9 2 4 2 2 6" xfId="5977" xr:uid="{27F08D20-4B9C-4869-B865-6DA2E2F387A9}"/>
    <cellStyle name="Normal 9 2 4 2 2 6 2" xfId="15925" xr:uid="{CE340B82-956C-4140-9830-F5F04B6A8570}"/>
    <cellStyle name="Normal 9 2 4 2 2 7" xfId="6806" xr:uid="{5D46B9E4-4B27-48AD-92AC-AD15E51AF526}"/>
    <cellStyle name="Normal 9 2 4 2 2 7 2" xfId="16754" xr:uid="{B7C8491F-1E16-485F-B988-1DBBBB658938}"/>
    <cellStyle name="Normal 9 2 4 2 2 8" xfId="7635" xr:uid="{085FFF00-09A4-4D45-B05F-AA5915C58FBD}"/>
    <cellStyle name="Normal 9 2 4 2 2 8 2" xfId="17583" xr:uid="{2E6D3503-570B-4E8C-9A39-3A8378AEE631}"/>
    <cellStyle name="Normal 9 2 4 2 2 9" xfId="8464" xr:uid="{AADD5EB7-6FAB-4A18-9C07-510D3A7955D3}"/>
    <cellStyle name="Normal 9 2 4 2 2 9 2" xfId="18412" xr:uid="{A4E052E4-EDFB-4F8B-BD20-EA39C56FCB71}"/>
    <cellStyle name="Normal 9 2 4 2 3" xfId="2245" xr:uid="{2168C777-A901-427F-B1B7-B94FB279CD96}"/>
    <cellStyle name="Normal 9 2 4 2 3 2" xfId="12193" xr:uid="{C4B4A601-3CD5-48FB-8167-EC91DC9879AE}"/>
    <cellStyle name="Normal 9 2 4 2 4" xfId="3074" xr:uid="{77B61330-45CC-4D6D-BB69-FE6A4B4BD0F7}"/>
    <cellStyle name="Normal 9 2 4 2 4 2" xfId="13022" xr:uid="{C008E734-B796-4C04-A0BB-5598FE2DAF20}"/>
    <cellStyle name="Normal 9 2 4 2 5" xfId="3903" xr:uid="{E86412F0-BF1B-43C7-AA15-BEE1C62B460D}"/>
    <cellStyle name="Normal 9 2 4 2 5 2" xfId="13851" xr:uid="{1B195C4F-C016-4DC1-92BA-0DB475913A2D}"/>
    <cellStyle name="Normal 9 2 4 2 6" xfId="4732" xr:uid="{CDD0EDAF-E6A5-4712-9141-3AA20F99CE19}"/>
    <cellStyle name="Normal 9 2 4 2 6 2" xfId="14680" xr:uid="{83AB242B-64DF-4927-A074-289A3268EF88}"/>
    <cellStyle name="Normal 9 2 4 2 7" xfId="5561" xr:uid="{93877F0D-1F07-455F-BB36-5E86F574474F}"/>
    <cellStyle name="Normal 9 2 4 2 7 2" xfId="15509" xr:uid="{834D993E-1907-43BD-9B46-9ABE78580B83}"/>
    <cellStyle name="Normal 9 2 4 2 8" xfId="6390" xr:uid="{D2F67D45-DF00-477F-A814-48F462C3F629}"/>
    <cellStyle name="Normal 9 2 4 2 8 2" xfId="16338" xr:uid="{3FFC24BE-321B-489C-816A-03D2B1A6A39C}"/>
    <cellStyle name="Normal 9 2 4 2 9" xfId="7219" xr:uid="{BAC15E5E-2FAC-433F-8B92-83DC9349FA34}"/>
    <cellStyle name="Normal 9 2 4 2 9 2" xfId="17167" xr:uid="{15C05763-2A90-4878-BD25-14A2D74D13E3}"/>
    <cellStyle name="Normal 9 2 4 3" xfId="999" xr:uid="{00000000-0005-0000-0000-0000B8030000}"/>
    <cellStyle name="Normal 9 2 4 3 10" xfId="9292" xr:uid="{09DD9DE3-8274-4BD6-8CB2-61DAD0B0C48F}"/>
    <cellStyle name="Normal 9 2 4 3 10 2" xfId="19240" xr:uid="{285F9D50-75DD-40C0-9256-8D9929D8AEED}"/>
    <cellStyle name="Normal 9 2 4 3 11" xfId="10121" xr:uid="{2BCA454F-1F10-42C6-8FDD-A989FC406BF5}"/>
    <cellStyle name="Normal 9 2 4 3 11 2" xfId="20069" xr:uid="{C8A43A9B-7CC3-4FE7-A5C0-9DD9E316FE0D}"/>
    <cellStyle name="Normal 9 2 4 3 12" xfId="10950" xr:uid="{548A644B-D19E-4B17-9E91-5C19158A2006}"/>
    <cellStyle name="Normal 9 2 4 3 12 2" xfId="20898" xr:uid="{4F231312-BED4-4311-8C43-849D5A809926}"/>
    <cellStyle name="Normal 9 2 4 3 13" xfId="1831" xr:uid="{150C04E4-C86B-4AB5-BD14-759B846BA15D}"/>
    <cellStyle name="Normal 9 2 4 3 14" xfId="11779" xr:uid="{820EF010-7F56-4B3F-A2E6-11F649D8A940}"/>
    <cellStyle name="Normal 9 2 4 3 2" xfId="2660" xr:uid="{FE63A496-408D-47F7-B6C5-EBBDE27CB33A}"/>
    <cellStyle name="Normal 9 2 4 3 2 2" xfId="12608" xr:uid="{636EB227-DC6A-4B52-A03A-0FF6170F77C5}"/>
    <cellStyle name="Normal 9 2 4 3 3" xfId="3489" xr:uid="{063C2398-AD3D-4BA2-A7B3-3B27AE6A22FF}"/>
    <cellStyle name="Normal 9 2 4 3 3 2" xfId="13437" xr:uid="{4848F967-201C-45C0-99C9-881246ECC51A}"/>
    <cellStyle name="Normal 9 2 4 3 4" xfId="4318" xr:uid="{9B44BC3E-90A7-421B-8E7A-59B918DB62B8}"/>
    <cellStyle name="Normal 9 2 4 3 4 2" xfId="14266" xr:uid="{757EEC23-BF4F-4D41-90F8-4B0F81BE1C84}"/>
    <cellStyle name="Normal 9 2 4 3 5" xfId="5147" xr:uid="{52D2D9EF-6957-4F82-96CC-E23CF69CBDEF}"/>
    <cellStyle name="Normal 9 2 4 3 5 2" xfId="15095" xr:uid="{F97E9708-79B4-4E41-85A2-D631490F9A04}"/>
    <cellStyle name="Normal 9 2 4 3 6" xfId="5976" xr:uid="{E561F736-4542-467E-8B63-1FD1ECDD2E21}"/>
    <cellStyle name="Normal 9 2 4 3 6 2" xfId="15924" xr:uid="{3FE8FCB3-4923-4826-99F7-02C112A370A4}"/>
    <cellStyle name="Normal 9 2 4 3 7" xfId="6805" xr:uid="{7334A53A-21BC-46DB-94F3-29EC5BDA32A6}"/>
    <cellStyle name="Normal 9 2 4 3 7 2" xfId="16753" xr:uid="{B1BF801E-37D3-493E-8A33-89041EC4AB65}"/>
    <cellStyle name="Normal 9 2 4 3 8" xfId="7634" xr:uid="{F8DC2E6C-3F48-4706-95F3-12F6B1AF2F0F}"/>
    <cellStyle name="Normal 9 2 4 3 8 2" xfId="17582" xr:uid="{0C35A7D2-3B81-4E9E-AAB5-9669E6415DA7}"/>
    <cellStyle name="Normal 9 2 4 3 9" xfId="8463" xr:uid="{AC9BD4AD-7033-4CA1-9800-ED22587874E9}"/>
    <cellStyle name="Normal 9 2 4 3 9 2" xfId="18411" xr:uid="{04CFDDFE-EE7D-4781-AB35-9D2152B8665C}"/>
    <cellStyle name="Normal 9 2 4 4" xfId="2244" xr:uid="{D68C5559-C7A5-4378-9EF7-2BA71FB13206}"/>
    <cellStyle name="Normal 9 2 4 4 2" xfId="12192" xr:uid="{A5D1D8EF-AF59-4F38-AB2D-4A616B5340CD}"/>
    <cellStyle name="Normal 9 2 4 5" xfId="3073" xr:uid="{DA2BC9D1-9BAF-4C70-9074-65889B9A8243}"/>
    <cellStyle name="Normal 9 2 4 5 2" xfId="13021" xr:uid="{D3AE357C-FA7F-440B-A34A-BEBE25ACD235}"/>
    <cellStyle name="Normal 9 2 4 6" xfId="3902" xr:uid="{65B5CE1E-2E1C-41BB-AA6A-557EC9A16E7E}"/>
    <cellStyle name="Normal 9 2 4 6 2" xfId="13850" xr:uid="{15FCA9F8-9A20-463C-863B-8601700BEDE3}"/>
    <cellStyle name="Normal 9 2 4 7" xfId="4731" xr:uid="{AD052D5B-6A81-416C-A7DE-066F2B5B8EEC}"/>
    <cellStyle name="Normal 9 2 4 7 2" xfId="14679" xr:uid="{CBE8F5F9-B27C-4049-B5A2-51D34C8DE3A2}"/>
    <cellStyle name="Normal 9 2 4 8" xfId="5560" xr:uid="{FDEADC8C-9EF6-4F04-BBF3-F6CF58E77758}"/>
    <cellStyle name="Normal 9 2 4 8 2" xfId="15508" xr:uid="{135A3CE6-B0FE-4A9A-82D7-B0CCF17CC270}"/>
    <cellStyle name="Normal 9 2 4 9" xfId="6389" xr:uid="{B5AFD4DA-52A3-4EE2-B30B-D111D2913A72}"/>
    <cellStyle name="Normal 9 2 4 9 2" xfId="16337" xr:uid="{58BEA760-5821-46F2-9B2A-59928E7C8BA5}"/>
    <cellStyle name="Normal 9 2 5" xfId="529" xr:uid="{00000000-0005-0000-0000-0000B9030000}"/>
    <cellStyle name="Normal 9 2 5 10" xfId="8049" xr:uid="{CF9D505A-D415-4455-A6AE-82CAC37A4718}"/>
    <cellStyle name="Normal 9 2 5 10 2" xfId="17997" xr:uid="{60A336D1-D309-41C2-85FD-B8E0730FCC3C}"/>
    <cellStyle name="Normal 9 2 5 11" xfId="8878" xr:uid="{21A0B5EC-6438-4976-821B-837BEEED57C3}"/>
    <cellStyle name="Normal 9 2 5 11 2" xfId="18826" xr:uid="{3A0F24BC-296C-43AF-93DD-1D14C8F7A82E}"/>
    <cellStyle name="Normal 9 2 5 12" xfId="9707" xr:uid="{257F6CCD-42CF-4480-8A99-2F0071114918}"/>
    <cellStyle name="Normal 9 2 5 12 2" xfId="19655" xr:uid="{377D6BAB-4526-48A2-A762-702B56916516}"/>
    <cellStyle name="Normal 9 2 5 13" xfId="10536" xr:uid="{6CEC45E8-CFE5-44D1-9713-FE9AD3FEF3AA}"/>
    <cellStyle name="Normal 9 2 5 13 2" xfId="20484" xr:uid="{FF77E64B-CFB9-47E3-B71E-63047FDBD238}"/>
    <cellStyle name="Normal 9 2 5 14" xfId="1417" xr:uid="{B92E83ED-7C1B-4A16-8614-156333761D10}"/>
    <cellStyle name="Normal 9 2 5 15" xfId="11365" xr:uid="{3B61975F-417E-4ADC-B3C0-519B2946C9F3}"/>
    <cellStyle name="Normal 9 2 5 2" xfId="1001" xr:uid="{00000000-0005-0000-0000-0000BA030000}"/>
    <cellStyle name="Normal 9 2 5 2 10" xfId="9294" xr:uid="{FDA5E2C2-D5AD-4492-98E6-9D5D729A14E2}"/>
    <cellStyle name="Normal 9 2 5 2 10 2" xfId="19242" xr:uid="{F29B73B4-2D43-4B99-9D27-EEEDF2F94A9A}"/>
    <cellStyle name="Normal 9 2 5 2 11" xfId="10123" xr:uid="{01F2D944-545C-4958-AA78-510FD16AE593}"/>
    <cellStyle name="Normal 9 2 5 2 11 2" xfId="20071" xr:uid="{3A0B0A6E-B75C-43A2-9736-59FD710E610D}"/>
    <cellStyle name="Normal 9 2 5 2 12" xfId="10952" xr:uid="{AEF8F33B-4FF9-413F-896B-0FBF406CA1A1}"/>
    <cellStyle name="Normal 9 2 5 2 12 2" xfId="20900" xr:uid="{A3239A79-924E-4775-AD5C-EDDE3809622C}"/>
    <cellStyle name="Normal 9 2 5 2 13" xfId="1833" xr:uid="{6EC6A4B4-6B75-412A-997C-19FEA7159E3C}"/>
    <cellStyle name="Normal 9 2 5 2 14" xfId="11781" xr:uid="{C2446940-A477-441D-9654-F957A07DC7B6}"/>
    <cellStyle name="Normal 9 2 5 2 2" xfId="2662" xr:uid="{FDDCB3E9-5ADF-4F42-A1F1-8E226941691C}"/>
    <cellStyle name="Normal 9 2 5 2 2 2" xfId="12610" xr:uid="{8827AEAB-37C7-4EBC-B839-F73A7587443F}"/>
    <cellStyle name="Normal 9 2 5 2 3" xfId="3491" xr:uid="{6DFD2F15-B39E-4ECE-9FAC-4CC380296E15}"/>
    <cellStyle name="Normal 9 2 5 2 3 2" xfId="13439" xr:uid="{1C2EF907-A59C-4950-A36E-3A1B7E87DB13}"/>
    <cellStyle name="Normal 9 2 5 2 4" xfId="4320" xr:uid="{F94B15A1-09AF-44DD-B406-89EACB2A36D5}"/>
    <cellStyle name="Normal 9 2 5 2 4 2" xfId="14268" xr:uid="{9F1D2761-3064-453D-966A-9BE28DF1D8EA}"/>
    <cellStyle name="Normal 9 2 5 2 5" xfId="5149" xr:uid="{55B2FB5A-71C5-4F0E-B210-04C9ABB6A649}"/>
    <cellStyle name="Normal 9 2 5 2 5 2" xfId="15097" xr:uid="{4E0A4B9E-20F0-402C-A43A-BE94D8E3BE73}"/>
    <cellStyle name="Normal 9 2 5 2 6" xfId="5978" xr:uid="{4A8136C4-2E2E-420C-9F25-BA1FF7236CD3}"/>
    <cellStyle name="Normal 9 2 5 2 6 2" xfId="15926" xr:uid="{747D03C7-D5CE-4098-A6FF-FD2C359BFFA0}"/>
    <cellStyle name="Normal 9 2 5 2 7" xfId="6807" xr:uid="{23756681-6192-4CFA-861C-CF635291A06B}"/>
    <cellStyle name="Normal 9 2 5 2 7 2" xfId="16755" xr:uid="{FB282462-F863-4B4D-83FA-0CD119CBAB88}"/>
    <cellStyle name="Normal 9 2 5 2 8" xfId="7636" xr:uid="{98DC068D-507A-4FE0-89E1-ECFB05841E56}"/>
    <cellStyle name="Normal 9 2 5 2 8 2" xfId="17584" xr:uid="{AFF527C2-D6B5-491E-897F-FBED000AFB13}"/>
    <cellStyle name="Normal 9 2 5 2 9" xfId="8465" xr:uid="{4B715719-E2AA-4DC9-839E-1119F11E4DCD}"/>
    <cellStyle name="Normal 9 2 5 2 9 2" xfId="18413" xr:uid="{DD2D25CE-367B-413B-AAE7-8E9F3A523090}"/>
    <cellStyle name="Normal 9 2 5 3" xfId="2246" xr:uid="{E3BACFFE-F78B-4B0C-81C6-0EAE3AEB5D8B}"/>
    <cellStyle name="Normal 9 2 5 3 2" xfId="12194" xr:uid="{A4675A7E-E4DE-4AB4-BC8C-746076C4D7CA}"/>
    <cellStyle name="Normal 9 2 5 4" xfId="3075" xr:uid="{5CCE5ECA-C2C7-4E3C-8FBD-EF5AAF366084}"/>
    <cellStyle name="Normal 9 2 5 4 2" xfId="13023" xr:uid="{AF80402D-9A10-40E2-BA62-6FF573AC6EFF}"/>
    <cellStyle name="Normal 9 2 5 5" xfId="3904" xr:uid="{3B08B23D-B9AB-4C6F-AF42-AA7FFFE0849A}"/>
    <cellStyle name="Normal 9 2 5 5 2" xfId="13852" xr:uid="{EBC54EA5-8FF5-4B76-8493-A43843AC0513}"/>
    <cellStyle name="Normal 9 2 5 6" xfId="4733" xr:uid="{92C1CA4C-87B2-4CBE-92B5-2A8977FCA7D2}"/>
    <cellStyle name="Normal 9 2 5 6 2" xfId="14681" xr:uid="{470D1B6A-5F63-48D9-ACEF-6AF7E5A0A498}"/>
    <cellStyle name="Normal 9 2 5 7" xfId="5562" xr:uid="{83845D73-E998-432D-915F-F82BA5D837FB}"/>
    <cellStyle name="Normal 9 2 5 7 2" xfId="15510" xr:uid="{4825A07D-4DE7-4970-8B27-505CC75D9B89}"/>
    <cellStyle name="Normal 9 2 5 8" xfId="6391" xr:uid="{AF655028-A1AB-4B6B-8905-CCEE3883C117}"/>
    <cellStyle name="Normal 9 2 5 8 2" xfId="16339" xr:uid="{A88A6FB8-8849-46EB-ACFF-3FD1B6DA3847}"/>
    <cellStyle name="Normal 9 2 5 9" xfId="7220" xr:uid="{6AA1D48C-F30F-4F1B-89A0-4147F2C9DB35}"/>
    <cellStyle name="Normal 9 2 5 9 2" xfId="17168" xr:uid="{7CE41DD7-9462-485B-B8CE-9924C7467136}"/>
    <cellStyle name="Normal 9 2 6" xfId="986" xr:uid="{00000000-0005-0000-0000-0000BB030000}"/>
    <cellStyle name="Normal 9 2 6 10" xfId="9279" xr:uid="{09B7E412-B092-45F7-B130-1AEC7296C0AA}"/>
    <cellStyle name="Normal 9 2 6 10 2" xfId="19227" xr:uid="{508036DB-9189-4C40-9ACB-B673320B5ED5}"/>
    <cellStyle name="Normal 9 2 6 11" xfId="10108" xr:uid="{2A4D13FE-C222-4F7A-8734-FB12146CCF30}"/>
    <cellStyle name="Normal 9 2 6 11 2" xfId="20056" xr:uid="{B0DA0F67-E3B5-4E54-92BF-9FCF1082F0CF}"/>
    <cellStyle name="Normal 9 2 6 12" xfId="10937" xr:uid="{04E8E5B2-E2DC-447E-9FEF-1FB2DEB02957}"/>
    <cellStyle name="Normal 9 2 6 12 2" xfId="20885" xr:uid="{14E32A14-048A-490B-97F9-3EDAEB1B259E}"/>
    <cellStyle name="Normal 9 2 6 13" xfId="1818" xr:uid="{DF507A78-8A58-4BD8-A2C5-503A69A83CB5}"/>
    <cellStyle name="Normal 9 2 6 14" xfId="11766" xr:uid="{3155B103-0E95-4BD7-AB14-80DEF3B608E3}"/>
    <cellStyle name="Normal 9 2 6 2" xfId="2647" xr:uid="{8226E60F-B338-4A0A-AE49-FEEFB6978C7B}"/>
    <cellStyle name="Normal 9 2 6 2 2" xfId="12595" xr:uid="{A423E52C-5AD3-4AA6-B598-AF6F35BA3932}"/>
    <cellStyle name="Normal 9 2 6 3" xfId="3476" xr:uid="{E209C1EB-76E1-4EEA-B553-880561B76348}"/>
    <cellStyle name="Normal 9 2 6 3 2" xfId="13424" xr:uid="{A41D2CE6-BE4B-467E-8527-2B6D067DA72E}"/>
    <cellStyle name="Normal 9 2 6 4" xfId="4305" xr:uid="{F11940CC-4533-4C17-BF0A-BBA041C75C8A}"/>
    <cellStyle name="Normal 9 2 6 4 2" xfId="14253" xr:uid="{FEFD691C-AD73-4DBF-A7B8-E47FBECFA1B4}"/>
    <cellStyle name="Normal 9 2 6 5" xfId="5134" xr:uid="{68AD1A69-9801-4DFC-9E6F-5719457EE436}"/>
    <cellStyle name="Normal 9 2 6 5 2" xfId="15082" xr:uid="{640BEA05-4D73-4FEC-A113-827A5845883E}"/>
    <cellStyle name="Normal 9 2 6 6" xfId="5963" xr:uid="{D0CCAAF0-8CDF-41C1-B2A3-6524740A1314}"/>
    <cellStyle name="Normal 9 2 6 6 2" xfId="15911" xr:uid="{EDA48FA6-C260-433C-BCBA-36DE53F1C5BC}"/>
    <cellStyle name="Normal 9 2 6 7" xfId="6792" xr:uid="{8CDD4479-5A8D-4C80-B368-63262124D387}"/>
    <cellStyle name="Normal 9 2 6 7 2" xfId="16740" xr:uid="{36A9A43C-5539-4278-A79D-A1CC953A08EA}"/>
    <cellStyle name="Normal 9 2 6 8" xfId="7621" xr:uid="{3FA38EB2-5549-460F-93CF-CFEE9021DCA5}"/>
    <cellStyle name="Normal 9 2 6 8 2" xfId="17569" xr:uid="{400313DA-038B-44AC-86A1-7286DEE15F80}"/>
    <cellStyle name="Normal 9 2 6 9" xfId="8450" xr:uid="{9BC49464-2B7C-452B-8163-4FF261E8179B}"/>
    <cellStyle name="Normal 9 2 6 9 2" xfId="18398" xr:uid="{8B7B5230-5112-41EB-BAF7-B4E259FFEFCD}"/>
    <cellStyle name="Normal 9 2 7" xfId="2231" xr:uid="{9537C5C4-6FF0-4020-AD42-98528912C716}"/>
    <cellStyle name="Normal 9 2 7 2" xfId="12179" xr:uid="{602C86D0-00D8-434A-ACBE-A8AB2203F814}"/>
    <cellStyle name="Normal 9 2 8" xfId="3060" xr:uid="{45B925DE-BD96-4CC3-B053-C3825383DFAD}"/>
    <cellStyle name="Normal 9 2 8 2" xfId="13008" xr:uid="{8664AB52-A46D-4334-9837-0CADBE2BFDB9}"/>
    <cellStyle name="Normal 9 2 9" xfId="3889" xr:uid="{2E27C404-DD87-4301-9003-371EBB26AB21}"/>
    <cellStyle name="Normal 9 2 9 2" xfId="13837" xr:uid="{3CDFEB56-4297-4E3C-980C-AE7FF57A81CE}"/>
    <cellStyle name="Normal 9 3" xfId="530" xr:uid="{00000000-0005-0000-0000-0000BC030000}"/>
    <cellStyle name="Normal 9 3 10" xfId="5563" xr:uid="{C81689C3-A435-47AD-A9E9-76613963FE37}"/>
    <cellStyle name="Normal 9 3 10 2" xfId="15511" xr:uid="{B7D91B9C-09FF-42EB-878F-7C9124EF8FA6}"/>
    <cellStyle name="Normal 9 3 11" xfId="6392" xr:uid="{D284BF86-AAB5-4E16-BB0E-AF2B3AA1E5CC}"/>
    <cellStyle name="Normal 9 3 11 2" xfId="16340" xr:uid="{61FE9D2C-5D0C-4085-B2C9-14CC037C95A5}"/>
    <cellStyle name="Normal 9 3 12" xfId="7221" xr:uid="{94C98031-C1E5-4E0C-B73C-DF136BA816F9}"/>
    <cellStyle name="Normal 9 3 12 2" xfId="17169" xr:uid="{53775FC5-E648-48DC-A95F-08E6D0376A57}"/>
    <cellStyle name="Normal 9 3 13" xfId="8050" xr:uid="{F1A7D430-DFCA-4CB0-9186-491488EF2A37}"/>
    <cellStyle name="Normal 9 3 13 2" xfId="17998" xr:uid="{91A4325D-7E40-4740-A0E3-4A0220E86A63}"/>
    <cellStyle name="Normal 9 3 14" xfId="8879" xr:uid="{7F4A5421-4C0A-43A9-A08D-9679551D40BB}"/>
    <cellStyle name="Normal 9 3 14 2" xfId="18827" xr:uid="{B13A0755-764E-4266-A4C3-E4EC53D86D05}"/>
    <cellStyle name="Normal 9 3 15" xfId="9708" xr:uid="{B86F7E70-2072-4323-BADD-32253CED94B3}"/>
    <cellStyle name="Normal 9 3 15 2" xfId="19656" xr:uid="{8307BB03-F78C-4B83-89EE-7095B248B7EC}"/>
    <cellStyle name="Normal 9 3 16" xfId="10537" xr:uid="{63273399-F2B8-46CE-991E-270A75AB1155}"/>
    <cellStyle name="Normal 9 3 16 2" xfId="20485" xr:uid="{FFC40527-D4E8-44F2-B512-94E398DBAAA9}"/>
    <cellStyle name="Normal 9 3 17" xfId="1418" xr:uid="{42C41D3B-5B19-43E3-B912-9B06E96AF4C9}"/>
    <cellStyle name="Normal 9 3 18" xfId="11366" xr:uid="{6EA61200-2301-4D01-BFE5-C10FFACBAC7D}"/>
    <cellStyle name="Normal 9 3 2" xfId="531" xr:uid="{00000000-0005-0000-0000-0000BD030000}"/>
    <cellStyle name="Normal 9 3 2 10" xfId="6393" xr:uid="{4BBF1DA1-9C93-45E0-A0B3-4969FEB09D7F}"/>
    <cellStyle name="Normal 9 3 2 10 2" xfId="16341" xr:uid="{3698EEC0-929E-4409-AD9B-E97A5F0E7CD5}"/>
    <cellStyle name="Normal 9 3 2 11" xfId="7222" xr:uid="{6316DEC9-2D7E-4641-9EB2-B98BE0465456}"/>
    <cellStyle name="Normal 9 3 2 11 2" xfId="17170" xr:uid="{B638F92C-39DF-4BD4-9791-1C56839847C3}"/>
    <cellStyle name="Normal 9 3 2 12" xfId="8051" xr:uid="{95C2DB64-BB85-4EEF-A8A9-587F043DD758}"/>
    <cellStyle name="Normal 9 3 2 12 2" xfId="17999" xr:uid="{B06BB6D6-B3DA-42FC-8B89-893C43C58EA6}"/>
    <cellStyle name="Normal 9 3 2 13" xfId="8880" xr:uid="{5FC0B523-350A-4CAD-B9DE-D06BAFCFB493}"/>
    <cellStyle name="Normal 9 3 2 13 2" xfId="18828" xr:uid="{98B4E927-C6EE-4E6B-8E2B-B3E6342C6F54}"/>
    <cellStyle name="Normal 9 3 2 14" xfId="9709" xr:uid="{C9A14B11-A55C-45B9-BD95-44EF9691738F}"/>
    <cellStyle name="Normal 9 3 2 14 2" xfId="19657" xr:uid="{02B9C443-36EF-4BF6-A9FC-7B90E7196332}"/>
    <cellStyle name="Normal 9 3 2 15" xfId="10538" xr:uid="{717EF9CE-D0E7-4DF0-AEC2-B1B82083E2CB}"/>
    <cellStyle name="Normal 9 3 2 15 2" xfId="20486" xr:uid="{8B8559A6-2392-4CDD-8E91-76CC7C45EB0C}"/>
    <cellStyle name="Normal 9 3 2 16" xfId="1419" xr:uid="{652BD157-417C-4401-8153-5130B5EF21A3}"/>
    <cellStyle name="Normal 9 3 2 17" xfId="11367" xr:uid="{C1B76B8B-0593-4536-8F81-40E2FDC8121F}"/>
    <cellStyle name="Normal 9 3 2 2" xfId="532" xr:uid="{00000000-0005-0000-0000-0000BE030000}"/>
    <cellStyle name="Normal 9 3 2 2 10" xfId="7223" xr:uid="{F28993F1-8A64-4FA4-B28D-2C4A45FF1364}"/>
    <cellStyle name="Normal 9 3 2 2 10 2" xfId="17171" xr:uid="{AD4E18A6-7B5C-44C8-961E-87FB089AF4BB}"/>
    <cellStyle name="Normal 9 3 2 2 11" xfId="8052" xr:uid="{E2D7DE21-7489-4969-9D8F-DDF41667B3E6}"/>
    <cellStyle name="Normal 9 3 2 2 11 2" xfId="18000" xr:uid="{A96467C3-902F-4E58-BF8B-87D2526D3A1F}"/>
    <cellStyle name="Normal 9 3 2 2 12" xfId="8881" xr:uid="{4EA33E17-073E-4E3E-A69C-DF6D26BE1E33}"/>
    <cellStyle name="Normal 9 3 2 2 12 2" xfId="18829" xr:uid="{961AA56B-0766-47AC-949F-3F8FB3D69591}"/>
    <cellStyle name="Normal 9 3 2 2 13" xfId="9710" xr:uid="{5B9ACF25-DEC0-432C-BB21-5D73EDD5D016}"/>
    <cellStyle name="Normal 9 3 2 2 13 2" xfId="19658" xr:uid="{5F241A8D-273A-4B2C-8F6C-52CC63B69D16}"/>
    <cellStyle name="Normal 9 3 2 2 14" xfId="10539" xr:uid="{3C1C8915-2FD9-415D-B58E-4081366DA60D}"/>
    <cellStyle name="Normal 9 3 2 2 14 2" xfId="20487" xr:uid="{8D8C5E8B-09A6-4238-91E5-9C17352A1AC4}"/>
    <cellStyle name="Normal 9 3 2 2 15" xfId="1420" xr:uid="{4FFB2DCD-75E4-4765-A951-6890471638D2}"/>
    <cellStyle name="Normal 9 3 2 2 16" xfId="11368" xr:uid="{9496BE9A-4752-4C0D-B88C-562663D2D8C2}"/>
    <cellStyle name="Normal 9 3 2 2 2" xfId="533" xr:uid="{00000000-0005-0000-0000-0000BF030000}"/>
    <cellStyle name="Normal 9 3 2 2 2 10" xfId="8053" xr:uid="{3426F232-B4C8-490B-A899-01F226121E2B}"/>
    <cellStyle name="Normal 9 3 2 2 2 10 2" xfId="18001" xr:uid="{ED4501F3-C328-49CA-991B-DA77DA27E157}"/>
    <cellStyle name="Normal 9 3 2 2 2 11" xfId="8882" xr:uid="{57F30B81-FEF1-444D-BFC6-B22C65197D3F}"/>
    <cellStyle name="Normal 9 3 2 2 2 11 2" xfId="18830" xr:uid="{F79D5B5D-2BA0-4F12-9E15-962F5B42524D}"/>
    <cellStyle name="Normal 9 3 2 2 2 12" xfId="9711" xr:uid="{3A270A4F-B4FB-4A10-BD0F-02D48B8129AD}"/>
    <cellStyle name="Normal 9 3 2 2 2 12 2" xfId="19659" xr:uid="{F5C8E2AF-AE72-48D7-8001-18CC77762FAC}"/>
    <cellStyle name="Normal 9 3 2 2 2 13" xfId="10540" xr:uid="{FF461125-E4B5-416C-84C5-E9DA44D429B2}"/>
    <cellStyle name="Normal 9 3 2 2 2 13 2" xfId="20488" xr:uid="{37AF49C1-BD7A-46AF-B9DA-C7F51E14DA87}"/>
    <cellStyle name="Normal 9 3 2 2 2 14" xfId="1421" xr:uid="{4BDEAC23-E855-4920-8C8A-09A207A0C987}"/>
    <cellStyle name="Normal 9 3 2 2 2 15" xfId="11369" xr:uid="{AAB31F49-334E-41AD-A9DA-6346C16FE565}"/>
    <cellStyle name="Normal 9 3 2 2 2 2" xfId="1005" xr:uid="{00000000-0005-0000-0000-0000C0030000}"/>
    <cellStyle name="Normal 9 3 2 2 2 2 10" xfId="9298" xr:uid="{EB3D3B01-FC0A-4B80-8C3C-1F75E253AB09}"/>
    <cellStyle name="Normal 9 3 2 2 2 2 10 2" xfId="19246" xr:uid="{E0679B3B-0255-43C5-A82E-8CDB778A254D}"/>
    <cellStyle name="Normal 9 3 2 2 2 2 11" xfId="10127" xr:uid="{518943CA-E693-43AC-91A8-331294EC05CA}"/>
    <cellStyle name="Normal 9 3 2 2 2 2 11 2" xfId="20075" xr:uid="{E637F4E9-B2B5-4A11-B16E-BC33EC311644}"/>
    <cellStyle name="Normal 9 3 2 2 2 2 12" xfId="10956" xr:uid="{9345027C-6557-44B7-858E-DC13ED675CD0}"/>
    <cellStyle name="Normal 9 3 2 2 2 2 12 2" xfId="20904" xr:uid="{02670A73-63A0-4F58-8663-ED78F00B5CE8}"/>
    <cellStyle name="Normal 9 3 2 2 2 2 13" xfId="1837" xr:uid="{BED7856B-ACCA-4415-88FF-DDABFAFE96E7}"/>
    <cellStyle name="Normal 9 3 2 2 2 2 14" xfId="11785" xr:uid="{6E85AB45-0A11-4E10-9F3E-2C3895E0F773}"/>
    <cellStyle name="Normal 9 3 2 2 2 2 2" xfId="2666" xr:uid="{A12DFB0B-B435-4BC8-8B62-EFCFFAC354B7}"/>
    <cellStyle name="Normal 9 3 2 2 2 2 2 2" xfId="12614" xr:uid="{4F0F36F6-4B10-44C2-9993-94473935A1B4}"/>
    <cellStyle name="Normal 9 3 2 2 2 2 3" xfId="3495" xr:uid="{DD0D36AC-1DBA-4365-811D-69E6E61BE85D}"/>
    <cellStyle name="Normal 9 3 2 2 2 2 3 2" xfId="13443" xr:uid="{4938814C-DCE1-41BB-9C78-B020DA2C0AFD}"/>
    <cellStyle name="Normal 9 3 2 2 2 2 4" xfId="4324" xr:uid="{32938AA2-C7EF-4060-A718-8D28E14BB8ED}"/>
    <cellStyle name="Normal 9 3 2 2 2 2 4 2" xfId="14272" xr:uid="{A0AB3C2A-A566-43B2-9D69-34C41551F077}"/>
    <cellStyle name="Normal 9 3 2 2 2 2 5" xfId="5153" xr:uid="{6220A70A-F164-41AB-909C-F2A6600344A2}"/>
    <cellStyle name="Normal 9 3 2 2 2 2 5 2" xfId="15101" xr:uid="{4A4C8289-CB17-4EDC-BA60-BC1D8C5D7783}"/>
    <cellStyle name="Normal 9 3 2 2 2 2 6" xfId="5982" xr:uid="{DB897A3C-043F-4124-B2E6-3588E25DFDDF}"/>
    <cellStyle name="Normal 9 3 2 2 2 2 6 2" xfId="15930" xr:uid="{532518E3-F206-4040-B3FA-E2EEDE507082}"/>
    <cellStyle name="Normal 9 3 2 2 2 2 7" xfId="6811" xr:uid="{B6C8EC52-84A1-403E-8409-C6EC55C57EE6}"/>
    <cellStyle name="Normal 9 3 2 2 2 2 7 2" xfId="16759" xr:uid="{367447DE-64B9-4D37-A545-6812133DDE7B}"/>
    <cellStyle name="Normal 9 3 2 2 2 2 8" xfId="7640" xr:uid="{3B7C1475-EAC5-4067-A671-1393862C56AE}"/>
    <cellStyle name="Normal 9 3 2 2 2 2 8 2" xfId="17588" xr:uid="{CF62FF15-8098-45C2-9AA6-5F51F665E3C2}"/>
    <cellStyle name="Normal 9 3 2 2 2 2 9" xfId="8469" xr:uid="{EC3A9034-3D77-42F5-B72A-E607F3490061}"/>
    <cellStyle name="Normal 9 3 2 2 2 2 9 2" xfId="18417" xr:uid="{86CEB356-F5F1-43AE-BCD2-26FB940F48B1}"/>
    <cellStyle name="Normal 9 3 2 2 2 3" xfId="2250" xr:uid="{474FEF6D-C6C0-4B52-9129-AD6275B7D8D0}"/>
    <cellStyle name="Normal 9 3 2 2 2 3 2" xfId="12198" xr:uid="{6B733814-908C-4257-AB7E-40284E42513C}"/>
    <cellStyle name="Normal 9 3 2 2 2 4" xfId="3079" xr:uid="{1B12B59B-6B3D-4AA0-B6AF-A54CE9A356E2}"/>
    <cellStyle name="Normal 9 3 2 2 2 4 2" xfId="13027" xr:uid="{0BB83534-C72C-4DC2-BED1-79948F39887E}"/>
    <cellStyle name="Normal 9 3 2 2 2 5" xfId="3908" xr:uid="{A307E335-7CEA-4E9E-B414-FFA05D0AB03C}"/>
    <cellStyle name="Normal 9 3 2 2 2 5 2" xfId="13856" xr:uid="{7CAB834C-F02F-4E07-B925-E40BD511BB0D}"/>
    <cellStyle name="Normal 9 3 2 2 2 6" xfId="4737" xr:uid="{3763364E-8897-4C3E-8075-5CDCEE27AE1D}"/>
    <cellStyle name="Normal 9 3 2 2 2 6 2" xfId="14685" xr:uid="{661FF002-C6EE-4DA4-8308-0EE083A17672}"/>
    <cellStyle name="Normal 9 3 2 2 2 7" xfId="5566" xr:uid="{CFD4B5ED-C038-48D9-BF4C-21C4EEA574BA}"/>
    <cellStyle name="Normal 9 3 2 2 2 7 2" xfId="15514" xr:uid="{B2EEC432-BF9E-4564-9AF4-1C4AA0871DD6}"/>
    <cellStyle name="Normal 9 3 2 2 2 8" xfId="6395" xr:uid="{DECF5592-1AD4-42A5-90A1-700682097108}"/>
    <cellStyle name="Normal 9 3 2 2 2 8 2" xfId="16343" xr:uid="{4A448C8E-3CF4-413B-8EB4-8157E5DC6FBB}"/>
    <cellStyle name="Normal 9 3 2 2 2 9" xfId="7224" xr:uid="{F353441B-12DB-40D1-B32C-CF8A7BCCCA5A}"/>
    <cellStyle name="Normal 9 3 2 2 2 9 2" xfId="17172" xr:uid="{11B1FD29-5708-4C59-B93B-8F65F45B95D1}"/>
    <cellStyle name="Normal 9 3 2 2 3" xfId="1004" xr:uid="{00000000-0005-0000-0000-0000C1030000}"/>
    <cellStyle name="Normal 9 3 2 2 3 10" xfId="9297" xr:uid="{4FCFBCDD-AB19-487A-B385-B0747E2980A9}"/>
    <cellStyle name="Normal 9 3 2 2 3 10 2" xfId="19245" xr:uid="{1E463564-D3A7-4E3F-AED5-E927FAB3B060}"/>
    <cellStyle name="Normal 9 3 2 2 3 11" xfId="10126" xr:uid="{8A57FA4E-F39A-4BD6-B413-9D9C9C753134}"/>
    <cellStyle name="Normal 9 3 2 2 3 11 2" xfId="20074" xr:uid="{5EC387E1-DDD0-4346-80CA-BF5F0C7B9FEF}"/>
    <cellStyle name="Normal 9 3 2 2 3 12" xfId="10955" xr:uid="{EC6E08A4-2622-45F8-B7A4-33E1EA9F522C}"/>
    <cellStyle name="Normal 9 3 2 2 3 12 2" xfId="20903" xr:uid="{2FBA776F-6791-4CC8-89B7-4C498566DA57}"/>
    <cellStyle name="Normal 9 3 2 2 3 13" xfId="1836" xr:uid="{D9DDF2B1-41FA-43A5-9D90-B31446128401}"/>
    <cellStyle name="Normal 9 3 2 2 3 14" xfId="11784" xr:uid="{89E260A9-832A-4469-B400-006EA222F97B}"/>
    <cellStyle name="Normal 9 3 2 2 3 2" xfId="2665" xr:uid="{836FD995-5AE6-4CB6-8D57-25AAAC471A9C}"/>
    <cellStyle name="Normal 9 3 2 2 3 2 2" xfId="12613" xr:uid="{D8BA2D4F-E1C0-4C49-96AA-3389D9176813}"/>
    <cellStyle name="Normal 9 3 2 2 3 3" xfId="3494" xr:uid="{A28F1956-4355-4A7C-86F1-EDB20D1D0E3F}"/>
    <cellStyle name="Normal 9 3 2 2 3 3 2" xfId="13442" xr:uid="{31ABC9F2-7569-493D-AABB-DF3F38087D15}"/>
    <cellStyle name="Normal 9 3 2 2 3 4" xfId="4323" xr:uid="{4902A8AB-5CF8-4796-A449-870AC363994C}"/>
    <cellStyle name="Normal 9 3 2 2 3 4 2" xfId="14271" xr:uid="{7E2B9461-0EA6-4F55-BC09-635ED428D97B}"/>
    <cellStyle name="Normal 9 3 2 2 3 5" xfId="5152" xr:uid="{5A669800-2BAA-4FA0-9639-37F960A7D438}"/>
    <cellStyle name="Normal 9 3 2 2 3 5 2" xfId="15100" xr:uid="{7FA9D7EE-C680-4113-B41C-13AD67839842}"/>
    <cellStyle name="Normal 9 3 2 2 3 6" xfId="5981" xr:uid="{39EF2834-E34A-4FC1-AD52-43568100F715}"/>
    <cellStyle name="Normal 9 3 2 2 3 6 2" xfId="15929" xr:uid="{9EFF332E-FB02-46A0-82E5-B0167D898FBE}"/>
    <cellStyle name="Normal 9 3 2 2 3 7" xfId="6810" xr:uid="{6B2F9D6E-3335-448A-9314-78EF2388D88C}"/>
    <cellStyle name="Normal 9 3 2 2 3 7 2" xfId="16758" xr:uid="{ED0D16F1-C0F6-4C8F-8132-4FB3EAA26DA2}"/>
    <cellStyle name="Normal 9 3 2 2 3 8" xfId="7639" xr:uid="{35E7E5F8-1801-4367-AEAA-1CBDC5851329}"/>
    <cellStyle name="Normal 9 3 2 2 3 8 2" xfId="17587" xr:uid="{37F93ABB-B1C8-41F2-8957-118A3D907F12}"/>
    <cellStyle name="Normal 9 3 2 2 3 9" xfId="8468" xr:uid="{D4ED95C1-6A1A-41D0-BBE1-086F38B1CEA7}"/>
    <cellStyle name="Normal 9 3 2 2 3 9 2" xfId="18416" xr:uid="{8D643326-FF63-4329-8A72-293485675356}"/>
    <cellStyle name="Normal 9 3 2 2 4" xfId="2249" xr:uid="{F309F66D-CA38-4293-A1FD-8D52C8D5E8B1}"/>
    <cellStyle name="Normal 9 3 2 2 4 2" xfId="12197" xr:uid="{6901FE90-7E6F-47EE-86C5-0673C2458368}"/>
    <cellStyle name="Normal 9 3 2 2 5" xfId="3078" xr:uid="{53A57040-167F-4F9E-AB91-00A3F6B3979D}"/>
    <cellStyle name="Normal 9 3 2 2 5 2" xfId="13026" xr:uid="{27378172-5F12-464F-B2CD-7E8F7B2A5661}"/>
    <cellStyle name="Normal 9 3 2 2 6" xfId="3907" xr:uid="{C3B6A225-C110-47C7-9241-7708CE494BEB}"/>
    <cellStyle name="Normal 9 3 2 2 6 2" xfId="13855" xr:uid="{4111A37B-7F9A-4DB8-9F7D-1413DD5350BD}"/>
    <cellStyle name="Normal 9 3 2 2 7" xfId="4736" xr:uid="{535DC43D-08B2-4BD2-A851-ED22CBEBA7A2}"/>
    <cellStyle name="Normal 9 3 2 2 7 2" xfId="14684" xr:uid="{B3DF40A2-F857-4DB4-9179-65FB41CCDC2A}"/>
    <cellStyle name="Normal 9 3 2 2 8" xfId="5565" xr:uid="{FC105045-67B2-4724-97C0-2DD3345ACB5F}"/>
    <cellStyle name="Normal 9 3 2 2 8 2" xfId="15513" xr:uid="{A73AF6C4-2781-481F-AD05-B83DDD93C2B9}"/>
    <cellStyle name="Normal 9 3 2 2 9" xfId="6394" xr:uid="{0F6E0C86-F937-419F-9815-2494BA1ACCFB}"/>
    <cellStyle name="Normal 9 3 2 2 9 2" xfId="16342" xr:uid="{597687E7-6CE6-457E-B63F-BC941584EB00}"/>
    <cellStyle name="Normal 9 3 2 3" xfId="534" xr:uid="{00000000-0005-0000-0000-0000C2030000}"/>
    <cellStyle name="Normal 9 3 2 3 10" xfId="8054" xr:uid="{2F549F14-3F7F-4E2B-828E-9FB26390E340}"/>
    <cellStyle name="Normal 9 3 2 3 10 2" xfId="18002" xr:uid="{B689F3F4-5350-4E89-9926-00FE6CE15803}"/>
    <cellStyle name="Normal 9 3 2 3 11" xfId="8883" xr:uid="{FC4B7449-CFC4-41D3-B872-967C72FD4DF2}"/>
    <cellStyle name="Normal 9 3 2 3 11 2" xfId="18831" xr:uid="{C83B5DCB-4D9D-4560-9A4B-12999B140A04}"/>
    <cellStyle name="Normal 9 3 2 3 12" xfId="9712" xr:uid="{6C8A21F5-2E4C-44B2-B852-6625DFE3076A}"/>
    <cellStyle name="Normal 9 3 2 3 12 2" xfId="19660" xr:uid="{E64036CF-9EEB-45E6-9D18-0BA0C07D4A63}"/>
    <cellStyle name="Normal 9 3 2 3 13" xfId="10541" xr:uid="{C660606D-DB9C-45EB-9966-775CAD9B89C6}"/>
    <cellStyle name="Normal 9 3 2 3 13 2" xfId="20489" xr:uid="{27EB68B6-D041-404C-B7E1-41A2EB4EB8AD}"/>
    <cellStyle name="Normal 9 3 2 3 14" xfId="1422" xr:uid="{3752F97D-3954-4490-A0E2-0929C4A2D38E}"/>
    <cellStyle name="Normal 9 3 2 3 15" xfId="11370" xr:uid="{4471343D-A379-4B22-B7D6-0A0897022438}"/>
    <cellStyle name="Normal 9 3 2 3 2" xfId="1006" xr:uid="{00000000-0005-0000-0000-0000C3030000}"/>
    <cellStyle name="Normal 9 3 2 3 2 10" xfId="9299" xr:uid="{B5B91A35-BD0C-402B-A4AF-DE81BD1146DA}"/>
    <cellStyle name="Normal 9 3 2 3 2 10 2" xfId="19247" xr:uid="{F96A3F94-C8BF-47EF-A7EE-25C8D2D81669}"/>
    <cellStyle name="Normal 9 3 2 3 2 11" xfId="10128" xr:uid="{653F66BB-FB61-4D2F-A171-16DB4E258355}"/>
    <cellStyle name="Normal 9 3 2 3 2 11 2" xfId="20076" xr:uid="{3256238B-5418-49F0-BF44-5878C00C9629}"/>
    <cellStyle name="Normal 9 3 2 3 2 12" xfId="10957" xr:uid="{AA08BBCF-A9F4-4B44-8BF0-69B626E6265D}"/>
    <cellStyle name="Normal 9 3 2 3 2 12 2" xfId="20905" xr:uid="{06964889-53F1-4C3D-804C-C6AF42DD7147}"/>
    <cellStyle name="Normal 9 3 2 3 2 13" xfId="1838" xr:uid="{B91EF602-DD27-4BC5-805A-102F6B08A24F}"/>
    <cellStyle name="Normal 9 3 2 3 2 14" xfId="11786" xr:uid="{9FC9E831-CE12-4BD3-A821-2A9E196FB042}"/>
    <cellStyle name="Normal 9 3 2 3 2 2" xfId="2667" xr:uid="{BB1A674B-1110-4477-9C2C-D45EFF8A37FE}"/>
    <cellStyle name="Normal 9 3 2 3 2 2 2" xfId="12615" xr:uid="{9E2E4804-8AAC-4C13-8A07-F2A86013C233}"/>
    <cellStyle name="Normal 9 3 2 3 2 3" xfId="3496" xr:uid="{F59F8A78-0D4A-4913-9AFE-3A11A6081672}"/>
    <cellStyle name="Normal 9 3 2 3 2 3 2" xfId="13444" xr:uid="{FACE037A-EA58-444A-80AA-6866BA06E2FB}"/>
    <cellStyle name="Normal 9 3 2 3 2 4" xfId="4325" xr:uid="{25B302DA-B923-4793-9D45-6484A7C2A6DD}"/>
    <cellStyle name="Normal 9 3 2 3 2 4 2" xfId="14273" xr:uid="{7FD93360-CB51-4F8C-9083-402975381171}"/>
    <cellStyle name="Normal 9 3 2 3 2 5" xfId="5154" xr:uid="{F3E24835-C3AC-4397-928E-CCD9C8447A29}"/>
    <cellStyle name="Normal 9 3 2 3 2 5 2" xfId="15102" xr:uid="{B136DCB7-AA4A-4541-9F6C-6380F47492BA}"/>
    <cellStyle name="Normal 9 3 2 3 2 6" xfId="5983" xr:uid="{A7B6E301-05FD-4CAB-91F3-E1FFD44B5A0B}"/>
    <cellStyle name="Normal 9 3 2 3 2 6 2" xfId="15931" xr:uid="{1C79E3C3-C397-42F7-A0E0-CBC28C494566}"/>
    <cellStyle name="Normal 9 3 2 3 2 7" xfId="6812" xr:uid="{BD39318B-7D78-4B13-9241-7C9DCE88D791}"/>
    <cellStyle name="Normal 9 3 2 3 2 7 2" xfId="16760" xr:uid="{5AC73F4E-6CEB-4D1D-90B8-F701144F118E}"/>
    <cellStyle name="Normal 9 3 2 3 2 8" xfId="7641" xr:uid="{541A322E-4A73-4D9D-B2E9-7770BE42DFBC}"/>
    <cellStyle name="Normal 9 3 2 3 2 8 2" xfId="17589" xr:uid="{5CAFD097-F0BA-4A2C-9C81-CC4DD2B1C7D5}"/>
    <cellStyle name="Normal 9 3 2 3 2 9" xfId="8470" xr:uid="{B20FC07C-5E2C-49CC-B892-1B5127886865}"/>
    <cellStyle name="Normal 9 3 2 3 2 9 2" xfId="18418" xr:uid="{F3BD376F-EEA8-46BF-8845-DD3854AD699C}"/>
    <cellStyle name="Normal 9 3 2 3 3" xfId="2251" xr:uid="{24111187-21A6-4289-BBE7-B8C829B9B35F}"/>
    <cellStyle name="Normal 9 3 2 3 3 2" xfId="12199" xr:uid="{65409D7E-C9CC-4FAE-8E7A-31AFDEB631E9}"/>
    <cellStyle name="Normal 9 3 2 3 4" xfId="3080" xr:uid="{B750097C-1637-4EF5-8231-31FA47A28E7B}"/>
    <cellStyle name="Normal 9 3 2 3 4 2" xfId="13028" xr:uid="{0D201FAA-B28C-4BBE-BB87-543829554D69}"/>
    <cellStyle name="Normal 9 3 2 3 5" xfId="3909" xr:uid="{C78A6C41-8749-49FD-802F-5148824B7741}"/>
    <cellStyle name="Normal 9 3 2 3 5 2" xfId="13857" xr:uid="{3077EF22-1B5F-4584-9650-A2F12ED50386}"/>
    <cellStyle name="Normal 9 3 2 3 6" xfId="4738" xr:uid="{BC121A9F-EC23-430C-AA21-3BFDEEAE47F7}"/>
    <cellStyle name="Normal 9 3 2 3 6 2" xfId="14686" xr:uid="{16BFB910-B1F8-4AB3-A217-CC1156DD459C}"/>
    <cellStyle name="Normal 9 3 2 3 7" xfId="5567" xr:uid="{BF6D8925-5314-45B7-8DD7-ECD9C0858E68}"/>
    <cellStyle name="Normal 9 3 2 3 7 2" xfId="15515" xr:uid="{02DBD2A8-6E12-4A1F-B7B8-A4F28AAE2247}"/>
    <cellStyle name="Normal 9 3 2 3 8" xfId="6396" xr:uid="{61DEB78E-447D-4499-B1D1-F5EB09267D5F}"/>
    <cellStyle name="Normal 9 3 2 3 8 2" xfId="16344" xr:uid="{4551F5DF-5F0A-42DD-A8F6-04685EFB380F}"/>
    <cellStyle name="Normal 9 3 2 3 9" xfId="7225" xr:uid="{571637BC-3792-4D14-9405-A34BC9D9B9F5}"/>
    <cellStyle name="Normal 9 3 2 3 9 2" xfId="17173" xr:uid="{44CF3E66-FD94-4A95-9444-B5900F380513}"/>
    <cellStyle name="Normal 9 3 2 4" xfId="1003" xr:uid="{00000000-0005-0000-0000-0000C4030000}"/>
    <cellStyle name="Normal 9 3 2 4 10" xfId="9296" xr:uid="{C8E1F19A-1A6E-4A43-9B4E-F83372ED7ACE}"/>
    <cellStyle name="Normal 9 3 2 4 10 2" xfId="19244" xr:uid="{9D79A59B-C4EB-40F7-9CC8-D56E3E4E9982}"/>
    <cellStyle name="Normal 9 3 2 4 11" xfId="10125" xr:uid="{AAAA275F-8627-46FA-BE1E-0881E407A374}"/>
    <cellStyle name="Normal 9 3 2 4 11 2" xfId="20073" xr:uid="{3168B2F0-64B5-49D0-B66E-08444D124462}"/>
    <cellStyle name="Normal 9 3 2 4 12" xfId="10954" xr:uid="{3816DFC5-4C1F-4493-AED2-971EFE7CDCA5}"/>
    <cellStyle name="Normal 9 3 2 4 12 2" xfId="20902" xr:uid="{1C9945AF-86BA-43D8-9908-CE24BB1D7DE8}"/>
    <cellStyle name="Normal 9 3 2 4 13" xfId="1835" xr:uid="{6746781B-095E-42AC-A541-3BAD4A09E896}"/>
    <cellStyle name="Normal 9 3 2 4 14" xfId="11783" xr:uid="{8B859BF6-E8FF-4C75-A922-68AA895C3C0C}"/>
    <cellStyle name="Normal 9 3 2 4 2" xfId="2664" xr:uid="{104A3C48-2977-4135-8552-B1BCD9B87211}"/>
    <cellStyle name="Normal 9 3 2 4 2 2" xfId="12612" xr:uid="{D3556DFE-6F03-468C-BA5D-1710BB20280D}"/>
    <cellStyle name="Normal 9 3 2 4 3" xfId="3493" xr:uid="{1BD3A65A-CC46-45A6-8DD4-31E5B646366A}"/>
    <cellStyle name="Normal 9 3 2 4 3 2" xfId="13441" xr:uid="{42E11BB2-2263-4957-870C-7CE573A4F861}"/>
    <cellStyle name="Normal 9 3 2 4 4" xfId="4322" xr:uid="{37C0B3DA-7268-4827-9FD2-55CF03E8DDD0}"/>
    <cellStyle name="Normal 9 3 2 4 4 2" xfId="14270" xr:uid="{53A1FB17-98C0-4CDD-8FE1-459C80D2C856}"/>
    <cellStyle name="Normal 9 3 2 4 5" xfId="5151" xr:uid="{F28B13D8-4D87-4885-803D-CA6AFD1B6404}"/>
    <cellStyle name="Normal 9 3 2 4 5 2" xfId="15099" xr:uid="{CDC82B36-05CA-4A60-A066-87FBA005AF09}"/>
    <cellStyle name="Normal 9 3 2 4 6" xfId="5980" xr:uid="{490D9018-1AC4-492E-9403-98C8DC47F6C3}"/>
    <cellStyle name="Normal 9 3 2 4 6 2" xfId="15928" xr:uid="{E62DF0E4-DC25-4145-A81E-B13AB079C8BD}"/>
    <cellStyle name="Normal 9 3 2 4 7" xfId="6809" xr:uid="{2D420FEC-CD71-4ECD-8EEF-20A306507485}"/>
    <cellStyle name="Normal 9 3 2 4 7 2" xfId="16757" xr:uid="{A5653F27-38E3-4FC9-B577-006F7E9A6570}"/>
    <cellStyle name="Normal 9 3 2 4 8" xfId="7638" xr:uid="{D61734AA-AB97-42F4-A5F2-D73D524621E2}"/>
    <cellStyle name="Normal 9 3 2 4 8 2" xfId="17586" xr:uid="{76422C96-01A6-48BF-8A2D-7BEC178DEC78}"/>
    <cellStyle name="Normal 9 3 2 4 9" xfId="8467" xr:uid="{83C1051D-A1B1-43D3-9D9B-EEC2A0768BE6}"/>
    <cellStyle name="Normal 9 3 2 4 9 2" xfId="18415" xr:uid="{9B12AB01-EB65-475F-B84C-437B7626ACB9}"/>
    <cellStyle name="Normal 9 3 2 5" xfId="2248" xr:uid="{66287C8A-87B3-45CA-9052-D5A499753873}"/>
    <cellStyle name="Normal 9 3 2 5 2" xfId="12196" xr:uid="{CABF8D36-F6EA-41B4-8493-D0CE575D690D}"/>
    <cellStyle name="Normal 9 3 2 6" xfId="3077" xr:uid="{90903A74-FD5F-46C3-9C22-7C7A2120AFCD}"/>
    <cellStyle name="Normal 9 3 2 6 2" xfId="13025" xr:uid="{B31A1FE7-95CE-43A4-8BEE-6D77340A0925}"/>
    <cellStyle name="Normal 9 3 2 7" xfId="3906" xr:uid="{1B6E28FA-8D43-4306-830C-33E595764348}"/>
    <cellStyle name="Normal 9 3 2 7 2" xfId="13854" xr:uid="{D0871282-6AF1-45D1-92EF-7F5F5C70E37B}"/>
    <cellStyle name="Normal 9 3 2 8" xfId="4735" xr:uid="{F95D6BED-5D43-4D44-8075-78EB37D3AA3C}"/>
    <cellStyle name="Normal 9 3 2 8 2" xfId="14683" xr:uid="{6E714B13-AAAB-446D-BA53-ABDAF52FEC11}"/>
    <cellStyle name="Normal 9 3 2 9" xfId="5564" xr:uid="{7F8290AA-7526-4BBC-84C1-A931B7BE849D}"/>
    <cellStyle name="Normal 9 3 2 9 2" xfId="15512" xr:uid="{56041D6E-6892-49E1-8A4D-C2571B7E569D}"/>
    <cellStyle name="Normal 9 3 3" xfId="535" xr:uid="{00000000-0005-0000-0000-0000C5030000}"/>
    <cellStyle name="Normal 9 3 3 10" xfId="7226" xr:uid="{A432CC59-7ACF-4BD0-8056-5A00F2068CE8}"/>
    <cellStyle name="Normal 9 3 3 10 2" xfId="17174" xr:uid="{92BEEA91-697B-4819-932F-05108AEE3E28}"/>
    <cellStyle name="Normal 9 3 3 11" xfId="8055" xr:uid="{AD75577D-D1DA-4CC9-AE45-A40162B34ED3}"/>
    <cellStyle name="Normal 9 3 3 11 2" xfId="18003" xr:uid="{4E3E8575-85F0-4A98-B047-1A9B3DAD5334}"/>
    <cellStyle name="Normal 9 3 3 12" xfId="8884" xr:uid="{B6B0ADB8-7876-483B-BEE5-55222FCBB9FF}"/>
    <cellStyle name="Normal 9 3 3 12 2" xfId="18832" xr:uid="{8BF88A68-445F-4591-AFAF-E1BD8EA16793}"/>
    <cellStyle name="Normal 9 3 3 13" xfId="9713" xr:uid="{5B0D22C1-34CE-45B8-A337-F1940DF7C98E}"/>
    <cellStyle name="Normal 9 3 3 13 2" xfId="19661" xr:uid="{0974D0E5-8B31-4C81-AC83-0F40E38872DD}"/>
    <cellStyle name="Normal 9 3 3 14" xfId="10542" xr:uid="{DF34F73C-CE55-4CC4-A555-9145342D3AFD}"/>
    <cellStyle name="Normal 9 3 3 14 2" xfId="20490" xr:uid="{01B2E537-54DC-4B4F-9728-BAA18E468E41}"/>
    <cellStyle name="Normal 9 3 3 15" xfId="1423" xr:uid="{35822071-2710-4FB6-B9E1-EFAE4365C839}"/>
    <cellStyle name="Normal 9 3 3 16" xfId="11371" xr:uid="{6A627D0E-9449-46C5-9ECF-11A349261F9E}"/>
    <cellStyle name="Normal 9 3 3 2" xfId="536" xr:uid="{00000000-0005-0000-0000-0000C6030000}"/>
    <cellStyle name="Normal 9 3 3 2 10" xfId="8056" xr:uid="{F7F5E1F8-59EA-4516-9DF2-DC994EA7A87E}"/>
    <cellStyle name="Normal 9 3 3 2 10 2" xfId="18004" xr:uid="{9FEBAECC-18C4-492D-9115-FA4653F80B9F}"/>
    <cellStyle name="Normal 9 3 3 2 11" xfId="8885" xr:uid="{FDF391DE-6249-48AC-B688-EEEC6FC987B5}"/>
    <cellStyle name="Normal 9 3 3 2 11 2" xfId="18833" xr:uid="{0A1DAE74-6F1E-427B-B8B5-08DA36002D7D}"/>
    <cellStyle name="Normal 9 3 3 2 12" xfId="9714" xr:uid="{7D7ACB6D-6860-4BF6-B9FC-42D761B2C0E6}"/>
    <cellStyle name="Normal 9 3 3 2 12 2" xfId="19662" xr:uid="{906CE97D-AC62-40DB-911B-BA81CF322463}"/>
    <cellStyle name="Normal 9 3 3 2 13" xfId="10543" xr:uid="{EBDF48D4-187C-4A96-9114-8851B18CA8C1}"/>
    <cellStyle name="Normal 9 3 3 2 13 2" xfId="20491" xr:uid="{324EF81A-6BF9-4FA8-A5E4-29F05111379F}"/>
    <cellStyle name="Normal 9 3 3 2 14" xfId="1424" xr:uid="{612AABBE-6CA7-4392-BB06-E906D9442E81}"/>
    <cellStyle name="Normal 9 3 3 2 15" xfId="11372" xr:uid="{ABC2E808-D1A6-4403-B087-A628BEE44F75}"/>
    <cellStyle name="Normal 9 3 3 2 2" xfId="1008" xr:uid="{00000000-0005-0000-0000-0000C7030000}"/>
    <cellStyle name="Normal 9 3 3 2 2 10" xfId="9301" xr:uid="{98443D11-FC80-4AFA-B786-21AF70E4EC52}"/>
    <cellStyle name="Normal 9 3 3 2 2 10 2" xfId="19249" xr:uid="{E2346BD5-2208-48FF-8168-5477BBB3DCE7}"/>
    <cellStyle name="Normal 9 3 3 2 2 11" xfId="10130" xr:uid="{4AE53533-D36F-4F61-BF91-FAEAB73D9353}"/>
    <cellStyle name="Normal 9 3 3 2 2 11 2" xfId="20078" xr:uid="{32F1EF59-1C31-429B-BBAA-2C06CA1B3B72}"/>
    <cellStyle name="Normal 9 3 3 2 2 12" xfId="10959" xr:uid="{EDB67E91-E18E-4D84-ABB9-C3052B5D7E85}"/>
    <cellStyle name="Normal 9 3 3 2 2 12 2" xfId="20907" xr:uid="{11DF76AB-DBD2-4D51-BE30-8EDAFCC68667}"/>
    <cellStyle name="Normal 9 3 3 2 2 13" xfId="1840" xr:uid="{27179B26-6EA1-49E4-AEE3-5E36CF227472}"/>
    <cellStyle name="Normal 9 3 3 2 2 14" xfId="11788" xr:uid="{CCF567F4-D21E-420A-8709-8B4988AA211E}"/>
    <cellStyle name="Normal 9 3 3 2 2 2" xfId="2669" xr:uid="{D264C8C8-B6D3-4921-BA95-A1235E6F52A9}"/>
    <cellStyle name="Normal 9 3 3 2 2 2 2" xfId="12617" xr:uid="{EE43BF9B-420E-4105-B5FB-AFE04AD3F2D1}"/>
    <cellStyle name="Normal 9 3 3 2 2 3" xfId="3498" xr:uid="{2792BA8F-3825-405B-A2A9-A9FC74D891D5}"/>
    <cellStyle name="Normal 9 3 3 2 2 3 2" xfId="13446" xr:uid="{36482D8C-7EB1-4654-8BA5-73E148926D25}"/>
    <cellStyle name="Normal 9 3 3 2 2 4" xfId="4327" xr:uid="{1152A762-4F9B-4E79-9A12-7DA9FEEC3749}"/>
    <cellStyle name="Normal 9 3 3 2 2 4 2" xfId="14275" xr:uid="{D4B8F010-8409-426E-A005-102401AE4A45}"/>
    <cellStyle name="Normal 9 3 3 2 2 5" xfId="5156" xr:uid="{A09851AE-3581-4ADB-88EF-E52C3745F6C7}"/>
    <cellStyle name="Normal 9 3 3 2 2 5 2" xfId="15104" xr:uid="{5F9FEE8C-77D9-4540-8620-169C09E46126}"/>
    <cellStyle name="Normal 9 3 3 2 2 6" xfId="5985" xr:uid="{03460865-E39B-4AA4-AB0D-AAFDD50E5E7E}"/>
    <cellStyle name="Normal 9 3 3 2 2 6 2" xfId="15933" xr:uid="{5A490A6C-3F1E-4317-874D-C7D362C5490E}"/>
    <cellStyle name="Normal 9 3 3 2 2 7" xfId="6814" xr:uid="{E6DB380E-0A3D-4AB2-B2F8-36D12E997CC5}"/>
    <cellStyle name="Normal 9 3 3 2 2 7 2" xfId="16762" xr:uid="{B374A57D-3C93-4B9E-9C7C-FA47815A8E7B}"/>
    <cellStyle name="Normal 9 3 3 2 2 8" xfId="7643" xr:uid="{EF61687B-F6D5-4B49-8B3A-8340CCCDD0A9}"/>
    <cellStyle name="Normal 9 3 3 2 2 8 2" xfId="17591" xr:uid="{BAA40408-164E-4ECB-843E-CE6BB5873077}"/>
    <cellStyle name="Normal 9 3 3 2 2 9" xfId="8472" xr:uid="{F8224998-62F7-42B7-98DE-DFBE31AEC12D}"/>
    <cellStyle name="Normal 9 3 3 2 2 9 2" xfId="18420" xr:uid="{50F32594-F846-4A62-BFD5-97D84BBA134F}"/>
    <cellStyle name="Normal 9 3 3 2 3" xfId="2253" xr:uid="{1C03C04C-4CFE-45B7-B7E2-115C5E1E0FA9}"/>
    <cellStyle name="Normal 9 3 3 2 3 2" xfId="12201" xr:uid="{05E94DC1-9E23-4295-B416-062205D157E1}"/>
    <cellStyle name="Normal 9 3 3 2 4" xfId="3082" xr:uid="{16B3F140-2539-49A1-8701-C5836AACA349}"/>
    <cellStyle name="Normal 9 3 3 2 4 2" xfId="13030" xr:uid="{D1026841-CAEF-48DF-970A-D9CF32E32836}"/>
    <cellStyle name="Normal 9 3 3 2 5" xfId="3911" xr:uid="{27DB5D7A-6A5D-4A2F-85F4-826A1344A389}"/>
    <cellStyle name="Normal 9 3 3 2 5 2" xfId="13859" xr:uid="{049A5E65-A49D-4978-96D1-5621B9981360}"/>
    <cellStyle name="Normal 9 3 3 2 6" xfId="4740" xr:uid="{00B7D9DC-B0C6-4EBD-B4DD-8EB3E51D572F}"/>
    <cellStyle name="Normal 9 3 3 2 6 2" xfId="14688" xr:uid="{42F9C056-0341-4B35-814A-13EF025E80B0}"/>
    <cellStyle name="Normal 9 3 3 2 7" xfId="5569" xr:uid="{496ED8F3-7BC0-4742-A868-3A2E66E259DB}"/>
    <cellStyle name="Normal 9 3 3 2 7 2" xfId="15517" xr:uid="{467589DE-153C-4184-9606-E8D9938979E3}"/>
    <cellStyle name="Normal 9 3 3 2 8" xfId="6398" xr:uid="{D89B2C14-6EFF-4D18-AAEC-B259E173F465}"/>
    <cellStyle name="Normal 9 3 3 2 8 2" xfId="16346" xr:uid="{146D29E0-AF78-412C-91E3-B261BBDAB65C}"/>
    <cellStyle name="Normal 9 3 3 2 9" xfId="7227" xr:uid="{CA9E80F5-689F-48C4-BE86-AF74092E4411}"/>
    <cellStyle name="Normal 9 3 3 2 9 2" xfId="17175" xr:uid="{9B49E504-DEBC-4103-AC09-05C37EF45C29}"/>
    <cellStyle name="Normal 9 3 3 3" xfId="1007" xr:uid="{00000000-0005-0000-0000-0000C8030000}"/>
    <cellStyle name="Normal 9 3 3 3 10" xfId="9300" xr:uid="{5FF22431-FFB9-4592-88B2-512D98A10DC7}"/>
    <cellStyle name="Normal 9 3 3 3 10 2" xfId="19248" xr:uid="{27CD9C2B-4EE0-4137-A885-E8359877C09E}"/>
    <cellStyle name="Normal 9 3 3 3 11" xfId="10129" xr:uid="{27768D09-91A7-4739-88D3-F82BD898EF5A}"/>
    <cellStyle name="Normal 9 3 3 3 11 2" xfId="20077" xr:uid="{800B08E1-6AC9-4949-A670-EB5959ECF58B}"/>
    <cellStyle name="Normal 9 3 3 3 12" xfId="10958" xr:uid="{A1B46ABF-3304-4BB1-836B-92B807F8D3F1}"/>
    <cellStyle name="Normal 9 3 3 3 12 2" xfId="20906" xr:uid="{87F2356A-2CE0-4A72-8876-D1AB78D10A19}"/>
    <cellStyle name="Normal 9 3 3 3 13" xfId="1839" xr:uid="{894D5A8A-A4EB-4083-B544-217261B06E30}"/>
    <cellStyle name="Normal 9 3 3 3 14" xfId="11787" xr:uid="{D80D01EB-7ACD-4F60-B6AB-D237BAFF48C8}"/>
    <cellStyle name="Normal 9 3 3 3 2" xfId="2668" xr:uid="{F5BA902C-9F8E-4C2B-A124-76ABFD4F8D96}"/>
    <cellStyle name="Normal 9 3 3 3 2 2" xfId="12616" xr:uid="{2F10A6D3-13AE-4705-9931-D08B98DCC0E0}"/>
    <cellStyle name="Normal 9 3 3 3 3" xfId="3497" xr:uid="{C822A0C7-F44D-4D43-BBE1-5838B40F2DAB}"/>
    <cellStyle name="Normal 9 3 3 3 3 2" xfId="13445" xr:uid="{067CEEEA-A3B6-4F5C-966F-0E77CD50F36D}"/>
    <cellStyle name="Normal 9 3 3 3 4" xfId="4326" xr:uid="{08CCDBD4-2C9D-47A6-8E33-B7672E884599}"/>
    <cellStyle name="Normal 9 3 3 3 4 2" xfId="14274" xr:uid="{35B96CBB-5ABE-4416-8FE6-2DAC94DF7DA4}"/>
    <cellStyle name="Normal 9 3 3 3 5" xfId="5155" xr:uid="{FA47A964-96C2-4698-8E38-FA4F83C9FB2D}"/>
    <cellStyle name="Normal 9 3 3 3 5 2" xfId="15103" xr:uid="{39B9E175-BBB6-45F1-A613-D2CB0100332D}"/>
    <cellStyle name="Normal 9 3 3 3 6" xfId="5984" xr:uid="{E8EB8F8C-5063-4805-8A26-FCF008802CA5}"/>
    <cellStyle name="Normal 9 3 3 3 6 2" xfId="15932" xr:uid="{91D47A54-D2F5-4A72-8E6D-B225454A6189}"/>
    <cellStyle name="Normal 9 3 3 3 7" xfId="6813" xr:uid="{032FE65A-E1EE-4A1F-93EA-A30027D2F910}"/>
    <cellStyle name="Normal 9 3 3 3 7 2" xfId="16761" xr:uid="{BC1412D6-4E79-4928-88BF-D199C7ACDBCD}"/>
    <cellStyle name="Normal 9 3 3 3 8" xfId="7642" xr:uid="{90DC9FA3-2F6D-48CE-B1B3-C816C3A88B9C}"/>
    <cellStyle name="Normal 9 3 3 3 8 2" xfId="17590" xr:uid="{E3148D73-A50B-42F1-8F17-E2F02246C53A}"/>
    <cellStyle name="Normal 9 3 3 3 9" xfId="8471" xr:uid="{4DC58499-5B97-453E-961D-18DD2C5C5FF7}"/>
    <cellStyle name="Normal 9 3 3 3 9 2" xfId="18419" xr:uid="{F6BFD52D-555B-4306-BC37-A41167F59A3B}"/>
    <cellStyle name="Normal 9 3 3 4" xfId="2252" xr:uid="{7D4BF693-115E-4EDB-B9E9-D11A1579BC40}"/>
    <cellStyle name="Normal 9 3 3 4 2" xfId="12200" xr:uid="{CE072679-33C5-44D0-BD09-4C7D594AD777}"/>
    <cellStyle name="Normal 9 3 3 5" xfId="3081" xr:uid="{B9155F6E-4667-4904-A22B-EF848403DF74}"/>
    <cellStyle name="Normal 9 3 3 5 2" xfId="13029" xr:uid="{A294F2EC-A509-4C98-A6C2-F89EF5A9389B}"/>
    <cellStyle name="Normal 9 3 3 6" xfId="3910" xr:uid="{DD78AA86-FFFC-4139-BE3D-BC482DE267F3}"/>
    <cellStyle name="Normal 9 3 3 6 2" xfId="13858" xr:uid="{13660DFC-E732-4BA6-8471-8878D8CAF01F}"/>
    <cellStyle name="Normal 9 3 3 7" xfId="4739" xr:uid="{C75AE691-BB7F-4A16-B17E-F9EBFBBB65D6}"/>
    <cellStyle name="Normal 9 3 3 7 2" xfId="14687" xr:uid="{199BF6F2-B996-4641-82AE-E098D6B95B25}"/>
    <cellStyle name="Normal 9 3 3 8" xfId="5568" xr:uid="{9CF3A89F-3417-4CAE-AEA3-A868CD595EA8}"/>
    <cellStyle name="Normal 9 3 3 8 2" xfId="15516" xr:uid="{1D019F8F-6E6F-4090-B34D-49DA7E289847}"/>
    <cellStyle name="Normal 9 3 3 9" xfId="6397" xr:uid="{A2B7BF48-2433-4D02-B35C-EEA025734ADF}"/>
    <cellStyle name="Normal 9 3 3 9 2" xfId="16345" xr:uid="{F1899E9E-F8C3-4C00-AEF7-D2DE88F778F8}"/>
    <cellStyle name="Normal 9 3 4" xfId="537" xr:uid="{00000000-0005-0000-0000-0000C9030000}"/>
    <cellStyle name="Normal 9 3 4 10" xfId="8057" xr:uid="{EA778F7C-FD80-4B70-A3BB-1B66A162671A}"/>
    <cellStyle name="Normal 9 3 4 10 2" xfId="18005" xr:uid="{C09C91BD-5853-4C75-918A-D0592E32664F}"/>
    <cellStyle name="Normal 9 3 4 11" xfId="8886" xr:uid="{0CF022A4-DCEA-4FAE-863B-98BD57B80BD9}"/>
    <cellStyle name="Normal 9 3 4 11 2" xfId="18834" xr:uid="{29672710-2783-4558-85DB-5A788A979541}"/>
    <cellStyle name="Normal 9 3 4 12" xfId="9715" xr:uid="{AC63E3D0-D79D-41F3-A1C8-718A80E1C1A5}"/>
    <cellStyle name="Normal 9 3 4 12 2" xfId="19663" xr:uid="{096BA43F-56BB-4447-A2B9-7E930F733E71}"/>
    <cellStyle name="Normal 9 3 4 13" xfId="10544" xr:uid="{30EBA0DE-B5CA-4F71-B0BB-737CC2D70F65}"/>
    <cellStyle name="Normal 9 3 4 13 2" xfId="20492" xr:uid="{08EC3728-D80B-43DB-AD81-BA751D08AEA5}"/>
    <cellStyle name="Normal 9 3 4 14" xfId="1425" xr:uid="{4E004FA3-9481-45B9-AE9A-823A136CF9D9}"/>
    <cellStyle name="Normal 9 3 4 15" xfId="11373" xr:uid="{C2D5B646-E99D-4444-93E2-4380BD962B1C}"/>
    <cellStyle name="Normal 9 3 4 2" xfId="1009" xr:uid="{00000000-0005-0000-0000-0000CA030000}"/>
    <cellStyle name="Normal 9 3 4 2 10" xfId="9302" xr:uid="{7067DD29-EA19-430E-A0E1-04BC00E0E1DE}"/>
    <cellStyle name="Normal 9 3 4 2 10 2" xfId="19250" xr:uid="{84B6596D-52F9-4F7C-8D4B-EAEEAC8AB7B1}"/>
    <cellStyle name="Normal 9 3 4 2 11" xfId="10131" xr:uid="{894AC217-78E2-4815-B876-CEF38A499FD6}"/>
    <cellStyle name="Normal 9 3 4 2 11 2" xfId="20079" xr:uid="{10A4D6D8-4B91-48C0-B25A-B3311AF28EDE}"/>
    <cellStyle name="Normal 9 3 4 2 12" xfId="10960" xr:uid="{4B6E6835-F753-4334-B79A-99C2C541B119}"/>
    <cellStyle name="Normal 9 3 4 2 12 2" xfId="20908" xr:uid="{AF45D120-8D07-4F75-A2D7-BFD6C7DACF0C}"/>
    <cellStyle name="Normal 9 3 4 2 13" xfId="1841" xr:uid="{FC332D3A-EECC-410B-A9D2-4F9AB81C7A7C}"/>
    <cellStyle name="Normal 9 3 4 2 14" xfId="11789" xr:uid="{A33C9A1A-27C4-4692-9982-3DB05FAFDA2C}"/>
    <cellStyle name="Normal 9 3 4 2 2" xfId="2670" xr:uid="{49B58DDC-FF66-4CCE-BC68-3A7B18743F38}"/>
    <cellStyle name="Normal 9 3 4 2 2 2" xfId="12618" xr:uid="{DC011BFF-6136-4F9C-B56D-3643C0333A5E}"/>
    <cellStyle name="Normal 9 3 4 2 3" xfId="3499" xr:uid="{BCC3B5DB-D689-4214-826B-00114A71CCF4}"/>
    <cellStyle name="Normal 9 3 4 2 3 2" xfId="13447" xr:uid="{A4292407-F8BF-4AAD-A131-3576FC6E56A9}"/>
    <cellStyle name="Normal 9 3 4 2 4" xfId="4328" xr:uid="{EFE18F54-7B9C-44AB-9CD9-C24EC79F4DC4}"/>
    <cellStyle name="Normal 9 3 4 2 4 2" xfId="14276" xr:uid="{730CFE30-AED2-42FF-84F2-1D7C7F7E49F4}"/>
    <cellStyle name="Normal 9 3 4 2 5" xfId="5157" xr:uid="{BF304C32-CC64-42DF-A287-FAB3F15B3938}"/>
    <cellStyle name="Normal 9 3 4 2 5 2" xfId="15105" xr:uid="{5EB02EB8-08CD-46BE-939C-3119505675F3}"/>
    <cellStyle name="Normal 9 3 4 2 6" xfId="5986" xr:uid="{0AEEA4FC-F544-4E21-9426-3EC08962FF83}"/>
    <cellStyle name="Normal 9 3 4 2 6 2" xfId="15934" xr:uid="{4F4AD269-A2BF-4580-B736-A7E2F57548DE}"/>
    <cellStyle name="Normal 9 3 4 2 7" xfId="6815" xr:uid="{F3AE4F9A-B593-4BE8-B738-EC04B19DC4A1}"/>
    <cellStyle name="Normal 9 3 4 2 7 2" xfId="16763" xr:uid="{1C614A3D-E5E0-4B20-91F0-A49E9F774507}"/>
    <cellStyle name="Normal 9 3 4 2 8" xfId="7644" xr:uid="{D933E3E5-5A0D-45EB-92F8-BE6D14B5DEDA}"/>
    <cellStyle name="Normal 9 3 4 2 8 2" xfId="17592" xr:uid="{357F83A3-75A0-4896-9897-A3ADC05D4D09}"/>
    <cellStyle name="Normal 9 3 4 2 9" xfId="8473" xr:uid="{3FFFD33C-7F19-477E-825B-7282CF0C2CBC}"/>
    <cellStyle name="Normal 9 3 4 2 9 2" xfId="18421" xr:uid="{0955A8EE-943B-48DE-ADBC-089B8F4DF5A1}"/>
    <cellStyle name="Normal 9 3 4 3" xfId="2254" xr:uid="{7C2AEE30-633D-44B2-B8E2-5DB1F5E5B4B2}"/>
    <cellStyle name="Normal 9 3 4 3 2" xfId="12202" xr:uid="{8F757ABB-322F-4F2F-ACB5-80E5B042208C}"/>
    <cellStyle name="Normal 9 3 4 4" xfId="3083" xr:uid="{5FA269CF-F15A-421D-9FCC-8F84CC14FEF9}"/>
    <cellStyle name="Normal 9 3 4 4 2" xfId="13031" xr:uid="{2A7D1A51-F427-4BC8-9529-3FBF796D679D}"/>
    <cellStyle name="Normal 9 3 4 5" xfId="3912" xr:uid="{D5EF6455-003D-4CBF-BDCD-21A459542661}"/>
    <cellStyle name="Normal 9 3 4 5 2" xfId="13860" xr:uid="{7E767090-1FB3-4A6D-ADD1-0C17ABDA8B84}"/>
    <cellStyle name="Normal 9 3 4 6" xfId="4741" xr:uid="{8D96BE97-6598-4CBB-8CB5-482B552E58EE}"/>
    <cellStyle name="Normal 9 3 4 6 2" xfId="14689" xr:uid="{AF6A05D9-78A3-4C41-AFF1-CA7F7212FDBD}"/>
    <cellStyle name="Normal 9 3 4 7" xfId="5570" xr:uid="{01611163-A68F-47A3-897D-849508E8AA59}"/>
    <cellStyle name="Normal 9 3 4 7 2" xfId="15518" xr:uid="{5651755B-7371-454D-8F0C-6F0CDDEFAFFF}"/>
    <cellStyle name="Normal 9 3 4 8" xfId="6399" xr:uid="{F425D459-370D-46FA-A06C-FCE6CB996C98}"/>
    <cellStyle name="Normal 9 3 4 8 2" xfId="16347" xr:uid="{52160A06-5DB9-452C-9526-628B02C08B2C}"/>
    <cellStyle name="Normal 9 3 4 9" xfId="7228" xr:uid="{56384A1C-238F-4D65-B849-43FA744321A5}"/>
    <cellStyle name="Normal 9 3 4 9 2" xfId="17176" xr:uid="{8F188E27-8D57-4F10-A8E3-F0D01713A2EB}"/>
    <cellStyle name="Normal 9 3 5" xfId="1002" xr:uid="{00000000-0005-0000-0000-0000CB030000}"/>
    <cellStyle name="Normal 9 3 5 10" xfId="9295" xr:uid="{CFCBA94D-F03B-4B44-967C-B9A70709CADA}"/>
    <cellStyle name="Normal 9 3 5 10 2" xfId="19243" xr:uid="{6D19C2B8-4CC7-41E5-8547-1703FD39B4A3}"/>
    <cellStyle name="Normal 9 3 5 11" xfId="10124" xr:uid="{A3F28920-67BF-448D-9AEB-360953423659}"/>
    <cellStyle name="Normal 9 3 5 11 2" xfId="20072" xr:uid="{76B7EB4D-0351-42C2-80B7-C44D941A54D0}"/>
    <cellStyle name="Normal 9 3 5 12" xfId="10953" xr:uid="{D1063181-F961-4BE5-9BB6-51FC7E61044A}"/>
    <cellStyle name="Normal 9 3 5 12 2" xfId="20901" xr:uid="{8DED186F-2FF1-4B51-9DAD-7D1F5AF4A2E3}"/>
    <cellStyle name="Normal 9 3 5 13" xfId="1834" xr:uid="{79FAC40D-2217-46CD-A20C-3B0B5984B94C}"/>
    <cellStyle name="Normal 9 3 5 14" xfId="11782" xr:uid="{8B773CEA-F886-4095-A921-F9F2AA7421DC}"/>
    <cellStyle name="Normal 9 3 5 2" xfId="2663" xr:uid="{3D1938B5-2DB3-4E45-B2E2-E411658CE987}"/>
    <cellStyle name="Normal 9 3 5 2 2" xfId="12611" xr:uid="{B9333C77-3535-42F8-B28C-528D038DB455}"/>
    <cellStyle name="Normal 9 3 5 3" xfId="3492" xr:uid="{96C610A8-9D9C-4CDC-AD8C-B4FFC7221F76}"/>
    <cellStyle name="Normal 9 3 5 3 2" xfId="13440" xr:uid="{02C5F320-EF65-4009-83EE-0E3E138A991A}"/>
    <cellStyle name="Normal 9 3 5 4" xfId="4321" xr:uid="{BAC2FC0C-826D-43E9-8F99-77CBEEE9F197}"/>
    <cellStyle name="Normal 9 3 5 4 2" xfId="14269" xr:uid="{8099958C-4456-439C-AFDD-9D079353DA7B}"/>
    <cellStyle name="Normal 9 3 5 5" xfId="5150" xr:uid="{2D9877EC-EA89-408F-AC1E-5A9E7029AEDF}"/>
    <cellStyle name="Normal 9 3 5 5 2" xfId="15098" xr:uid="{2E2BB43A-FD33-4B87-AB52-0AF8066DA4CA}"/>
    <cellStyle name="Normal 9 3 5 6" xfId="5979" xr:uid="{CD9A5A00-F5B7-4BE2-91E7-DC61E7B95E74}"/>
    <cellStyle name="Normal 9 3 5 6 2" xfId="15927" xr:uid="{EFFA35C3-0731-470F-886C-3C4D332D51BE}"/>
    <cellStyle name="Normal 9 3 5 7" xfId="6808" xr:uid="{E78B9C58-F9DC-4712-8AC4-35F9CD8BECF0}"/>
    <cellStyle name="Normal 9 3 5 7 2" xfId="16756" xr:uid="{36D725B0-02D1-40A0-BFC1-E437D8D52779}"/>
    <cellStyle name="Normal 9 3 5 8" xfId="7637" xr:uid="{8D2997AA-81F4-46A3-964B-CB9DA358F81A}"/>
    <cellStyle name="Normal 9 3 5 8 2" xfId="17585" xr:uid="{2B84D7E1-018F-4E43-B7B4-F09A4038794F}"/>
    <cellStyle name="Normal 9 3 5 9" xfId="8466" xr:uid="{7BD978FA-0EA2-41AF-8536-0E49DA1D0FD1}"/>
    <cellStyle name="Normal 9 3 5 9 2" xfId="18414" xr:uid="{0C3ED917-5725-4317-A5F0-4E00140DF50B}"/>
    <cellStyle name="Normal 9 3 6" xfId="2247" xr:uid="{2632D202-B754-4FCD-BB33-8BDD5B51ECD6}"/>
    <cellStyle name="Normal 9 3 6 2" xfId="12195" xr:uid="{7785DBA6-E59C-4C68-AACC-6B57445884DA}"/>
    <cellStyle name="Normal 9 3 7" xfId="3076" xr:uid="{6D4993C2-5292-4293-ABB8-FD779AA3CD82}"/>
    <cellStyle name="Normal 9 3 7 2" xfId="13024" xr:uid="{5BECB458-2850-498F-9C3A-B13A150CB014}"/>
    <cellStyle name="Normal 9 3 8" xfId="3905" xr:uid="{97971714-B614-417A-9CA2-1704C0507602}"/>
    <cellStyle name="Normal 9 3 8 2" xfId="13853" xr:uid="{A0DED50F-D463-4D60-8F05-D23028C11A47}"/>
    <cellStyle name="Normal 9 3 9" xfId="4734" xr:uid="{A2ECC55E-F061-455C-AEAA-0AC8DDA115B9}"/>
    <cellStyle name="Normal 9 3 9 2" xfId="14682" xr:uid="{2937AFC0-200C-4CCB-B437-694F7BBBAD60}"/>
    <cellStyle name="Normal 9 4" xfId="538" xr:uid="{00000000-0005-0000-0000-0000CC030000}"/>
    <cellStyle name="Normal 9 4 2" xfId="1010" xr:uid="{00000000-0005-0000-0000-0000CD030000}"/>
    <cellStyle name="Normal 9 5" xfId="539" xr:uid="{00000000-0005-0000-0000-0000CE030000}"/>
    <cellStyle name="Normal 9 5 10" xfId="7229" xr:uid="{F6503B12-884D-4474-B108-69070DFA308D}"/>
    <cellStyle name="Normal 9 5 10 2" xfId="17177" xr:uid="{2C9E22CC-8A05-4D10-B4BB-486DAFF47963}"/>
    <cellStyle name="Normal 9 5 11" xfId="8058" xr:uid="{CB96CAFD-3FF9-4675-8DF6-FCD017B92016}"/>
    <cellStyle name="Normal 9 5 11 2" xfId="18006" xr:uid="{B4C2D0E6-46A6-4E1D-88C2-5523ED8C6D72}"/>
    <cellStyle name="Normal 9 5 12" xfId="8887" xr:uid="{0F5E1B50-A7B5-4E6D-989C-0F4856CCE8AC}"/>
    <cellStyle name="Normal 9 5 12 2" xfId="18835" xr:uid="{1C4EE93B-2892-4F6E-A23A-B164C029414D}"/>
    <cellStyle name="Normal 9 5 13" xfId="9716" xr:uid="{98944AC1-8046-46AB-9CBE-3919BA08D91C}"/>
    <cellStyle name="Normal 9 5 13 2" xfId="19664" xr:uid="{241B1E7B-19C2-4057-9C00-EB3149EE6326}"/>
    <cellStyle name="Normal 9 5 14" xfId="10545" xr:uid="{442CED88-A842-4E0B-8C5A-A2E51E0ED956}"/>
    <cellStyle name="Normal 9 5 14 2" xfId="20493" xr:uid="{B7133873-4515-43B5-8EDF-405105290D9F}"/>
    <cellStyle name="Normal 9 5 15" xfId="1426" xr:uid="{FCBB8CC1-4C56-428D-93EB-ECB7FCD435A1}"/>
    <cellStyle name="Normal 9 5 16" xfId="11374" xr:uid="{64741F51-EADA-4D5B-8D87-13708462B313}"/>
    <cellStyle name="Normal 9 5 2" xfId="540" xr:uid="{00000000-0005-0000-0000-0000CF030000}"/>
    <cellStyle name="Normal 9 5 2 10" xfId="8059" xr:uid="{24234E26-C85D-4C65-BBFB-8B26AA18523C}"/>
    <cellStyle name="Normal 9 5 2 10 2" xfId="18007" xr:uid="{F939ACC4-86BD-4725-95DD-46593D3E11C2}"/>
    <cellStyle name="Normal 9 5 2 11" xfId="8888" xr:uid="{E198C5D0-5632-40DD-B36E-395F7E204770}"/>
    <cellStyle name="Normal 9 5 2 11 2" xfId="18836" xr:uid="{138C1094-FFB7-4CC8-A8A8-D05DA80AF9AD}"/>
    <cellStyle name="Normal 9 5 2 12" xfId="9717" xr:uid="{30A9A9EA-8A8E-4A27-9A24-9CEBB8F37C4B}"/>
    <cellStyle name="Normal 9 5 2 12 2" xfId="19665" xr:uid="{7E0117BE-D5F6-4607-B775-CD7A7724CE84}"/>
    <cellStyle name="Normal 9 5 2 13" xfId="10546" xr:uid="{F0FF2BA7-1FA0-419A-9668-758A2DA4EE72}"/>
    <cellStyle name="Normal 9 5 2 13 2" xfId="20494" xr:uid="{B8816C4D-12B5-4052-9D47-F273C511088C}"/>
    <cellStyle name="Normal 9 5 2 14" xfId="1427" xr:uid="{AADAF3A3-7FE6-4CA6-93BB-C1291CF6529B}"/>
    <cellStyle name="Normal 9 5 2 15" xfId="11375" xr:uid="{35014D57-8A50-4E62-939C-717A61E1BF2F}"/>
    <cellStyle name="Normal 9 5 2 2" xfId="1012" xr:uid="{00000000-0005-0000-0000-0000D0030000}"/>
    <cellStyle name="Normal 9 5 2 2 10" xfId="9304" xr:uid="{F45A7AB3-5418-487C-9AC0-1F286523F5C1}"/>
    <cellStyle name="Normal 9 5 2 2 10 2" xfId="19252" xr:uid="{CBD55511-EA69-47FD-A17C-BC8799B27B12}"/>
    <cellStyle name="Normal 9 5 2 2 11" xfId="10133" xr:uid="{BC09C50E-9255-4934-B9F0-A113C4CD8851}"/>
    <cellStyle name="Normal 9 5 2 2 11 2" xfId="20081" xr:uid="{5979B1B9-A3C8-41CC-A600-20A2C904AA3B}"/>
    <cellStyle name="Normal 9 5 2 2 12" xfId="10962" xr:uid="{C4F1A74B-211C-4A11-A258-3ADCB5585B35}"/>
    <cellStyle name="Normal 9 5 2 2 12 2" xfId="20910" xr:uid="{4045D7F9-4F0D-4910-AAA5-AE54BD8CF38D}"/>
    <cellStyle name="Normal 9 5 2 2 13" xfId="1843" xr:uid="{017B5457-3239-49C9-B468-E4AD9DDBD9B5}"/>
    <cellStyle name="Normal 9 5 2 2 14" xfId="11791" xr:uid="{C11CD67C-4278-443B-B115-D9AF8BC62AAF}"/>
    <cellStyle name="Normal 9 5 2 2 2" xfId="2672" xr:uid="{68F9D6B5-221E-47D5-A2D3-19F99EDC8988}"/>
    <cellStyle name="Normal 9 5 2 2 2 2" xfId="12620" xr:uid="{3974164F-06BA-41FB-978D-CB42A8A8A1B3}"/>
    <cellStyle name="Normal 9 5 2 2 3" xfId="3501" xr:uid="{73936B8B-DA8E-488E-BB2C-5A2C39AC2732}"/>
    <cellStyle name="Normal 9 5 2 2 3 2" xfId="13449" xr:uid="{C137CEF7-0AC1-400E-8F88-63D8513468BA}"/>
    <cellStyle name="Normal 9 5 2 2 4" xfId="4330" xr:uid="{CA35707B-025B-4732-A594-30EDC567E9E2}"/>
    <cellStyle name="Normal 9 5 2 2 4 2" xfId="14278" xr:uid="{280ADF61-93CE-4DEC-99EF-081CD9862BF0}"/>
    <cellStyle name="Normal 9 5 2 2 5" xfId="5159" xr:uid="{C18C1F61-4B79-4891-84FC-656719B661BF}"/>
    <cellStyle name="Normal 9 5 2 2 5 2" xfId="15107" xr:uid="{AD6217EB-8F91-4732-9D1C-7F8C2230F84F}"/>
    <cellStyle name="Normal 9 5 2 2 6" xfId="5988" xr:uid="{DB67A0A5-C334-4B74-A751-D46806C15891}"/>
    <cellStyle name="Normal 9 5 2 2 6 2" xfId="15936" xr:uid="{4177E537-FF63-4E1C-9086-ABDE1801972C}"/>
    <cellStyle name="Normal 9 5 2 2 7" xfId="6817" xr:uid="{20970E26-7B4D-4632-93E4-22CEED89D718}"/>
    <cellStyle name="Normal 9 5 2 2 7 2" xfId="16765" xr:uid="{E890C566-5B3B-467E-88EE-C258EB2C9E34}"/>
    <cellStyle name="Normal 9 5 2 2 8" xfId="7646" xr:uid="{C86EF639-0084-4F89-A19C-60608F2C3CCF}"/>
    <cellStyle name="Normal 9 5 2 2 8 2" xfId="17594" xr:uid="{D602376F-D077-4849-B77F-69230E150C1B}"/>
    <cellStyle name="Normal 9 5 2 2 9" xfId="8475" xr:uid="{FF9D4777-E3B8-44ED-BCA2-E4D96D0A7B07}"/>
    <cellStyle name="Normal 9 5 2 2 9 2" xfId="18423" xr:uid="{50DD8BF4-FA8D-4BA9-A624-954B73F19B2E}"/>
    <cellStyle name="Normal 9 5 2 3" xfId="2256" xr:uid="{A0C9975C-1CA5-45F3-8DA2-7E9993441C21}"/>
    <cellStyle name="Normal 9 5 2 3 2" xfId="12204" xr:uid="{5522A890-1FFB-4CD4-9BC7-AA2E21C83133}"/>
    <cellStyle name="Normal 9 5 2 4" xfId="3085" xr:uid="{77571156-1705-45CA-80C8-D5A82279D406}"/>
    <cellStyle name="Normal 9 5 2 4 2" xfId="13033" xr:uid="{621A69A4-0DB3-48FA-A6CE-F76045BDCCE6}"/>
    <cellStyle name="Normal 9 5 2 5" xfId="3914" xr:uid="{1D165CD3-7854-47CA-9491-B28481ECCA41}"/>
    <cellStyle name="Normal 9 5 2 5 2" xfId="13862" xr:uid="{7406B048-1CB2-4995-847E-D86B323163E1}"/>
    <cellStyle name="Normal 9 5 2 6" xfId="4743" xr:uid="{D1041734-8A65-475A-8D5C-242D4CE54831}"/>
    <cellStyle name="Normal 9 5 2 6 2" xfId="14691" xr:uid="{B81C13FC-E54B-42DE-8687-36F69541BF34}"/>
    <cellStyle name="Normal 9 5 2 7" xfId="5572" xr:uid="{C4B40056-614E-4E7C-B9AA-3C2F783C6C9C}"/>
    <cellStyle name="Normal 9 5 2 7 2" xfId="15520" xr:uid="{127D510A-BFE3-4991-9C73-113601D3BC70}"/>
    <cellStyle name="Normal 9 5 2 8" xfId="6401" xr:uid="{13394E9B-EC62-4BBF-8827-65EF03867236}"/>
    <cellStyle name="Normal 9 5 2 8 2" xfId="16349" xr:uid="{57A64BBA-542C-4856-85CF-2A6FA5B2644F}"/>
    <cellStyle name="Normal 9 5 2 9" xfId="7230" xr:uid="{58798A92-B6E5-4B5D-BCDC-0D7F59F1BD42}"/>
    <cellStyle name="Normal 9 5 2 9 2" xfId="17178" xr:uid="{010531C9-7122-4F84-BC33-E7B4F2FE5360}"/>
    <cellStyle name="Normal 9 5 3" xfId="1011" xr:uid="{00000000-0005-0000-0000-0000D1030000}"/>
    <cellStyle name="Normal 9 5 3 10" xfId="9303" xr:uid="{C682B2DD-A779-42F8-A8EE-B4BA28BA4B2D}"/>
    <cellStyle name="Normal 9 5 3 10 2" xfId="19251" xr:uid="{A223D447-0E60-49DC-B7A9-AD5E26C5E2BD}"/>
    <cellStyle name="Normal 9 5 3 11" xfId="10132" xr:uid="{75870102-5865-42AC-BDE6-AA5450D0C76A}"/>
    <cellStyle name="Normal 9 5 3 11 2" xfId="20080" xr:uid="{8BC71820-D109-4E34-893F-BE7C300DAD49}"/>
    <cellStyle name="Normal 9 5 3 12" xfId="10961" xr:uid="{812C8A26-904D-49C1-887F-32B9F415DAC2}"/>
    <cellStyle name="Normal 9 5 3 12 2" xfId="20909" xr:uid="{A978C6B7-6C91-4EC4-8AD3-9F5F756A16DF}"/>
    <cellStyle name="Normal 9 5 3 13" xfId="1842" xr:uid="{6C017E45-A25F-4F5B-8EB0-3B6FA1887964}"/>
    <cellStyle name="Normal 9 5 3 14" xfId="11790" xr:uid="{E0DAF39A-8423-497B-B394-E99E610DBE5E}"/>
    <cellStyle name="Normal 9 5 3 2" xfId="2671" xr:uid="{AD6003B4-A3E7-47C4-A4BF-12B7ED0E7E0A}"/>
    <cellStyle name="Normal 9 5 3 2 2" xfId="12619" xr:uid="{383D7558-7480-4E42-90C4-7E136AE2815A}"/>
    <cellStyle name="Normal 9 5 3 3" xfId="3500" xr:uid="{06E2B6C2-8B5E-4070-BE10-C63F43B81D29}"/>
    <cellStyle name="Normal 9 5 3 3 2" xfId="13448" xr:uid="{4048E579-E95D-4D6B-8519-76A46E730FDD}"/>
    <cellStyle name="Normal 9 5 3 4" xfId="4329" xr:uid="{9C0D6504-307B-44F2-B6A6-3B4E6D3D4A9D}"/>
    <cellStyle name="Normal 9 5 3 4 2" xfId="14277" xr:uid="{5599F7CA-5942-4942-B3C0-5D25743849C7}"/>
    <cellStyle name="Normal 9 5 3 5" xfId="5158" xr:uid="{7C04193E-9D82-4DE5-93BF-A135D4A92DEA}"/>
    <cellStyle name="Normal 9 5 3 5 2" xfId="15106" xr:uid="{8E94036D-56BB-45F2-BB5F-C4C93092154B}"/>
    <cellStyle name="Normal 9 5 3 6" xfId="5987" xr:uid="{4D9FB874-48D4-4D4B-88B7-6B96805E3FA9}"/>
    <cellStyle name="Normal 9 5 3 6 2" xfId="15935" xr:uid="{7E1383F3-43BA-4D09-A75E-0FC082E8C38B}"/>
    <cellStyle name="Normal 9 5 3 7" xfId="6816" xr:uid="{E003B8A1-4B7A-4D61-BC2A-3F2DF7569622}"/>
    <cellStyle name="Normal 9 5 3 7 2" xfId="16764" xr:uid="{E4852C3F-CB52-4BE3-8EC2-6D1532F0C4B0}"/>
    <cellStyle name="Normal 9 5 3 8" xfId="7645" xr:uid="{9F505C54-DC71-4E89-BDD0-FD8BFB0F128D}"/>
    <cellStyle name="Normal 9 5 3 8 2" xfId="17593" xr:uid="{FC066CEA-8DCA-4DC2-B79A-9814A5F9D2D6}"/>
    <cellStyle name="Normal 9 5 3 9" xfId="8474" xr:uid="{CABB0C4F-7E33-4695-A91D-8275109C5AAA}"/>
    <cellStyle name="Normal 9 5 3 9 2" xfId="18422" xr:uid="{C2E18903-024F-470B-B758-B6A9EAF14E5E}"/>
    <cellStyle name="Normal 9 5 4" xfId="2255" xr:uid="{682BA2FA-10F9-4D91-96D7-D4C6726001C5}"/>
    <cellStyle name="Normal 9 5 4 2" xfId="12203" xr:uid="{F3E20154-9384-4DBF-978D-861593868CC7}"/>
    <cellStyle name="Normal 9 5 5" xfId="3084" xr:uid="{8191D74F-6327-4D34-A34A-EEFCF2EC6DD0}"/>
    <cellStyle name="Normal 9 5 5 2" xfId="13032" xr:uid="{BFF403D1-496A-40E2-8B85-CA7081B54280}"/>
    <cellStyle name="Normal 9 5 6" xfId="3913" xr:uid="{37887451-8CC0-43A2-B353-92D4C4A8EDB1}"/>
    <cellStyle name="Normal 9 5 6 2" xfId="13861" xr:uid="{0365813C-72DC-4067-A9F3-A3ACB5AD519A}"/>
    <cellStyle name="Normal 9 5 7" xfId="4742" xr:uid="{E24AD665-E8FE-426C-B1B1-6AE68F2F8F89}"/>
    <cellStyle name="Normal 9 5 7 2" xfId="14690" xr:uid="{1C589689-026E-45F4-815D-1A4535EDE29C}"/>
    <cellStyle name="Normal 9 5 8" xfId="5571" xr:uid="{975B33E3-5917-4AFA-9D48-C61ABA320AFA}"/>
    <cellStyle name="Normal 9 5 8 2" xfId="15519" xr:uid="{4CFF9FAC-C5F7-40FC-91A8-6BC0C1D223C4}"/>
    <cellStyle name="Normal 9 5 9" xfId="6400" xr:uid="{518C5AFA-E1FD-47A1-A1BE-2313A3E24B6B}"/>
    <cellStyle name="Normal 9 5 9 2" xfId="16348" xr:uid="{7E50CD62-BB45-42DD-AAD6-DD40F9EB2A73}"/>
    <cellStyle name="Normal 9 6" xfId="541" xr:uid="{00000000-0005-0000-0000-0000D2030000}"/>
    <cellStyle name="Normal 9 6 10" xfId="8060" xr:uid="{19B97FDF-4400-4E9E-8FBB-7814EAFC4564}"/>
    <cellStyle name="Normal 9 6 10 2" xfId="18008" xr:uid="{C17208CC-9A50-47ED-B7A0-EDD5F75CEB3F}"/>
    <cellStyle name="Normal 9 6 11" xfId="8889" xr:uid="{FA20451E-D4F3-4E95-B053-BCF2570D6EFD}"/>
    <cellStyle name="Normal 9 6 11 2" xfId="18837" xr:uid="{A5B05441-593D-4107-A414-BB6D70055D63}"/>
    <cellStyle name="Normal 9 6 12" xfId="9718" xr:uid="{51062F2A-4810-414E-9B2A-CDA65D8AC7EF}"/>
    <cellStyle name="Normal 9 6 12 2" xfId="19666" xr:uid="{5269FD84-6AFE-44E8-BF99-FD588AEE5E56}"/>
    <cellStyle name="Normal 9 6 13" xfId="10547" xr:uid="{CC76072A-BDCE-4B9D-B733-F57BD4B63474}"/>
    <cellStyle name="Normal 9 6 13 2" xfId="20495" xr:uid="{CD33805E-D579-4D64-B2C1-A41D4F4AF638}"/>
    <cellStyle name="Normal 9 6 14" xfId="1428" xr:uid="{B2D3B0C2-B604-405A-B230-55A41105B4C5}"/>
    <cellStyle name="Normal 9 6 15" xfId="11376" xr:uid="{9B86F491-7776-40E6-A4B5-5A29B843E328}"/>
    <cellStyle name="Normal 9 6 2" xfId="1013" xr:uid="{00000000-0005-0000-0000-0000D3030000}"/>
    <cellStyle name="Normal 9 6 2 10" xfId="9305" xr:uid="{B0B9E644-EB9A-43FF-881E-E8AA6CF24E12}"/>
    <cellStyle name="Normal 9 6 2 10 2" xfId="19253" xr:uid="{2A3D3B66-FF10-4F3D-BE17-B464AD11E660}"/>
    <cellStyle name="Normal 9 6 2 11" xfId="10134" xr:uid="{A137BC81-4982-4A20-A497-F33B21ECD724}"/>
    <cellStyle name="Normal 9 6 2 11 2" xfId="20082" xr:uid="{91DA2F8E-9061-451F-A19E-92FB34EAB8EC}"/>
    <cellStyle name="Normal 9 6 2 12" xfId="10963" xr:uid="{37CF3C26-8C06-4545-901B-FA64311AB002}"/>
    <cellStyle name="Normal 9 6 2 12 2" xfId="20911" xr:uid="{2A9671C5-39D4-4A76-B56A-D43D73FABD48}"/>
    <cellStyle name="Normal 9 6 2 13" xfId="1844" xr:uid="{E22C2059-FCB0-4511-BB98-C1824A27B90C}"/>
    <cellStyle name="Normal 9 6 2 14" xfId="11792" xr:uid="{4F7AEF51-650D-4EEF-A7D5-EA94E923BF37}"/>
    <cellStyle name="Normal 9 6 2 2" xfId="2673" xr:uid="{8969B529-3791-497D-9339-E9BCB318FEB8}"/>
    <cellStyle name="Normal 9 6 2 2 2" xfId="12621" xr:uid="{B46369F6-D2EA-4EF2-B3D5-F565C3AEA14D}"/>
    <cellStyle name="Normal 9 6 2 3" xfId="3502" xr:uid="{E2497BCC-9919-4E57-8156-52589A1F708B}"/>
    <cellStyle name="Normal 9 6 2 3 2" xfId="13450" xr:uid="{34BE047C-8F4A-4882-A744-6DFF42E7E0BB}"/>
    <cellStyle name="Normal 9 6 2 4" xfId="4331" xr:uid="{F233B155-C0EB-4149-9421-859866AB3711}"/>
    <cellStyle name="Normal 9 6 2 4 2" xfId="14279" xr:uid="{0349EE07-0678-49A9-9238-8643A9A3A800}"/>
    <cellStyle name="Normal 9 6 2 5" xfId="5160" xr:uid="{3F9B7293-1B80-4F51-A860-1F2B70BE867A}"/>
    <cellStyle name="Normal 9 6 2 5 2" xfId="15108" xr:uid="{25BC6C1F-EECD-4B93-BFC6-AAC373B1D958}"/>
    <cellStyle name="Normal 9 6 2 6" xfId="5989" xr:uid="{982B0AF7-03C2-4E5C-9EA0-C82BAF3E82D9}"/>
    <cellStyle name="Normal 9 6 2 6 2" xfId="15937" xr:uid="{02B03760-B31C-48C0-ACA4-767FEF90E127}"/>
    <cellStyle name="Normal 9 6 2 7" xfId="6818" xr:uid="{3B50BD3C-AE87-4907-B919-AD168204C844}"/>
    <cellStyle name="Normal 9 6 2 7 2" xfId="16766" xr:uid="{875C6773-E1F4-431E-B28C-A8304A88E57A}"/>
    <cellStyle name="Normal 9 6 2 8" xfId="7647" xr:uid="{E6EA3352-D71A-40ED-95BC-0DE619A67CE9}"/>
    <cellStyle name="Normal 9 6 2 8 2" xfId="17595" xr:uid="{18753C1E-87A6-4510-9AFE-D67F9B5952A4}"/>
    <cellStyle name="Normal 9 6 2 9" xfId="8476" xr:uid="{55D463D2-1A94-4199-9B24-6E8170169D27}"/>
    <cellStyle name="Normal 9 6 2 9 2" xfId="18424" xr:uid="{1C05DBF7-87DC-4B82-8034-11B963A658A3}"/>
    <cellStyle name="Normal 9 6 3" xfId="2257" xr:uid="{D1E9C0FA-6E6E-4220-A05C-53B23D1C9ACB}"/>
    <cellStyle name="Normal 9 6 3 2" xfId="12205" xr:uid="{130CD7DA-6148-4792-BB80-DBF5B2C739D7}"/>
    <cellStyle name="Normal 9 6 4" xfId="3086" xr:uid="{2321048B-A65F-428D-9FC2-AE714AB57E44}"/>
    <cellStyle name="Normal 9 6 4 2" xfId="13034" xr:uid="{97D1E3B1-4579-41E4-B1CB-06F9CC326C07}"/>
    <cellStyle name="Normal 9 6 5" xfId="3915" xr:uid="{2EC1E793-11DF-4A02-9513-B236199E8B20}"/>
    <cellStyle name="Normal 9 6 5 2" xfId="13863" xr:uid="{B81863A5-3DB8-4603-B7F7-E415C5FD9210}"/>
    <cellStyle name="Normal 9 6 6" xfId="4744" xr:uid="{671CD8DA-259D-4307-A278-ED84B1316ADA}"/>
    <cellStyle name="Normal 9 6 6 2" xfId="14692" xr:uid="{5B0830D8-33E4-4FDD-AAC6-FAE0F3B1ED2E}"/>
    <cellStyle name="Normal 9 6 7" xfId="5573" xr:uid="{CFA88572-BCA7-4C34-9D68-FE432D2BDA3E}"/>
    <cellStyle name="Normal 9 6 7 2" xfId="15521" xr:uid="{B2BBDAC8-E949-4AE6-AC88-C3F9B835EE94}"/>
    <cellStyle name="Normal 9 6 8" xfId="6402" xr:uid="{BD47AB95-6629-4133-9BD7-FCBB085312A6}"/>
    <cellStyle name="Normal 9 6 8 2" xfId="16350" xr:uid="{BEB6FA00-07DF-46B7-9568-F683D32C11B5}"/>
    <cellStyle name="Normal 9 6 9" xfId="7231" xr:uid="{7BF9E773-2F9F-404B-9F3A-2BB71AED7F48}"/>
    <cellStyle name="Normal 9 6 9 2" xfId="17179" xr:uid="{75DEA49B-52D2-4D0A-8EB2-3C3D2E3FFFBE}"/>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10" xfId="6403" xr:uid="{E15B11D0-AA79-4B2C-921A-CE0579FF7A73}"/>
    <cellStyle name="Note 2 2 10 2" xfId="16351" xr:uid="{51EBEEF0-B177-4043-8353-E9E560B5858D}"/>
    <cellStyle name="Note 2 2 11" xfId="7232" xr:uid="{5D5B1D44-FD22-438B-A962-3D4F4E28C037}"/>
    <cellStyle name="Note 2 2 11 2" xfId="17180" xr:uid="{209AC721-BA4D-45D9-8C53-8120415831ED}"/>
    <cellStyle name="Note 2 2 12" xfId="8061" xr:uid="{02046709-6124-447A-8FCA-6BB38ACC4564}"/>
    <cellStyle name="Note 2 2 12 2" xfId="18009" xr:uid="{EB947DE2-0BED-43CE-9651-9905979B3E67}"/>
    <cellStyle name="Note 2 2 13" xfId="8890" xr:uid="{1E233F44-6B01-45A7-9ABA-C137737A9899}"/>
    <cellStyle name="Note 2 2 13 2" xfId="18838" xr:uid="{793B2278-FFDB-4603-B711-172A2632142D}"/>
    <cellStyle name="Note 2 2 14" xfId="9719" xr:uid="{E84BE910-A1E8-427E-917A-2A7C75726017}"/>
    <cellStyle name="Note 2 2 14 2" xfId="19667" xr:uid="{FB76F38F-85FA-47B2-8ECF-F13063897EF6}"/>
    <cellStyle name="Note 2 2 15" xfId="10548" xr:uid="{CA7958FA-1B38-4EF3-B54F-E5A87754659C}"/>
    <cellStyle name="Note 2 2 15 2" xfId="20496" xr:uid="{49DB14EA-4025-4560-AADE-52A8C6112025}"/>
    <cellStyle name="Note 2 2 16" xfId="1429" xr:uid="{9337F433-63B1-4409-936E-CE0B35A3E51D}"/>
    <cellStyle name="Note 2 2 17" xfId="11377" xr:uid="{D4698EA9-5103-4924-822C-4E48BF7ED567}"/>
    <cellStyle name="Note 2 2 2" xfId="550" xr:uid="{00000000-0005-0000-0000-0000DD030000}"/>
    <cellStyle name="Note 2 2 2 10" xfId="7233" xr:uid="{D4C96565-157D-49BA-BA39-87234A12D8C1}"/>
    <cellStyle name="Note 2 2 2 10 2" xfId="17181" xr:uid="{038C74E1-A825-49C6-B164-BC9ADCDAAE28}"/>
    <cellStyle name="Note 2 2 2 11" xfId="8062" xr:uid="{01F08C5B-D6AB-47B2-8362-347511F5DBEB}"/>
    <cellStyle name="Note 2 2 2 11 2" xfId="18010" xr:uid="{9C1606BE-DED8-409C-8275-324A92E91DEE}"/>
    <cellStyle name="Note 2 2 2 12" xfId="8891" xr:uid="{320EF11C-F947-47F4-959D-4EA46CBD768E}"/>
    <cellStyle name="Note 2 2 2 12 2" xfId="18839" xr:uid="{BB0F8475-9E2B-4CDB-B9C6-9EC72B499E6E}"/>
    <cellStyle name="Note 2 2 2 13" xfId="9720" xr:uid="{952EE324-A5AD-42A3-A92F-FD5DF7F12C7F}"/>
    <cellStyle name="Note 2 2 2 13 2" xfId="19668" xr:uid="{503CC4EC-AEB1-4ECD-A934-D175BBE7A2EA}"/>
    <cellStyle name="Note 2 2 2 14" xfId="10549" xr:uid="{6DBE3073-F10F-4F50-9E56-654C4A5B1505}"/>
    <cellStyle name="Note 2 2 2 14 2" xfId="20497" xr:uid="{23CFD202-D0D4-404E-8B8F-1F566EAC6CDE}"/>
    <cellStyle name="Note 2 2 2 15" xfId="1430" xr:uid="{5E418BA0-FB1A-4D67-9199-E12D853A33CD}"/>
    <cellStyle name="Note 2 2 2 16" xfId="11378" xr:uid="{D3A08D4D-EF3B-49BC-8589-16636FF1FCB2}"/>
    <cellStyle name="Note 2 2 2 2" xfId="551" xr:uid="{00000000-0005-0000-0000-0000DE030000}"/>
    <cellStyle name="Note 2 2 2 2 10" xfId="8063" xr:uid="{5DB40349-1AC5-42FE-9110-6BE51EB6CB38}"/>
    <cellStyle name="Note 2 2 2 2 10 2" xfId="18011" xr:uid="{C963CC6D-2FC8-498B-B4F0-C78F976221FD}"/>
    <cellStyle name="Note 2 2 2 2 11" xfId="8892" xr:uid="{4B0637FC-B372-4145-A103-3EECA6798F94}"/>
    <cellStyle name="Note 2 2 2 2 11 2" xfId="18840" xr:uid="{31BDB420-BD5D-47BC-8924-2E1A484D3D5A}"/>
    <cellStyle name="Note 2 2 2 2 12" xfId="9721" xr:uid="{69DF502D-876D-4AB2-AA68-353EA37080A5}"/>
    <cellStyle name="Note 2 2 2 2 12 2" xfId="19669" xr:uid="{CBC5FD5E-2E7A-40F0-BFE6-9D6D419BF995}"/>
    <cellStyle name="Note 2 2 2 2 13" xfId="10550" xr:uid="{756524C9-C31F-41E3-A254-679D9015B2A5}"/>
    <cellStyle name="Note 2 2 2 2 13 2" xfId="20498" xr:uid="{61BE1084-94FE-4CAC-9A41-80135650E425}"/>
    <cellStyle name="Note 2 2 2 2 14" xfId="1431" xr:uid="{5C82A661-4CB5-4373-B73E-A3213A5A74E9}"/>
    <cellStyle name="Note 2 2 2 2 15" xfId="11379" xr:uid="{85EBAB5E-3F0C-4459-B9CA-8C505DAA41C3}"/>
    <cellStyle name="Note 2 2 2 2 2" xfId="1016" xr:uid="{00000000-0005-0000-0000-0000DF030000}"/>
    <cellStyle name="Note 2 2 2 2 2 10" xfId="9308" xr:uid="{E351471D-9FF3-45D5-90C1-DDA5BD06DDDF}"/>
    <cellStyle name="Note 2 2 2 2 2 10 2" xfId="19256" xr:uid="{26FD6F94-8BFF-4CE1-8309-C79C9718A3CF}"/>
    <cellStyle name="Note 2 2 2 2 2 11" xfId="10137" xr:uid="{4FFBAE7C-CCEE-4233-B022-85A3BCFAE98C}"/>
    <cellStyle name="Note 2 2 2 2 2 11 2" xfId="20085" xr:uid="{7E0058CB-80C1-4A8B-9408-95ED91A3A3EE}"/>
    <cellStyle name="Note 2 2 2 2 2 12" xfId="10966" xr:uid="{4AE5C81B-1B00-4E64-9935-A3ED1B064E82}"/>
    <cellStyle name="Note 2 2 2 2 2 12 2" xfId="20914" xr:uid="{867DF9F2-2FB1-46B7-9434-92D4EDCF831A}"/>
    <cellStyle name="Note 2 2 2 2 2 13" xfId="1847" xr:uid="{834C6B54-9E86-4F01-B61B-659062F99152}"/>
    <cellStyle name="Note 2 2 2 2 2 14" xfId="11795" xr:uid="{6315300D-EA08-4CD9-AFBC-406ECE4D6D35}"/>
    <cellStyle name="Note 2 2 2 2 2 2" xfId="2676" xr:uid="{74E820D8-E92E-4715-A7E6-9204D9366BF3}"/>
    <cellStyle name="Note 2 2 2 2 2 2 2" xfId="12624" xr:uid="{833334CC-478A-4811-9027-B5E9A1F02A25}"/>
    <cellStyle name="Note 2 2 2 2 2 3" xfId="3505" xr:uid="{705F7F0A-B900-46DF-B84D-884B77803069}"/>
    <cellStyle name="Note 2 2 2 2 2 3 2" xfId="13453" xr:uid="{3DE8C749-B6CB-466F-A044-F830360CA177}"/>
    <cellStyle name="Note 2 2 2 2 2 4" xfId="4334" xr:uid="{E3486A67-EC04-46CC-B7DA-B6673015B5B2}"/>
    <cellStyle name="Note 2 2 2 2 2 4 2" xfId="14282" xr:uid="{8F76E9E3-B3B1-4A54-B331-46C75E26025D}"/>
    <cellStyle name="Note 2 2 2 2 2 5" xfId="5163" xr:uid="{E6EAE419-5EDA-4270-BBED-498262431313}"/>
    <cellStyle name="Note 2 2 2 2 2 5 2" xfId="15111" xr:uid="{08F81141-F1AF-4ECD-ADDC-C02735B743CA}"/>
    <cellStyle name="Note 2 2 2 2 2 6" xfId="5992" xr:uid="{B72F4ECB-430A-409B-9D26-554F1B10BEF5}"/>
    <cellStyle name="Note 2 2 2 2 2 6 2" xfId="15940" xr:uid="{4E452E99-83FA-4C0D-8D97-D661CD98B782}"/>
    <cellStyle name="Note 2 2 2 2 2 7" xfId="6821" xr:uid="{2814A72A-C61C-4B59-AA6F-68A60B7BB516}"/>
    <cellStyle name="Note 2 2 2 2 2 7 2" xfId="16769" xr:uid="{93AFEC4D-00E4-4033-B9A4-1932C43BD921}"/>
    <cellStyle name="Note 2 2 2 2 2 8" xfId="7650" xr:uid="{65D82D79-F215-4089-B1DC-B2EDD44E4C22}"/>
    <cellStyle name="Note 2 2 2 2 2 8 2" xfId="17598" xr:uid="{9D0CD65F-CEDD-45F3-928C-E3438798EB8C}"/>
    <cellStyle name="Note 2 2 2 2 2 9" xfId="8479" xr:uid="{4255B88F-69AA-4429-B715-3ED8CD1AB557}"/>
    <cellStyle name="Note 2 2 2 2 2 9 2" xfId="18427" xr:uid="{4E3FBE5C-0C3D-454E-A75E-6366202CE032}"/>
    <cellStyle name="Note 2 2 2 2 3" xfId="2260" xr:uid="{5159C647-A2EA-450E-B1ED-02DFE0872641}"/>
    <cellStyle name="Note 2 2 2 2 3 2" xfId="12208" xr:uid="{2B2F4E5B-F42B-4763-8271-62E278AA3EF3}"/>
    <cellStyle name="Note 2 2 2 2 4" xfId="3089" xr:uid="{869ED280-F2B0-4FF5-B705-E66BCB813CCA}"/>
    <cellStyle name="Note 2 2 2 2 4 2" xfId="13037" xr:uid="{45CDC1E3-1FB0-4648-B708-28962A5B65CD}"/>
    <cellStyle name="Note 2 2 2 2 5" xfId="3918" xr:uid="{CF239DF4-295E-4B76-B11F-2EAF0A7050C0}"/>
    <cellStyle name="Note 2 2 2 2 5 2" xfId="13866" xr:uid="{4F2E8C80-9313-43A6-A010-DB8577F16E7A}"/>
    <cellStyle name="Note 2 2 2 2 6" xfId="4747" xr:uid="{AD9FBBAA-7F9A-49BE-83CF-9D34191F327C}"/>
    <cellStyle name="Note 2 2 2 2 6 2" xfId="14695" xr:uid="{59B96646-71D8-48BE-AC91-C144DD3DF6D9}"/>
    <cellStyle name="Note 2 2 2 2 7" xfId="5576" xr:uid="{ADF51BA4-5FDA-47A1-904B-9EE2FDA33391}"/>
    <cellStyle name="Note 2 2 2 2 7 2" xfId="15524" xr:uid="{3A4AD987-AC54-4486-B9D9-64265B794786}"/>
    <cellStyle name="Note 2 2 2 2 8" xfId="6405" xr:uid="{2FE3FA74-F74E-43F8-BCC2-33BC83246DAC}"/>
    <cellStyle name="Note 2 2 2 2 8 2" xfId="16353" xr:uid="{E8358B1E-E333-4B33-9B3B-10BDBA37107A}"/>
    <cellStyle name="Note 2 2 2 2 9" xfId="7234" xr:uid="{9E66D339-ABFE-40C7-AC71-688241D1F6B4}"/>
    <cellStyle name="Note 2 2 2 2 9 2" xfId="17182" xr:uid="{15ECA8B1-8A51-4BEC-908F-56B8D8D65D17}"/>
    <cellStyle name="Note 2 2 2 3" xfId="1015" xr:uid="{00000000-0005-0000-0000-0000E0030000}"/>
    <cellStyle name="Note 2 2 2 3 10" xfId="9307" xr:uid="{3E5C90B6-08F2-4D58-ABE4-C6409855686F}"/>
    <cellStyle name="Note 2 2 2 3 10 2" xfId="19255" xr:uid="{6FCF526C-933F-4DDE-A2E2-364EAFAF2EF5}"/>
    <cellStyle name="Note 2 2 2 3 11" xfId="10136" xr:uid="{35B73547-07DF-4E6F-AC91-0C8AC1016335}"/>
    <cellStyle name="Note 2 2 2 3 11 2" xfId="20084" xr:uid="{D49F9C63-0BEE-4085-921D-4D2BCEA462AF}"/>
    <cellStyle name="Note 2 2 2 3 12" xfId="10965" xr:uid="{E7D93DF6-0475-40BB-8274-B4EBC8A433A9}"/>
    <cellStyle name="Note 2 2 2 3 12 2" xfId="20913" xr:uid="{6BEF6E98-1F7B-422A-85D5-A5FFB6EC50B1}"/>
    <cellStyle name="Note 2 2 2 3 13" xfId="1846" xr:uid="{0009004A-D58A-42DB-A1B1-5527DFD69447}"/>
    <cellStyle name="Note 2 2 2 3 14" xfId="11794" xr:uid="{1C422AAC-3CE1-4474-A602-AC6DE6BA79C7}"/>
    <cellStyle name="Note 2 2 2 3 2" xfId="2675" xr:uid="{799D4FE3-7016-4616-9234-0C82E1F97C3A}"/>
    <cellStyle name="Note 2 2 2 3 2 2" xfId="12623" xr:uid="{5377FBDD-851F-4B7A-8479-25F8671262FC}"/>
    <cellStyle name="Note 2 2 2 3 3" xfId="3504" xr:uid="{56E4FB68-F958-4971-ABA6-47DFE3B17E1C}"/>
    <cellStyle name="Note 2 2 2 3 3 2" xfId="13452" xr:uid="{3A23228C-535B-45CA-879F-C05CF8322254}"/>
    <cellStyle name="Note 2 2 2 3 4" xfId="4333" xr:uid="{D230DF10-1CE3-4EDE-9482-0CF4E912FC75}"/>
    <cellStyle name="Note 2 2 2 3 4 2" xfId="14281" xr:uid="{51F345FA-448E-4196-8C80-CD8E11D6A1AE}"/>
    <cellStyle name="Note 2 2 2 3 5" xfId="5162" xr:uid="{33814454-B969-40CF-8015-0515D36B4537}"/>
    <cellStyle name="Note 2 2 2 3 5 2" xfId="15110" xr:uid="{43284166-AFEF-4F63-B42B-4EE9C56977E3}"/>
    <cellStyle name="Note 2 2 2 3 6" xfId="5991" xr:uid="{4AB9E7A0-264D-4B19-9B1F-2C46E7251048}"/>
    <cellStyle name="Note 2 2 2 3 6 2" xfId="15939" xr:uid="{52EDBB20-A40A-494A-B36B-17B04A07DEA4}"/>
    <cellStyle name="Note 2 2 2 3 7" xfId="6820" xr:uid="{846DBCA1-4167-416B-BB01-378623D48A17}"/>
    <cellStyle name="Note 2 2 2 3 7 2" xfId="16768" xr:uid="{38CFF111-AC0E-4856-B5F0-E6395A913E34}"/>
    <cellStyle name="Note 2 2 2 3 8" xfId="7649" xr:uid="{A67F8954-09D0-4070-951D-F0266BE43F0D}"/>
    <cellStyle name="Note 2 2 2 3 8 2" xfId="17597" xr:uid="{D20AA86D-3DD3-449D-9A3F-61927FF38E64}"/>
    <cellStyle name="Note 2 2 2 3 9" xfId="8478" xr:uid="{10A3F16C-3CE0-4C90-B192-188D418DAB20}"/>
    <cellStyle name="Note 2 2 2 3 9 2" xfId="18426" xr:uid="{44002A02-C120-4DBA-81B8-54E884D08FAE}"/>
    <cellStyle name="Note 2 2 2 4" xfId="2259" xr:uid="{2B1471B9-92EB-4184-9BC1-458A6FAAA68D}"/>
    <cellStyle name="Note 2 2 2 4 2" xfId="12207" xr:uid="{3F48BA3F-66A8-4EEC-9910-8CDB24E99244}"/>
    <cellStyle name="Note 2 2 2 5" xfId="3088" xr:uid="{B3C74FCF-403F-4DB9-9823-EE35FC0DA7F7}"/>
    <cellStyle name="Note 2 2 2 5 2" xfId="13036" xr:uid="{48B2FCF1-7E81-4B64-A636-BEDFCF016F44}"/>
    <cellStyle name="Note 2 2 2 6" xfId="3917" xr:uid="{3F8A8E02-1E2B-48A7-B67D-55FE2DE9BF92}"/>
    <cellStyle name="Note 2 2 2 6 2" xfId="13865" xr:uid="{B46F1512-DD0D-46FF-AD8A-48174BAEAC7E}"/>
    <cellStyle name="Note 2 2 2 7" xfId="4746" xr:uid="{1934F8F0-7032-415A-95D6-801E2D976509}"/>
    <cellStyle name="Note 2 2 2 7 2" xfId="14694" xr:uid="{1979BA11-CDFA-4F7B-881F-F74EFB956B94}"/>
    <cellStyle name="Note 2 2 2 8" xfId="5575" xr:uid="{D4377DDE-9452-40AE-A6A4-8B848BF63896}"/>
    <cellStyle name="Note 2 2 2 8 2" xfId="15523" xr:uid="{1DD23ED4-1CBC-4A2F-9AB2-ADCF8E7B5B85}"/>
    <cellStyle name="Note 2 2 2 9" xfId="6404" xr:uid="{EE8CF9CD-2B54-4CEA-911D-27C4C3C99A47}"/>
    <cellStyle name="Note 2 2 2 9 2" xfId="16352" xr:uid="{8D03E104-780E-453B-9637-271744C32F7E}"/>
    <cellStyle name="Note 2 2 3" xfId="552" xr:uid="{00000000-0005-0000-0000-0000E1030000}"/>
    <cellStyle name="Note 2 2 3 10" xfId="8064" xr:uid="{E309DB49-AFA8-4267-B66D-363038021987}"/>
    <cellStyle name="Note 2 2 3 10 2" xfId="18012" xr:uid="{A9E992F6-EF05-456E-95CD-4CD24F28779B}"/>
    <cellStyle name="Note 2 2 3 11" xfId="8893" xr:uid="{D0F15496-336A-4925-8AD1-F9F4F504B3A4}"/>
    <cellStyle name="Note 2 2 3 11 2" xfId="18841" xr:uid="{2EEDA9D1-6E85-4055-9C76-A0C2B8F03743}"/>
    <cellStyle name="Note 2 2 3 12" xfId="9722" xr:uid="{346546EB-3D55-420C-8C28-A8D618808883}"/>
    <cellStyle name="Note 2 2 3 12 2" xfId="19670" xr:uid="{796DAAA7-4548-437F-99EA-93F8A91972CB}"/>
    <cellStyle name="Note 2 2 3 13" xfId="10551" xr:uid="{6CE1E6A1-E151-4686-A8C0-DF356AD6CA31}"/>
    <cellStyle name="Note 2 2 3 13 2" xfId="20499" xr:uid="{9D808533-607A-48DA-98C3-E26C4CC7188E}"/>
    <cellStyle name="Note 2 2 3 14" xfId="1432" xr:uid="{964A3213-AB00-4A08-BDAB-E4F8B529EBC8}"/>
    <cellStyle name="Note 2 2 3 15" xfId="11380" xr:uid="{07C74AFD-1697-4579-B1CA-5531AA10C51B}"/>
    <cellStyle name="Note 2 2 3 2" xfId="1017" xr:uid="{00000000-0005-0000-0000-0000E2030000}"/>
    <cellStyle name="Note 2 2 3 2 10" xfId="9309" xr:uid="{7320FC65-7A6A-4602-A7A4-950DEA2846D8}"/>
    <cellStyle name="Note 2 2 3 2 10 2" xfId="19257" xr:uid="{7115427A-7979-4336-8C08-AF061E9AFA4D}"/>
    <cellStyle name="Note 2 2 3 2 11" xfId="10138" xr:uid="{ADB15D6E-7852-4E7C-9A62-2C8EF872D4A9}"/>
    <cellStyle name="Note 2 2 3 2 11 2" xfId="20086" xr:uid="{45CE7E82-EC6D-4455-A428-7DE78621FAD4}"/>
    <cellStyle name="Note 2 2 3 2 12" xfId="10967" xr:uid="{527C7B2B-680B-4B45-A114-13686B7A17E5}"/>
    <cellStyle name="Note 2 2 3 2 12 2" xfId="20915" xr:uid="{35FE46A0-EE11-4031-B2EE-2A603451055A}"/>
    <cellStyle name="Note 2 2 3 2 13" xfId="1848" xr:uid="{CA1F3E16-9771-4FF6-B1DD-E85802301A09}"/>
    <cellStyle name="Note 2 2 3 2 14" xfId="11796" xr:uid="{6585A6A9-58CF-40BC-90F0-99E450634787}"/>
    <cellStyle name="Note 2 2 3 2 2" xfId="2677" xr:uid="{45A60950-C823-41FC-8FE3-B5E930BB6A23}"/>
    <cellStyle name="Note 2 2 3 2 2 2" xfId="12625" xr:uid="{3C4876D1-09BB-44CE-B994-5DBD69B3A341}"/>
    <cellStyle name="Note 2 2 3 2 3" xfId="3506" xr:uid="{A52BE91F-797B-4D67-A178-CF8EEF59AF39}"/>
    <cellStyle name="Note 2 2 3 2 3 2" xfId="13454" xr:uid="{7B36C3FE-FBC4-4C8A-A9AE-005DBA904173}"/>
    <cellStyle name="Note 2 2 3 2 4" xfId="4335" xr:uid="{1386AB1F-9697-45E8-A4E6-1E89B58F69F3}"/>
    <cellStyle name="Note 2 2 3 2 4 2" xfId="14283" xr:uid="{24600D98-384B-497E-A2C4-50DE34BFC343}"/>
    <cellStyle name="Note 2 2 3 2 5" xfId="5164" xr:uid="{85D6753C-1077-416A-A82F-B8E850D36AC8}"/>
    <cellStyle name="Note 2 2 3 2 5 2" xfId="15112" xr:uid="{D8AEBCD9-ACC7-4A13-8EC2-C237C79E666F}"/>
    <cellStyle name="Note 2 2 3 2 6" xfId="5993" xr:uid="{45BA6F0F-54CE-4D6C-9FCF-74489CD72D49}"/>
    <cellStyle name="Note 2 2 3 2 6 2" xfId="15941" xr:uid="{FBC4777E-BD9F-443F-AC78-74746FB3199C}"/>
    <cellStyle name="Note 2 2 3 2 7" xfId="6822" xr:uid="{B5C1FA5D-DDCC-43AB-9541-FF19DAE9D607}"/>
    <cellStyle name="Note 2 2 3 2 7 2" xfId="16770" xr:uid="{0EF117D4-DC8D-4B39-93E4-D59D7CC494D6}"/>
    <cellStyle name="Note 2 2 3 2 8" xfId="7651" xr:uid="{724EAAF3-B700-4CA0-8C7E-895D7F379DFA}"/>
    <cellStyle name="Note 2 2 3 2 8 2" xfId="17599" xr:uid="{F3E24A35-7BC8-40A4-AEE3-8F13CFE20F2C}"/>
    <cellStyle name="Note 2 2 3 2 9" xfId="8480" xr:uid="{425A7453-24F3-4B7C-9A50-F088D7C6F4DD}"/>
    <cellStyle name="Note 2 2 3 2 9 2" xfId="18428" xr:uid="{24C3ACD4-AA11-4190-A76B-74D4E77B6212}"/>
    <cellStyle name="Note 2 2 3 3" xfId="2261" xr:uid="{5C034DB5-7FBF-4725-9885-1516B85D3A5E}"/>
    <cellStyle name="Note 2 2 3 3 2" xfId="12209" xr:uid="{90F71874-D5EE-4B23-8CF0-CFE02EA18D7D}"/>
    <cellStyle name="Note 2 2 3 4" xfId="3090" xr:uid="{333320AD-E903-4EF1-B813-AD7AD35ED03F}"/>
    <cellStyle name="Note 2 2 3 4 2" xfId="13038" xr:uid="{F4709BD2-227F-42B5-97DD-6516A4AAEA9D}"/>
    <cellStyle name="Note 2 2 3 5" xfId="3919" xr:uid="{FC988379-ABB4-47CD-934A-8CA207E0EAB6}"/>
    <cellStyle name="Note 2 2 3 5 2" xfId="13867" xr:uid="{16898716-A018-4987-A12B-2DA1C772D7C4}"/>
    <cellStyle name="Note 2 2 3 6" xfId="4748" xr:uid="{1ABA0DB9-8DF2-4509-B823-CD84EA6B2E84}"/>
    <cellStyle name="Note 2 2 3 6 2" xfId="14696" xr:uid="{0FF840AF-FFF1-40D7-8C8D-EDABA9FC08E3}"/>
    <cellStyle name="Note 2 2 3 7" xfId="5577" xr:uid="{32D90284-CE5D-4FCE-8EEB-242697FE55E9}"/>
    <cellStyle name="Note 2 2 3 7 2" xfId="15525" xr:uid="{50C9122F-1BC5-4D37-9B44-4BBAE21E2ABF}"/>
    <cellStyle name="Note 2 2 3 8" xfId="6406" xr:uid="{AEE435DC-A75C-4857-86D0-9A8EAE816904}"/>
    <cellStyle name="Note 2 2 3 8 2" xfId="16354" xr:uid="{90798149-0431-42BF-8DF7-686551B0DA01}"/>
    <cellStyle name="Note 2 2 3 9" xfId="7235" xr:uid="{AF2DD053-02D4-416C-83E1-61856D96C903}"/>
    <cellStyle name="Note 2 2 3 9 2" xfId="17183" xr:uid="{F83F28A3-AC59-4E44-A1B5-E3CB3680DF03}"/>
    <cellStyle name="Note 2 2 4" xfId="1014" xr:uid="{00000000-0005-0000-0000-0000E3030000}"/>
    <cellStyle name="Note 2 2 4 10" xfId="9306" xr:uid="{959B9CAA-500E-4F89-9896-DB888535F975}"/>
    <cellStyle name="Note 2 2 4 10 2" xfId="19254" xr:uid="{E24227D8-9C1D-4AF9-88D2-03D59D3838D6}"/>
    <cellStyle name="Note 2 2 4 11" xfId="10135" xr:uid="{64997286-A57C-4A1A-8846-78CDBB70FBE3}"/>
    <cellStyle name="Note 2 2 4 11 2" xfId="20083" xr:uid="{81928AB8-2D06-4290-B9CF-34DCD7C1B4C9}"/>
    <cellStyle name="Note 2 2 4 12" xfId="10964" xr:uid="{A8A7AE2F-B61F-466C-B814-CBE7B67A0103}"/>
    <cellStyle name="Note 2 2 4 12 2" xfId="20912" xr:uid="{D34767F3-9F44-44F7-BF61-B79839856229}"/>
    <cellStyle name="Note 2 2 4 13" xfId="1845" xr:uid="{1599C80A-B463-4376-85D0-96B9CA105D28}"/>
    <cellStyle name="Note 2 2 4 14" xfId="11793" xr:uid="{423926FD-A8EB-418F-AC9C-66CE9BDC360B}"/>
    <cellStyle name="Note 2 2 4 2" xfId="2674" xr:uid="{0A0C6833-0069-4457-8F25-9AE55AC23BF1}"/>
    <cellStyle name="Note 2 2 4 2 2" xfId="12622" xr:uid="{F13042F0-AE3B-4359-B491-1AF2A1C79136}"/>
    <cellStyle name="Note 2 2 4 3" xfId="3503" xr:uid="{BAE9132E-23A3-4051-BE19-3B0B96F55E9E}"/>
    <cellStyle name="Note 2 2 4 3 2" xfId="13451" xr:uid="{69116F2D-90DD-4580-BDEF-C2653B6E70A9}"/>
    <cellStyle name="Note 2 2 4 4" xfId="4332" xr:uid="{8146CD7D-E1F9-435F-B693-4C3118435F1D}"/>
    <cellStyle name="Note 2 2 4 4 2" xfId="14280" xr:uid="{34F5B31C-31D0-40E9-AB15-FCE4692D1822}"/>
    <cellStyle name="Note 2 2 4 5" xfId="5161" xr:uid="{62FBF0CE-2997-4BA9-941F-7774E35E2B3B}"/>
    <cellStyle name="Note 2 2 4 5 2" xfId="15109" xr:uid="{E6B8C3E0-4B43-403E-9ED0-4E052225E2EE}"/>
    <cellStyle name="Note 2 2 4 6" xfId="5990" xr:uid="{92512529-34A7-4D6B-995D-C30BCBA1A94B}"/>
    <cellStyle name="Note 2 2 4 6 2" xfId="15938" xr:uid="{05C15880-34F1-4C0D-B01D-94D29A3EFB64}"/>
    <cellStyle name="Note 2 2 4 7" xfId="6819" xr:uid="{536F8045-42AE-416A-ABFA-4263FF41B4FB}"/>
    <cellStyle name="Note 2 2 4 7 2" xfId="16767" xr:uid="{756698BA-0575-498F-B149-23E60A31A1C6}"/>
    <cellStyle name="Note 2 2 4 8" xfId="7648" xr:uid="{3FC48E02-5499-4EB4-A520-B71F742E1E22}"/>
    <cellStyle name="Note 2 2 4 8 2" xfId="17596" xr:uid="{47196C92-9C36-4D6E-B0E1-EE76EECB05DB}"/>
    <cellStyle name="Note 2 2 4 9" xfId="8477" xr:uid="{FF1DEF68-E123-478F-B8D8-D5B570F70B14}"/>
    <cellStyle name="Note 2 2 4 9 2" xfId="18425" xr:uid="{87B4C780-F1FA-4373-A012-21E8D01A1A47}"/>
    <cellStyle name="Note 2 2 5" xfId="2258" xr:uid="{D97ADF06-3CF3-4E86-8E2D-0E6F2E331564}"/>
    <cellStyle name="Note 2 2 5 2" xfId="12206" xr:uid="{4762DB9B-828C-40DD-81CC-33FB94A70277}"/>
    <cellStyle name="Note 2 2 6" xfId="3087" xr:uid="{875F0555-CB2E-4A46-BDF5-A59FE63C9373}"/>
    <cellStyle name="Note 2 2 6 2" xfId="13035" xr:uid="{4DCC64EC-2F59-4460-8F76-4078D46EAFD7}"/>
    <cellStyle name="Note 2 2 7" xfId="3916" xr:uid="{9A53057B-C7E5-47B4-AAFA-0487ADBC570A}"/>
    <cellStyle name="Note 2 2 7 2" xfId="13864" xr:uid="{C5B41909-3D81-49C0-9EFC-82985EFEA425}"/>
    <cellStyle name="Note 2 2 8" xfId="4745" xr:uid="{16E8113D-8008-4EEF-A746-423EA10495CB}"/>
    <cellStyle name="Note 2 2 8 2" xfId="14693" xr:uid="{EA724A92-4DE9-4EBD-86DD-A118E127BCBE}"/>
    <cellStyle name="Note 2 2 9" xfId="5574" xr:uid="{B683B245-576C-41B3-8715-A8B2AB2221C9}"/>
    <cellStyle name="Note 2 2 9 2" xfId="15522" xr:uid="{6BCB9E98-C73D-4F10-8057-478ABCBF2B4B}"/>
    <cellStyle name="Note 2 3" xfId="553" xr:uid="{00000000-0005-0000-0000-0000E4030000}"/>
    <cellStyle name="Note 2 3 10" xfId="7236" xr:uid="{54410F34-DF6E-49CB-ADEF-778545EC1DBE}"/>
    <cellStyle name="Note 2 3 10 2" xfId="17184" xr:uid="{B8B02F9A-01F4-406A-B0E9-739DC2FC93EA}"/>
    <cellStyle name="Note 2 3 11" xfId="8065" xr:uid="{C2B09C60-E108-49FE-9FB5-A00D84991127}"/>
    <cellStyle name="Note 2 3 11 2" xfId="18013" xr:uid="{6D94947B-08DF-4060-B744-BE123090BCF0}"/>
    <cellStyle name="Note 2 3 12" xfId="8894" xr:uid="{BA7FC20F-F453-4B6C-999C-CF991DD831D2}"/>
    <cellStyle name="Note 2 3 12 2" xfId="18842" xr:uid="{A91744F1-B5F6-4A84-B271-581D01FEDD13}"/>
    <cellStyle name="Note 2 3 13" xfId="9723" xr:uid="{863F0860-312C-46A5-B7A6-C6D284ED573A}"/>
    <cellStyle name="Note 2 3 13 2" xfId="19671" xr:uid="{82C0C050-34F8-4CCE-8FF9-A60981BECB39}"/>
    <cellStyle name="Note 2 3 14" xfId="10552" xr:uid="{A69C7EE6-49CC-48E5-85F5-43166A9DFD68}"/>
    <cellStyle name="Note 2 3 14 2" xfId="20500" xr:uid="{AC8C08A1-915D-4485-A22D-668E6FC283D6}"/>
    <cellStyle name="Note 2 3 15" xfId="1433" xr:uid="{ACCDC93F-4917-4F2B-8E6E-BB510528770C}"/>
    <cellStyle name="Note 2 3 16" xfId="11381" xr:uid="{B02D07C8-12C7-4830-9B08-5864DC6066F5}"/>
    <cellStyle name="Note 2 3 2" xfId="554" xr:uid="{00000000-0005-0000-0000-0000E5030000}"/>
    <cellStyle name="Note 2 3 2 10" xfId="8066" xr:uid="{6DCA1B95-8C5F-4CDB-84AB-A16AA1055887}"/>
    <cellStyle name="Note 2 3 2 10 2" xfId="18014" xr:uid="{5978EE82-ED11-4B63-868E-8A32EEBAD301}"/>
    <cellStyle name="Note 2 3 2 11" xfId="8895" xr:uid="{68B5D56E-5BD9-4DBE-A351-96FD44212E8F}"/>
    <cellStyle name="Note 2 3 2 11 2" xfId="18843" xr:uid="{198DCFBC-9B7A-4E4B-91B8-41029502DE09}"/>
    <cellStyle name="Note 2 3 2 12" xfId="9724" xr:uid="{74EFFADD-DBFA-45DE-805C-5061F95DBD36}"/>
    <cellStyle name="Note 2 3 2 12 2" xfId="19672" xr:uid="{D0EC75B1-0872-4F1E-AA0F-13ABE3103310}"/>
    <cellStyle name="Note 2 3 2 13" xfId="10553" xr:uid="{3D338363-CB0D-4618-8441-49949897B633}"/>
    <cellStyle name="Note 2 3 2 13 2" xfId="20501" xr:uid="{FC27E734-F523-4E00-8A1E-6BA8F53E05ED}"/>
    <cellStyle name="Note 2 3 2 14" xfId="1434" xr:uid="{ABC7C579-7BD7-469C-96F0-EBB8824B6224}"/>
    <cellStyle name="Note 2 3 2 15" xfId="11382" xr:uid="{9CE95281-DD69-4FB6-9B46-D5552826E955}"/>
    <cellStyle name="Note 2 3 2 2" xfId="1019" xr:uid="{00000000-0005-0000-0000-0000E6030000}"/>
    <cellStyle name="Note 2 3 2 2 10" xfId="9311" xr:uid="{CD3AB9C8-983B-49E3-AF71-EA09A9263408}"/>
    <cellStyle name="Note 2 3 2 2 10 2" xfId="19259" xr:uid="{7183FE17-3612-4032-A9BB-16C0FADAAEDD}"/>
    <cellStyle name="Note 2 3 2 2 11" xfId="10140" xr:uid="{4B99D3FE-F487-4D5F-9802-B384A7AEE935}"/>
    <cellStyle name="Note 2 3 2 2 11 2" xfId="20088" xr:uid="{476B44A4-CD33-451B-923E-1F1431ADC796}"/>
    <cellStyle name="Note 2 3 2 2 12" xfId="10969" xr:uid="{CD937C41-55E5-42B9-A229-8E778F7787F1}"/>
    <cellStyle name="Note 2 3 2 2 12 2" xfId="20917" xr:uid="{F8E40EDC-3AD7-4BB0-BE2A-8F6F4CD53407}"/>
    <cellStyle name="Note 2 3 2 2 13" xfId="1850" xr:uid="{2D6AD21C-612E-4B4A-9551-8D95B421F002}"/>
    <cellStyle name="Note 2 3 2 2 14" xfId="11798" xr:uid="{496A6040-96E1-4782-A6CA-3A77DFE59F02}"/>
    <cellStyle name="Note 2 3 2 2 2" xfId="2679" xr:uid="{B2E85FAB-FE34-4CF4-8784-A265813EBB16}"/>
    <cellStyle name="Note 2 3 2 2 2 2" xfId="12627" xr:uid="{A1DCA005-5D98-4DC2-B705-D2C54DD1D551}"/>
    <cellStyle name="Note 2 3 2 2 3" xfId="3508" xr:uid="{002FD347-9B5A-4962-8DE0-990EC22CE4C6}"/>
    <cellStyle name="Note 2 3 2 2 3 2" xfId="13456" xr:uid="{AB39A70C-FC31-4AFD-BBAF-BEE9CBEE107D}"/>
    <cellStyle name="Note 2 3 2 2 4" xfId="4337" xr:uid="{CDE2D47F-BE98-488F-9D45-53D014F924C7}"/>
    <cellStyle name="Note 2 3 2 2 4 2" xfId="14285" xr:uid="{BD2F1E87-A97B-49AC-B7FC-763C1AAA6CB6}"/>
    <cellStyle name="Note 2 3 2 2 5" xfId="5166" xr:uid="{9C20F759-FF11-4152-9345-A80BEBC6F858}"/>
    <cellStyle name="Note 2 3 2 2 5 2" xfId="15114" xr:uid="{33BD07B2-100E-4126-A7AD-2E712261B310}"/>
    <cellStyle name="Note 2 3 2 2 6" xfId="5995" xr:uid="{9C5D19A6-ADAE-460C-BA4A-3A16201DFF2F}"/>
    <cellStyle name="Note 2 3 2 2 6 2" xfId="15943" xr:uid="{81528821-D97A-4C2A-84DA-B9356B29919F}"/>
    <cellStyle name="Note 2 3 2 2 7" xfId="6824" xr:uid="{281F05C0-1EEE-44A6-8536-711568C934DF}"/>
    <cellStyle name="Note 2 3 2 2 7 2" xfId="16772" xr:uid="{6EBFA4DD-E3C4-4306-8025-6E32EE7E35CF}"/>
    <cellStyle name="Note 2 3 2 2 8" xfId="7653" xr:uid="{E1EAEA23-2733-4631-A2AF-92C1245097EB}"/>
    <cellStyle name="Note 2 3 2 2 8 2" xfId="17601" xr:uid="{BFB12659-1477-48ED-B974-023FDE2852D3}"/>
    <cellStyle name="Note 2 3 2 2 9" xfId="8482" xr:uid="{947C28A7-3A18-489D-846D-0D607FAA0DB0}"/>
    <cellStyle name="Note 2 3 2 2 9 2" xfId="18430" xr:uid="{1C84A48D-889F-4BA5-8C39-3235200A4992}"/>
    <cellStyle name="Note 2 3 2 3" xfId="2263" xr:uid="{27670BE8-E8E9-4009-A2F3-B688E8401913}"/>
    <cellStyle name="Note 2 3 2 3 2" xfId="12211" xr:uid="{66884C7D-687E-43D9-B195-652DC58A770B}"/>
    <cellStyle name="Note 2 3 2 4" xfId="3092" xr:uid="{AC64C98B-0FCA-426F-BDD2-370B58D821DB}"/>
    <cellStyle name="Note 2 3 2 4 2" xfId="13040" xr:uid="{406BE2A1-B6DD-4033-8196-4E9489EB421A}"/>
    <cellStyle name="Note 2 3 2 5" xfId="3921" xr:uid="{A8E98E64-02C2-41FD-BEBE-6432E5BF212B}"/>
    <cellStyle name="Note 2 3 2 5 2" xfId="13869" xr:uid="{54FC64FD-8874-427E-8343-68A38A74008B}"/>
    <cellStyle name="Note 2 3 2 6" xfId="4750" xr:uid="{3BCACDB9-CD84-41D9-A3C6-8B5ADD25FD33}"/>
    <cellStyle name="Note 2 3 2 6 2" xfId="14698" xr:uid="{A093E4A3-32E7-43C8-8A7F-110E33DE687A}"/>
    <cellStyle name="Note 2 3 2 7" xfId="5579" xr:uid="{E37E85C2-2739-4160-A3FB-5C483332A946}"/>
    <cellStyle name="Note 2 3 2 7 2" xfId="15527" xr:uid="{828090D6-457F-4D5E-93D2-14181A9A8F61}"/>
    <cellStyle name="Note 2 3 2 8" xfId="6408" xr:uid="{0758B614-A71C-423B-A073-AA3078093CCB}"/>
    <cellStyle name="Note 2 3 2 8 2" xfId="16356" xr:uid="{85F5074E-E1BC-4191-8496-15DB18F5701D}"/>
    <cellStyle name="Note 2 3 2 9" xfId="7237" xr:uid="{DEFBDBD8-61C2-456A-82E5-B5F5B17EA169}"/>
    <cellStyle name="Note 2 3 2 9 2" xfId="17185" xr:uid="{2703F119-7A8F-4DAA-972A-EDA701714AE6}"/>
    <cellStyle name="Note 2 3 3" xfId="1018" xr:uid="{00000000-0005-0000-0000-0000E7030000}"/>
    <cellStyle name="Note 2 3 3 10" xfId="9310" xr:uid="{A3EC0156-93A9-467E-8FA4-CBAE800AB7F2}"/>
    <cellStyle name="Note 2 3 3 10 2" xfId="19258" xr:uid="{E4C1385C-3300-4670-8E68-95CE1EBE9E27}"/>
    <cellStyle name="Note 2 3 3 11" xfId="10139" xr:uid="{2D9DFD6A-3FF0-4357-AF69-D375D56F9002}"/>
    <cellStyle name="Note 2 3 3 11 2" xfId="20087" xr:uid="{6B13EF73-2FC4-4CD8-A0FC-01CFDFD71116}"/>
    <cellStyle name="Note 2 3 3 12" xfId="10968" xr:uid="{4B0A7C1C-47FF-4625-BCE8-BD9A5A041C26}"/>
    <cellStyle name="Note 2 3 3 12 2" xfId="20916" xr:uid="{01B050AC-B793-443F-ACB2-774B240FA011}"/>
    <cellStyle name="Note 2 3 3 13" xfId="1849" xr:uid="{E636FC5E-8CEB-4E5F-A5A9-6D5F7A63D623}"/>
    <cellStyle name="Note 2 3 3 14" xfId="11797" xr:uid="{964B9361-A0A1-4DEA-9EA5-FD44E70E7BB6}"/>
    <cellStyle name="Note 2 3 3 2" xfId="2678" xr:uid="{A5BB6C0F-7199-4AD0-8FFB-0A15A04004AE}"/>
    <cellStyle name="Note 2 3 3 2 2" xfId="12626" xr:uid="{28F4F392-36EA-42C8-B29D-87C6BBD6AA05}"/>
    <cellStyle name="Note 2 3 3 3" xfId="3507" xr:uid="{E8F7922E-6396-4CCD-B3B5-343D02FCA83B}"/>
    <cellStyle name="Note 2 3 3 3 2" xfId="13455" xr:uid="{E86DCF0B-713F-44F2-9378-D942A7996FBE}"/>
    <cellStyle name="Note 2 3 3 4" xfId="4336" xr:uid="{02A1FF4F-3B5F-4951-81E5-324C6CAF0969}"/>
    <cellStyle name="Note 2 3 3 4 2" xfId="14284" xr:uid="{A5D1690D-8FAE-4005-AABA-552162AC2660}"/>
    <cellStyle name="Note 2 3 3 5" xfId="5165" xr:uid="{90B2D9F2-B686-476E-9822-DAD334C19233}"/>
    <cellStyle name="Note 2 3 3 5 2" xfId="15113" xr:uid="{1010FA9B-3257-4B2F-A55E-C8771B4CD12C}"/>
    <cellStyle name="Note 2 3 3 6" xfId="5994" xr:uid="{3CCFD624-4DF3-4D66-A0F4-D96E7E962BBD}"/>
    <cellStyle name="Note 2 3 3 6 2" xfId="15942" xr:uid="{79D5316C-2AB0-4AB0-8B0D-0C275BFC78D0}"/>
    <cellStyle name="Note 2 3 3 7" xfId="6823" xr:uid="{ECA292C0-87EC-4EA4-8302-414CAA3DBEDC}"/>
    <cellStyle name="Note 2 3 3 7 2" xfId="16771" xr:uid="{74082393-343C-45AB-A281-1DACCC54C8C7}"/>
    <cellStyle name="Note 2 3 3 8" xfId="7652" xr:uid="{3835AB65-1144-4E80-8DDE-F700814B5603}"/>
    <cellStyle name="Note 2 3 3 8 2" xfId="17600" xr:uid="{B96909C5-CDC9-4299-9AC5-6949B4AE7C61}"/>
    <cellStyle name="Note 2 3 3 9" xfId="8481" xr:uid="{D9DC77C1-5887-4C57-9A83-CB5108E6CB80}"/>
    <cellStyle name="Note 2 3 3 9 2" xfId="18429" xr:uid="{BE063716-8259-451C-A988-3514C9AD2325}"/>
    <cellStyle name="Note 2 3 4" xfId="2262" xr:uid="{EE82925E-3432-4C48-8CF1-378F5D67FA08}"/>
    <cellStyle name="Note 2 3 4 2" xfId="12210" xr:uid="{59667861-0986-4D65-A866-3A826A668797}"/>
    <cellStyle name="Note 2 3 5" xfId="3091" xr:uid="{096D2337-EF6E-4C07-9566-AEC9E9B27EB5}"/>
    <cellStyle name="Note 2 3 5 2" xfId="13039" xr:uid="{89E4608C-8093-46C0-B913-7ACED006BC2C}"/>
    <cellStyle name="Note 2 3 6" xfId="3920" xr:uid="{4DD1AC12-4E1C-4D01-AE4E-68EC86D4F218}"/>
    <cellStyle name="Note 2 3 6 2" xfId="13868" xr:uid="{5E84F03A-726C-46CA-9092-34A3392596EF}"/>
    <cellStyle name="Note 2 3 7" xfId="4749" xr:uid="{EF9D5565-E921-4E08-8016-BF0B6A2711C2}"/>
    <cellStyle name="Note 2 3 7 2" xfId="14697" xr:uid="{B02ACBF9-4C5F-4EF8-8529-755EDCF207D2}"/>
    <cellStyle name="Note 2 3 8" xfId="5578" xr:uid="{CE29F5EC-5A0D-42EA-B22E-6E2467500EC1}"/>
    <cellStyle name="Note 2 3 8 2" xfId="15526" xr:uid="{C02F1DCF-2E5B-4896-94A6-B93EEF8F95F2}"/>
    <cellStyle name="Note 2 3 9" xfId="6407" xr:uid="{A003C36F-76FF-48C0-B873-910DC1D24047}"/>
    <cellStyle name="Note 2 3 9 2" xfId="16355" xr:uid="{68DAD1DF-C2EC-4CA7-886B-E4A25D9A73E8}"/>
    <cellStyle name="Note 2 4" xfId="555" xr:uid="{00000000-0005-0000-0000-0000E8030000}"/>
    <cellStyle name="Note 2 4 10" xfId="8067" xr:uid="{B29FE135-C926-4E56-85F4-84EB2E000B24}"/>
    <cellStyle name="Note 2 4 10 2" xfId="18015" xr:uid="{376C4A7B-78BD-4338-8483-52EDAE9A8186}"/>
    <cellStyle name="Note 2 4 11" xfId="8896" xr:uid="{94F06C62-57D6-4D1E-8B0B-75120BE2FF20}"/>
    <cellStyle name="Note 2 4 11 2" xfId="18844" xr:uid="{E289FD41-8035-4318-A722-EAC0E1D50EFE}"/>
    <cellStyle name="Note 2 4 12" xfId="9725" xr:uid="{18BE6C68-A20A-4BD7-9591-4234234B8D37}"/>
    <cellStyle name="Note 2 4 12 2" xfId="19673" xr:uid="{3B58E6BE-7212-47CF-8C5A-30E7C2B9E598}"/>
    <cellStyle name="Note 2 4 13" xfId="10554" xr:uid="{92F0C650-0D9D-4772-A7B4-DC4BD3F3DF1C}"/>
    <cellStyle name="Note 2 4 13 2" xfId="20502" xr:uid="{919508F3-1DDB-4BDE-A26E-75B57526DCEA}"/>
    <cellStyle name="Note 2 4 14" xfId="1435" xr:uid="{438F83D7-A25A-4893-9312-43B55D98764C}"/>
    <cellStyle name="Note 2 4 15" xfId="11383" xr:uid="{1B6C54AD-AF00-40E5-A283-DE9E4DB49B73}"/>
    <cellStyle name="Note 2 4 2" xfId="1020" xr:uid="{00000000-0005-0000-0000-0000E9030000}"/>
    <cellStyle name="Note 2 4 2 10" xfId="9312" xr:uid="{E19B2B9E-646A-480B-91E5-86103D8F9B4D}"/>
    <cellStyle name="Note 2 4 2 10 2" xfId="19260" xr:uid="{7497D878-AF3E-482F-BA2C-57E7B2C6C525}"/>
    <cellStyle name="Note 2 4 2 11" xfId="10141" xr:uid="{40E50086-4B55-4A64-A5C9-494C3C718130}"/>
    <cellStyle name="Note 2 4 2 11 2" xfId="20089" xr:uid="{8318ADC9-C3BB-4B20-8399-B0CD7C84E416}"/>
    <cellStyle name="Note 2 4 2 12" xfId="10970" xr:uid="{EB241FCF-AACF-4313-BF89-E4CAD440B578}"/>
    <cellStyle name="Note 2 4 2 12 2" xfId="20918" xr:uid="{C536D69F-B4B4-490E-BA08-EE0EEFB67801}"/>
    <cellStyle name="Note 2 4 2 13" xfId="1851" xr:uid="{B163ED57-EBCB-4A93-9C3D-0CA38734AEE5}"/>
    <cellStyle name="Note 2 4 2 14" xfId="11799" xr:uid="{08E0FF13-F921-4B75-9DC6-EFBF7CF36390}"/>
    <cellStyle name="Note 2 4 2 2" xfId="2680" xr:uid="{D11018BF-54F7-4FA3-8CF9-E3D10C0AD09E}"/>
    <cellStyle name="Note 2 4 2 2 2" xfId="12628" xr:uid="{7FE0F1E7-8697-49C2-AAC6-ADE5A08470C2}"/>
    <cellStyle name="Note 2 4 2 3" xfId="3509" xr:uid="{8CABA5A2-1B21-4A23-B57D-A231F601E249}"/>
    <cellStyle name="Note 2 4 2 3 2" xfId="13457" xr:uid="{46A36603-227C-4330-8511-1E82918518CC}"/>
    <cellStyle name="Note 2 4 2 4" xfId="4338" xr:uid="{2E811CD8-2488-42BD-BF4A-C1B77A6067F7}"/>
    <cellStyle name="Note 2 4 2 4 2" xfId="14286" xr:uid="{4A9F4C99-3767-4FFB-9A5F-2B9683391DF5}"/>
    <cellStyle name="Note 2 4 2 5" xfId="5167" xr:uid="{E6DA1C99-CC06-4EAF-8437-026514D40FCA}"/>
    <cellStyle name="Note 2 4 2 5 2" xfId="15115" xr:uid="{A37B49FC-BD65-47D6-9F32-BD29AB385A63}"/>
    <cellStyle name="Note 2 4 2 6" xfId="5996" xr:uid="{094EA31C-B7E9-41E1-8AA6-51B842BB2C05}"/>
    <cellStyle name="Note 2 4 2 6 2" xfId="15944" xr:uid="{071021A5-0A64-47A4-AFBB-E4BB1A4976B6}"/>
    <cellStyle name="Note 2 4 2 7" xfId="6825" xr:uid="{8BCF2105-5253-4D30-BEE6-51F7F9A73D8B}"/>
    <cellStyle name="Note 2 4 2 7 2" xfId="16773" xr:uid="{4CF18768-9638-43A1-9D44-CEB3FE896AF7}"/>
    <cellStyle name="Note 2 4 2 8" xfId="7654" xr:uid="{FDFE4BD6-04B7-46C0-A44A-6EF755B16AEB}"/>
    <cellStyle name="Note 2 4 2 8 2" xfId="17602" xr:uid="{8FE40115-F991-4944-A6C6-24FB5D04B8DC}"/>
    <cellStyle name="Note 2 4 2 9" xfId="8483" xr:uid="{83F5195A-BD4D-46C7-910A-B1162BC32A01}"/>
    <cellStyle name="Note 2 4 2 9 2" xfId="18431" xr:uid="{B1D20C50-8FEB-4FD3-92A9-0FB193B759BD}"/>
    <cellStyle name="Note 2 4 3" xfId="2264" xr:uid="{E820B824-E6C0-4673-8856-9B2DCA9F2CC3}"/>
    <cellStyle name="Note 2 4 3 2" xfId="12212" xr:uid="{0FE20769-2CB5-4D67-AB8A-8B6EAE1DF193}"/>
    <cellStyle name="Note 2 4 4" xfId="3093" xr:uid="{585E81DD-16D0-42DC-84F4-8A40EFB7251B}"/>
    <cellStyle name="Note 2 4 4 2" xfId="13041" xr:uid="{42BA98E7-C1EE-47F9-BFD9-98DF9AC0D9DD}"/>
    <cellStyle name="Note 2 4 5" xfId="3922" xr:uid="{0B2FC31B-8D90-4BB5-9708-C067FCF6D56F}"/>
    <cellStyle name="Note 2 4 5 2" xfId="13870" xr:uid="{CE8556F4-24EF-4C2D-9809-C2CF951823CF}"/>
    <cellStyle name="Note 2 4 6" xfId="4751" xr:uid="{C2AECEAB-9487-4926-8D19-5A726465A321}"/>
    <cellStyle name="Note 2 4 6 2" xfId="14699" xr:uid="{8792AB9B-036E-4FBD-AD12-896EBD46ACCB}"/>
    <cellStyle name="Note 2 4 7" xfId="5580" xr:uid="{77621BB0-8FB2-456B-9F6A-399F3AB30BC5}"/>
    <cellStyle name="Note 2 4 7 2" xfId="15528" xr:uid="{A3368E86-90F8-4AC8-A542-A4B2A4D74AA1}"/>
    <cellStyle name="Note 2 4 8" xfId="6409" xr:uid="{69CBB1CD-2A6A-442B-B334-613934ECCEE1}"/>
    <cellStyle name="Note 2 4 8 2" xfId="16357" xr:uid="{2509E01B-56D7-4B38-AE48-09C42EDF98F6}"/>
    <cellStyle name="Note 2 4 9" xfId="7238" xr:uid="{7BA8B42A-A4C6-4503-8420-3B9CF8303864}"/>
    <cellStyle name="Note 2 4 9 2" xfId="17186" xr:uid="{49F88076-FC44-423F-969A-50B9A230B9AD}"/>
    <cellStyle name="Note 2 5" xfId="556" xr:uid="{00000000-0005-0000-0000-0000EA030000}"/>
    <cellStyle name="Note 2 5 10" xfId="8068" xr:uid="{E7924ADF-C8BF-4535-AA14-715FBF46A987}"/>
    <cellStyle name="Note 2 5 10 2" xfId="18016" xr:uid="{D7C4A400-32F7-4BC2-9ED4-AD5D8DF1727A}"/>
    <cellStyle name="Note 2 5 11" xfId="8897" xr:uid="{196E106F-90FA-4B4C-961F-21BCCE69CE46}"/>
    <cellStyle name="Note 2 5 11 2" xfId="18845" xr:uid="{C31DC245-FAEB-43F0-A47A-4CB997D6A710}"/>
    <cellStyle name="Note 2 5 12" xfId="9726" xr:uid="{451EB2FD-8112-4DA3-B450-E7B2175CFE5F}"/>
    <cellStyle name="Note 2 5 12 2" xfId="19674" xr:uid="{102FA849-4337-4D7F-BA71-38549DE09C84}"/>
    <cellStyle name="Note 2 5 13" xfId="10555" xr:uid="{98E5A5F0-7397-4CE1-A458-5526F040F0B5}"/>
    <cellStyle name="Note 2 5 13 2" xfId="20503" xr:uid="{F377FD70-6CB1-4E8B-A725-0D771430B3C6}"/>
    <cellStyle name="Note 2 5 14" xfId="1436" xr:uid="{EF342165-75F5-4878-8401-C82C2BF249FA}"/>
    <cellStyle name="Note 2 5 15" xfId="11384" xr:uid="{A506D678-E0CB-441F-9031-258044320716}"/>
    <cellStyle name="Note 2 5 2" xfId="1021" xr:uid="{00000000-0005-0000-0000-0000EB030000}"/>
    <cellStyle name="Note 2 5 2 10" xfId="9313" xr:uid="{AB831CCA-FB44-4987-8BE2-11A7278400EE}"/>
    <cellStyle name="Note 2 5 2 10 2" xfId="19261" xr:uid="{DC597D6E-17BA-4B06-8705-3E61CE8D488A}"/>
    <cellStyle name="Note 2 5 2 11" xfId="10142" xr:uid="{9B84D9C8-966B-4994-80D1-4A7581B223B2}"/>
    <cellStyle name="Note 2 5 2 11 2" xfId="20090" xr:uid="{9EE282C9-4585-4C45-960D-B0AD4A73FBED}"/>
    <cellStyle name="Note 2 5 2 12" xfId="10971" xr:uid="{90FCDC25-31EA-4EDC-86DF-7850B7D37121}"/>
    <cellStyle name="Note 2 5 2 12 2" xfId="20919" xr:uid="{64AA36A2-81D7-4631-9D21-333DB145D03E}"/>
    <cellStyle name="Note 2 5 2 13" xfId="1852" xr:uid="{03FD4C20-59B3-474B-850C-9FA59945DEAD}"/>
    <cellStyle name="Note 2 5 2 14" xfId="11800" xr:uid="{0B2B9F53-56B5-4408-95A9-F3C046155D1C}"/>
    <cellStyle name="Note 2 5 2 2" xfId="2681" xr:uid="{40E2C528-26D3-4992-8A9E-B2CABC325CB3}"/>
    <cellStyle name="Note 2 5 2 2 2" xfId="12629" xr:uid="{583E367D-3C38-46A8-9E13-B92FB72DC881}"/>
    <cellStyle name="Note 2 5 2 3" xfId="3510" xr:uid="{D47E84B3-F8F6-41AE-BB99-766573F75917}"/>
    <cellStyle name="Note 2 5 2 3 2" xfId="13458" xr:uid="{50E57336-684F-43C3-B0C8-CE2DB5486F5C}"/>
    <cellStyle name="Note 2 5 2 4" xfId="4339" xr:uid="{ABB3A6A2-C361-423C-A17B-795AF2B89CA0}"/>
    <cellStyle name="Note 2 5 2 4 2" xfId="14287" xr:uid="{C25C6D08-5EB9-4833-8094-389801FFB073}"/>
    <cellStyle name="Note 2 5 2 5" xfId="5168" xr:uid="{57170D40-938B-433C-B5FC-5CCABCFA016E}"/>
    <cellStyle name="Note 2 5 2 5 2" xfId="15116" xr:uid="{D66F68E6-8796-4B3D-9EC2-78CC8FA6E2ED}"/>
    <cellStyle name="Note 2 5 2 6" xfId="5997" xr:uid="{73BA794F-9691-40E3-A9D6-1C34851AA007}"/>
    <cellStyle name="Note 2 5 2 6 2" xfId="15945" xr:uid="{01D5C74B-7117-4132-AC64-50F46E69D66A}"/>
    <cellStyle name="Note 2 5 2 7" xfId="6826" xr:uid="{2AE3B48C-EFA0-4792-B3C9-B16B03FCB2F1}"/>
    <cellStyle name="Note 2 5 2 7 2" xfId="16774" xr:uid="{9C9D60D4-721B-4DDB-B898-75C08ABC2459}"/>
    <cellStyle name="Note 2 5 2 8" xfId="7655" xr:uid="{DE61D64D-BAFD-49E1-AB81-33CE099C54B9}"/>
    <cellStyle name="Note 2 5 2 8 2" xfId="17603" xr:uid="{40FC720A-96A1-4E9E-B894-9853852610A5}"/>
    <cellStyle name="Note 2 5 2 9" xfId="8484" xr:uid="{647BF167-1BE7-4A3D-B3DC-679B19E26468}"/>
    <cellStyle name="Note 2 5 2 9 2" xfId="18432" xr:uid="{9ECDD486-F352-4014-B9F6-AAF20A671FCF}"/>
    <cellStyle name="Note 2 5 3" xfId="2265" xr:uid="{DE56D987-7BB5-4DB1-953C-9863A998E9A9}"/>
    <cellStyle name="Note 2 5 3 2" xfId="12213" xr:uid="{AEBEE364-ACCF-41E5-9690-7DCF50667195}"/>
    <cellStyle name="Note 2 5 4" xfId="3094" xr:uid="{75C1F729-740D-40C8-BF08-043BCCB5339B}"/>
    <cellStyle name="Note 2 5 4 2" xfId="13042" xr:uid="{A262B85F-62BD-4F84-A3C2-7976A0BA52A1}"/>
    <cellStyle name="Note 2 5 5" xfId="3923" xr:uid="{4039C018-D858-4E0E-9E5B-5F7EE68631B0}"/>
    <cellStyle name="Note 2 5 5 2" xfId="13871" xr:uid="{F431F191-3D70-4484-B4BF-69E9BF4ED7CB}"/>
    <cellStyle name="Note 2 5 6" xfId="4752" xr:uid="{C09D05BE-9359-4825-B42E-5DEFDC0B17A4}"/>
    <cellStyle name="Note 2 5 6 2" xfId="14700" xr:uid="{0A878A96-D7F7-4C00-9809-D6782DDA977B}"/>
    <cellStyle name="Note 2 5 7" xfId="5581" xr:uid="{1CC8E4F8-86E2-4FEC-92C4-9AA3507A11E2}"/>
    <cellStyle name="Note 2 5 7 2" xfId="15529" xr:uid="{19B83B87-B8ED-4275-9A71-7DDB8AC34D18}"/>
    <cellStyle name="Note 2 5 8" xfId="6410" xr:uid="{4275A30F-36E0-4469-91A4-7030886E60F2}"/>
    <cellStyle name="Note 2 5 8 2" xfId="16358" xr:uid="{473FF00F-D0E2-43BB-ADCE-7BBE590A1180}"/>
    <cellStyle name="Note 2 5 9" xfId="7239" xr:uid="{0AB09D39-DF87-415F-84A2-7A4B97D15640}"/>
    <cellStyle name="Note 2 5 9 2" xfId="17187" xr:uid="{152EE571-A167-4E7E-BC85-73D8109B843E}"/>
    <cellStyle name="Note 3" xfId="557" xr:uid="{00000000-0005-0000-0000-0000EC030000}"/>
    <cellStyle name="Note 3 2" xfId="558" xr:uid="{00000000-0005-0000-0000-0000ED030000}"/>
    <cellStyle name="Note 3 2 10" xfId="6411" xr:uid="{31060B31-B069-47BB-ABF2-D9C828E75FD0}"/>
    <cellStyle name="Note 3 2 10 2" xfId="16359" xr:uid="{C2E62EC9-9EAB-458F-91C6-C4EE9A385904}"/>
    <cellStyle name="Note 3 2 11" xfId="7240" xr:uid="{EA2DA2D8-9B55-40B6-AF37-62BB450BABEE}"/>
    <cellStyle name="Note 3 2 11 2" xfId="17188" xr:uid="{DA0C1E8B-EAB3-420E-9B92-6C9C9D2574EB}"/>
    <cellStyle name="Note 3 2 12" xfId="8069" xr:uid="{F04BF798-4298-4B39-98C2-98CB536AB5BC}"/>
    <cellStyle name="Note 3 2 12 2" xfId="18017" xr:uid="{F287E170-F912-44C9-A173-7676942408BC}"/>
    <cellStyle name="Note 3 2 13" xfId="8898" xr:uid="{E66323E0-6263-4BC0-97E4-F242BFCD8583}"/>
    <cellStyle name="Note 3 2 13 2" xfId="18846" xr:uid="{A31A9727-BB8F-429D-8026-AD0A4FD8E9ED}"/>
    <cellStyle name="Note 3 2 14" xfId="9727" xr:uid="{19A56AC7-A9B2-48A7-93B9-F91AC14C80F5}"/>
    <cellStyle name="Note 3 2 14 2" xfId="19675" xr:uid="{5C4C81A8-F10D-44B2-8FEC-C4576188DF3D}"/>
    <cellStyle name="Note 3 2 15" xfId="10556" xr:uid="{2E6F6253-4E9F-47AA-9C2D-7E7EBDD6CD8A}"/>
    <cellStyle name="Note 3 2 15 2" xfId="20504" xr:uid="{7D91CF17-007B-4075-A9F7-5E992750B5D6}"/>
    <cellStyle name="Note 3 2 16" xfId="1437" xr:uid="{FD03C63B-6581-45BE-BF06-0B960EEC305E}"/>
    <cellStyle name="Note 3 2 17" xfId="11385" xr:uid="{2709983B-D707-42C2-828B-3B132F17917B}"/>
    <cellStyle name="Note 3 2 2" xfId="559" xr:uid="{00000000-0005-0000-0000-0000EE030000}"/>
    <cellStyle name="Note 3 2 2 10" xfId="7241" xr:uid="{1D372192-7C7E-4C57-B8AB-F98832E5DE7B}"/>
    <cellStyle name="Note 3 2 2 10 2" xfId="17189" xr:uid="{F9A4DF97-F92C-409B-A39F-B334BA4965E2}"/>
    <cellStyle name="Note 3 2 2 11" xfId="8070" xr:uid="{A5F794ED-CC43-4F22-8EA9-ECB5E87E592F}"/>
    <cellStyle name="Note 3 2 2 11 2" xfId="18018" xr:uid="{09ED7205-3663-496B-A0D3-58FF3FBDDFCF}"/>
    <cellStyle name="Note 3 2 2 12" xfId="8899" xr:uid="{2B2DA5AC-9DD6-452E-9773-F928F75381FF}"/>
    <cellStyle name="Note 3 2 2 12 2" xfId="18847" xr:uid="{92AE7D2B-21DF-42F4-BE08-E544FC99BFC7}"/>
    <cellStyle name="Note 3 2 2 13" xfId="9728" xr:uid="{2A4F9FC1-E89E-49CC-B2DE-96D21F8B55E4}"/>
    <cellStyle name="Note 3 2 2 13 2" xfId="19676" xr:uid="{E259E414-CB4D-4E56-99FE-2B7F25AA42E8}"/>
    <cellStyle name="Note 3 2 2 14" xfId="10557" xr:uid="{8D3AB894-1CF3-459F-883C-3298E03597BB}"/>
    <cellStyle name="Note 3 2 2 14 2" xfId="20505" xr:uid="{225AC575-1DA0-43C7-85F7-35330A65E288}"/>
    <cellStyle name="Note 3 2 2 15" xfId="1438" xr:uid="{62DBB346-33AC-4DA2-9CE2-550814F17F20}"/>
    <cellStyle name="Note 3 2 2 16" xfId="11386" xr:uid="{2C8945E0-F28E-4ADE-96A1-5F7A8283D343}"/>
    <cellStyle name="Note 3 2 2 2" xfId="560" xr:uid="{00000000-0005-0000-0000-0000EF030000}"/>
    <cellStyle name="Note 3 2 2 2 10" xfId="8071" xr:uid="{D5487BD1-78C6-44C2-BC4C-D086E63D3E4E}"/>
    <cellStyle name="Note 3 2 2 2 10 2" xfId="18019" xr:uid="{52A4B58E-90E4-4D5C-9309-3E4F500EA91A}"/>
    <cellStyle name="Note 3 2 2 2 11" xfId="8900" xr:uid="{4C858710-F264-4624-9BFA-7BFEFEE700D7}"/>
    <cellStyle name="Note 3 2 2 2 11 2" xfId="18848" xr:uid="{CD297274-018E-4431-93EB-B97ACD61E7E2}"/>
    <cellStyle name="Note 3 2 2 2 12" xfId="9729" xr:uid="{DEA4AFC6-1D3E-4EC6-830A-DE1B0ECCA7D3}"/>
    <cellStyle name="Note 3 2 2 2 12 2" xfId="19677" xr:uid="{E86EA905-B16B-4A2A-83ED-670904BF03C7}"/>
    <cellStyle name="Note 3 2 2 2 13" xfId="10558" xr:uid="{C0F21960-1B26-4C7C-83BE-359F248961B7}"/>
    <cellStyle name="Note 3 2 2 2 13 2" xfId="20506" xr:uid="{4DA3EDF9-2AFB-49AD-9072-0F00A7361372}"/>
    <cellStyle name="Note 3 2 2 2 14" xfId="1439" xr:uid="{DA1419EC-9C60-45E0-A773-E2882E882AC3}"/>
    <cellStyle name="Note 3 2 2 2 15" xfId="11387" xr:uid="{90633DCB-69A3-494C-BA4D-A402B1094351}"/>
    <cellStyle name="Note 3 2 2 2 2" xfId="1024" xr:uid="{00000000-0005-0000-0000-0000F0030000}"/>
    <cellStyle name="Note 3 2 2 2 2 10" xfId="9316" xr:uid="{C0733BE1-84DD-463C-B429-795237C1E37E}"/>
    <cellStyle name="Note 3 2 2 2 2 10 2" xfId="19264" xr:uid="{BD955071-4D14-46AA-B3C3-14D04F122DE2}"/>
    <cellStyle name="Note 3 2 2 2 2 11" xfId="10145" xr:uid="{CC38AE91-924D-4406-8321-3473A60BAD43}"/>
    <cellStyle name="Note 3 2 2 2 2 11 2" xfId="20093" xr:uid="{E067F9B8-F6E7-4F4C-92FE-79F3E0D82B08}"/>
    <cellStyle name="Note 3 2 2 2 2 12" xfId="10974" xr:uid="{40799E6F-6DF4-450B-9707-7A5A412918BE}"/>
    <cellStyle name="Note 3 2 2 2 2 12 2" xfId="20922" xr:uid="{84E56E77-02CA-463C-9365-AA4F61CBAEDB}"/>
    <cellStyle name="Note 3 2 2 2 2 13" xfId="1855" xr:uid="{276744F4-019F-41CB-86C5-E8AF28D3E93B}"/>
    <cellStyle name="Note 3 2 2 2 2 14" xfId="11803" xr:uid="{FD66000C-4A5F-4CFD-B682-631B7F29C7BE}"/>
    <cellStyle name="Note 3 2 2 2 2 2" xfId="2684" xr:uid="{7C9215C3-5E3B-47BE-BC9B-091E31607BC6}"/>
    <cellStyle name="Note 3 2 2 2 2 2 2" xfId="12632" xr:uid="{E3F91439-25F2-4184-BBB5-B62897E61A5A}"/>
    <cellStyle name="Note 3 2 2 2 2 3" xfId="3513" xr:uid="{F09998CB-96D6-4967-8E04-D5A0C1B3373C}"/>
    <cellStyle name="Note 3 2 2 2 2 3 2" xfId="13461" xr:uid="{E33A3FAD-DF9D-4F3E-B0CB-09321C7325E8}"/>
    <cellStyle name="Note 3 2 2 2 2 4" xfId="4342" xr:uid="{A9350C44-2FF1-4AA3-9D70-34EFAC01710B}"/>
    <cellStyle name="Note 3 2 2 2 2 4 2" xfId="14290" xr:uid="{9A29C138-ADA6-410C-AA05-C74E1364DAD8}"/>
    <cellStyle name="Note 3 2 2 2 2 5" xfId="5171" xr:uid="{CD541CC5-1E54-4481-B016-71EB39879526}"/>
    <cellStyle name="Note 3 2 2 2 2 5 2" xfId="15119" xr:uid="{84654236-6C81-43E2-A553-DBA04BE6DA0B}"/>
    <cellStyle name="Note 3 2 2 2 2 6" xfId="6000" xr:uid="{91E9C055-6699-4B46-8DF9-097E85B4D99B}"/>
    <cellStyle name="Note 3 2 2 2 2 6 2" xfId="15948" xr:uid="{78AA0EDA-37B4-49BF-941B-65AA4AE29B07}"/>
    <cellStyle name="Note 3 2 2 2 2 7" xfId="6829" xr:uid="{1D1668F6-574A-4591-BCDD-0AE8E01D75CA}"/>
    <cellStyle name="Note 3 2 2 2 2 7 2" xfId="16777" xr:uid="{FBEF249C-C3F1-43B6-9D08-77E037CB13AD}"/>
    <cellStyle name="Note 3 2 2 2 2 8" xfId="7658" xr:uid="{A5B11B5C-2A7A-4A79-867D-061C82002367}"/>
    <cellStyle name="Note 3 2 2 2 2 8 2" xfId="17606" xr:uid="{CFE3C8E4-A3C0-47CF-83DD-A6A43E20F8CD}"/>
    <cellStyle name="Note 3 2 2 2 2 9" xfId="8487" xr:uid="{D48F7F23-0314-4170-AE9D-60F856739A5C}"/>
    <cellStyle name="Note 3 2 2 2 2 9 2" xfId="18435" xr:uid="{B8032F98-2D70-4027-835B-FDC94FC15162}"/>
    <cellStyle name="Note 3 2 2 2 3" xfId="2268" xr:uid="{E1AC43CC-1156-4841-B879-0AC3DE040392}"/>
    <cellStyle name="Note 3 2 2 2 3 2" xfId="12216" xr:uid="{62E69E46-2CAB-4CAF-82BA-E206C79CF6CC}"/>
    <cellStyle name="Note 3 2 2 2 4" xfId="3097" xr:uid="{538B8239-F4FC-44D4-90BE-3D8DD13F78D8}"/>
    <cellStyle name="Note 3 2 2 2 4 2" xfId="13045" xr:uid="{BEB71050-5869-43D1-8387-871DE849E958}"/>
    <cellStyle name="Note 3 2 2 2 5" xfId="3926" xr:uid="{F4A2BC88-6252-4A0E-8181-FEF16A47040D}"/>
    <cellStyle name="Note 3 2 2 2 5 2" xfId="13874" xr:uid="{58311CFB-6F4E-49D9-83D8-7E7FD3A1BCE1}"/>
    <cellStyle name="Note 3 2 2 2 6" xfId="4755" xr:uid="{0208BCD5-1B84-4C45-99D3-FF640C36236F}"/>
    <cellStyle name="Note 3 2 2 2 6 2" xfId="14703" xr:uid="{2D14CBE5-3415-4DE4-A181-3EAC24B4E687}"/>
    <cellStyle name="Note 3 2 2 2 7" xfId="5584" xr:uid="{71263576-7F49-4ED9-8714-4FAD9612849B}"/>
    <cellStyle name="Note 3 2 2 2 7 2" xfId="15532" xr:uid="{A0F36922-B6FA-45A4-B294-FB2AE2A00E61}"/>
    <cellStyle name="Note 3 2 2 2 8" xfId="6413" xr:uid="{2B2ACA43-7DD7-4B1D-8B8E-ADB9FF581904}"/>
    <cellStyle name="Note 3 2 2 2 8 2" xfId="16361" xr:uid="{1A424250-43AE-4610-A807-B83D0BE0B69E}"/>
    <cellStyle name="Note 3 2 2 2 9" xfId="7242" xr:uid="{65A8A992-F7C3-495F-9DDA-9FE6072E4D32}"/>
    <cellStyle name="Note 3 2 2 2 9 2" xfId="17190" xr:uid="{6C3119F4-EDAA-4281-839C-B4DA50B786D6}"/>
    <cellStyle name="Note 3 2 2 3" xfId="1023" xr:uid="{00000000-0005-0000-0000-0000F1030000}"/>
    <cellStyle name="Note 3 2 2 3 10" xfId="9315" xr:uid="{4C1F6A2F-DD53-4D20-AFBE-0BDFF021A228}"/>
    <cellStyle name="Note 3 2 2 3 10 2" xfId="19263" xr:uid="{EB8AC3BC-3AFE-422F-AD4D-DB0EA2F7D913}"/>
    <cellStyle name="Note 3 2 2 3 11" xfId="10144" xr:uid="{0AAD4E08-C20F-4324-8EF8-8E122B30F7BE}"/>
    <cellStyle name="Note 3 2 2 3 11 2" xfId="20092" xr:uid="{E61CE371-F845-47F8-A9A1-CE7D0C4DB7C1}"/>
    <cellStyle name="Note 3 2 2 3 12" xfId="10973" xr:uid="{C046BE6E-BBDB-402F-96F8-9517979FC666}"/>
    <cellStyle name="Note 3 2 2 3 12 2" xfId="20921" xr:uid="{F92E8A3B-4F42-49F4-9C2E-B225F81B62A7}"/>
    <cellStyle name="Note 3 2 2 3 13" xfId="1854" xr:uid="{9C03683C-DEDA-43CF-853C-F4AF85A19769}"/>
    <cellStyle name="Note 3 2 2 3 14" xfId="11802" xr:uid="{971F0004-B4A3-412E-8F7C-93F0462DDE27}"/>
    <cellStyle name="Note 3 2 2 3 2" xfId="2683" xr:uid="{37F0FDFC-35FE-4A9E-9961-BFCDD211150A}"/>
    <cellStyle name="Note 3 2 2 3 2 2" xfId="12631" xr:uid="{B7692FD2-25A6-40F1-A1F2-76366834097B}"/>
    <cellStyle name="Note 3 2 2 3 3" xfId="3512" xr:uid="{2732B2B1-E8EA-41B9-AC19-CD5992CBBB7A}"/>
    <cellStyle name="Note 3 2 2 3 3 2" xfId="13460" xr:uid="{0E5DF5F7-4098-4629-B73B-D6CE7EE90259}"/>
    <cellStyle name="Note 3 2 2 3 4" xfId="4341" xr:uid="{B5D5C3FB-5176-401A-A8A8-DB964C17E86E}"/>
    <cellStyle name="Note 3 2 2 3 4 2" xfId="14289" xr:uid="{23C20813-6AF0-4EE4-996A-E7782B11898B}"/>
    <cellStyle name="Note 3 2 2 3 5" xfId="5170" xr:uid="{C66800AC-C289-482F-9219-C5E73F46BAD4}"/>
    <cellStyle name="Note 3 2 2 3 5 2" xfId="15118" xr:uid="{B5857AFF-644F-4B56-99E1-BC3377C84281}"/>
    <cellStyle name="Note 3 2 2 3 6" xfId="5999" xr:uid="{396BA5FA-1738-4647-8BAB-E25FB2DD5C94}"/>
    <cellStyle name="Note 3 2 2 3 6 2" xfId="15947" xr:uid="{8FCCF875-3EA1-400A-8115-9A50B290FC92}"/>
    <cellStyle name="Note 3 2 2 3 7" xfId="6828" xr:uid="{62E1DEA4-7FFC-440C-BC6C-3773851423A5}"/>
    <cellStyle name="Note 3 2 2 3 7 2" xfId="16776" xr:uid="{0B37B831-31DE-4A39-940E-8D5072B7B657}"/>
    <cellStyle name="Note 3 2 2 3 8" xfId="7657" xr:uid="{CC34730F-5C51-4529-A815-C89B64E22667}"/>
    <cellStyle name="Note 3 2 2 3 8 2" xfId="17605" xr:uid="{A2E61D35-D355-4E25-A0C2-63905C5675A2}"/>
    <cellStyle name="Note 3 2 2 3 9" xfId="8486" xr:uid="{22F1699A-7EBA-418C-B7E2-93F321927574}"/>
    <cellStyle name="Note 3 2 2 3 9 2" xfId="18434" xr:uid="{EF41AF40-0980-4172-8F2E-D5AED7EBCB47}"/>
    <cellStyle name="Note 3 2 2 4" xfId="2267" xr:uid="{7D98FC87-E6C5-4654-8EF0-7FB6DA8B8533}"/>
    <cellStyle name="Note 3 2 2 4 2" xfId="12215" xr:uid="{3A28064E-E339-489D-8965-64C7D5CF3243}"/>
    <cellStyle name="Note 3 2 2 5" xfId="3096" xr:uid="{0F82E709-5EBC-4461-B754-EE913CFBF395}"/>
    <cellStyle name="Note 3 2 2 5 2" xfId="13044" xr:uid="{133B4EA3-91B9-471F-84F3-BDF00F1713EB}"/>
    <cellStyle name="Note 3 2 2 6" xfId="3925" xr:uid="{75BBFA43-30A3-421A-BE55-5F9352B04DCA}"/>
    <cellStyle name="Note 3 2 2 6 2" xfId="13873" xr:uid="{1EB2AAC5-E955-4B03-91FE-C52C3087DA09}"/>
    <cellStyle name="Note 3 2 2 7" xfId="4754" xr:uid="{CB669CE3-30F7-4D0F-87DC-322B0F75BCDF}"/>
    <cellStyle name="Note 3 2 2 7 2" xfId="14702" xr:uid="{66FA13B3-B40D-4ED5-BD68-CEB3C7501B62}"/>
    <cellStyle name="Note 3 2 2 8" xfId="5583" xr:uid="{33416E99-ED30-4B32-B3F9-1FB2BB8937D0}"/>
    <cellStyle name="Note 3 2 2 8 2" xfId="15531" xr:uid="{11F7D26E-3647-4E3F-85E9-5E47E8A6AE29}"/>
    <cellStyle name="Note 3 2 2 9" xfId="6412" xr:uid="{F568F676-92AD-4526-9BBF-173078051B6A}"/>
    <cellStyle name="Note 3 2 2 9 2" xfId="16360" xr:uid="{60DFC131-7068-4504-AD5F-783FD68AE567}"/>
    <cellStyle name="Note 3 2 3" xfId="561" xr:uid="{00000000-0005-0000-0000-0000F2030000}"/>
    <cellStyle name="Note 3 2 3 10" xfId="8072" xr:uid="{D01B948C-EC0E-471B-AAF9-32997D0D59B9}"/>
    <cellStyle name="Note 3 2 3 10 2" xfId="18020" xr:uid="{608A0F76-5AA0-4C3C-836E-CAA564B01C0D}"/>
    <cellStyle name="Note 3 2 3 11" xfId="8901" xr:uid="{147A3C47-1CB6-4FD6-A66C-9C02A3F4C665}"/>
    <cellStyle name="Note 3 2 3 11 2" xfId="18849" xr:uid="{F12AA973-2F7B-4580-9B85-2DEC06AB52D6}"/>
    <cellStyle name="Note 3 2 3 12" xfId="9730" xr:uid="{F3246673-DC94-43DB-ABCC-8AF9381FFE4D}"/>
    <cellStyle name="Note 3 2 3 12 2" xfId="19678" xr:uid="{603BB04E-1B8D-4D8A-9D08-F2C1DEE5BF78}"/>
    <cellStyle name="Note 3 2 3 13" xfId="10559" xr:uid="{B033A308-21EE-496C-B658-36B7771C1EFA}"/>
    <cellStyle name="Note 3 2 3 13 2" xfId="20507" xr:uid="{713D58A7-4F10-448D-8958-47B89D363EDD}"/>
    <cellStyle name="Note 3 2 3 14" xfId="1440" xr:uid="{92DD5B71-B5E3-44AA-9E4E-ED15838827CA}"/>
    <cellStyle name="Note 3 2 3 15" xfId="11388" xr:uid="{66BDB59A-440F-4257-8FBB-B032F9E87680}"/>
    <cellStyle name="Note 3 2 3 2" xfId="1025" xr:uid="{00000000-0005-0000-0000-0000F3030000}"/>
    <cellStyle name="Note 3 2 3 2 10" xfId="9317" xr:uid="{189CA22A-6A95-438F-ABAB-3EAFE43619DB}"/>
    <cellStyle name="Note 3 2 3 2 10 2" xfId="19265" xr:uid="{F26E51CF-651A-411C-A34E-74A6F57260BD}"/>
    <cellStyle name="Note 3 2 3 2 11" xfId="10146" xr:uid="{9E17D1DF-331D-4944-A8D1-29E4977260DA}"/>
    <cellStyle name="Note 3 2 3 2 11 2" xfId="20094" xr:uid="{024D5898-40EC-4054-961A-7357EABE46B8}"/>
    <cellStyle name="Note 3 2 3 2 12" xfId="10975" xr:uid="{208F9D64-3BAA-42B3-997F-6910CBDF734F}"/>
    <cellStyle name="Note 3 2 3 2 12 2" xfId="20923" xr:uid="{0E1450B1-AE43-4A83-A848-03DB2B21F062}"/>
    <cellStyle name="Note 3 2 3 2 13" xfId="1856" xr:uid="{4D7D612C-747A-47B1-A2E4-F3FBD7F41FA8}"/>
    <cellStyle name="Note 3 2 3 2 14" xfId="11804" xr:uid="{63C010FA-1C3C-412D-858F-1687BB9FDFBD}"/>
    <cellStyle name="Note 3 2 3 2 2" xfId="2685" xr:uid="{3D9A2DD5-1E7D-4741-9BE9-1605B748BCDE}"/>
    <cellStyle name="Note 3 2 3 2 2 2" xfId="12633" xr:uid="{8E77D64A-B101-4DE1-9DAC-10198F62D35B}"/>
    <cellStyle name="Note 3 2 3 2 3" xfId="3514" xr:uid="{13847D64-83F7-4CDE-B35A-17496E0A6643}"/>
    <cellStyle name="Note 3 2 3 2 3 2" xfId="13462" xr:uid="{C909015B-3DB0-4565-88D3-61800ABCBFE4}"/>
    <cellStyle name="Note 3 2 3 2 4" xfId="4343" xr:uid="{9ECE69BE-CFD9-4606-88AC-117D234ACD60}"/>
    <cellStyle name="Note 3 2 3 2 4 2" xfId="14291" xr:uid="{6327E256-1B1F-490B-ABAA-2914E718047D}"/>
    <cellStyle name="Note 3 2 3 2 5" xfId="5172" xr:uid="{A917A942-76E2-4F78-952C-2FA7D8FFC332}"/>
    <cellStyle name="Note 3 2 3 2 5 2" xfId="15120" xr:uid="{D32E1BB1-6ED5-4C95-AB4B-9F45D4E1AC84}"/>
    <cellStyle name="Note 3 2 3 2 6" xfId="6001" xr:uid="{1C4D5D18-0D1F-4923-A8E2-E7FE927885CC}"/>
    <cellStyle name="Note 3 2 3 2 6 2" xfId="15949" xr:uid="{8E6D8A17-ACA2-468C-94E8-08A1E76209AE}"/>
    <cellStyle name="Note 3 2 3 2 7" xfId="6830" xr:uid="{26D15F16-849B-4AA7-859A-0A5585715CB5}"/>
    <cellStyle name="Note 3 2 3 2 7 2" xfId="16778" xr:uid="{AF629CF6-A106-43A9-82CF-A09E4D58B50F}"/>
    <cellStyle name="Note 3 2 3 2 8" xfId="7659" xr:uid="{22B20C71-42D3-4779-A9A3-3267049FCB53}"/>
    <cellStyle name="Note 3 2 3 2 8 2" xfId="17607" xr:uid="{1B4DAA57-725A-4AB2-907D-74FD1DD03DE5}"/>
    <cellStyle name="Note 3 2 3 2 9" xfId="8488" xr:uid="{430E110E-F309-4DD6-BCDC-9EAC8CFE69AF}"/>
    <cellStyle name="Note 3 2 3 2 9 2" xfId="18436" xr:uid="{0598D803-7285-44B7-978B-B815E5E0AC9E}"/>
    <cellStyle name="Note 3 2 3 3" xfId="2269" xr:uid="{24E9975A-4620-42B1-B825-38200DFDF5FD}"/>
    <cellStyle name="Note 3 2 3 3 2" xfId="12217" xr:uid="{7C3A31B9-FF4B-4133-ADBA-B260B655C176}"/>
    <cellStyle name="Note 3 2 3 4" xfId="3098" xr:uid="{EF946447-7383-48EF-8BFB-DBEF26E17EA8}"/>
    <cellStyle name="Note 3 2 3 4 2" xfId="13046" xr:uid="{B6E9E208-1DAC-4EB0-AD09-46FDC3F8F89C}"/>
    <cellStyle name="Note 3 2 3 5" xfId="3927" xr:uid="{9B495077-94BE-450A-9F90-E5A58823F859}"/>
    <cellStyle name="Note 3 2 3 5 2" xfId="13875" xr:uid="{8012AEBF-499E-4A14-9698-8915F6D1A4D1}"/>
    <cellStyle name="Note 3 2 3 6" xfId="4756" xr:uid="{CAB26B94-D65A-48DE-8719-CFEF49C7F874}"/>
    <cellStyle name="Note 3 2 3 6 2" xfId="14704" xr:uid="{44C8B224-902D-4316-A8F1-70BB101F986C}"/>
    <cellStyle name="Note 3 2 3 7" xfId="5585" xr:uid="{6A1B4F95-081F-4544-A23E-7D116CAAACF0}"/>
    <cellStyle name="Note 3 2 3 7 2" xfId="15533" xr:uid="{C3B4272D-5EE5-4F44-BAE7-1F5B1E51CF78}"/>
    <cellStyle name="Note 3 2 3 8" xfId="6414" xr:uid="{891339F5-237A-4CBB-8E23-D7729B6F81A9}"/>
    <cellStyle name="Note 3 2 3 8 2" xfId="16362" xr:uid="{71C1B428-E20F-432E-9331-DE6E4AF91E29}"/>
    <cellStyle name="Note 3 2 3 9" xfId="7243" xr:uid="{BB72A6CF-2846-4C9A-9CF4-EE844DD0A8A7}"/>
    <cellStyle name="Note 3 2 3 9 2" xfId="17191" xr:uid="{B8E95C08-498E-4E66-AEDF-9A2722EBF3B4}"/>
    <cellStyle name="Note 3 2 4" xfId="1022" xr:uid="{00000000-0005-0000-0000-0000F4030000}"/>
    <cellStyle name="Note 3 2 4 10" xfId="9314" xr:uid="{047ADF20-BAFB-47B1-9F7F-57D51E911748}"/>
    <cellStyle name="Note 3 2 4 10 2" xfId="19262" xr:uid="{0B288AF4-3EBB-428E-92A3-5C94FD74939D}"/>
    <cellStyle name="Note 3 2 4 11" xfId="10143" xr:uid="{3D15B567-C01C-4F72-A8F8-C607118F012C}"/>
    <cellStyle name="Note 3 2 4 11 2" xfId="20091" xr:uid="{16E853C0-8272-4C5A-8BF1-213A4F5E8D51}"/>
    <cellStyle name="Note 3 2 4 12" xfId="10972" xr:uid="{2AA74FE6-97E2-4A0D-A7DD-13E47F01A93F}"/>
    <cellStyle name="Note 3 2 4 12 2" xfId="20920" xr:uid="{8D0B8CF3-A1B6-4438-AD80-BE7245C545D5}"/>
    <cellStyle name="Note 3 2 4 13" xfId="1853" xr:uid="{E6347334-CE5F-48F9-9B8D-1D98668FBFBC}"/>
    <cellStyle name="Note 3 2 4 14" xfId="11801" xr:uid="{94145BE3-6DB6-42D4-AD46-81DE031B5766}"/>
    <cellStyle name="Note 3 2 4 2" xfId="2682" xr:uid="{A0995014-1F30-4A2D-81F4-6E8601D4F4AF}"/>
    <cellStyle name="Note 3 2 4 2 2" xfId="12630" xr:uid="{C3F13EEB-0490-4D92-A13C-AAEE45895BA9}"/>
    <cellStyle name="Note 3 2 4 3" xfId="3511" xr:uid="{737ACD31-11C7-491D-BA2C-E81AB977B9E9}"/>
    <cellStyle name="Note 3 2 4 3 2" xfId="13459" xr:uid="{1D1148B4-34E7-4EBF-BEB4-2954CF6F2002}"/>
    <cellStyle name="Note 3 2 4 4" xfId="4340" xr:uid="{81FCEB4E-24B2-4184-A845-17F18DD3D52E}"/>
    <cellStyle name="Note 3 2 4 4 2" xfId="14288" xr:uid="{EEFEA2FE-1F60-4E73-B53E-E3168F2A843E}"/>
    <cellStyle name="Note 3 2 4 5" xfId="5169" xr:uid="{EB119CFD-2248-4DB7-A4E1-6154B09E7AE0}"/>
    <cellStyle name="Note 3 2 4 5 2" xfId="15117" xr:uid="{F4A9D835-854E-4F85-9FC2-904BC8DB2190}"/>
    <cellStyle name="Note 3 2 4 6" xfId="5998" xr:uid="{F90FCA08-3224-46C0-9ECA-8B7C731023AF}"/>
    <cellStyle name="Note 3 2 4 6 2" xfId="15946" xr:uid="{EC9F741F-ECBE-496D-A097-A8E2F2B8E7CA}"/>
    <cellStyle name="Note 3 2 4 7" xfId="6827" xr:uid="{0103CCB1-238A-4FCF-B876-63CC52250A71}"/>
    <cellStyle name="Note 3 2 4 7 2" xfId="16775" xr:uid="{D35AAFD2-8A4F-4909-BE8E-F650E53CDB8C}"/>
    <cellStyle name="Note 3 2 4 8" xfId="7656" xr:uid="{96F92B2A-3084-4773-94A8-1F51453807C6}"/>
    <cellStyle name="Note 3 2 4 8 2" xfId="17604" xr:uid="{DFF49A86-21AC-4301-A1B6-111F1A6CAE0C}"/>
    <cellStyle name="Note 3 2 4 9" xfId="8485" xr:uid="{1CD1DF35-EF46-4B16-8C2C-F8FEC8DA79A0}"/>
    <cellStyle name="Note 3 2 4 9 2" xfId="18433" xr:uid="{810E9BD9-1A28-4E6F-8641-7EB7A4559994}"/>
    <cellStyle name="Note 3 2 5" xfId="2266" xr:uid="{DEB23178-16D9-4458-AC30-D4CA70671512}"/>
    <cellStyle name="Note 3 2 5 2" xfId="12214" xr:uid="{69B16999-1E53-4D92-8F0F-4133E73D2C64}"/>
    <cellStyle name="Note 3 2 6" xfId="3095" xr:uid="{A58DF6B6-5890-45C6-8ADC-8ADB1A0F45FA}"/>
    <cellStyle name="Note 3 2 6 2" xfId="13043" xr:uid="{A8821796-E8F7-41E0-98AA-69AC6D082463}"/>
    <cellStyle name="Note 3 2 7" xfId="3924" xr:uid="{CB740490-7B2E-4201-9CD2-18DF1EDFD7C5}"/>
    <cellStyle name="Note 3 2 7 2" xfId="13872" xr:uid="{39DB607F-9BD3-4F22-8346-7A3DC0AEC0F5}"/>
    <cellStyle name="Note 3 2 8" xfId="4753" xr:uid="{72246D19-0840-4192-AF6A-84F9145646A3}"/>
    <cellStyle name="Note 3 2 8 2" xfId="14701" xr:uid="{7223558D-0781-487D-AA46-A8E9A9C33625}"/>
    <cellStyle name="Note 3 2 9" xfId="5582" xr:uid="{7527ABDC-5894-40D1-BD09-BE747AFAB555}"/>
    <cellStyle name="Note 3 2 9 2" xfId="15530" xr:uid="{38E4A2B1-572C-438F-9125-08A6330FC0EC}"/>
    <cellStyle name="Note 3 3" xfId="562" xr:uid="{00000000-0005-0000-0000-0000F5030000}"/>
    <cellStyle name="Note 3 3 10" xfId="7244" xr:uid="{BB5CA4CE-68AA-4527-A440-409CE0467E20}"/>
    <cellStyle name="Note 3 3 10 2" xfId="17192" xr:uid="{C084A83C-1E6E-4063-9809-6AC1950D618F}"/>
    <cellStyle name="Note 3 3 11" xfId="8073" xr:uid="{1A9D2A76-8395-427B-A629-21636AD879F6}"/>
    <cellStyle name="Note 3 3 11 2" xfId="18021" xr:uid="{D2F47AFD-A471-4236-85B0-08B6BFB80A4F}"/>
    <cellStyle name="Note 3 3 12" xfId="8902" xr:uid="{EE7318EC-BE20-416F-9B7F-8CBFFFC85C9C}"/>
    <cellStyle name="Note 3 3 12 2" xfId="18850" xr:uid="{77DC7A67-126D-47CC-8849-78C74635F15B}"/>
    <cellStyle name="Note 3 3 13" xfId="9731" xr:uid="{B315F8FB-78A2-4244-9FF4-EACE0CE7F17C}"/>
    <cellStyle name="Note 3 3 13 2" xfId="19679" xr:uid="{5DE7EEA2-55CB-4F3F-9F55-4BA9555FD1C5}"/>
    <cellStyle name="Note 3 3 14" xfId="10560" xr:uid="{432820D2-23CF-4571-BD4E-E42B657D11A6}"/>
    <cellStyle name="Note 3 3 14 2" xfId="20508" xr:uid="{29303903-FEB1-40B4-932B-55E3B8A1E8ED}"/>
    <cellStyle name="Note 3 3 15" xfId="1441" xr:uid="{87F2E511-F904-40E2-AC3F-EBCF502C8118}"/>
    <cellStyle name="Note 3 3 16" xfId="11389" xr:uid="{64994030-397B-4946-8A0E-4D99A7F7D681}"/>
    <cellStyle name="Note 3 3 2" xfId="563" xr:uid="{00000000-0005-0000-0000-0000F6030000}"/>
    <cellStyle name="Note 3 3 2 10" xfId="8074" xr:uid="{25339E5D-9FEC-4373-8F51-A6DF2200CCE8}"/>
    <cellStyle name="Note 3 3 2 10 2" xfId="18022" xr:uid="{2388453D-34D9-4E5B-847D-4B2C3F31DC7A}"/>
    <cellStyle name="Note 3 3 2 11" xfId="8903" xr:uid="{F5795E6D-C4F5-4C26-AB78-74D47B78C0DA}"/>
    <cellStyle name="Note 3 3 2 11 2" xfId="18851" xr:uid="{8F8BBF04-16BD-4BE9-98FD-BBE1B22BF84E}"/>
    <cellStyle name="Note 3 3 2 12" xfId="9732" xr:uid="{3D34697D-DBE1-4678-8F09-1EF68284C1B9}"/>
    <cellStyle name="Note 3 3 2 12 2" xfId="19680" xr:uid="{7D6F08BC-1E40-49CF-9B4D-DF7C4C222808}"/>
    <cellStyle name="Note 3 3 2 13" xfId="10561" xr:uid="{014F5380-B76B-4B44-BE9F-794DF604BB26}"/>
    <cellStyle name="Note 3 3 2 13 2" xfId="20509" xr:uid="{8BE2D495-97DD-4F61-A988-B649C6694480}"/>
    <cellStyle name="Note 3 3 2 14" xfId="1442" xr:uid="{16BEAB40-96BC-4167-AA31-FB204C1105E3}"/>
    <cellStyle name="Note 3 3 2 15" xfId="11390" xr:uid="{AD0FAF19-EB68-427E-9967-0991EF5A956D}"/>
    <cellStyle name="Note 3 3 2 2" xfId="1027" xr:uid="{00000000-0005-0000-0000-0000F7030000}"/>
    <cellStyle name="Note 3 3 2 2 10" xfId="9319" xr:uid="{5AAE3375-55C7-4DD3-BAA0-9E06E6AF5C87}"/>
    <cellStyle name="Note 3 3 2 2 10 2" xfId="19267" xr:uid="{3BCF8CBE-E3CE-4818-9709-30B38F99C22E}"/>
    <cellStyle name="Note 3 3 2 2 11" xfId="10148" xr:uid="{7EDB7B37-7B7C-4B93-9650-286E9A11E95B}"/>
    <cellStyle name="Note 3 3 2 2 11 2" xfId="20096" xr:uid="{059D4A13-736E-4E39-8E5B-0B005CB73A1C}"/>
    <cellStyle name="Note 3 3 2 2 12" xfId="10977" xr:uid="{868BB789-06C3-4C1A-ADDA-B435D6734D43}"/>
    <cellStyle name="Note 3 3 2 2 12 2" xfId="20925" xr:uid="{9B43B72A-B870-4FDA-BC4D-F84AF0F6EE72}"/>
    <cellStyle name="Note 3 3 2 2 13" xfId="1858" xr:uid="{01FA7383-FE31-45DA-8F80-99CB2B020E91}"/>
    <cellStyle name="Note 3 3 2 2 14" xfId="11806" xr:uid="{7BE3CEA5-2C11-4255-9023-AD3F09CD253B}"/>
    <cellStyle name="Note 3 3 2 2 2" xfId="2687" xr:uid="{71AE9DFF-9FC2-4A73-9C7F-A17C73A1B25C}"/>
    <cellStyle name="Note 3 3 2 2 2 2" xfId="12635" xr:uid="{2D296C21-7964-432A-B5C7-4406CF6DA4FD}"/>
    <cellStyle name="Note 3 3 2 2 3" xfId="3516" xr:uid="{8AA41C89-46A6-4CA9-81B5-D317C4CD5B63}"/>
    <cellStyle name="Note 3 3 2 2 3 2" xfId="13464" xr:uid="{0B4C86C2-F474-488F-9D21-AAB6B852C1C2}"/>
    <cellStyle name="Note 3 3 2 2 4" xfId="4345" xr:uid="{C2A05C8B-862F-4674-9865-3AEDB6AC8BA4}"/>
    <cellStyle name="Note 3 3 2 2 4 2" xfId="14293" xr:uid="{BDDD0324-BFDE-4D96-8080-68B222C5BE5A}"/>
    <cellStyle name="Note 3 3 2 2 5" xfId="5174" xr:uid="{A9EE015C-0756-419A-9BB6-D2F668E5EAB5}"/>
    <cellStyle name="Note 3 3 2 2 5 2" xfId="15122" xr:uid="{D61FA445-6B53-4532-B4C0-2E4D52ACFAFA}"/>
    <cellStyle name="Note 3 3 2 2 6" xfId="6003" xr:uid="{B939F7D5-1E7C-4FAA-9104-A9B2E34B7549}"/>
    <cellStyle name="Note 3 3 2 2 6 2" xfId="15951" xr:uid="{763608F0-7A28-41D0-8396-2B187B96F390}"/>
    <cellStyle name="Note 3 3 2 2 7" xfId="6832" xr:uid="{437992F7-19C7-4A14-B0D2-3690CC205FE4}"/>
    <cellStyle name="Note 3 3 2 2 7 2" xfId="16780" xr:uid="{611ABC55-F0FE-4966-8BDD-0463BD8AC5FF}"/>
    <cellStyle name="Note 3 3 2 2 8" xfId="7661" xr:uid="{55481719-99FD-4728-AF4E-E765F874F454}"/>
    <cellStyle name="Note 3 3 2 2 8 2" xfId="17609" xr:uid="{C16D1DA7-A3A3-443B-A8D4-6D4DA66DBD37}"/>
    <cellStyle name="Note 3 3 2 2 9" xfId="8490" xr:uid="{26EADE7B-8995-4C6A-A7A8-9070C5D7CA33}"/>
    <cellStyle name="Note 3 3 2 2 9 2" xfId="18438" xr:uid="{F9CFC185-513D-478F-9510-66FFE9DD0077}"/>
    <cellStyle name="Note 3 3 2 3" xfId="2271" xr:uid="{26BCDB85-0091-425C-9651-4FF4E3CE09B9}"/>
    <cellStyle name="Note 3 3 2 3 2" xfId="12219" xr:uid="{15D981F0-9F57-4508-899B-28FB4219495D}"/>
    <cellStyle name="Note 3 3 2 4" xfId="3100" xr:uid="{B2DB9858-E109-4E94-8D60-D2B60F9EF90C}"/>
    <cellStyle name="Note 3 3 2 4 2" xfId="13048" xr:uid="{378D0799-EE99-4B62-926D-B71CFCE9DC80}"/>
    <cellStyle name="Note 3 3 2 5" xfId="3929" xr:uid="{ED9A2EFF-8A18-45FD-AC50-E788290F9AB3}"/>
    <cellStyle name="Note 3 3 2 5 2" xfId="13877" xr:uid="{4924074B-8F19-4BF6-A8D2-1607D876BCE2}"/>
    <cellStyle name="Note 3 3 2 6" xfId="4758" xr:uid="{05BA528D-0674-4ACD-80FB-CB3251D700BC}"/>
    <cellStyle name="Note 3 3 2 6 2" xfId="14706" xr:uid="{A0BCCBBD-6B46-491C-89B9-BC6E047BDE5E}"/>
    <cellStyle name="Note 3 3 2 7" xfId="5587" xr:uid="{3696EF06-8D51-499C-B977-64B45DD19C9E}"/>
    <cellStyle name="Note 3 3 2 7 2" xfId="15535" xr:uid="{2DFEB4C2-3E9F-4CC3-8E1E-0BB85E13ED1A}"/>
    <cellStyle name="Note 3 3 2 8" xfId="6416" xr:uid="{88EDC419-B196-4F69-8EE2-20F94B44D1A8}"/>
    <cellStyle name="Note 3 3 2 8 2" xfId="16364" xr:uid="{EC4E3CF7-E7D7-47CE-AA06-9FBFFB894CC8}"/>
    <cellStyle name="Note 3 3 2 9" xfId="7245" xr:uid="{68FF64FD-DCE9-4008-A635-D2883EB9DAF4}"/>
    <cellStyle name="Note 3 3 2 9 2" xfId="17193" xr:uid="{D48D7435-BFCC-46F3-94C4-A6788D54EF35}"/>
    <cellStyle name="Note 3 3 3" xfId="1026" xr:uid="{00000000-0005-0000-0000-0000F8030000}"/>
    <cellStyle name="Note 3 3 3 10" xfId="9318" xr:uid="{D5A58F7A-0CA0-49DD-A728-F49A8AAFBA45}"/>
    <cellStyle name="Note 3 3 3 10 2" xfId="19266" xr:uid="{9E73851B-7C3A-464D-91D0-E15BE2204607}"/>
    <cellStyle name="Note 3 3 3 11" xfId="10147" xr:uid="{8C3E5FA1-F090-4F71-8CC2-5F4D46D1595F}"/>
    <cellStyle name="Note 3 3 3 11 2" xfId="20095" xr:uid="{D835A2AC-0508-44EA-A3CF-4B8CB7EF54F5}"/>
    <cellStyle name="Note 3 3 3 12" xfId="10976" xr:uid="{6A1D248D-56B7-44C3-BE29-DBD1E39415DD}"/>
    <cellStyle name="Note 3 3 3 12 2" xfId="20924" xr:uid="{600FFE74-C10E-426D-9CFA-A441F0EF6DD1}"/>
    <cellStyle name="Note 3 3 3 13" xfId="1857" xr:uid="{5E478A91-90A4-46DD-9736-3B1D925948A7}"/>
    <cellStyle name="Note 3 3 3 14" xfId="11805" xr:uid="{445D12AD-10D4-447E-A2FC-8365B64A11B9}"/>
    <cellStyle name="Note 3 3 3 2" xfId="2686" xr:uid="{902F57B8-8384-45F8-ACD3-4443C7DAE544}"/>
    <cellStyle name="Note 3 3 3 2 2" xfId="12634" xr:uid="{F905F443-6AC5-404C-BB97-654E56614505}"/>
    <cellStyle name="Note 3 3 3 3" xfId="3515" xr:uid="{905A7403-F1ED-4181-BD3C-BAA75703A689}"/>
    <cellStyle name="Note 3 3 3 3 2" xfId="13463" xr:uid="{76680622-3F65-4A20-AC47-4E69E1FD4C14}"/>
    <cellStyle name="Note 3 3 3 4" xfId="4344" xr:uid="{77CE0CF6-1485-4AFE-9D09-2BFF3C0BE9C7}"/>
    <cellStyle name="Note 3 3 3 4 2" xfId="14292" xr:uid="{D10074C9-9E94-4AA6-9399-50542D17B9B2}"/>
    <cellStyle name="Note 3 3 3 5" xfId="5173" xr:uid="{9B90F3EF-577B-4BD5-8FAE-94A8E89E7D90}"/>
    <cellStyle name="Note 3 3 3 5 2" xfId="15121" xr:uid="{4EE63F84-7E4E-42C3-BE84-9A263B4099A3}"/>
    <cellStyle name="Note 3 3 3 6" xfId="6002" xr:uid="{DFEBD6FD-D56D-46C5-968C-45A7961C50C3}"/>
    <cellStyle name="Note 3 3 3 6 2" xfId="15950" xr:uid="{EC84352A-EAC5-4903-A8AB-BEC24C84A152}"/>
    <cellStyle name="Note 3 3 3 7" xfId="6831" xr:uid="{B94A6F9F-3A72-4E7D-8778-AF54E0A28758}"/>
    <cellStyle name="Note 3 3 3 7 2" xfId="16779" xr:uid="{BF2B1859-4C89-4474-9E16-1E34D8A347CE}"/>
    <cellStyle name="Note 3 3 3 8" xfId="7660" xr:uid="{EA9D920F-7C95-4C82-86EB-16C6E8DA012B}"/>
    <cellStyle name="Note 3 3 3 8 2" xfId="17608" xr:uid="{691AE01D-7C71-4974-8675-F0777A2E717A}"/>
    <cellStyle name="Note 3 3 3 9" xfId="8489" xr:uid="{F029FFE2-53BA-482F-9E9D-B0BCFDF0AD93}"/>
    <cellStyle name="Note 3 3 3 9 2" xfId="18437" xr:uid="{2099138D-52CD-4464-9233-0F5EAD5EF613}"/>
    <cellStyle name="Note 3 3 4" xfId="2270" xr:uid="{58AE0C18-5A4F-4E1F-9A48-135F179D2535}"/>
    <cellStyle name="Note 3 3 4 2" xfId="12218" xr:uid="{BC92BDDE-B59F-4146-8494-9A67451637F3}"/>
    <cellStyle name="Note 3 3 5" xfId="3099" xr:uid="{E0390BAB-A67E-4255-8466-361A09A77406}"/>
    <cellStyle name="Note 3 3 5 2" xfId="13047" xr:uid="{E083F490-03EC-44C7-B730-247D0E028DCA}"/>
    <cellStyle name="Note 3 3 6" xfId="3928" xr:uid="{20EA159F-C071-422A-B19A-CB74F34DECB5}"/>
    <cellStyle name="Note 3 3 6 2" xfId="13876" xr:uid="{B918D869-6B7A-41D5-AE79-46F9AF3C4322}"/>
    <cellStyle name="Note 3 3 7" xfId="4757" xr:uid="{B29A26B5-2A71-448A-B2B5-DED15117BFCB}"/>
    <cellStyle name="Note 3 3 7 2" xfId="14705" xr:uid="{1FB271F8-D7C4-49E9-A7CA-ECF74B4E9A19}"/>
    <cellStyle name="Note 3 3 8" xfId="5586" xr:uid="{9C4DE1E7-B539-4DE6-8551-1B621870601C}"/>
    <cellStyle name="Note 3 3 8 2" xfId="15534" xr:uid="{35B7E984-3739-4855-AD09-AA14BF6BE554}"/>
    <cellStyle name="Note 3 3 9" xfId="6415" xr:uid="{F3360E4D-56F7-4DCE-8984-804C72DAC126}"/>
    <cellStyle name="Note 3 3 9 2" xfId="16363" xr:uid="{9396C4CC-A0A8-469C-A33F-3A9C2FA7D1DA}"/>
    <cellStyle name="Note 3 4" xfId="564" xr:uid="{00000000-0005-0000-0000-0000F9030000}"/>
    <cellStyle name="Note 3 4 10" xfId="8075" xr:uid="{2A63C03A-0883-49B2-B8D8-C83B7937D1BE}"/>
    <cellStyle name="Note 3 4 10 2" xfId="18023" xr:uid="{5E2AF707-A882-4051-A78D-6F0F85142681}"/>
    <cellStyle name="Note 3 4 11" xfId="8904" xr:uid="{A615CA36-133E-4488-AD3D-BC7AA1A0A243}"/>
    <cellStyle name="Note 3 4 11 2" xfId="18852" xr:uid="{F31E6389-ACF8-408C-83D3-FD4CF402DDC8}"/>
    <cellStyle name="Note 3 4 12" xfId="9733" xr:uid="{947CBFC2-15FD-4877-BE07-8D4AD198AA03}"/>
    <cellStyle name="Note 3 4 12 2" xfId="19681" xr:uid="{4197019B-C701-4232-A4CA-C29E87124DF0}"/>
    <cellStyle name="Note 3 4 13" xfId="10562" xr:uid="{319EA511-4413-446B-A694-35E9416C6AFD}"/>
    <cellStyle name="Note 3 4 13 2" xfId="20510" xr:uid="{218EB6E7-4EAD-4CDA-B528-659AB1B8CCEC}"/>
    <cellStyle name="Note 3 4 14" xfId="1443" xr:uid="{F6A6DE08-3129-45FC-854E-AD28EC1B96F7}"/>
    <cellStyle name="Note 3 4 15" xfId="11391" xr:uid="{B8FFBA86-59E4-4BC8-AFBB-3764F17C0A8D}"/>
    <cellStyle name="Note 3 4 2" xfId="1028" xr:uid="{00000000-0005-0000-0000-0000FA030000}"/>
    <cellStyle name="Note 3 4 2 10" xfId="9320" xr:uid="{912533E1-6E15-41E9-BA27-87FF4EADDD15}"/>
    <cellStyle name="Note 3 4 2 10 2" xfId="19268" xr:uid="{85F20B2D-4EBE-4E7C-A6DC-52FAF871E882}"/>
    <cellStyle name="Note 3 4 2 11" xfId="10149" xr:uid="{C07350E3-41AD-4AD0-AEBC-68E2AC98B240}"/>
    <cellStyle name="Note 3 4 2 11 2" xfId="20097" xr:uid="{73DAC611-F069-4DE5-8595-CD51ED619809}"/>
    <cellStyle name="Note 3 4 2 12" xfId="10978" xr:uid="{C9AF78A7-AF5E-4D5C-88F2-5D819DD9C883}"/>
    <cellStyle name="Note 3 4 2 12 2" xfId="20926" xr:uid="{50E7A879-5D3F-4CD1-9ED8-D0AE326D7ACB}"/>
    <cellStyle name="Note 3 4 2 13" xfId="1859" xr:uid="{A24A2471-89ED-4746-BF96-A6191B94E6D8}"/>
    <cellStyle name="Note 3 4 2 14" xfId="11807" xr:uid="{82117918-C23F-43EF-AC86-7019EF18C8BB}"/>
    <cellStyle name="Note 3 4 2 2" xfId="2688" xr:uid="{6EB1A569-3514-4D16-9135-DBF811225AF7}"/>
    <cellStyle name="Note 3 4 2 2 2" xfId="12636" xr:uid="{EC60A3DD-AED8-4A2E-B4CF-59DB02517707}"/>
    <cellStyle name="Note 3 4 2 3" xfId="3517" xr:uid="{6769D127-6D31-4B1E-B5A2-F8F851C4CA5A}"/>
    <cellStyle name="Note 3 4 2 3 2" xfId="13465" xr:uid="{E9C338DE-A300-4200-9E2B-1486C2198F05}"/>
    <cellStyle name="Note 3 4 2 4" xfId="4346" xr:uid="{F09B3659-40D4-4847-A44C-A5203EC48EF1}"/>
    <cellStyle name="Note 3 4 2 4 2" xfId="14294" xr:uid="{CF8CC1EB-3E4F-409C-B768-D7955E254D72}"/>
    <cellStyle name="Note 3 4 2 5" xfId="5175" xr:uid="{E771F6F5-293C-4B69-81ED-A93E5741A3D5}"/>
    <cellStyle name="Note 3 4 2 5 2" xfId="15123" xr:uid="{0FD56463-3212-443B-B986-3AA5440E9705}"/>
    <cellStyle name="Note 3 4 2 6" xfId="6004" xr:uid="{B6894C2F-7919-4F21-84A4-2299D5CF95F1}"/>
    <cellStyle name="Note 3 4 2 6 2" xfId="15952" xr:uid="{DC3C176D-7B87-4AB8-A6CC-1E49D1646B9D}"/>
    <cellStyle name="Note 3 4 2 7" xfId="6833" xr:uid="{0534F6ED-CA93-4F17-9E8D-4C00A9FA9D61}"/>
    <cellStyle name="Note 3 4 2 7 2" xfId="16781" xr:uid="{F5E02142-D231-4881-A18C-CC161357F848}"/>
    <cellStyle name="Note 3 4 2 8" xfId="7662" xr:uid="{C3A56F1A-FB35-48E2-A382-8687DD4CE89C}"/>
    <cellStyle name="Note 3 4 2 8 2" xfId="17610" xr:uid="{76351BD3-10F5-4F18-8837-415ADAF33B54}"/>
    <cellStyle name="Note 3 4 2 9" xfId="8491" xr:uid="{C19C9710-6F31-4D3D-9615-D06DE1F72852}"/>
    <cellStyle name="Note 3 4 2 9 2" xfId="18439" xr:uid="{1E47229E-5E2F-4C4A-9B0F-178F4F9723C0}"/>
    <cellStyle name="Note 3 4 3" xfId="2272" xr:uid="{D6DBAD72-B31A-478B-AFB4-6AD26A8BF149}"/>
    <cellStyle name="Note 3 4 3 2" xfId="12220" xr:uid="{19DCCB33-F5EE-400A-900B-B6FDDA5A54FD}"/>
    <cellStyle name="Note 3 4 4" xfId="3101" xr:uid="{14C4A033-F3C2-4C82-B192-A83E5B97281E}"/>
    <cellStyle name="Note 3 4 4 2" xfId="13049" xr:uid="{5B65A63F-5DF9-4603-B7A9-AC48F2E7DED9}"/>
    <cellStyle name="Note 3 4 5" xfId="3930" xr:uid="{2AD2DC92-EE6B-4732-AFF3-43EC84998CE3}"/>
    <cellStyle name="Note 3 4 5 2" xfId="13878" xr:uid="{649CA4A7-0A3B-4B97-AA2C-1FC28070B95B}"/>
    <cellStyle name="Note 3 4 6" xfId="4759" xr:uid="{BB1253C2-610E-4223-BF7D-1E4DD607BAC8}"/>
    <cellStyle name="Note 3 4 6 2" xfId="14707" xr:uid="{DA041C0D-7DDC-4DA2-9829-EBF3D049C4D7}"/>
    <cellStyle name="Note 3 4 7" xfId="5588" xr:uid="{DE096E3E-0DE0-437B-86A4-B7C165E095A3}"/>
    <cellStyle name="Note 3 4 7 2" xfId="15536" xr:uid="{B7C1AA29-E525-46D8-956F-2C9D8FCCB743}"/>
    <cellStyle name="Note 3 4 8" xfId="6417" xr:uid="{7C84F8FB-AC05-4241-BA50-C548E945028F}"/>
    <cellStyle name="Note 3 4 8 2" xfId="16365" xr:uid="{A50E8ECE-CDAA-4D3A-9ABA-DAB7C540FDFE}"/>
    <cellStyle name="Note 3 4 9" xfId="7246" xr:uid="{866F28CB-D346-437A-AE36-9301D44F9B3A}"/>
    <cellStyle name="Note 3 4 9 2" xfId="17194" xr:uid="{80F57C38-2CA8-4B29-A5EE-C659B736ED48}"/>
    <cellStyle name="Note 3 5" xfId="565" xr:uid="{00000000-0005-0000-0000-0000FB030000}"/>
    <cellStyle name="Note 3 5 10" xfId="8076" xr:uid="{01AA995C-1961-400C-AAF4-2B6A3D48A63D}"/>
    <cellStyle name="Note 3 5 10 2" xfId="18024" xr:uid="{098877D1-081A-453C-A4FD-BEC7666A3961}"/>
    <cellStyle name="Note 3 5 11" xfId="8905" xr:uid="{A448FD02-33A1-4CE0-BF06-63EA80878833}"/>
    <cellStyle name="Note 3 5 11 2" xfId="18853" xr:uid="{948A7302-7561-44E8-B55D-1ECB3DB1C10C}"/>
    <cellStyle name="Note 3 5 12" xfId="9734" xr:uid="{1A3919C3-8CAC-4746-BA8D-4C3092C138F1}"/>
    <cellStyle name="Note 3 5 12 2" xfId="19682" xr:uid="{0BA9F4E1-A339-4432-B5AF-41173DB18B11}"/>
    <cellStyle name="Note 3 5 13" xfId="10563" xr:uid="{0D9D4AD5-6C7E-4471-A1C1-242CD316967E}"/>
    <cellStyle name="Note 3 5 13 2" xfId="20511" xr:uid="{3D0D631A-F6CC-466A-B7F6-BCD93F70B301}"/>
    <cellStyle name="Note 3 5 14" xfId="1444" xr:uid="{505CDB9D-A16D-4427-A94A-65D08590EC4C}"/>
    <cellStyle name="Note 3 5 15" xfId="11392" xr:uid="{8DA57B63-F507-49E5-8005-A2747763A57B}"/>
    <cellStyle name="Note 3 5 2" xfId="1029" xr:uid="{00000000-0005-0000-0000-0000FC030000}"/>
    <cellStyle name="Note 3 5 2 10" xfId="9321" xr:uid="{EBF1ED4E-EF85-4559-BCAB-81B8EA45209F}"/>
    <cellStyle name="Note 3 5 2 10 2" xfId="19269" xr:uid="{51506307-333C-4A7B-8AC2-FA8D1E844636}"/>
    <cellStyle name="Note 3 5 2 11" xfId="10150" xr:uid="{99536455-A01E-4D71-9FAA-7456B27BAB2F}"/>
    <cellStyle name="Note 3 5 2 11 2" xfId="20098" xr:uid="{1DB13541-1433-4684-A8BB-7D4C50CB7992}"/>
    <cellStyle name="Note 3 5 2 12" xfId="10979" xr:uid="{4BBADBE3-DAF3-4FA5-BEE7-E19AEBBE973A}"/>
    <cellStyle name="Note 3 5 2 12 2" xfId="20927" xr:uid="{645BD2F3-C639-46B3-A816-7BE9EA346925}"/>
    <cellStyle name="Note 3 5 2 13" xfId="1860" xr:uid="{5B4A14D6-4FE8-468E-8F37-3919840E2FAE}"/>
    <cellStyle name="Note 3 5 2 14" xfId="11808" xr:uid="{4FABB401-5702-41FD-A701-3FBE7C522AD0}"/>
    <cellStyle name="Note 3 5 2 2" xfId="2689" xr:uid="{0718B875-7DF3-4686-844E-A90963A2F354}"/>
    <cellStyle name="Note 3 5 2 2 2" xfId="12637" xr:uid="{E7ADD511-1FC4-4165-84E5-94ADC9BA6A75}"/>
    <cellStyle name="Note 3 5 2 3" xfId="3518" xr:uid="{17E649E3-800B-42E1-8E72-833767284554}"/>
    <cellStyle name="Note 3 5 2 3 2" xfId="13466" xr:uid="{AE90AC8A-256A-4796-B464-1C1F2F5CD570}"/>
    <cellStyle name="Note 3 5 2 4" xfId="4347" xr:uid="{6CE1DDF3-821C-419E-98C7-6B60A56E7BFA}"/>
    <cellStyle name="Note 3 5 2 4 2" xfId="14295" xr:uid="{99076712-D20A-428B-BCEA-B7432040EC6D}"/>
    <cellStyle name="Note 3 5 2 5" xfId="5176" xr:uid="{A765E350-FA1A-4E80-975C-4981353F374F}"/>
    <cellStyle name="Note 3 5 2 5 2" xfId="15124" xr:uid="{DF4A243F-C747-4B65-B35B-CD69A91DA2EF}"/>
    <cellStyle name="Note 3 5 2 6" xfId="6005" xr:uid="{2578C3A5-E062-4AA4-B95B-6B3D6B7C2DFB}"/>
    <cellStyle name="Note 3 5 2 6 2" xfId="15953" xr:uid="{87F13633-19F4-4610-9D74-769C786A5389}"/>
    <cellStyle name="Note 3 5 2 7" xfId="6834" xr:uid="{27FC8348-778B-447D-A98F-8841C452FEC1}"/>
    <cellStyle name="Note 3 5 2 7 2" xfId="16782" xr:uid="{94165324-92A2-4082-BD5D-2881E6455E72}"/>
    <cellStyle name="Note 3 5 2 8" xfId="7663" xr:uid="{89CF5ADE-24FE-4A66-8DA9-784247E576FA}"/>
    <cellStyle name="Note 3 5 2 8 2" xfId="17611" xr:uid="{A09C22B6-018D-4F0F-B868-A5EF80501A23}"/>
    <cellStyle name="Note 3 5 2 9" xfId="8492" xr:uid="{2526361D-79C6-47AF-A928-FE88C74578C9}"/>
    <cellStyle name="Note 3 5 2 9 2" xfId="18440" xr:uid="{30BB03B6-3B22-451D-AD35-A02C638659C6}"/>
    <cellStyle name="Note 3 5 3" xfId="2273" xr:uid="{DA0FDDEE-2060-437F-B5A8-F0350537B50D}"/>
    <cellStyle name="Note 3 5 3 2" xfId="12221" xr:uid="{85AEA4F9-DE19-4A97-9C16-E86B76A340DF}"/>
    <cellStyle name="Note 3 5 4" xfId="3102" xr:uid="{51804AFD-C14A-42D5-91E6-60F68151B6FB}"/>
    <cellStyle name="Note 3 5 4 2" xfId="13050" xr:uid="{E26F498A-C264-40B5-AAD3-EA7351680B23}"/>
    <cellStyle name="Note 3 5 5" xfId="3931" xr:uid="{94FF4AD3-A4FE-4802-9819-8E05CFB56767}"/>
    <cellStyle name="Note 3 5 5 2" xfId="13879" xr:uid="{2FB13979-AC2E-4A83-986F-1257B4A0F7DB}"/>
    <cellStyle name="Note 3 5 6" xfId="4760" xr:uid="{3706CAF3-B143-42EC-921A-7162CA9B1610}"/>
    <cellStyle name="Note 3 5 6 2" xfId="14708" xr:uid="{0B3DB9B3-2707-4A02-93CF-F08EF432590D}"/>
    <cellStyle name="Note 3 5 7" xfId="5589" xr:uid="{55AD1809-1242-4F02-9F8E-D242E832AAB7}"/>
    <cellStyle name="Note 3 5 7 2" xfId="15537" xr:uid="{45C5BC7F-B9C8-4CA0-9EFC-7A2E08D1F20C}"/>
    <cellStyle name="Note 3 5 8" xfId="6418" xr:uid="{F7C28D4C-42E7-4063-88BB-AF142A3CA8EE}"/>
    <cellStyle name="Note 3 5 8 2" xfId="16366" xr:uid="{B256A262-DC1D-4C61-B949-6126AA5579D2}"/>
    <cellStyle name="Note 3 5 9" xfId="7247" xr:uid="{385C2A30-0088-475A-BAEA-AF4BA81BBF4F}"/>
    <cellStyle name="Note 3 5 9 2" xfId="17195" xr:uid="{C2833A1E-4CEF-49B5-A3CA-171D62E41A59}"/>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10" xfId="8908" xr:uid="{380BE0E8-AD4F-423C-AAF8-EC41389CA68E}"/>
    <cellStyle name="Percent 3 10 2" xfId="18856" xr:uid="{16325894-0395-451C-967B-D1E350E84755}"/>
    <cellStyle name="Percent 3 11" xfId="9737" xr:uid="{4E0FD304-4157-4128-BE17-64D3F800C4D9}"/>
    <cellStyle name="Percent 3 11 2" xfId="19685" xr:uid="{D196F3EF-7BF2-4F68-A48D-F24BEE628E5E}"/>
    <cellStyle name="Percent 3 12" xfId="10566" xr:uid="{067B11D0-5DA1-471B-8C9F-A5B5D96A3BFB}"/>
    <cellStyle name="Percent 3 12 2" xfId="20514" xr:uid="{8BBC2A4C-89E6-4FAA-8597-904105FB3FEE}"/>
    <cellStyle name="Percent 3 13" xfId="1447" xr:uid="{59060AB4-4A27-4597-ABEE-FE61513146BE}"/>
    <cellStyle name="Percent 3 14" xfId="11395" xr:uid="{94850CB6-262A-4342-A098-AE1614DFCAE2}"/>
    <cellStyle name="Percent 3 2" xfId="2276" xr:uid="{094D575B-A834-476A-9C17-407F7C96E44A}"/>
    <cellStyle name="Percent 3 2 2" xfId="12224" xr:uid="{CF47AA92-B193-4E78-9A4C-E09851DBA74B}"/>
    <cellStyle name="Percent 3 3" xfId="3105" xr:uid="{A6806E00-FCBA-4C62-B741-C448EB88D9B3}"/>
    <cellStyle name="Percent 3 3 2" xfId="13053" xr:uid="{2C8B0DAB-DD24-416D-A5DC-15ED10C1BEF7}"/>
    <cellStyle name="Percent 3 4" xfId="3934" xr:uid="{2552378C-DC0D-4F7A-95DC-E0F76AC6CA95}"/>
    <cellStyle name="Percent 3 4 2" xfId="13882" xr:uid="{36D04F8C-8B3B-42BF-9D4F-FEE660A5D723}"/>
    <cellStyle name="Percent 3 5" xfId="4763" xr:uid="{5B323B6E-4A89-4932-A810-8FA8EDF7B5B0}"/>
    <cellStyle name="Percent 3 5 2" xfId="14711" xr:uid="{AE1361C8-1791-4290-BC79-2598C10FC732}"/>
    <cellStyle name="Percent 3 6" xfId="5592" xr:uid="{5B648F59-2FF1-4CFE-ADD7-DDAA7BCEDF40}"/>
    <cellStyle name="Percent 3 6 2" xfId="15540" xr:uid="{6FCEB0BF-B641-4EB3-8D35-67A43E9B6BBB}"/>
    <cellStyle name="Percent 3 7" xfId="6421" xr:uid="{3117DAAC-C26F-4E7D-894F-0D5F27346105}"/>
    <cellStyle name="Percent 3 7 2" xfId="16369" xr:uid="{C8323A9D-FDEB-4781-AC6E-D2506046183F}"/>
    <cellStyle name="Percent 3 8" xfId="7250" xr:uid="{8061AC2F-64BB-465C-992E-2B805EA7A048}"/>
    <cellStyle name="Percent 3 8 2" xfId="17198" xr:uid="{EF44FF1C-1150-4873-951E-C50F2ADD1DDE}"/>
    <cellStyle name="Percent 3 9" xfId="8079" xr:uid="{FFCD3BD0-A79F-4E3D-BB7C-B271E88D9717}"/>
    <cellStyle name="Percent 3 9 2" xfId="18027" xr:uid="{B30211EB-EB9C-43AF-832B-5E93B40D9E7B}"/>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82" t="s">
        <v>1870</v>
      </c>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3"/>
    </row>
    <row r="2" spans="1:38" ht="13.5" thickBot="1">
      <c r="A2" s="984"/>
      <c r="B2" s="984"/>
      <c r="C2" s="984"/>
      <c r="D2" s="984"/>
      <c r="E2" s="984"/>
      <c r="F2" s="984"/>
      <c r="G2" s="984"/>
      <c r="H2" s="984"/>
      <c r="I2" s="984"/>
      <c r="J2" s="984"/>
      <c r="K2" s="984"/>
      <c r="L2" s="984"/>
      <c r="M2" s="984"/>
      <c r="N2" s="984"/>
      <c r="O2" s="984"/>
      <c r="P2" s="984"/>
      <c r="Q2" s="984"/>
      <c r="R2" s="984"/>
      <c r="S2" s="984"/>
      <c r="T2" s="984"/>
      <c r="U2" s="984"/>
      <c r="V2" s="984"/>
      <c r="W2" s="984"/>
      <c r="X2" s="984"/>
      <c r="Y2" s="984"/>
      <c r="Z2" s="984"/>
      <c r="AA2" s="984"/>
      <c r="AB2" s="984"/>
      <c r="AC2" s="984"/>
      <c r="AD2" s="984"/>
      <c r="AE2" s="984"/>
      <c r="AF2" s="984"/>
      <c r="AG2" s="984"/>
      <c r="AH2" s="984"/>
      <c r="AI2" s="984"/>
      <c r="AJ2" s="984"/>
      <c r="AK2" s="984"/>
      <c r="AL2" s="985"/>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2315</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74" t="s">
        <v>2304</v>
      </c>
      <c r="F26" s="974"/>
      <c r="G26" s="974"/>
      <c r="H26" s="974"/>
      <c r="I26" s="974"/>
      <c r="J26" s="974"/>
      <c r="K26" s="974"/>
      <c r="L26" s="974"/>
      <c r="M26" s="974"/>
      <c r="N26" s="974"/>
      <c r="O26" s="974"/>
      <c r="P26" s="974"/>
      <c r="Q26" s="974"/>
      <c r="R26" s="974"/>
      <c r="S26" s="974"/>
      <c r="T26" s="974"/>
      <c r="U26" s="974"/>
      <c r="V26" s="974"/>
      <c r="W26" s="974"/>
      <c r="X26" s="974"/>
      <c r="Y26" s="974"/>
      <c r="Z26" s="974"/>
      <c r="AA26" s="974"/>
      <c r="AB26" s="974"/>
      <c r="AC26" s="974"/>
      <c r="AD26" s="974"/>
      <c r="AE26" s="974"/>
      <c r="AF26" s="974"/>
      <c r="AG26" s="974"/>
      <c r="AH26" s="974"/>
      <c r="AI26" s="974"/>
      <c r="AJ26" s="974"/>
      <c r="AK26" s="974"/>
    </row>
    <row r="27" spans="1:38">
      <c r="A27" s="5"/>
      <c r="C27" s="3"/>
      <c r="E27" s="974" t="s">
        <v>2305</v>
      </c>
      <c r="F27" s="974"/>
      <c r="G27" s="974"/>
      <c r="H27" s="974"/>
      <c r="I27" s="974"/>
      <c r="J27" s="974"/>
      <c r="K27" s="974"/>
      <c r="L27" s="974"/>
      <c r="M27" s="974"/>
      <c r="N27" s="974"/>
      <c r="O27" s="974"/>
      <c r="P27" s="974"/>
      <c r="Q27" s="974"/>
      <c r="R27" s="974"/>
      <c r="S27" s="974"/>
      <c r="T27" s="974"/>
      <c r="U27" s="974"/>
      <c r="V27" s="974"/>
      <c r="W27" s="974"/>
      <c r="X27" s="974"/>
      <c r="Y27" s="974"/>
      <c r="Z27" s="974"/>
      <c r="AA27" s="974"/>
      <c r="AB27" s="974"/>
      <c r="AC27" s="974"/>
      <c r="AD27" s="974"/>
      <c r="AE27" s="974"/>
      <c r="AF27" s="974"/>
      <c r="AG27" s="974"/>
      <c r="AH27" s="974"/>
      <c r="AI27" s="974"/>
      <c r="AJ27" s="974"/>
      <c r="AK27" s="97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3" t="s">
        <v>2015</v>
      </c>
      <c r="E29" s="973"/>
      <c r="F29" s="973"/>
      <c r="G29" s="973"/>
      <c r="H29" s="973"/>
      <c r="I29" s="973"/>
      <c r="J29" s="973"/>
      <c r="K29" s="973"/>
      <c r="L29" s="973"/>
      <c r="M29" s="973"/>
      <c r="N29" s="973"/>
      <c r="O29" s="973"/>
      <c r="P29" s="973"/>
      <c r="Q29" s="973"/>
      <c r="R29" s="973"/>
      <c r="S29" s="973"/>
      <c r="T29" s="973"/>
      <c r="U29" s="973"/>
      <c r="V29" s="973"/>
      <c r="W29" s="973"/>
      <c r="X29" s="973"/>
      <c r="Y29" s="973"/>
      <c r="Z29" s="973"/>
      <c r="AA29" s="973"/>
      <c r="AB29" s="973"/>
      <c r="AC29" s="973"/>
      <c r="AD29" s="973"/>
      <c r="AE29" s="973"/>
      <c r="AF29" s="973"/>
      <c r="AG29" s="973"/>
      <c r="AH29" s="973"/>
      <c r="AI29" s="973"/>
      <c r="AJ29" s="973"/>
      <c r="AK29" s="973"/>
      <c r="AL29"/>
    </row>
    <row r="30" spans="1:38">
      <c r="A30" s="5"/>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row>
    <row r="31" spans="1:38">
      <c r="A31" s="5"/>
      <c r="D31" s="158"/>
      <c r="E31" s="975" t="s">
        <v>1286</v>
      </c>
      <c r="F31" s="975"/>
      <c r="G31" s="975"/>
      <c r="H31" s="975"/>
      <c r="I31" s="975"/>
      <c r="J31" s="975"/>
      <c r="K31" s="975"/>
      <c r="L31" s="975"/>
      <c r="M31" s="975"/>
      <c r="N31" s="975"/>
      <c r="O31" s="975"/>
      <c r="P31" s="975"/>
      <c r="Q31" s="975"/>
      <c r="R31" s="975"/>
      <c r="S31" s="975"/>
      <c r="T31" s="975"/>
      <c r="U31" s="975"/>
      <c r="V31" s="975"/>
      <c r="W31" s="975"/>
      <c r="X31" s="975"/>
      <c r="Y31" s="975"/>
      <c r="Z31" s="975"/>
      <c r="AA31" s="975"/>
      <c r="AB31" s="975"/>
      <c r="AC31" s="975"/>
      <c r="AD31" s="975"/>
      <c r="AE31" s="975"/>
      <c r="AF31" s="975"/>
      <c r="AG31" s="975"/>
      <c r="AH31" s="975"/>
      <c r="AI31" s="975"/>
      <c r="AJ31" s="975"/>
      <c r="AK31" s="975"/>
    </row>
    <row r="32" spans="1:38">
      <c r="A32" s="5"/>
      <c r="D32" s="158"/>
      <c r="E32" s="975" t="s">
        <v>1143</v>
      </c>
      <c r="F32" s="975"/>
      <c r="G32" s="975"/>
      <c r="H32" s="975"/>
      <c r="I32" s="975"/>
      <c r="J32" s="975"/>
      <c r="K32" s="975"/>
      <c r="L32" s="975"/>
      <c r="M32" s="975"/>
      <c r="N32" s="975"/>
      <c r="O32" s="975"/>
      <c r="P32" s="975"/>
      <c r="Q32" s="975"/>
      <c r="R32" s="975"/>
      <c r="S32" s="975"/>
      <c r="T32" s="975"/>
      <c r="U32" s="975"/>
      <c r="V32" s="975"/>
      <c r="W32" s="975"/>
      <c r="X32" s="975"/>
      <c r="Y32" s="975"/>
      <c r="Z32" s="975"/>
      <c r="AA32" s="975"/>
      <c r="AB32" s="975"/>
      <c r="AC32" s="975"/>
      <c r="AD32" s="975"/>
      <c r="AE32" s="975"/>
      <c r="AF32" s="975"/>
      <c r="AG32" s="975"/>
      <c r="AH32" s="975"/>
      <c r="AI32" s="975"/>
      <c r="AJ32" s="975"/>
      <c r="AK32" s="97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81" t="s">
        <v>2157</v>
      </c>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row>
    <row r="49" spans="1:38">
      <c r="A49" s="5"/>
      <c r="C49" s="3"/>
      <c r="D49" s="3"/>
      <c r="E49" s="5"/>
      <c r="F49" s="12"/>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row>
    <row r="50" spans="1:38">
      <c r="A50" s="5"/>
      <c r="C50" s="3"/>
      <c r="D50" s="3"/>
      <c r="E50" s="5"/>
      <c r="F50" s="12"/>
      <c r="G50" s="981"/>
      <c r="H50" s="981"/>
      <c r="I50" s="981"/>
      <c r="J50" s="981"/>
      <c r="K50" s="981"/>
      <c r="L50" s="981"/>
      <c r="M50" s="981"/>
      <c r="N50" s="981"/>
      <c r="O50" s="981"/>
      <c r="P50" s="981"/>
      <c r="Q50" s="981"/>
      <c r="R50" s="981"/>
      <c r="S50" s="981"/>
      <c r="T50" s="981"/>
      <c r="U50" s="981"/>
      <c r="V50" s="981"/>
      <c r="W50" s="981"/>
      <c r="X50" s="981"/>
      <c r="Y50" s="981"/>
      <c r="Z50" s="981"/>
      <c r="AA50" s="981"/>
      <c r="AB50" s="981"/>
      <c r="AC50" s="981"/>
      <c r="AD50" s="981"/>
      <c r="AE50" s="981"/>
      <c r="AF50" s="981"/>
      <c r="AG50" s="981"/>
      <c r="AH50" s="981"/>
      <c r="AI50" s="981"/>
      <c r="AJ50" s="981"/>
      <c r="AK50" s="981"/>
    </row>
    <row r="51" spans="1:38">
      <c r="A51" s="5"/>
      <c r="B51" s="3"/>
      <c r="C51" s="3"/>
      <c r="D51" s="3"/>
      <c r="E51" s="5"/>
      <c r="F51" s="12" t="s">
        <v>197</v>
      </c>
      <c r="G51" s="981" t="s">
        <v>2158</v>
      </c>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row>
    <row r="52" spans="1:38" s="5" customFormat="1">
      <c r="B52"/>
      <c r="C52" s="3"/>
      <c r="D52" s="3"/>
      <c r="F52" s="12"/>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row>
    <row r="53" spans="1:38">
      <c r="A53" s="5"/>
      <c r="C53" s="3"/>
      <c r="D53" s="3"/>
      <c r="E53" s="5"/>
      <c r="F53" s="12"/>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6" t="s">
        <v>1699</v>
      </c>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361"/>
    </row>
    <row r="95" spans="1:38">
      <c r="A95" s="361"/>
      <c r="B95" s="361"/>
      <c r="C95" s="373"/>
      <c r="D95" s="361"/>
      <c r="E95" s="361"/>
      <c r="F95" s="361"/>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361"/>
    </row>
    <row r="96" spans="1:38">
      <c r="A96" s="361"/>
      <c r="B96" s="361"/>
      <c r="C96" s="373"/>
      <c r="D96" s="361"/>
      <c r="E96" s="361"/>
      <c r="F96" s="361"/>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361"/>
    </row>
    <row r="97" spans="1:38">
      <c r="A97" s="361"/>
      <c r="B97" s="361"/>
      <c r="C97" s="373"/>
      <c r="D97" s="361"/>
      <c r="E97" s="361"/>
      <c r="F97" s="361"/>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0" t="s">
        <v>1704</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2316</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 customHeight="1">
      <c r="B343" s="3"/>
      <c r="E343" s="981" t="s">
        <v>1820</v>
      </c>
      <c r="F343" s="981"/>
      <c r="G343" s="981"/>
      <c r="H343" s="981"/>
      <c r="I343" s="981"/>
      <c r="J343" s="981"/>
      <c r="K343" s="981"/>
      <c r="L343" s="981"/>
      <c r="M343" s="981"/>
      <c r="N343" s="981"/>
      <c r="O343" s="981"/>
      <c r="P343" s="981"/>
      <c r="Q343" s="981"/>
      <c r="R343" s="981"/>
      <c r="S343" s="981"/>
      <c r="T343" s="981"/>
      <c r="U343" s="981"/>
      <c r="V343" s="981"/>
      <c r="W343" s="981"/>
      <c r="X343" s="981"/>
      <c r="Y343" s="981"/>
      <c r="Z343" s="981"/>
      <c r="AA343" s="981"/>
      <c r="AB343" s="981"/>
      <c r="AC343" s="981"/>
      <c r="AD343" s="981"/>
      <c r="AE343" s="981"/>
      <c r="AF343" s="981"/>
      <c r="AG343" s="981"/>
      <c r="AH343" s="981"/>
      <c r="AI343" s="981"/>
      <c r="AJ343" s="981"/>
      <c r="AK343" s="981"/>
    </row>
    <row r="344" spans="2:37">
      <c r="B344" s="3"/>
      <c r="E344" s="981"/>
      <c r="F344" s="981"/>
      <c r="G344" s="981"/>
      <c r="H344" s="981"/>
      <c r="I344" s="981"/>
      <c r="J344" s="981"/>
      <c r="K344" s="981"/>
      <c r="L344" s="981"/>
      <c r="M344" s="981"/>
      <c r="N344" s="981"/>
      <c r="O344" s="981"/>
      <c r="P344" s="981"/>
      <c r="Q344" s="981"/>
      <c r="R344" s="981"/>
      <c r="S344" s="981"/>
      <c r="T344" s="981"/>
      <c r="U344" s="981"/>
      <c r="V344" s="981"/>
      <c r="W344" s="981"/>
      <c r="X344" s="981"/>
      <c r="Y344" s="981"/>
      <c r="Z344" s="981"/>
      <c r="AA344" s="981"/>
      <c r="AB344" s="981"/>
      <c r="AC344" s="981"/>
      <c r="AD344" s="981"/>
      <c r="AE344" s="981"/>
      <c r="AF344" s="981"/>
      <c r="AG344" s="981"/>
      <c r="AH344" s="981"/>
      <c r="AI344" s="981"/>
      <c r="AJ344" s="981"/>
      <c r="AK344" s="981"/>
    </row>
    <row r="345" spans="2:37">
      <c r="B345" s="3"/>
      <c r="E345" s="981"/>
      <c r="F345" s="981"/>
      <c r="G345" s="981"/>
      <c r="H345" s="981"/>
      <c r="I345" s="981"/>
      <c r="J345" s="981"/>
      <c r="K345" s="981"/>
      <c r="L345" s="981"/>
      <c r="M345" s="981"/>
      <c r="N345" s="981"/>
      <c r="O345" s="981"/>
      <c r="P345" s="981"/>
      <c r="Q345" s="981"/>
      <c r="R345" s="981"/>
      <c r="S345" s="981"/>
      <c r="T345" s="981"/>
      <c r="U345" s="981"/>
      <c r="V345" s="981"/>
      <c r="W345" s="981"/>
      <c r="X345" s="981"/>
      <c r="Y345" s="981"/>
      <c r="Z345" s="981"/>
      <c r="AA345" s="981"/>
      <c r="AB345" s="981"/>
      <c r="AC345" s="981"/>
      <c r="AD345" s="981"/>
      <c r="AE345" s="981"/>
      <c r="AF345" s="981"/>
      <c r="AG345" s="981"/>
      <c r="AH345" s="981"/>
      <c r="AI345" s="981"/>
      <c r="AJ345" s="981"/>
      <c r="AK345" s="981"/>
    </row>
    <row r="346" spans="2:37">
      <c r="B346" s="3"/>
      <c r="E346" s="981"/>
      <c r="F346" s="981"/>
      <c r="G346" s="981"/>
      <c r="H346" s="981"/>
      <c r="I346" s="981"/>
      <c r="J346" s="981"/>
      <c r="K346" s="981"/>
      <c r="L346" s="981"/>
      <c r="M346" s="981"/>
      <c r="N346" s="981"/>
      <c r="O346" s="981"/>
      <c r="P346" s="981"/>
      <c r="Q346" s="981"/>
      <c r="R346" s="981"/>
      <c r="S346" s="981"/>
      <c r="T346" s="981"/>
      <c r="U346" s="981"/>
      <c r="V346" s="981"/>
      <c r="W346" s="981"/>
      <c r="X346" s="981"/>
      <c r="Y346" s="981"/>
      <c r="Z346" s="981"/>
      <c r="AA346" s="981"/>
      <c r="AB346" s="981"/>
      <c r="AC346" s="981"/>
      <c r="AD346" s="981"/>
      <c r="AE346" s="981"/>
      <c r="AF346" s="981"/>
      <c r="AG346" s="981"/>
      <c r="AH346" s="981"/>
      <c r="AI346" s="981"/>
      <c r="AJ346" s="981"/>
      <c r="AK346" s="981"/>
    </row>
    <row r="347" spans="2:37">
      <c r="B347" s="3"/>
      <c r="E347" s="981"/>
      <c r="F347" s="981"/>
      <c r="G347" s="981"/>
      <c r="H347" s="981"/>
      <c r="I347" s="981"/>
      <c r="J347" s="981"/>
      <c r="K347" s="981"/>
      <c r="L347" s="981"/>
      <c r="M347" s="981"/>
      <c r="N347" s="981"/>
      <c r="O347" s="981"/>
      <c r="P347" s="981"/>
      <c r="Q347" s="981"/>
      <c r="R347" s="981"/>
      <c r="S347" s="981"/>
      <c r="T347" s="981"/>
      <c r="U347" s="981"/>
      <c r="V347" s="981"/>
      <c r="W347" s="981"/>
      <c r="X347" s="981"/>
      <c r="Y347" s="981"/>
      <c r="Z347" s="981"/>
      <c r="AA347" s="981"/>
      <c r="AB347" s="981"/>
      <c r="AC347" s="981"/>
      <c r="AD347" s="981"/>
      <c r="AE347" s="981"/>
      <c r="AF347" s="981"/>
      <c r="AG347" s="981"/>
      <c r="AH347" s="981"/>
      <c r="AI347" s="981"/>
      <c r="AJ347" s="981"/>
      <c r="AK347" s="981"/>
    </row>
    <row r="348" spans="2:37">
      <c r="B348" s="3"/>
      <c r="E348" s="5" t="s">
        <v>900</v>
      </c>
      <c r="F348" s="972" t="s">
        <v>1821</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2"/>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901</v>
      </c>
      <c r="F352" s="972" t="s">
        <v>1822</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8" customFormat="1">
      <c r="A365"/>
      <c r="B365" s="3"/>
      <c r="C365"/>
      <c r="D365"/>
      <c r="E365" s="978" t="s">
        <v>1817</v>
      </c>
    </row>
    <row r="366" spans="1:38" s="978" customFormat="1">
      <c r="A366"/>
      <c r="B366" s="3"/>
      <c r="C366"/>
      <c r="D366"/>
    </row>
    <row r="367" spans="1:38">
      <c r="B367" s="3"/>
      <c r="F367" s="976" t="s">
        <v>1818</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T74" sqref="T74"/>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2" t="s">
        <v>1862</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2119</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2227</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2205</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2120</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1801</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1802</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1695</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4" t="s">
        <v>1608</v>
      </c>
      <c r="C29" s="1924"/>
      <c r="D29" s="1924"/>
      <c r="E29" s="1924"/>
      <c r="F29" s="1924"/>
      <c r="G29" s="1924"/>
      <c r="H29" s="376"/>
      <c r="I29" s="376"/>
      <c r="J29" s="376"/>
      <c r="K29" s="376"/>
      <c r="L29" s="376"/>
      <c r="M29" s="376"/>
      <c r="N29" s="376"/>
      <c r="O29" s="1922" t="s">
        <v>1617</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139</v>
      </c>
      <c r="J32" s="1927" t="s">
        <v>992</v>
      </c>
      <c r="K32" s="1928">
        <v>1</v>
      </c>
      <c r="M32" s="509"/>
      <c r="O32" s="1923"/>
      <c r="P32" s="1927" t="s">
        <v>1940</v>
      </c>
    </row>
    <row r="33" spans="1:21" ht="15" customHeight="1">
      <c r="B33" s="1929" t="s">
        <v>1612</v>
      </c>
      <c r="C33" s="1929"/>
      <c r="D33" s="1929"/>
      <c r="E33" s="1929"/>
      <c r="F33" s="1929"/>
      <c r="G33" s="1929"/>
      <c r="I33" s="1926"/>
      <c r="J33" s="1927"/>
      <c r="K33" s="1928"/>
      <c r="M33" s="510"/>
      <c r="O33" s="1929"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1602</v>
      </c>
      <c r="C37" s="1933"/>
      <c r="D37" s="1933"/>
      <c r="E37" s="1933"/>
      <c r="F37" s="516"/>
      <c r="G37" s="516"/>
      <c r="H37" s="517"/>
      <c r="I37" s="376"/>
      <c r="J37" s="376"/>
      <c r="L37" s="529"/>
      <c r="M37" s="529"/>
      <c r="N37" s="529"/>
      <c r="O37" s="529"/>
      <c r="P37" s="529"/>
      <c r="Q37" s="529"/>
      <c r="R37" s="529"/>
      <c r="S37" s="529"/>
    </row>
    <row r="38" spans="1:21" ht="15" customHeight="1">
      <c r="B38" s="1938" t="s">
        <v>1618</v>
      </c>
      <c r="C38" s="1938"/>
      <c r="D38" s="1938"/>
      <c r="E38" s="1938"/>
      <c r="F38" s="650"/>
      <c r="G38" s="518">
        <f>D110</f>
        <v>0</v>
      </c>
      <c r="H38" s="384"/>
      <c r="I38" s="519"/>
      <c r="J38" s="384"/>
      <c r="K38" s="1945" t="s">
        <v>2224</v>
      </c>
      <c r="L38" s="1945"/>
      <c r="M38" s="1945"/>
      <c r="N38" s="1945"/>
      <c r="O38" s="1945"/>
      <c r="P38" s="1945"/>
      <c r="Q38" s="1945"/>
      <c r="R38" s="1945"/>
      <c r="S38" s="1945"/>
    </row>
    <row r="39" spans="1:21" ht="15" customHeight="1">
      <c r="B39" s="1939" t="s">
        <v>1283</v>
      </c>
      <c r="C39" s="1939"/>
      <c r="D39" s="1939"/>
      <c r="E39" s="1939"/>
      <c r="F39" s="650"/>
      <c r="G39" s="632"/>
      <c r="H39" s="384"/>
      <c r="I39" s="519"/>
      <c r="J39" s="384"/>
      <c r="K39" s="1945"/>
      <c r="L39" s="1945"/>
      <c r="M39" s="1945"/>
      <c r="N39" s="1945"/>
      <c r="O39" s="1945"/>
      <c r="P39" s="1945"/>
      <c r="Q39" s="1945"/>
      <c r="R39" s="1945"/>
      <c r="S39" s="1945"/>
    </row>
    <row r="40" spans="1:21" ht="15" customHeight="1">
      <c r="B40" s="1939" t="s">
        <v>1284</v>
      </c>
      <c r="C40" s="1939"/>
      <c r="D40" s="1939"/>
      <c r="E40" s="1939"/>
      <c r="F40" s="650"/>
      <c r="G40" s="632"/>
      <c r="H40" s="384"/>
      <c r="I40" s="519"/>
      <c r="J40" s="384"/>
      <c r="K40" s="1945"/>
      <c r="L40" s="1945"/>
      <c r="M40" s="1945"/>
      <c r="N40" s="1945"/>
      <c r="O40" s="1945"/>
      <c r="P40" s="1945"/>
      <c r="Q40" s="1945"/>
      <c r="R40" s="1945"/>
      <c r="S40" s="1945"/>
    </row>
    <row r="41" spans="1:21" ht="15" customHeight="1">
      <c r="B41" s="1940" t="s">
        <v>1613</v>
      </c>
      <c r="C41" s="1940"/>
      <c r="D41" s="1940"/>
      <c r="E41" s="1940"/>
      <c r="F41" s="650"/>
      <c r="G41" s="384"/>
      <c r="H41" s="384"/>
      <c r="I41" s="519"/>
      <c r="J41" s="384"/>
      <c r="K41" s="1944" t="s">
        <v>124</v>
      </c>
      <c r="L41" s="1944"/>
      <c r="M41" s="1944"/>
      <c r="N41" s="1944"/>
      <c r="O41" s="1944"/>
      <c r="P41" s="1944"/>
      <c r="Q41" s="1944"/>
      <c r="R41" s="1944"/>
      <c r="S41" s="1944"/>
    </row>
    <row r="42" spans="1:21" ht="15" customHeight="1">
      <c r="B42" s="971" t="s">
        <v>2451</v>
      </c>
      <c r="C42" s="634"/>
      <c r="D42" s="628"/>
      <c r="E42" s="652">
        <v>2400000</v>
      </c>
      <c r="F42" s="650"/>
      <c r="G42" s="384"/>
      <c r="H42" s="384"/>
      <c r="I42" s="519"/>
      <c r="J42" s="384"/>
      <c r="K42" s="1943"/>
      <c r="L42" s="1943"/>
      <c r="M42" s="1943"/>
      <c r="N42" s="1943"/>
      <c r="O42" s="1943"/>
      <c r="Q42" s="1946"/>
      <c r="R42" s="1946"/>
      <c r="U42" s="754" t="s">
        <v>124</v>
      </c>
    </row>
    <row r="43" spans="1:21" ht="15" customHeight="1">
      <c r="B43" s="971" t="s">
        <v>2421</v>
      </c>
      <c r="C43" s="634"/>
      <c r="D43" s="504"/>
      <c r="E43" s="652">
        <v>3000000</v>
      </c>
      <c r="F43" s="650"/>
      <c r="G43" s="384"/>
      <c r="H43" s="384"/>
      <c r="I43" s="519"/>
      <c r="J43" s="384"/>
      <c r="L43" s="384"/>
      <c r="M43" s="376"/>
      <c r="N43" s="376"/>
      <c r="O43" s="376"/>
      <c r="Q43" s="520"/>
      <c r="R43" s="520"/>
      <c r="U43" s="754" t="s">
        <v>2223</v>
      </c>
    </row>
    <row r="44" spans="1:21" ht="15" customHeight="1">
      <c r="B44" s="634"/>
      <c r="C44" s="634"/>
      <c r="D44" s="504"/>
      <c r="E44" s="652"/>
      <c r="F44" s="650"/>
      <c r="G44" s="384"/>
      <c r="H44" s="384"/>
      <c r="I44" s="519"/>
      <c r="K44" s="383" t="s">
        <v>1853</v>
      </c>
      <c r="Q44" s="1946"/>
      <c r="R44" s="1946"/>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0" t="s">
        <v>1849</v>
      </c>
      <c r="L46" s="1920"/>
      <c r="M46" s="1920"/>
      <c r="N46" s="1920"/>
      <c r="O46" s="1920"/>
      <c r="Q46" s="1917"/>
      <c r="R46" s="1917"/>
    </row>
    <row r="47" spans="1:21" ht="15" customHeight="1">
      <c r="B47" s="634"/>
      <c r="C47" s="634"/>
      <c r="D47" s="504"/>
      <c r="E47" s="652"/>
      <c r="F47" s="650"/>
      <c r="G47" s="384"/>
      <c r="H47" s="384"/>
      <c r="I47" s="519"/>
      <c r="J47" s="384"/>
      <c r="K47" s="1921" t="s">
        <v>1850</v>
      </c>
      <c r="L47" s="1921"/>
      <c r="M47" s="1921"/>
      <c r="N47" s="1921"/>
      <c r="O47" s="1921"/>
      <c r="Q47" s="1919"/>
      <c r="R47" s="1919"/>
    </row>
    <row r="48" spans="1:21" ht="15" customHeight="1">
      <c r="B48" s="634"/>
      <c r="C48" s="634"/>
      <c r="D48" s="504"/>
      <c r="E48" s="652"/>
      <c r="F48" s="650"/>
      <c r="G48" s="384"/>
      <c r="H48" s="384"/>
      <c r="I48" s="519"/>
      <c r="J48" s="384"/>
      <c r="K48" s="1918" t="s">
        <v>1851</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8" t="s">
        <v>1609</v>
      </c>
      <c r="C52" s="1938"/>
      <c r="D52" s="1938"/>
      <c r="E52" s="1938"/>
      <c r="F52" s="650"/>
      <c r="G52" s="518">
        <f>SUM(E42:E49)-ABS(E50)-ABS(E51)</f>
        <v>5400000</v>
      </c>
      <c r="H52" s="384"/>
      <c r="I52" s="519"/>
      <c r="J52" s="384"/>
    </row>
    <row r="53" spans="1:29" ht="15" customHeight="1">
      <c r="C53" s="523"/>
      <c r="D53" s="523" t="s">
        <v>875</v>
      </c>
      <c r="E53" s="523"/>
      <c r="F53" s="523"/>
      <c r="G53" s="524">
        <f>SUM(G38:G40)+G52</f>
        <v>5400000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1" t="s">
        <v>1264</v>
      </c>
      <c r="C56" s="1941"/>
      <c r="D56" s="650"/>
      <c r="E56" s="650"/>
      <c r="F56" s="650"/>
      <c r="G56" s="650"/>
      <c r="H56" s="650"/>
      <c r="I56" s="650"/>
      <c r="J56" s="650"/>
      <c r="K56" s="650"/>
      <c r="L56" s="650"/>
      <c r="M56" s="650"/>
      <c r="N56" s="650"/>
      <c r="O56" s="650"/>
      <c r="P56" s="650"/>
      <c r="U56" s="952" t="s">
        <v>1796</v>
      </c>
      <c r="AC56" s="953">
        <v>0.2</v>
      </c>
    </row>
    <row r="57" spans="1:29" ht="15" customHeight="1">
      <c r="A57" s="521"/>
      <c r="B57" s="1942" t="s">
        <v>1604</v>
      </c>
      <c r="C57" s="1942"/>
      <c r="D57" s="1942"/>
      <c r="E57" s="1942"/>
      <c r="F57" s="1942"/>
      <c r="G57" s="1942"/>
      <c r="H57" s="1942"/>
      <c r="I57" s="1942"/>
      <c r="J57" s="1942"/>
      <c r="K57" s="1942"/>
      <c r="L57" s="1942"/>
      <c r="M57" s="1942"/>
      <c r="N57" s="1942"/>
      <c r="O57" s="1942"/>
      <c r="P57" s="650"/>
      <c r="U57" s="952" t="s">
        <v>1797</v>
      </c>
      <c r="AC57" s="953">
        <v>0.1</v>
      </c>
    </row>
    <row r="58" spans="1:29" ht="15" customHeight="1">
      <c r="B58" s="1933" t="s">
        <v>2222</v>
      </c>
      <c r="C58" s="1934"/>
      <c r="D58" s="1934"/>
      <c r="E58" s="1934"/>
      <c r="F58" s="526"/>
      <c r="G58" s="526"/>
      <c r="H58" s="516"/>
      <c r="I58" s="516"/>
      <c r="J58" s="1935">
        <f>('Sources and Uses Budget'!D104+Q47)/('Sources and Uses Budget'!B104+Q48)</f>
        <v>0</v>
      </c>
      <c r="K58" s="1936"/>
      <c r="L58" s="1936"/>
      <c r="M58" s="1936"/>
      <c r="N58" s="1937"/>
      <c r="O58" s="516"/>
      <c r="P58" s="516"/>
      <c r="U58" s="952" t="s">
        <v>1798</v>
      </c>
      <c r="AC58" s="953">
        <v>0.1</v>
      </c>
    </row>
    <row r="59" spans="1:29" ht="15" customHeight="1">
      <c r="B59" s="1916" t="s">
        <v>2121</v>
      </c>
      <c r="C59" s="1916"/>
      <c r="D59" s="1916"/>
      <c r="E59" s="1916"/>
      <c r="F59" s="1916"/>
      <c r="G59" s="1916"/>
      <c r="H59" s="1916"/>
      <c r="I59" s="1916"/>
      <c r="J59" s="1916"/>
      <c r="K59" s="1916"/>
      <c r="L59" s="1916"/>
      <c r="M59" s="1916"/>
      <c r="N59" s="1916"/>
      <c r="O59" s="1916"/>
      <c r="P59" s="516"/>
      <c r="U59" s="952" t="s">
        <v>1799</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2225</v>
      </c>
      <c r="K63" s="1949"/>
      <c r="L63" s="1949"/>
      <c r="M63" s="1949"/>
      <c r="N63" s="1949"/>
      <c r="O63" s="1949"/>
      <c r="P63" s="1949"/>
      <c r="Q63" s="1949"/>
      <c r="R63" s="1949"/>
    </row>
    <row r="64" spans="1:29" ht="15" customHeight="1" thickBot="1">
      <c r="B64" s="1941" t="s">
        <v>1614</v>
      </c>
      <c r="C64" s="1941"/>
      <c r="D64" s="376"/>
      <c r="F64" s="376"/>
      <c r="G64" s="523" t="s">
        <v>1852</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1683</v>
      </c>
      <c r="C66" s="638">
        <f>Application!AG430-Application!AG431</f>
        <v>120</v>
      </c>
      <c r="D66" s="788"/>
      <c r="E66" s="528" t="s">
        <v>1855</v>
      </c>
      <c r="F66" s="788"/>
      <c r="G66" s="655"/>
      <c r="H66" s="529"/>
      <c r="I66" s="759"/>
      <c r="J66" s="1950"/>
      <c r="K66" s="1951"/>
      <c r="L66" s="1951"/>
      <c r="M66" s="1951"/>
      <c r="N66" s="1951"/>
      <c r="O66" s="1951"/>
      <c r="P66" s="1951"/>
      <c r="Q66" s="1951"/>
      <c r="R66" s="1951"/>
      <c r="U66" s="951">
        <f>IF(J67="Non-rural project, Census Tract is High Resource (10 percentage points)",AC57,0)</f>
        <v>0.1</v>
      </c>
    </row>
    <row r="67" spans="1:22" ht="15" customHeight="1" thickBot="1">
      <c r="B67" s="528" t="s">
        <v>1603</v>
      </c>
      <c r="C67" s="639">
        <f>MIN(IF(AND(C65="Yes",G67&gt;=50),(0.75+(G67/200)),1),1.5)</f>
        <v>1.35</v>
      </c>
      <c r="D67" s="529"/>
      <c r="E67" s="528" t="s">
        <v>1684</v>
      </c>
      <c r="G67" s="638">
        <f>C66+G66</f>
        <v>120</v>
      </c>
      <c r="H67" s="529"/>
      <c r="I67" s="759"/>
      <c r="J67" s="1947" t="s">
        <v>1797</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0.1</v>
      </c>
    </row>
    <row r="70" spans="1:22" ht="15" customHeight="1" thickBot="1">
      <c r="B70" s="508" t="s">
        <v>1611</v>
      </c>
      <c r="C70" s="508"/>
      <c r="D70" s="508"/>
      <c r="E70" s="508"/>
      <c r="F70" s="508"/>
      <c r="G70" s="508"/>
      <c r="U70" s="1931"/>
      <c r="V70" s="373" t="s">
        <v>1800</v>
      </c>
    </row>
    <row r="71" spans="1:22" ht="15" customHeight="1">
      <c r="B71" s="1938" t="s">
        <v>1615</v>
      </c>
      <c r="C71" s="1938"/>
      <c r="D71" s="1938"/>
      <c r="E71" s="508"/>
      <c r="F71" s="508"/>
      <c r="G71" s="518">
        <f>G53*(1-J58)</f>
        <v>5400000</v>
      </c>
      <c r="J71" s="530"/>
      <c r="K71" s="687" t="s">
        <v>1617</v>
      </c>
      <c r="L71" s="687"/>
      <c r="M71" s="687"/>
      <c r="N71" s="687"/>
      <c r="O71" s="687"/>
      <c r="Q71" s="1920">
        <f>'Basis &amp; Credits'!T23+'Basis &amp; Credits'!Y23+'Basis &amp; Credits'!AD23+'Basis &amp; Credits'!AI23</f>
        <v>27777778</v>
      </c>
      <c r="R71" s="1920"/>
    </row>
    <row r="72" spans="1:22" ht="15" customHeight="1">
      <c r="B72" s="1952" t="s">
        <v>1616</v>
      </c>
      <c r="C72" s="1952"/>
      <c r="D72" s="1952"/>
      <c r="E72" s="508"/>
      <c r="F72" s="508"/>
      <c r="G72" s="518">
        <f>G71*C67</f>
        <v>7290000.0000000009</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7290000.0000000009</v>
      </c>
      <c r="C75" s="1954"/>
      <c r="D75" s="1954"/>
      <c r="E75" s="1954"/>
      <c r="F75" s="1954"/>
      <c r="G75" s="1954"/>
      <c r="H75" s="531"/>
      <c r="I75" s="1926" t="s">
        <v>139</v>
      </c>
      <c r="J75" s="1927" t="s">
        <v>992</v>
      </c>
      <c r="K75" s="1926">
        <v>1</v>
      </c>
      <c r="M75" s="395"/>
      <c r="N75" s="510"/>
      <c r="O75" s="657">
        <f>$Q$71</f>
        <v>27777778</v>
      </c>
      <c r="P75" s="1927" t="s">
        <v>1940</v>
      </c>
      <c r="Q75" s="1955" t="s">
        <v>138</v>
      </c>
      <c r="R75" s="1958">
        <f>((B75/B76)+((1-(O75/O76))/2))+U69</f>
        <v>0.41375488076118216</v>
      </c>
    </row>
    <row r="76" spans="1:22" ht="15" customHeight="1" thickBot="1">
      <c r="B76" s="1956">
        <f>'Sources and Uses Budget'!$C$104+$Q$46-($E$50+$E$51)*(1-$J$58)</f>
        <v>35431205</v>
      </c>
      <c r="C76" s="1957"/>
      <c r="D76" s="1957"/>
      <c r="E76" s="1957"/>
      <c r="F76" s="1957"/>
      <c r="G76" s="1956"/>
      <c r="I76" s="1926"/>
      <c r="J76" s="1927"/>
      <c r="K76" s="1926"/>
      <c r="M76" s="648"/>
      <c r="O76" s="656">
        <f>B76</f>
        <v>35431205</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7"/>
      <c r="R84" s="1917"/>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7"/>
      <c r="R89" s="1917"/>
    </row>
    <row r="90" spans="2:18" ht="15" customHeight="1">
      <c r="B90" s="497" t="s">
        <v>615</v>
      </c>
      <c r="C90" s="498"/>
      <c r="D90" s="499"/>
      <c r="E90" s="499"/>
      <c r="F90" s="540"/>
      <c r="G90" s="384">
        <f>MAX(($E90-$D90)*$C90*12,0)</f>
        <v>0</v>
      </c>
      <c r="I90" s="519"/>
      <c r="K90" s="756" t="s">
        <v>1626</v>
      </c>
      <c r="L90" s="684"/>
      <c r="M90" s="684"/>
      <c r="N90" s="684"/>
      <c r="O90" s="684"/>
      <c r="P90" s="684"/>
      <c r="Q90" s="1960"/>
      <c r="R90" s="1960"/>
    </row>
    <row r="91" spans="2:18" ht="15" customHeight="1">
      <c r="B91" s="497" t="s">
        <v>615</v>
      </c>
      <c r="C91" s="498"/>
      <c r="D91" s="499"/>
      <c r="E91" s="499"/>
      <c r="F91" s="540"/>
      <c r="G91" s="384">
        <f t="shared" ref="G91:G97" si="0">MAX(($E91-$D91)*$C91*12,0)</f>
        <v>0</v>
      </c>
      <c r="I91" s="519"/>
      <c r="K91" s="756" t="s">
        <v>1629</v>
      </c>
      <c r="L91" s="684"/>
      <c r="M91" s="684"/>
      <c r="N91" s="684"/>
      <c r="O91" s="684"/>
      <c r="P91" s="684"/>
      <c r="Q91" s="1921">
        <f>IFERROR(Q89/Q90,0)</f>
        <v>0</v>
      </c>
      <c r="R91" s="1921"/>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30" workbookViewId="0">
      <selection activeCell="E66" sqref="E66"/>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1104480</v>
      </c>
      <c r="F4" s="384"/>
      <c r="G4" s="384">
        <f>E4*$C$4</f>
        <v>1132092</v>
      </c>
      <c r="H4" s="384"/>
      <c r="I4" s="384">
        <f>G4*$C$4</f>
        <v>1160394.2999999998</v>
      </c>
      <c r="J4" s="384"/>
      <c r="K4" s="384">
        <f>I4*$C$4</f>
        <v>1189404.1574999997</v>
      </c>
      <c r="L4" s="384"/>
      <c r="M4" s="384">
        <f>K4*$C$4</f>
        <v>1219139.2614374997</v>
      </c>
      <c r="N4" s="384"/>
      <c r="O4" s="384">
        <f>M4*$C$4</f>
        <v>1249617.7429734371</v>
      </c>
      <c r="P4" s="384"/>
      <c r="Q4" s="384">
        <f>O4*$C$4</f>
        <v>1280858.186547773</v>
      </c>
      <c r="R4" s="384"/>
      <c r="S4" s="384">
        <f>Q4*$C$4</f>
        <v>1312879.6412114671</v>
      </c>
      <c r="T4" s="384"/>
      <c r="U4" s="384">
        <f>S4*$C$4</f>
        <v>1345701.6322417536</v>
      </c>
      <c r="V4" s="384"/>
      <c r="W4" s="384">
        <f>U4*$C$4</f>
        <v>1379344.1730477973</v>
      </c>
      <c r="X4" s="384"/>
      <c r="Y4" s="384">
        <f>W4*$C$4</f>
        <v>1413827.7773739921</v>
      </c>
      <c r="Z4" s="384"/>
      <c r="AA4" s="384">
        <f>Y4*$C$4</f>
        <v>1449173.4718083418</v>
      </c>
      <c r="AB4" s="384"/>
      <c r="AC4" s="384">
        <f>AA4*$C$4</f>
        <v>1485402.8086035503</v>
      </c>
      <c r="AD4" s="384"/>
      <c r="AE4" s="384">
        <f>AC4*$C$4</f>
        <v>1522537.8788186389</v>
      </c>
      <c r="AF4" s="384"/>
      <c r="AG4" s="384">
        <f>AE4*$C$4</f>
        <v>1560601.3257891047</v>
      </c>
      <c r="AH4" s="384"/>
    </row>
    <row r="5" spans="1:34" ht="14.25">
      <c r="A5" s="376"/>
      <c r="B5" s="376" t="s">
        <v>988</v>
      </c>
      <c r="C5" s="408">
        <f>IF(Application!$D$214="Special Needs",0.1,0.05)</f>
        <v>0.05</v>
      </c>
      <c r="D5" s="376"/>
      <c r="E5" s="386">
        <f>-E4*$C$5</f>
        <v>-55224</v>
      </c>
      <c r="F5" s="386"/>
      <c r="G5" s="386">
        <f>-G4*$C$5</f>
        <v>-56604.600000000006</v>
      </c>
      <c r="H5" s="386"/>
      <c r="I5" s="386">
        <f>-I4*$C$5</f>
        <v>-58019.714999999997</v>
      </c>
      <c r="J5" s="386"/>
      <c r="K5" s="386">
        <f>-K4*$C$5</f>
        <v>-59470.207874999993</v>
      </c>
      <c r="L5" s="386"/>
      <c r="M5" s="386">
        <f>-M4*$C$5</f>
        <v>-60956.963071874983</v>
      </c>
      <c r="N5" s="386"/>
      <c r="O5" s="386">
        <f>-O4*$C$5</f>
        <v>-62480.887148671856</v>
      </c>
      <c r="P5" s="386"/>
      <c r="Q5" s="386">
        <f>-Q4*$C$5</f>
        <v>-64042.909327388654</v>
      </c>
      <c r="R5" s="386"/>
      <c r="S5" s="386">
        <f>-S4*$C$5</f>
        <v>-65643.982060573355</v>
      </c>
      <c r="T5" s="386"/>
      <c r="U5" s="386">
        <f>-U4*$C$5</f>
        <v>-67285.081612087684</v>
      </c>
      <c r="V5" s="386"/>
      <c r="W5" s="386">
        <f>-W4*$C$5</f>
        <v>-68967.208652389862</v>
      </c>
      <c r="X5" s="386"/>
      <c r="Y5" s="386">
        <f>-Y4*$C$5</f>
        <v>-70691.388868699607</v>
      </c>
      <c r="Z5" s="386"/>
      <c r="AA5" s="386">
        <f>-AA4*$C$5</f>
        <v>-72458.673590417093</v>
      </c>
      <c r="AB5" s="386"/>
      <c r="AC5" s="386">
        <f>-AC4*$C$5</f>
        <v>-74270.140430177518</v>
      </c>
      <c r="AD5" s="386"/>
      <c r="AE5" s="386">
        <f>-AE4*$C$5</f>
        <v>-76126.893940931943</v>
      </c>
      <c r="AF5" s="386"/>
      <c r="AG5" s="386">
        <f>-AG4*$C$5</f>
        <v>-78030.066289455237</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23040</v>
      </c>
      <c r="F8" s="387"/>
      <c r="G8" s="387">
        <f>E8*$C$8</f>
        <v>23615.999999999996</v>
      </c>
      <c r="H8" s="387"/>
      <c r="I8" s="387">
        <f>G8*$C$8</f>
        <v>24206.399999999994</v>
      </c>
      <c r="J8" s="387"/>
      <c r="K8" s="387">
        <f>I8*$C$8</f>
        <v>24811.55999999999</v>
      </c>
      <c r="L8" s="387"/>
      <c r="M8" s="387">
        <f>K8*$C$8</f>
        <v>25431.848999999987</v>
      </c>
      <c r="N8" s="387"/>
      <c r="O8" s="387">
        <f>M8*$C$8</f>
        <v>26067.645224999986</v>
      </c>
      <c r="P8" s="387"/>
      <c r="Q8" s="387">
        <f>O8*$C$8</f>
        <v>26719.336355624982</v>
      </c>
      <c r="R8" s="387"/>
      <c r="S8" s="387">
        <f>Q8*$C$8</f>
        <v>27387.319764515603</v>
      </c>
      <c r="T8" s="387"/>
      <c r="U8" s="387">
        <f>S8*$C$8</f>
        <v>28072.002758628492</v>
      </c>
      <c r="V8" s="387"/>
      <c r="W8" s="387">
        <f>U8*$C$8</f>
        <v>28773.802827594202</v>
      </c>
      <c r="X8" s="387"/>
      <c r="Y8" s="387">
        <f>W8*$C$8</f>
        <v>29493.147898284053</v>
      </c>
      <c r="Z8" s="387"/>
      <c r="AA8" s="387">
        <f>Y8*$C$8</f>
        <v>30230.476595741151</v>
      </c>
      <c r="AB8" s="387"/>
      <c r="AC8" s="387">
        <f>AA8*$C$8</f>
        <v>30986.238510634677</v>
      </c>
      <c r="AD8" s="387"/>
      <c r="AE8" s="387">
        <f>AC8*$C$8</f>
        <v>31760.894473400542</v>
      </c>
      <c r="AF8" s="387"/>
      <c r="AG8" s="387">
        <f>AE8*$C$8</f>
        <v>32554.916835235552</v>
      </c>
      <c r="AH8" s="376"/>
    </row>
    <row r="9" spans="1:34" ht="14.25">
      <c r="A9" s="376"/>
      <c r="B9" s="376" t="s">
        <v>988</v>
      </c>
      <c r="C9" s="408">
        <f>IF(Application!$D$214="Special Needs",0.1,0.05)</f>
        <v>0.05</v>
      </c>
      <c r="D9" s="376"/>
      <c r="E9" s="386">
        <f>-E8*$C$9</f>
        <v>-1152</v>
      </c>
      <c r="F9" s="386"/>
      <c r="G9" s="386">
        <f>-G8*$C$9</f>
        <v>-1180.8</v>
      </c>
      <c r="H9" s="386"/>
      <c r="I9" s="386">
        <f>-I8*$C$9</f>
        <v>-1210.3199999999997</v>
      </c>
      <c r="J9" s="386"/>
      <c r="K9" s="386">
        <f>-K8*$C$9</f>
        <v>-1240.5779999999995</v>
      </c>
      <c r="L9" s="386"/>
      <c r="M9" s="386">
        <f>-M8*$C$9</f>
        <v>-1271.5924499999994</v>
      </c>
      <c r="N9" s="386"/>
      <c r="O9" s="386">
        <f>-O8*$C$9</f>
        <v>-1303.3822612499994</v>
      </c>
      <c r="P9" s="386"/>
      <c r="Q9" s="386">
        <f>-Q8*$C$9</f>
        <v>-1335.9668177812491</v>
      </c>
      <c r="R9" s="386"/>
      <c r="S9" s="386">
        <f>-S8*$C$9</f>
        <v>-1369.3659882257803</v>
      </c>
      <c r="T9" s="386"/>
      <c r="U9" s="386">
        <f>-U8*$C$9</f>
        <v>-1403.6001379314248</v>
      </c>
      <c r="V9" s="386"/>
      <c r="W9" s="386">
        <f>-W8*$C$9</f>
        <v>-1438.6901413797102</v>
      </c>
      <c r="X9" s="386"/>
      <c r="Y9" s="386">
        <f>-Y8*$C$9</f>
        <v>-1474.6573949142028</v>
      </c>
      <c r="Z9" s="386"/>
      <c r="AA9" s="386">
        <f>-AA8*$C$9</f>
        <v>-1511.5238297870576</v>
      </c>
      <c r="AB9" s="386"/>
      <c r="AC9" s="386">
        <f>-AC8*$C$9</f>
        <v>-1549.311925531734</v>
      </c>
      <c r="AD9" s="386"/>
      <c r="AE9" s="386">
        <f>-AE8*$C$9</f>
        <v>-1588.0447236700272</v>
      </c>
      <c r="AF9" s="386"/>
      <c r="AG9" s="386">
        <f>-AG8*$C$9</f>
        <v>-1627.7458417617777</v>
      </c>
      <c r="AH9" s="376"/>
    </row>
    <row r="10" spans="1:34" ht="14.25">
      <c r="A10" s="935" t="s">
        <v>2312</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1071144</v>
      </c>
      <c r="F11" s="388"/>
      <c r="G11" s="388">
        <f>SUM(G4:G10)</f>
        <v>1097922.5999999999</v>
      </c>
      <c r="H11" s="388"/>
      <c r="I11" s="388">
        <f>SUM(I4:I10)</f>
        <v>1125370.6649999996</v>
      </c>
      <c r="J11" s="388"/>
      <c r="K11" s="388">
        <f>SUM(K4:K10)</f>
        <v>1153504.9316249997</v>
      </c>
      <c r="L11" s="388"/>
      <c r="M11" s="388">
        <f>SUM(M4:M10)</f>
        <v>1182342.5549156244</v>
      </c>
      <c r="N11" s="388"/>
      <c r="O11" s="388">
        <f>SUM(O4:O10)</f>
        <v>1211901.1187885155</v>
      </c>
      <c r="P11" s="388"/>
      <c r="Q11" s="388">
        <f>SUM(Q4:Q10)</f>
        <v>1242198.6467582278</v>
      </c>
      <c r="R11" s="388"/>
      <c r="S11" s="388">
        <f>SUM(S4:S10)</f>
        <v>1273253.6129271837</v>
      </c>
      <c r="T11" s="388"/>
      <c r="U11" s="388">
        <f>SUM(U4:U10)</f>
        <v>1305084.9532503628</v>
      </c>
      <c r="V11" s="388"/>
      <c r="W11" s="388">
        <f>SUM(W4:W10)</f>
        <v>1337712.0770816219</v>
      </c>
      <c r="X11" s="388"/>
      <c r="Y11" s="388">
        <f>SUM(Y4:Y10)</f>
        <v>1371154.8790086624</v>
      </c>
      <c r="Z11" s="388"/>
      <c r="AA11" s="388">
        <f>SUM(AA4:AA10)</f>
        <v>1405433.750983879</v>
      </c>
      <c r="AB11" s="388"/>
      <c r="AC11" s="388">
        <f>SUM(AC4:AC10)</f>
        <v>1440569.5947584757</v>
      </c>
      <c r="AD11" s="388"/>
      <c r="AE11" s="388">
        <f>SUM(AE4:AE10)</f>
        <v>1476583.8346274374</v>
      </c>
      <c r="AF11" s="388"/>
      <c r="AG11" s="388">
        <f>SUM(AG4:AG10)</f>
        <v>1513498.4304931234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44250</v>
      </c>
      <c r="F15" s="384"/>
      <c r="G15" s="384">
        <f t="shared" ref="G15:G21" si="0">E15*$C$14</f>
        <v>45798.75</v>
      </c>
      <c r="H15" s="384"/>
      <c r="I15" s="384">
        <f t="shared" ref="I15:I21" si="1">G15*$C$14</f>
        <v>47401.706249999996</v>
      </c>
      <c r="J15" s="384"/>
      <c r="K15" s="384">
        <f t="shared" ref="K15:K21" si="2">I15*$C$14</f>
        <v>49060.765968749991</v>
      </c>
      <c r="L15" s="384"/>
      <c r="M15" s="384">
        <f t="shared" ref="M15:M21" si="3">K15*$C$14</f>
        <v>50777.892777656234</v>
      </c>
      <c r="N15" s="384"/>
      <c r="O15" s="384">
        <f t="shared" ref="O15:O21" si="4">M15*$C$14</f>
        <v>52555.119024874199</v>
      </c>
      <c r="P15" s="384"/>
      <c r="Q15" s="384">
        <f t="shared" ref="Q15:Q21" si="5">O15*$C$14</f>
        <v>54394.54819074479</v>
      </c>
      <c r="R15" s="384"/>
      <c r="S15" s="384">
        <f t="shared" ref="S15:S21" si="6">Q15*$C$14</f>
        <v>56298.357377420856</v>
      </c>
      <c r="T15" s="384"/>
      <c r="U15" s="384">
        <f t="shared" ref="U15:U21" si="7">S15*$C$14</f>
        <v>58268.799885630579</v>
      </c>
      <c r="V15" s="384"/>
      <c r="W15" s="384">
        <f t="shared" ref="W15:W21" si="8">U15*$C$14</f>
        <v>60308.207881627641</v>
      </c>
      <c r="X15" s="384"/>
      <c r="Y15" s="384">
        <f t="shared" ref="Y15:Y21" si="9">W15*$C$14</f>
        <v>62418.995157484605</v>
      </c>
      <c r="Z15" s="384"/>
      <c r="AA15" s="384">
        <f t="shared" ref="AA15:AA21" si="10">Y15*$C$14</f>
        <v>64603.659987996565</v>
      </c>
      <c r="AB15" s="384"/>
      <c r="AC15" s="384">
        <f t="shared" ref="AC15:AC21" si="11">AA15*$C$14</f>
        <v>66864.788087576439</v>
      </c>
      <c r="AD15" s="384"/>
      <c r="AE15" s="384">
        <f t="shared" ref="AE15:AE21" si="12">AC15*$C$14</f>
        <v>69205.05567064161</v>
      </c>
      <c r="AF15" s="384"/>
      <c r="AG15" s="384">
        <f t="shared" ref="AG15:AG21" si="13">AE15*$C$14</f>
        <v>71627.23261911406</v>
      </c>
      <c r="AH15" s="384"/>
    </row>
    <row r="16" spans="1:34" ht="14.25">
      <c r="A16" s="376" t="s">
        <v>468</v>
      </c>
      <c r="B16" s="376"/>
      <c r="C16" s="398"/>
      <c r="D16" s="376"/>
      <c r="E16" s="387">
        <f>Application!W828</f>
        <v>70800</v>
      </c>
      <c r="F16" s="387"/>
      <c r="G16" s="387">
        <f t="shared" si="0"/>
        <v>73278</v>
      </c>
      <c r="H16" s="387"/>
      <c r="I16" s="387">
        <f t="shared" si="1"/>
        <v>75842.73</v>
      </c>
      <c r="J16" s="387"/>
      <c r="K16" s="387">
        <f t="shared" si="2"/>
        <v>78497.225549999988</v>
      </c>
      <c r="L16" s="387"/>
      <c r="M16" s="387">
        <f t="shared" si="3"/>
        <v>81244.628444249975</v>
      </c>
      <c r="N16" s="387"/>
      <c r="O16" s="387">
        <f t="shared" si="4"/>
        <v>84088.190439798724</v>
      </c>
      <c r="P16" s="387"/>
      <c r="Q16" s="387">
        <f t="shared" si="5"/>
        <v>87031.277105191679</v>
      </c>
      <c r="R16" s="387"/>
      <c r="S16" s="387">
        <f t="shared" si="6"/>
        <v>90077.371803873379</v>
      </c>
      <c r="T16" s="387"/>
      <c r="U16" s="387">
        <f t="shared" si="7"/>
        <v>93230.07981700894</v>
      </c>
      <c r="V16" s="387"/>
      <c r="W16" s="387">
        <f t="shared" si="8"/>
        <v>96493.13261060424</v>
      </c>
      <c r="X16" s="387"/>
      <c r="Y16" s="387">
        <f t="shared" si="9"/>
        <v>99870.392251975383</v>
      </c>
      <c r="Z16" s="387"/>
      <c r="AA16" s="387">
        <f t="shared" si="10"/>
        <v>103365.85598079451</v>
      </c>
      <c r="AB16" s="387"/>
      <c r="AC16" s="387">
        <f t="shared" si="11"/>
        <v>106983.66094012231</v>
      </c>
      <c r="AD16" s="387"/>
      <c r="AE16" s="387">
        <f t="shared" si="12"/>
        <v>110728.08907302658</v>
      </c>
      <c r="AF16" s="387"/>
      <c r="AG16" s="387">
        <f t="shared" si="13"/>
        <v>114603.5721905825</v>
      </c>
      <c r="AH16" s="376"/>
    </row>
    <row r="17" spans="1:34" ht="14.25">
      <c r="A17" s="376" t="s">
        <v>734</v>
      </c>
      <c r="B17" s="376"/>
      <c r="C17" s="398"/>
      <c r="D17" s="376"/>
      <c r="E17" s="387">
        <f>Application!W834</f>
        <v>115000</v>
      </c>
      <c r="F17" s="387"/>
      <c r="G17" s="387">
        <f t="shared" si="0"/>
        <v>119024.99999999999</v>
      </c>
      <c r="H17" s="387"/>
      <c r="I17" s="387">
        <f t="shared" si="1"/>
        <v>123190.87499999997</v>
      </c>
      <c r="J17" s="387"/>
      <c r="K17" s="387">
        <f t="shared" si="2"/>
        <v>127502.55562499996</v>
      </c>
      <c r="L17" s="387"/>
      <c r="M17" s="387">
        <f t="shared" si="3"/>
        <v>131965.14507187495</v>
      </c>
      <c r="N17" s="387"/>
      <c r="O17" s="387">
        <f t="shared" si="4"/>
        <v>136583.92514939056</v>
      </c>
      <c r="P17" s="387"/>
      <c r="Q17" s="387">
        <f t="shared" si="5"/>
        <v>141364.36252961922</v>
      </c>
      <c r="R17" s="387"/>
      <c r="S17" s="387">
        <f t="shared" si="6"/>
        <v>146312.11521815587</v>
      </c>
      <c r="T17" s="387"/>
      <c r="U17" s="387">
        <f t="shared" si="7"/>
        <v>151433.03925079131</v>
      </c>
      <c r="V17" s="387"/>
      <c r="W17" s="387">
        <f t="shared" si="8"/>
        <v>156733.19562456899</v>
      </c>
      <c r="X17" s="387"/>
      <c r="Y17" s="387">
        <f t="shared" si="9"/>
        <v>162218.8574714289</v>
      </c>
      <c r="Z17" s="387"/>
      <c r="AA17" s="387">
        <f t="shared" si="10"/>
        <v>167896.5174829289</v>
      </c>
      <c r="AB17" s="387"/>
      <c r="AC17" s="387">
        <f t="shared" si="11"/>
        <v>173772.89559483141</v>
      </c>
      <c r="AD17" s="387"/>
      <c r="AE17" s="387">
        <f t="shared" si="12"/>
        <v>179854.94694065049</v>
      </c>
      <c r="AF17" s="387"/>
      <c r="AG17" s="387">
        <f t="shared" si="13"/>
        <v>186149.87008357325</v>
      </c>
      <c r="AH17" s="376"/>
    </row>
    <row r="18" spans="1:34" ht="14.25">
      <c r="A18" s="376" t="s">
        <v>1079</v>
      </c>
      <c r="B18" s="376"/>
      <c r="C18" s="398"/>
      <c r="D18" s="376"/>
      <c r="E18" s="387">
        <f>Application!W841</f>
        <v>200000</v>
      </c>
      <c r="F18" s="387"/>
      <c r="G18" s="387">
        <f t="shared" si="0"/>
        <v>206999.99999999997</v>
      </c>
      <c r="H18" s="387"/>
      <c r="I18" s="387">
        <f t="shared" si="1"/>
        <v>214244.99999999994</v>
      </c>
      <c r="J18" s="387"/>
      <c r="K18" s="387">
        <f t="shared" si="2"/>
        <v>221743.57499999992</v>
      </c>
      <c r="L18" s="387"/>
      <c r="M18" s="387">
        <f t="shared" si="3"/>
        <v>229504.60012499991</v>
      </c>
      <c r="N18" s="387"/>
      <c r="O18" s="387">
        <f t="shared" si="4"/>
        <v>237537.26112937488</v>
      </c>
      <c r="P18" s="387"/>
      <c r="Q18" s="387">
        <f t="shared" si="5"/>
        <v>245851.06526890298</v>
      </c>
      <c r="R18" s="387"/>
      <c r="S18" s="387">
        <f t="shared" si="6"/>
        <v>254455.85255331456</v>
      </c>
      <c r="T18" s="387"/>
      <c r="U18" s="387">
        <f t="shared" si="7"/>
        <v>263361.80739268055</v>
      </c>
      <c r="V18" s="387"/>
      <c r="W18" s="387">
        <f t="shared" si="8"/>
        <v>272579.47065142437</v>
      </c>
      <c r="X18" s="387"/>
      <c r="Y18" s="387">
        <f t="shared" si="9"/>
        <v>282119.75212422421</v>
      </c>
      <c r="Z18" s="387"/>
      <c r="AA18" s="387">
        <f t="shared" si="10"/>
        <v>291993.94344857201</v>
      </c>
      <c r="AB18" s="387"/>
      <c r="AC18" s="387">
        <f t="shared" si="11"/>
        <v>302213.731469272</v>
      </c>
      <c r="AD18" s="387"/>
      <c r="AE18" s="387">
        <f t="shared" si="12"/>
        <v>312791.21207069646</v>
      </c>
      <c r="AF18" s="387"/>
      <c r="AG18" s="387">
        <f t="shared" si="13"/>
        <v>323738.90449317079</v>
      </c>
    </row>
    <row r="19" spans="1:34" ht="14.25">
      <c r="A19" s="376" t="s">
        <v>931</v>
      </c>
      <c r="B19" s="376"/>
      <c r="C19" s="398"/>
      <c r="D19" s="376"/>
      <c r="E19" s="387">
        <f>Application!W842</f>
        <v>50000</v>
      </c>
      <c r="F19" s="387"/>
      <c r="G19" s="387">
        <f t="shared" si="0"/>
        <v>51749.999999999993</v>
      </c>
      <c r="H19" s="387"/>
      <c r="I19" s="387">
        <f t="shared" si="1"/>
        <v>53561.249999999985</v>
      </c>
      <c r="J19" s="387"/>
      <c r="K19" s="387">
        <f t="shared" si="2"/>
        <v>55435.893749999981</v>
      </c>
      <c r="L19" s="387"/>
      <c r="M19" s="387">
        <f t="shared" si="3"/>
        <v>57376.150031249977</v>
      </c>
      <c r="N19" s="387"/>
      <c r="O19" s="387">
        <f t="shared" si="4"/>
        <v>59384.315282343719</v>
      </c>
      <c r="P19" s="387"/>
      <c r="Q19" s="387">
        <f t="shared" si="5"/>
        <v>61462.766317225745</v>
      </c>
      <c r="R19" s="387"/>
      <c r="S19" s="387">
        <f t="shared" si="6"/>
        <v>63613.96313832864</v>
      </c>
      <c r="T19" s="387"/>
      <c r="U19" s="387">
        <f t="shared" si="7"/>
        <v>65840.451848170138</v>
      </c>
      <c r="V19" s="387"/>
      <c r="W19" s="387">
        <f t="shared" si="8"/>
        <v>68144.867662856093</v>
      </c>
      <c r="X19" s="387"/>
      <c r="Y19" s="387">
        <f t="shared" si="9"/>
        <v>70529.938031056052</v>
      </c>
      <c r="Z19" s="387"/>
      <c r="AA19" s="387">
        <f t="shared" si="10"/>
        <v>72998.485862143003</v>
      </c>
      <c r="AB19" s="387"/>
      <c r="AC19" s="387">
        <f t="shared" si="11"/>
        <v>75553.432867317999</v>
      </c>
      <c r="AD19" s="387"/>
      <c r="AE19" s="387">
        <f t="shared" si="12"/>
        <v>78197.803017674116</v>
      </c>
      <c r="AF19" s="387"/>
      <c r="AG19" s="387">
        <f t="shared" si="13"/>
        <v>80934.726123292698</v>
      </c>
    </row>
    <row r="20" spans="1:34" ht="14.25">
      <c r="A20" s="376" t="s">
        <v>55</v>
      </c>
      <c r="B20" s="376"/>
      <c r="C20" s="398"/>
      <c r="D20" s="376"/>
      <c r="E20" s="387">
        <f>Application!W851</f>
        <v>60000</v>
      </c>
      <c r="F20" s="387"/>
      <c r="G20" s="387">
        <f t="shared" si="0"/>
        <v>62099.999999999993</v>
      </c>
      <c r="H20" s="387"/>
      <c r="I20" s="387">
        <f t="shared" si="1"/>
        <v>64273.499999999985</v>
      </c>
      <c r="J20" s="387"/>
      <c r="K20" s="387">
        <f t="shared" si="2"/>
        <v>66523.07249999998</v>
      </c>
      <c r="L20" s="387"/>
      <c r="M20" s="387">
        <f t="shared" si="3"/>
        <v>68851.38003749997</v>
      </c>
      <c r="N20" s="387"/>
      <c r="O20" s="387">
        <f t="shared" si="4"/>
        <v>71261.17833881246</v>
      </c>
      <c r="P20" s="387"/>
      <c r="Q20" s="387">
        <f t="shared" si="5"/>
        <v>73755.319580670897</v>
      </c>
      <c r="R20" s="387"/>
      <c r="S20" s="387">
        <f t="shared" si="6"/>
        <v>76336.75576599437</v>
      </c>
      <c r="T20" s="387"/>
      <c r="U20" s="387">
        <f t="shared" si="7"/>
        <v>79008.542217804163</v>
      </c>
      <c r="V20" s="387"/>
      <c r="W20" s="387">
        <f t="shared" si="8"/>
        <v>81773.841195427303</v>
      </c>
      <c r="X20" s="387"/>
      <c r="Y20" s="387">
        <f t="shared" si="9"/>
        <v>84635.925637267253</v>
      </c>
      <c r="Z20" s="387"/>
      <c r="AA20" s="387">
        <f t="shared" si="10"/>
        <v>87598.183034571601</v>
      </c>
      <c r="AB20" s="387"/>
      <c r="AC20" s="387">
        <f t="shared" si="11"/>
        <v>90664.119440781593</v>
      </c>
      <c r="AD20" s="387"/>
      <c r="AE20" s="387">
        <f t="shared" si="12"/>
        <v>93837.363621208948</v>
      </c>
      <c r="AF20" s="387"/>
      <c r="AG20" s="387">
        <f t="shared" si="13"/>
        <v>97121.671347951255</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540050</v>
      </c>
      <c r="F22" s="388"/>
      <c r="G22" s="388">
        <f>SUM(G15:G21)</f>
        <v>558951.75</v>
      </c>
      <c r="H22" s="388"/>
      <c r="I22" s="388">
        <f>SUM(I15:I21)</f>
        <v>578515.06124999991</v>
      </c>
      <c r="J22" s="388"/>
      <c r="K22" s="388">
        <f>SUM(K15:K21)</f>
        <v>598763.08839374979</v>
      </c>
      <c r="L22" s="388"/>
      <c r="M22" s="388">
        <f>SUM(M15:M21)</f>
        <v>619719.79648753093</v>
      </c>
      <c r="N22" s="388"/>
      <c r="O22" s="388">
        <f>SUM(O15:O21)</f>
        <v>641409.98936459457</v>
      </c>
      <c r="P22" s="388"/>
      <c r="Q22" s="388">
        <f>SUM(Q15:Q21)</f>
        <v>663859.33899235539</v>
      </c>
      <c r="R22" s="388"/>
      <c r="S22" s="388">
        <f>SUM(S15:S21)</f>
        <v>687094.41585708759</v>
      </c>
      <c r="T22" s="388"/>
      <c r="U22" s="388">
        <f>SUM(U15:U21)</f>
        <v>711142.72041208565</v>
      </c>
      <c r="V22" s="388"/>
      <c r="W22" s="388">
        <f>SUM(W15:W21)</f>
        <v>736032.7156265087</v>
      </c>
      <c r="X22" s="388"/>
      <c r="Y22" s="388">
        <f>SUM(Y15:Y21)</f>
        <v>761793.86067343643</v>
      </c>
      <c r="Z22" s="388"/>
      <c r="AA22" s="388">
        <f>SUM(AA15:AA21)</f>
        <v>788456.64579700667</v>
      </c>
      <c r="AB22" s="388"/>
      <c r="AC22" s="388">
        <f>SUM(AC15:AC21)</f>
        <v>816052.62839990179</v>
      </c>
      <c r="AD22" s="388"/>
      <c r="AE22" s="388">
        <f>SUM(AE15:AE21)</f>
        <v>844614.4703938982</v>
      </c>
      <c r="AF22" s="388"/>
      <c r="AG22" s="388">
        <f>SUM(AG15:AG21)</f>
        <v>874175.97685768455</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24600</v>
      </c>
      <c r="F27" s="387"/>
      <c r="G27" s="387">
        <f>E27*$C$27</f>
        <v>25460.999999999996</v>
      </c>
      <c r="H27" s="387"/>
      <c r="I27" s="387">
        <f>G27*$C$27</f>
        <v>26352.134999999995</v>
      </c>
      <c r="J27" s="387"/>
      <c r="K27" s="387">
        <f>I27*$C$27</f>
        <v>27274.459724999993</v>
      </c>
      <c r="L27" s="387"/>
      <c r="M27" s="387">
        <f>K27*$C$27</f>
        <v>28229.06581537499</v>
      </c>
      <c r="N27" s="387"/>
      <c r="O27" s="387">
        <f>M27*$C$27</f>
        <v>29217.083118913113</v>
      </c>
      <c r="P27" s="387"/>
      <c r="Q27" s="387">
        <f>O27*$C$27</f>
        <v>30239.681028075069</v>
      </c>
      <c r="R27" s="387"/>
      <c r="S27" s="387">
        <f>Q27*$C$27</f>
        <v>31298.069864057692</v>
      </c>
      <c r="T27" s="387"/>
      <c r="U27" s="387">
        <f>S27*$C$27</f>
        <v>32393.502309299707</v>
      </c>
      <c r="V27" s="387"/>
      <c r="W27" s="387">
        <f>U27*$C$27</f>
        <v>33527.274890125191</v>
      </c>
      <c r="X27" s="387"/>
      <c r="Y27" s="387">
        <f>W27*$C$27</f>
        <v>34700.729511279569</v>
      </c>
      <c r="Z27" s="387"/>
      <c r="AA27" s="387">
        <f>Y27*$C$27</f>
        <v>35915.255044174351</v>
      </c>
      <c r="AB27" s="387"/>
      <c r="AC27" s="387">
        <f>AA27*$C$27</f>
        <v>37172.288970720452</v>
      </c>
      <c r="AD27" s="387"/>
      <c r="AE27" s="387">
        <f>AC27*$C$27</f>
        <v>38473.319084695664</v>
      </c>
      <c r="AF27" s="387"/>
      <c r="AG27" s="387">
        <f>AE27*$C$27</f>
        <v>39819.885252660009</v>
      </c>
    </row>
    <row r="28" spans="1:34" ht="14.25">
      <c r="A28" s="599" t="s">
        <v>1082</v>
      </c>
      <c r="B28" s="376"/>
      <c r="C28" s="407"/>
      <c r="D28" s="376"/>
      <c r="E28" s="387">
        <f>Application!AC868</f>
        <v>30000</v>
      </c>
      <c r="F28" s="387"/>
      <c r="G28" s="387">
        <f>$E$28</f>
        <v>30000</v>
      </c>
      <c r="H28" s="387"/>
      <c r="I28" s="387">
        <f>$E$28</f>
        <v>30000</v>
      </c>
      <c r="J28" s="387"/>
      <c r="K28" s="387">
        <f>$E$28</f>
        <v>30000</v>
      </c>
      <c r="L28" s="387"/>
      <c r="M28" s="387">
        <f>$E$28</f>
        <v>30000</v>
      </c>
      <c r="N28" s="387"/>
      <c r="O28" s="387">
        <f>$E$28</f>
        <v>30000</v>
      </c>
      <c r="P28" s="387"/>
      <c r="Q28" s="387">
        <f>$E$28</f>
        <v>30000</v>
      </c>
      <c r="R28" s="387"/>
      <c r="S28" s="387">
        <f>$E$28</f>
        <v>30000</v>
      </c>
      <c r="T28" s="387"/>
      <c r="U28" s="387">
        <f>$E$28</f>
        <v>30000</v>
      </c>
      <c r="V28" s="387"/>
      <c r="W28" s="387">
        <f>$E$28</f>
        <v>30000</v>
      </c>
      <c r="X28" s="387"/>
      <c r="Y28" s="387">
        <f>$E$28</f>
        <v>30000</v>
      </c>
      <c r="Z28" s="387"/>
      <c r="AA28" s="387">
        <f>$E$28</f>
        <v>30000</v>
      </c>
      <c r="AB28" s="387"/>
      <c r="AC28" s="387">
        <f>$E$28</f>
        <v>30000</v>
      </c>
      <c r="AD28" s="387"/>
      <c r="AE28" s="387">
        <f>$E$28</f>
        <v>30000</v>
      </c>
      <c r="AF28" s="387"/>
      <c r="AG28" s="387">
        <f>$E$28</f>
        <v>30000</v>
      </c>
    </row>
    <row r="29" spans="1:34" ht="14.25">
      <c r="A29" s="599" t="s">
        <v>1937</v>
      </c>
      <c r="B29" s="376"/>
      <c r="C29" s="407"/>
      <c r="D29" s="376"/>
      <c r="E29" s="387">
        <f>Application!AC869</f>
        <v>7500</v>
      </c>
      <c r="F29" s="387"/>
      <c r="G29" s="387">
        <f>$E$29</f>
        <v>7500</v>
      </c>
      <c r="H29" s="387"/>
      <c r="I29" s="387">
        <f>$E$29</f>
        <v>7500</v>
      </c>
      <c r="J29" s="387"/>
      <c r="K29" s="387">
        <f>$E$29</f>
        <v>7500</v>
      </c>
      <c r="L29" s="387"/>
      <c r="M29" s="387">
        <f>$E$29</f>
        <v>7500</v>
      </c>
      <c r="N29" s="387"/>
      <c r="O29" s="387">
        <f>$E$29</f>
        <v>7500</v>
      </c>
      <c r="P29" s="387"/>
      <c r="Q29" s="387">
        <f>$E$29</f>
        <v>7500</v>
      </c>
      <c r="R29" s="387"/>
      <c r="S29" s="387">
        <f>$E$29</f>
        <v>7500</v>
      </c>
      <c r="T29" s="387"/>
      <c r="U29" s="387">
        <f>$E$29</f>
        <v>7500</v>
      </c>
      <c r="V29" s="387"/>
      <c r="W29" s="387">
        <f>$E$29</f>
        <v>7500</v>
      </c>
      <c r="X29" s="387"/>
      <c r="Y29" s="387">
        <f>$E$29</f>
        <v>7500</v>
      </c>
      <c r="Z29" s="387"/>
      <c r="AA29" s="387">
        <f>$E$29</f>
        <v>7500</v>
      </c>
      <c r="AB29" s="387"/>
      <c r="AC29" s="387">
        <f>$E$29</f>
        <v>7500</v>
      </c>
      <c r="AD29" s="387"/>
      <c r="AE29" s="387">
        <f>$E$29</f>
        <v>7500</v>
      </c>
      <c r="AF29" s="387"/>
      <c r="AG29" s="387">
        <f>$E$29</f>
        <v>7500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602150</v>
      </c>
      <c r="F35" s="388"/>
      <c r="G35" s="388">
        <f>SUM(G22:G33)</f>
        <v>621912.75</v>
      </c>
      <c r="H35" s="388"/>
      <c r="I35" s="388">
        <f>SUM(I22:I33)</f>
        <v>642367.19624999992</v>
      </c>
      <c r="J35" s="388"/>
      <c r="K35" s="388">
        <f>SUM(K22:K33)</f>
        <v>663537.54811874975</v>
      </c>
      <c r="L35" s="388"/>
      <c r="M35" s="388">
        <f>SUM(M22:M33)</f>
        <v>685448.86230290588</v>
      </c>
      <c r="N35" s="388"/>
      <c r="O35" s="388">
        <f>SUM(O22:O33)</f>
        <v>708127.07248350768</v>
      </c>
      <c r="P35" s="388"/>
      <c r="Q35" s="388">
        <f>SUM(Q22:Q33)</f>
        <v>731599.02002043044</v>
      </c>
      <c r="R35" s="388"/>
      <c r="S35" s="388">
        <f>SUM(S22:S33)</f>
        <v>755892.48572114529</v>
      </c>
      <c r="T35" s="388"/>
      <c r="U35" s="388">
        <f>SUM(U22:U33)</f>
        <v>781036.2227213853</v>
      </c>
      <c r="V35" s="388"/>
      <c r="W35" s="388">
        <f>SUM(W22:W33)</f>
        <v>807059.99051663384</v>
      </c>
      <c r="X35" s="388"/>
      <c r="Y35" s="388">
        <f>SUM(Y22:Y33)</f>
        <v>833994.59018471604</v>
      </c>
      <c r="Z35" s="388"/>
      <c r="AA35" s="388">
        <f>SUM(AA22:AA33)</f>
        <v>861871.90084118105</v>
      </c>
      <c r="AB35" s="388"/>
      <c r="AC35" s="388">
        <f>SUM(AC22:AC33)</f>
        <v>890724.91737062228</v>
      </c>
      <c r="AD35" s="388"/>
      <c r="AE35" s="388">
        <f>SUM(AE22:AE33)</f>
        <v>920587.78947859386</v>
      </c>
      <c r="AF35" s="388"/>
      <c r="AG35" s="388">
        <f>SUM(AG22:AG33)</f>
        <v>951495.86211034458</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468994</v>
      </c>
      <c r="F37" s="388"/>
      <c r="G37" s="388">
        <f>G11-G35</f>
        <v>476009.84999999986</v>
      </c>
      <c r="H37" s="388"/>
      <c r="I37" s="388">
        <f>I11-I35</f>
        <v>483003.46874999965</v>
      </c>
      <c r="J37" s="388"/>
      <c r="K37" s="388">
        <f>K11-K35</f>
        <v>489967.38350624999</v>
      </c>
      <c r="L37" s="388"/>
      <c r="M37" s="388">
        <f>M11-M35</f>
        <v>496893.69261271856</v>
      </c>
      <c r="N37" s="388"/>
      <c r="O37" s="388">
        <f>O11-O35</f>
        <v>503774.04630500777</v>
      </c>
      <c r="P37" s="388"/>
      <c r="Q37" s="388">
        <f>Q11-Q35</f>
        <v>510599.6267377974</v>
      </c>
      <c r="R37" s="388"/>
      <c r="S37" s="388">
        <f>S11-S35</f>
        <v>517361.12720603845</v>
      </c>
      <c r="T37" s="388"/>
      <c r="U37" s="388">
        <f>U11-U35</f>
        <v>524048.73052897747</v>
      </c>
      <c r="V37" s="388"/>
      <c r="W37" s="388">
        <f>W11-W35</f>
        <v>530652.08656498801</v>
      </c>
      <c r="X37" s="388"/>
      <c r="Y37" s="388">
        <f>Y11-Y35</f>
        <v>537160.28882394638</v>
      </c>
      <c r="Z37" s="388"/>
      <c r="AA37" s="388">
        <f>AA11-AA35</f>
        <v>543561.85014269792</v>
      </c>
      <c r="AB37" s="388"/>
      <c r="AC37" s="388">
        <f>AC11-AC35</f>
        <v>549844.67738785339</v>
      </c>
      <c r="AD37" s="388"/>
      <c r="AE37" s="388">
        <f>AE11-AE35</f>
        <v>555996.04514884355</v>
      </c>
      <c r="AF37" s="388"/>
      <c r="AG37" s="388">
        <f>AG11-AG35</f>
        <v>562002.56838277879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Banner Bank</v>
      </c>
      <c r="B40" s="391"/>
      <c r="C40" s="385"/>
      <c r="D40" s="376"/>
      <c r="E40" s="384">
        <v>390828</v>
      </c>
      <c r="F40" s="384"/>
      <c r="G40" s="384">
        <f>$E$40</f>
        <v>390828</v>
      </c>
      <c r="H40" s="384"/>
      <c r="I40" s="384">
        <f>$E$40</f>
        <v>390828</v>
      </c>
      <c r="J40" s="384"/>
      <c r="K40" s="384">
        <f>$E$40</f>
        <v>390828</v>
      </c>
      <c r="L40" s="384"/>
      <c r="M40" s="384">
        <f>$E$40</f>
        <v>390828</v>
      </c>
      <c r="N40" s="384"/>
      <c r="O40" s="384">
        <f>$E$40</f>
        <v>390828</v>
      </c>
      <c r="P40" s="384"/>
      <c r="Q40" s="384">
        <f>$E$40</f>
        <v>390828</v>
      </c>
      <c r="R40" s="384"/>
      <c r="S40" s="384">
        <f>$E$40</f>
        <v>390828</v>
      </c>
      <c r="T40" s="384"/>
      <c r="U40" s="384">
        <f>$E$40</f>
        <v>390828</v>
      </c>
      <c r="V40" s="384"/>
      <c r="W40" s="384">
        <f>$E$40</f>
        <v>390828</v>
      </c>
      <c r="X40" s="384"/>
      <c r="Y40" s="384">
        <f>$E$40</f>
        <v>390828</v>
      </c>
      <c r="Z40" s="384"/>
      <c r="AA40" s="384">
        <f>$E$40</f>
        <v>390828</v>
      </c>
      <c r="AB40" s="384"/>
      <c r="AC40" s="384">
        <f>$E$40</f>
        <v>390828</v>
      </c>
      <c r="AD40" s="384"/>
      <c r="AE40" s="384">
        <f>$E$40</f>
        <v>390828</v>
      </c>
      <c r="AF40" s="384"/>
      <c r="AG40" s="384">
        <f>$E$40</f>
        <v>390828</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390828</v>
      </c>
      <c r="F43" s="388"/>
      <c r="G43" s="388">
        <f>SUM(G40:G42)</f>
        <v>390828</v>
      </c>
      <c r="H43" s="388"/>
      <c r="I43" s="388">
        <f>SUM(I40:I42)</f>
        <v>390828</v>
      </c>
      <c r="J43" s="388"/>
      <c r="K43" s="388">
        <f>SUM(K40:K42)</f>
        <v>390828</v>
      </c>
      <c r="L43" s="388"/>
      <c r="M43" s="388">
        <f>SUM(M40:M42)</f>
        <v>390828</v>
      </c>
      <c r="N43" s="388"/>
      <c r="O43" s="388">
        <f>SUM(O40:O42)</f>
        <v>390828</v>
      </c>
      <c r="P43" s="388"/>
      <c r="Q43" s="388">
        <f>SUM(Q40:Q42)</f>
        <v>390828</v>
      </c>
      <c r="R43" s="388"/>
      <c r="S43" s="388">
        <f>SUM(S40:S42)</f>
        <v>390828</v>
      </c>
      <c r="T43" s="388"/>
      <c r="U43" s="388">
        <f>SUM(U40:U42)</f>
        <v>390828</v>
      </c>
      <c r="V43" s="388"/>
      <c r="W43" s="388">
        <f>SUM(W40:W42)</f>
        <v>390828</v>
      </c>
      <c r="X43" s="388"/>
      <c r="Y43" s="388">
        <f>SUM(Y40:Y42)</f>
        <v>390828</v>
      </c>
      <c r="Z43" s="388"/>
      <c r="AA43" s="388">
        <f>SUM(AA40:AA42)</f>
        <v>390828</v>
      </c>
      <c r="AB43" s="388"/>
      <c r="AC43" s="388">
        <f>SUM(AC40:AC42)</f>
        <v>390828</v>
      </c>
      <c r="AD43" s="388"/>
      <c r="AE43" s="388">
        <f>SUM(AE40:AE42)</f>
        <v>390828</v>
      </c>
      <c r="AF43" s="388"/>
      <c r="AG43" s="388">
        <f>SUM(AG40:AG42)</f>
        <v>390828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78166</v>
      </c>
      <c r="F45" s="388"/>
      <c r="G45" s="388">
        <f>G37-G43</f>
        <v>85181.84999999986</v>
      </c>
      <c r="H45" s="388"/>
      <c r="I45" s="388">
        <f>I37-I43</f>
        <v>92175.468749999651</v>
      </c>
      <c r="J45" s="388"/>
      <c r="K45" s="388">
        <f>K37-K43</f>
        <v>99139.383506249986</v>
      </c>
      <c r="L45" s="388"/>
      <c r="M45" s="388">
        <f>M37-M43</f>
        <v>106065.69261271856</v>
      </c>
      <c r="N45" s="388"/>
      <c r="O45" s="388">
        <f>O37-O43</f>
        <v>112946.04630500777</v>
      </c>
      <c r="P45" s="388"/>
      <c r="Q45" s="388">
        <f>Q37-Q43</f>
        <v>119771.6267377974</v>
      </c>
      <c r="R45" s="388"/>
      <c r="S45" s="388">
        <f>S37-S43</f>
        <v>126533.12720603845</v>
      </c>
      <c r="T45" s="388"/>
      <c r="U45" s="388">
        <f>U37-U43</f>
        <v>133220.73052897747</v>
      </c>
      <c r="V45" s="388"/>
      <c r="W45" s="388">
        <f>W37-W43</f>
        <v>139824.08656498801</v>
      </c>
      <c r="X45" s="388"/>
      <c r="Y45" s="388">
        <f>Y37-Y43</f>
        <v>146332.28882394638</v>
      </c>
      <c r="Z45" s="388"/>
      <c r="AA45" s="388">
        <f>AA37-AA43</f>
        <v>152733.85014269792</v>
      </c>
      <c r="AB45" s="388"/>
      <c r="AC45" s="388">
        <f>AC37-AC43</f>
        <v>159016.67738785339</v>
      </c>
      <c r="AD45" s="388"/>
      <c r="AE45" s="388">
        <f>AE37-AE43</f>
        <v>165168.04514884355</v>
      </c>
      <c r="AF45" s="388"/>
      <c r="AG45" s="388">
        <f>AG37-AG43</f>
        <v>171174.56838277879</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6.9325599545906058E-2</v>
      </c>
      <c r="F47" s="392"/>
      <c r="G47" s="392">
        <f>G45/(G4+G6+G8)</f>
        <v>7.3705339064884787E-2</v>
      </c>
      <c r="H47" s="392"/>
      <c r="I47" s="392">
        <f>I45/(I4+I6+I8)</f>
        <v>7.7811425191627592E-2</v>
      </c>
      <c r="J47" s="392"/>
      <c r="K47" s="392">
        <f>K45/(K4+K6+K8)</f>
        <v>8.1648904784705198E-2</v>
      </c>
      <c r="L47" s="392"/>
      <c r="M47" s="392">
        <f>M45/(M4+M6+M8)</f>
        <v>8.5222685729410566E-2</v>
      </c>
      <c r="N47" s="392"/>
      <c r="O47" s="392">
        <f>O45/(O4+O6+O8)</f>
        <v>8.8537540172435231E-2</v>
      </c>
      <c r="P47" s="392"/>
      <c r="Q47" s="392">
        <f>Q45/(Q4+Q6+Q8)</f>
        <v>9.1598107676133536E-2</v>
      </c>
      <c r="R47" s="392"/>
      <c r="S47" s="392">
        <f>S45/(S4+S6+S8)</f>
        <v>9.4408898294334589E-2</v>
      </c>
      <c r="T47" s="392"/>
      <c r="U47" s="392">
        <f>U45/(U4+U6+U8)</f>
        <v>9.6974295571584768E-2</v>
      </c>
      <c r="V47" s="392"/>
      <c r="W47" s="392">
        <f>W45/(W4+W6+W8)</f>
        <v>9.9298559467691561E-2</v>
      </c>
      <c r="X47" s="392"/>
      <c r="Y47" s="392">
        <f>Y45/(Y4+Y6+Y8)</f>
        <v>0.10138582920935718</v>
      </c>
      <c r="Z47" s="392"/>
      <c r="AA47" s="392">
        <f>AA45/(AA4+AA6+AA8)</f>
        <v>0.10324012607067906</v>
      </c>
      <c r="AB47" s="392"/>
      <c r="AC47" s="392">
        <f>AC45/(AC4+AC6+AC8)</f>
        <v>0.10486535608422878</v>
      </c>
      <c r="AD47" s="392"/>
      <c r="AE47" s="392">
        <f>AE45/(AE4+AE6+AE8)</f>
        <v>0.10626531268439077</v>
      </c>
      <c r="AF47" s="392"/>
      <c r="AG47" s="392">
        <f>AG45/(AG4+AG6+AG8)</f>
        <v>0.10744367928459421</v>
      </c>
      <c r="AH47" s="392"/>
      <c r="AI47" s="392"/>
    </row>
    <row r="48" spans="1:35" ht="14.25">
      <c r="A48" s="392" t="s">
        <v>1089</v>
      </c>
      <c r="B48" s="392"/>
      <c r="C48" s="385"/>
      <c r="D48" s="392"/>
      <c r="E48" s="392">
        <f>E45/E43</f>
        <v>0.2000010234681241</v>
      </c>
      <c r="F48" s="392"/>
      <c r="G48" s="392">
        <f>G45/G43</f>
        <v>0.21795227056403293</v>
      </c>
      <c r="H48" s="392"/>
      <c r="I48" s="392">
        <f>I45/I43</f>
        <v>0.23584663522060767</v>
      </c>
      <c r="J48" s="392"/>
      <c r="K48" s="392">
        <f>K45/K43</f>
        <v>0.2536649971502809</v>
      </c>
      <c r="L48" s="392"/>
      <c r="M48" s="392">
        <f>M45/M43</f>
        <v>0.27138713862036129</v>
      </c>
      <c r="N48" s="392"/>
      <c r="O48" s="392">
        <f>O45/O43</f>
        <v>0.28899169533658736</v>
      </c>
      <c r="P48" s="392"/>
      <c r="Q48" s="392">
        <f>Q45/Q43</f>
        <v>0.30645610533993828</v>
      </c>
      <c r="R48" s="392"/>
      <c r="S48" s="392">
        <f>S45/S43</f>
        <v>0.32375655584051921</v>
      </c>
      <c r="T48" s="392"/>
      <c r="U48" s="392">
        <f>U45/U43</f>
        <v>0.34086792790940634</v>
      </c>
      <c r="V48" s="392"/>
      <c r="W48" s="392">
        <f>W45/W43</f>
        <v>0.35776373894651359</v>
      </c>
      <c r="X48" s="392"/>
      <c r="Y48" s="392">
        <f>Y45/Y43</f>
        <v>0.37441608283937278</v>
      </c>
      <c r="Z48" s="392"/>
      <c r="AA48" s="392">
        <f>AA45/AA43</f>
        <v>0.3907955677246715</v>
      </c>
      <c r="AB48" s="392"/>
      <c r="AC48" s="392">
        <f>AC45/AC43</f>
        <v>0.40687125126104934</v>
      </c>
      <c r="AD48" s="392"/>
      <c r="AE48" s="392">
        <f>AE45/AE43</f>
        <v>0.42261057331829743</v>
      </c>
      <c r="AF48" s="392"/>
      <c r="AG48" s="392">
        <f>AG45/AG43</f>
        <v>0.43797928598457325</v>
      </c>
      <c r="AH48" s="392"/>
      <c r="AI48" s="392"/>
    </row>
    <row r="49" spans="1:35" ht="14.25">
      <c r="A49" s="393" t="s">
        <v>1090</v>
      </c>
      <c r="B49" s="393"/>
      <c r="C49" s="394"/>
      <c r="D49" s="393"/>
      <c r="E49" s="393">
        <f>E37/E43</f>
        <v>1.200001023468124</v>
      </c>
      <c r="F49" s="393"/>
      <c r="G49" s="393">
        <f>G37/G43</f>
        <v>1.2179522705640329</v>
      </c>
      <c r="H49" s="393"/>
      <c r="I49" s="393">
        <f>I37/I43</f>
        <v>1.2358466352206077</v>
      </c>
      <c r="J49" s="393"/>
      <c r="K49" s="393">
        <f>K37/K43</f>
        <v>1.2536649971502809</v>
      </c>
      <c r="L49" s="393"/>
      <c r="M49" s="393">
        <f>M37/M43</f>
        <v>1.2713871386203612</v>
      </c>
      <c r="N49" s="393"/>
      <c r="O49" s="393">
        <f>O37/O43</f>
        <v>1.2889916953365874</v>
      </c>
      <c r="P49" s="393"/>
      <c r="Q49" s="393">
        <f>Q37/Q43</f>
        <v>1.3064561053399384</v>
      </c>
      <c r="R49" s="393"/>
      <c r="S49" s="393">
        <f>S37/S43</f>
        <v>1.3237565558405193</v>
      </c>
      <c r="T49" s="393"/>
      <c r="U49" s="393">
        <f>U37/U43</f>
        <v>1.3408679279094065</v>
      </c>
      <c r="V49" s="393"/>
      <c r="W49" s="393">
        <f>W37/W43</f>
        <v>1.3577637389465136</v>
      </c>
      <c r="X49" s="393"/>
      <c r="Y49" s="393">
        <f>Y37/Y43</f>
        <v>1.3744160828393728</v>
      </c>
      <c r="Z49" s="393"/>
      <c r="AA49" s="393">
        <f>AA37/AA43</f>
        <v>1.3907955677246715</v>
      </c>
      <c r="AB49" s="393"/>
      <c r="AC49" s="393">
        <f>AC37/AC43</f>
        <v>1.4068712512610493</v>
      </c>
      <c r="AD49" s="393"/>
      <c r="AE49" s="393">
        <f>AE37/AE43</f>
        <v>1.4226105733182974</v>
      </c>
      <c r="AF49" s="393"/>
      <c r="AG49" s="393">
        <f>AG37/AG43</f>
        <v>1.4379792859845733</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5000</v>
      </c>
      <c r="F53" s="374"/>
      <c r="G53" s="819">
        <f>E53*$C$53</f>
        <v>5150</v>
      </c>
      <c r="H53" s="819"/>
      <c r="I53" s="819">
        <f>G53*$C$53</f>
        <v>5304.5</v>
      </c>
      <c r="J53" s="819"/>
      <c r="K53" s="819">
        <f>I53*$C$53</f>
        <v>5463.6350000000002</v>
      </c>
      <c r="L53" s="819"/>
      <c r="M53" s="819">
        <f>K53*$C$53</f>
        <v>5627.5440500000004</v>
      </c>
      <c r="N53" s="819"/>
      <c r="O53" s="819">
        <f>M53*$C$53</f>
        <v>5796.3703715000001</v>
      </c>
      <c r="P53" s="819"/>
      <c r="Q53" s="819">
        <f>O53*$C$53</f>
        <v>5970.2614826449999</v>
      </c>
      <c r="R53" s="819"/>
      <c r="S53" s="819">
        <f>Q53*$C$53</f>
        <v>6149.3693271243501</v>
      </c>
      <c r="T53" s="819"/>
      <c r="U53" s="819">
        <f>S53*$C$53</f>
        <v>6333.8504069380806</v>
      </c>
      <c r="V53" s="819"/>
      <c r="W53" s="819">
        <f>U53*$C$53</f>
        <v>6523.865919146223</v>
      </c>
      <c r="X53" s="819"/>
      <c r="Y53" s="819">
        <f>W53*$C$53</f>
        <v>6719.5818967206096</v>
      </c>
      <c r="Z53" s="819"/>
      <c r="AA53" s="819">
        <f>Y53*$C$53</f>
        <v>6921.1693536222283</v>
      </c>
      <c r="AB53" s="819"/>
      <c r="AC53" s="819">
        <f>AA53*$C$53</f>
        <v>7128.8044342308949</v>
      </c>
      <c r="AD53" s="819"/>
      <c r="AE53" s="819">
        <f>AC53*$C$53</f>
        <v>7342.6685672578224</v>
      </c>
      <c r="AF53" s="819"/>
      <c r="AG53" s="819">
        <f>AE53*$C$53</f>
        <v>7562.9486242755574</v>
      </c>
      <c r="AH53" s="374"/>
      <c r="AI53" s="374"/>
    </row>
    <row r="54" spans="1:35">
      <c r="A54" s="361" t="s">
        <v>1093</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10000</v>
      </c>
      <c r="F58" s="380"/>
      <c r="G58" s="380">
        <f>SUM(G53:G57)</f>
        <v>10300</v>
      </c>
      <c r="H58" s="380"/>
      <c r="I58" s="380">
        <f>SUM(I53:I57)</f>
        <v>10609</v>
      </c>
      <c r="J58" s="380"/>
      <c r="K58" s="380">
        <f>SUM(K53:K57)</f>
        <v>10927.27</v>
      </c>
      <c r="L58" s="380"/>
      <c r="M58" s="380">
        <f>SUM(M53:M57)</f>
        <v>11255.088100000001</v>
      </c>
      <c r="N58" s="380"/>
      <c r="O58" s="380">
        <f>SUM(O53:O57)</f>
        <v>11592.740743</v>
      </c>
      <c r="P58" s="380"/>
      <c r="Q58" s="380">
        <f>SUM(Q53:Q57)</f>
        <v>11940.52296529</v>
      </c>
      <c r="R58" s="380"/>
      <c r="S58" s="380">
        <f>SUM(S53:S57)</f>
        <v>12298.7386542487</v>
      </c>
      <c r="T58" s="380"/>
      <c r="U58" s="380">
        <f>SUM(U53:U57)</f>
        <v>12667.700813876161</v>
      </c>
      <c r="V58" s="380"/>
      <c r="W58" s="380">
        <f>SUM(W53:W57)</f>
        <v>13047.731838292446</v>
      </c>
      <c r="X58" s="380"/>
      <c r="Y58" s="380">
        <f>SUM(Y53:Y57)</f>
        <v>13439.163793441219</v>
      </c>
      <c r="Z58" s="380"/>
      <c r="AA58" s="380">
        <f>SUM(AA53:AA57)</f>
        <v>13842.338707244457</v>
      </c>
      <c r="AB58" s="380"/>
      <c r="AC58" s="380">
        <f>SUM(AC53:AC57)</f>
        <v>14257.60886846179</v>
      </c>
      <c r="AD58" s="380"/>
      <c r="AE58" s="380">
        <f>SUM(AE53:AE57)</f>
        <v>14685.337134515645</v>
      </c>
      <c r="AF58" s="380"/>
      <c r="AG58" s="380">
        <f>SUM(AG53:AG57)</f>
        <v>15125.897248551115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68166</v>
      </c>
      <c r="F60" s="374"/>
      <c r="G60" s="374">
        <f>G45-G58</f>
        <v>74881.84999999986</v>
      </c>
      <c r="H60" s="374"/>
      <c r="I60" s="374">
        <f>I45-I58</f>
        <v>81566.468749999651</v>
      </c>
      <c r="J60" s="374"/>
      <c r="K60" s="374">
        <f>K45-K58</f>
        <v>88212.113506249982</v>
      </c>
      <c r="L60" s="374"/>
      <c r="M60" s="374">
        <f>M45-M58</f>
        <v>94810.604512718564</v>
      </c>
      <c r="N60" s="374"/>
      <c r="O60" s="374">
        <f>O45-O58</f>
        <v>101353.30556200776</v>
      </c>
      <c r="P60" s="374"/>
      <c r="Q60" s="374">
        <f>Q45-Q58</f>
        <v>107831.1037725074</v>
      </c>
      <c r="R60" s="374"/>
      <c r="S60" s="374">
        <f>S45-S58</f>
        <v>114234.38855178974</v>
      </c>
      <c r="T60" s="374"/>
      <c r="U60" s="374">
        <f>U45-U58</f>
        <v>120553.02971510131</v>
      </c>
      <c r="V60" s="374"/>
      <c r="W60" s="374">
        <f>W45-W58</f>
        <v>126776.35472669557</v>
      </c>
      <c r="X60" s="374"/>
      <c r="Y60" s="374">
        <f>Y45-Y58</f>
        <v>132893.12503050515</v>
      </c>
      <c r="Z60" s="374"/>
      <c r="AA60" s="374">
        <f>AA45-AA58</f>
        <v>138891.51143545346</v>
      </c>
      <c r="AB60" s="374"/>
      <c r="AC60" s="374">
        <f>AC45-AC58</f>
        <v>144759.06851939159</v>
      </c>
      <c r="AD60" s="374"/>
      <c r="AE60" s="374">
        <f>AE45-AE58</f>
        <v>150482.70801432792</v>
      </c>
      <c r="AF60" s="374"/>
      <c r="AG60" s="374">
        <f>AG45-AG58</f>
        <v>156048.67113422768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374">
        <v>0</v>
      </c>
      <c r="F62" s="374"/>
      <c r="G62" s="374">
        <v>0</v>
      </c>
      <c r="H62" s="374"/>
      <c r="I62" s="374">
        <v>0</v>
      </c>
      <c r="J62" s="374"/>
      <c r="K62" s="374">
        <v>0</v>
      </c>
      <c r="L62" s="374"/>
      <c r="M62" s="374">
        <v>0</v>
      </c>
      <c r="N62" s="374"/>
      <c r="O62" s="374">
        <v>0</v>
      </c>
      <c r="P62" s="374"/>
      <c r="Q62" s="374">
        <v>0</v>
      </c>
      <c r="R62" s="374"/>
      <c r="S62" s="374">
        <v>0</v>
      </c>
      <c r="T62" s="374"/>
      <c r="U62" s="374">
        <v>0</v>
      </c>
      <c r="V62" s="374"/>
      <c r="W62" s="374">
        <v>0</v>
      </c>
      <c r="X62" s="374"/>
      <c r="Y62" s="374">
        <v>0</v>
      </c>
      <c r="Z62" s="374"/>
      <c r="AA62" s="821">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374">
        <f>(E60-E62)*0.5</f>
        <v>34083</v>
      </c>
      <c r="F66" s="374"/>
      <c r="G66" s="374">
        <f>(G60-G62)*0.5</f>
        <v>37440.92499999993</v>
      </c>
      <c r="H66" s="374"/>
      <c r="I66" s="374">
        <f>(I60-I62)*0.5</f>
        <v>40783.234374999825</v>
      </c>
      <c r="J66" s="374"/>
      <c r="K66" s="374">
        <f>(K60-K62)*0.5</f>
        <v>44106.056753124991</v>
      </c>
      <c r="L66" s="374"/>
      <c r="M66" s="374">
        <f>(M60-M62)*0.5</f>
        <v>47405.302256359282</v>
      </c>
      <c r="N66" s="374"/>
      <c r="O66" s="374">
        <f>(O60-O62)*0.5</f>
        <v>50676.652781003882</v>
      </c>
      <c r="P66" s="374"/>
      <c r="Q66" s="374">
        <f>(Q60-Q62)*0.5</f>
        <v>53915.551886253699</v>
      </c>
      <c r="R66" s="374"/>
      <c r="S66" s="374">
        <f>(S60-S62)*0.5</f>
        <v>57117.194275894872</v>
      </c>
      <c r="T66" s="374"/>
      <c r="U66" s="374">
        <f>(U60-U62)*0.5</f>
        <v>60276.514857550654</v>
      </c>
      <c r="V66" s="374"/>
      <c r="W66" s="374">
        <f>(W60-W62)*0.5</f>
        <v>63388.177363347786</v>
      </c>
      <c r="X66" s="374"/>
      <c r="Y66" s="374">
        <f>(Y60-Y62)*0.5</f>
        <v>66446.562515252575</v>
      </c>
      <c r="Z66" s="374"/>
      <c r="AA66" s="374">
        <f>(AA60-AA62)*0.5</f>
        <v>69445.75571772673</v>
      </c>
      <c r="AB66" s="374"/>
      <c r="AC66" s="374">
        <f>(AC60-AC62)*0.5</f>
        <v>72379.534259695793</v>
      </c>
      <c r="AD66" s="374"/>
      <c r="AE66" s="374">
        <f>(AE60-AE62)*0.5</f>
        <v>75241.354007163958</v>
      </c>
      <c r="AF66" s="374"/>
      <c r="AG66" s="374">
        <f>(AG60-AG62)*0.5</f>
        <v>78024.335567113842</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34083</v>
      </c>
      <c r="F70" s="374"/>
      <c r="G70" s="374">
        <f>SUM(G66:G69)</f>
        <v>37440.92499999993</v>
      </c>
      <c r="H70" s="374"/>
      <c r="I70" s="374">
        <f>SUM(I66:I69)</f>
        <v>40783.234374999825</v>
      </c>
      <c r="J70" s="374"/>
      <c r="K70" s="374">
        <f>SUM(K66:K69)</f>
        <v>44106.056753124991</v>
      </c>
      <c r="L70" s="374"/>
      <c r="M70" s="374">
        <f>SUM(M66:M69)</f>
        <v>47405.302256359282</v>
      </c>
      <c r="N70" s="374"/>
      <c r="O70" s="374">
        <f>SUM(O66:O69)</f>
        <v>50676.652781003882</v>
      </c>
      <c r="P70" s="374"/>
      <c r="Q70" s="374">
        <f>SUM(Q66:Q69)</f>
        <v>53915.551886253699</v>
      </c>
      <c r="R70" s="374"/>
      <c r="S70" s="374">
        <f>SUM(S66:S69)</f>
        <v>57117.194275894872</v>
      </c>
      <c r="T70" s="374"/>
      <c r="U70" s="374">
        <f>SUM(U66:U69)</f>
        <v>60276.514857550654</v>
      </c>
      <c r="V70" s="374"/>
      <c r="W70" s="374">
        <f>SUM(W66:W69)</f>
        <v>63388.177363347786</v>
      </c>
      <c r="X70" s="374"/>
      <c r="Y70" s="374">
        <f>SUM(Y66:Y69)</f>
        <v>66446.562515252575</v>
      </c>
      <c r="Z70" s="374"/>
      <c r="AA70" s="374">
        <f>SUM(AA66:AA69)</f>
        <v>69445.75571772673</v>
      </c>
      <c r="AB70" s="374"/>
      <c r="AC70" s="374">
        <f>SUM(AC66:AC69)</f>
        <v>72379.534259695793</v>
      </c>
      <c r="AD70" s="374"/>
      <c r="AE70" s="374">
        <f>SUM(AE66:AE69)</f>
        <v>75241.354007163958</v>
      </c>
      <c r="AF70" s="374"/>
      <c r="AG70" s="374">
        <f>SUM(AG66:AG69)</f>
        <v>78024.335567113842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34083</v>
      </c>
      <c r="F72" s="380"/>
      <c r="G72" s="374">
        <f>G60-G62-G70</f>
        <v>37440.92499999993</v>
      </c>
      <c r="H72" s="380"/>
      <c r="I72" s="374">
        <f>I60-I62-I70</f>
        <v>40783.234374999825</v>
      </c>
      <c r="J72" s="380"/>
      <c r="K72" s="374">
        <f>K60-K62-K70</f>
        <v>44106.056753124991</v>
      </c>
      <c r="L72" s="380"/>
      <c r="M72" s="374">
        <f>M60-M62-M70</f>
        <v>47405.302256359282</v>
      </c>
      <c r="N72" s="380"/>
      <c r="O72" s="374">
        <f>O60-O62-O70</f>
        <v>50676.652781003882</v>
      </c>
      <c r="P72" s="380"/>
      <c r="Q72" s="374">
        <f>Q60-Q62-Q70</f>
        <v>53915.551886253699</v>
      </c>
      <c r="R72" s="380"/>
      <c r="S72" s="374">
        <f>S60-S62-S70</f>
        <v>57117.194275894872</v>
      </c>
      <c r="T72" s="380"/>
      <c r="U72" s="374">
        <f>U60-U62-U70</f>
        <v>60276.514857550654</v>
      </c>
      <c r="V72" s="380"/>
      <c r="W72" s="374">
        <f>W60-W62-W70</f>
        <v>63388.177363347786</v>
      </c>
      <c r="X72" s="380"/>
      <c r="Y72" s="374">
        <f>Y60-Y62-Y70</f>
        <v>66446.562515252575</v>
      </c>
      <c r="Z72" s="380"/>
      <c r="AA72" s="374">
        <f>AA60-AA62-AA70</f>
        <v>69445.75571772673</v>
      </c>
      <c r="AB72" s="380"/>
      <c r="AC72" s="374">
        <f>AC60-AC62-AC70</f>
        <v>72379.534259695793</v>
      </c>
      <c r="AD72" s="380"/>
      <c r="AE72" s="374">
        <f>AE60-AE62-AE70</f>
        <v>75241.354007163958</v>
      </c>
      <c r="AF72" s="380"/>
      <c r="AG72" s="374">
        <f>AG60-AG62-AG70</f>
        <v>78024.335567113842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6</v>
      </c>
      <c r="C4" s="602">
        <f>Application!$O695</f>
        <v>375</v>
      </c>
      <c r="D4" s="603"/>
      <c r="E4" s="942"/>
      <c r="F4" s="602">
        <f>$E4*$B4</f>
        <v>0</v>
      </c>
      <c r="G4" s="603"/>
      <c r="H4" s="602">
        <f>IF($E4=0,0,MAX($E4-$C4,0))</f>
        <v>0</v>
      </c>
      <c r="I4" s="602">
        <f>IF($H4=0,0,($H4*$B4))</f>
        <v>0</v>
      </c>
    </row>
    <row r="5" spans="1:9">
      <c r="A5" s="602" t="str">
        <f>Application!$B696</f>
        <v>1 Bedroom</v>
      </c>
      <c r="B5" s="943">
        <f>Application!$G696</f>
        <v>12</v>
      </c>
      <c r="C5" s="602">
        <f>Application!$O696</f>
        <v>540</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24</v>
      </c>
      <c r="C6" s="602">
        <f>Application!$O697</f>
        <v>705</v>
      </c>
      <c r="D6" s="603"/>
      <c r="E6" s="942"/>
      <c r="F6" s="602">
        <f t="shared" si="0"/>
        <v>0</v>
      </c>
      <c r="G6" s="603"/>
      <c r="H6" s="602">
        <f t="shared" si="1"/>
        <v>0</v>
      </c>
      <c r="I6" s="602">
        <f t="shared" si="2"/>
        <v>0</v>
      </c>
    </row>
    <row r="7" spans="1:9">
      <c r="A7" s="602" t="str">
        <f>Application!$B698</f>
        <v>1 Bedroom</v>
      </c>
      <c r="B7" s="943">
        <f>Application!$G698</f>
        <v>17</v>
      </c>
      <c r="C7" s="602">
        <f>Application!$O698</f>
        <v>870</v>
      </c>
      <c r="D7" s="603"/>
      <c r="E7" s="942"/>
      <c r="F7" s="602">
        <f t="shared" si="0"/>
        <v>0</v>
      </c>
      <c r="G7" s="603"/>
      <c r="H7" s="602">
        <f t="shared" si="1"/>
        <v>0</v>
      </c>
      <c r="I7" s="602">
        <f t="shared" si="2"/>
        <v>0</v>
      </c>
    </row>
    <row r="8" spans="1:9">
      <c r="A8" s="602" t="str">
        <f>Application!$B699</f>
        <v>2 Bedrooms</v>
      </c>
      <c r="B8" s="943">
        <f>Application!$G699</f>
        <v>3</v>
      </c>
      <c r="C8" s="602">
        <f>Application!$O699</f>
        <v>430</v>
      </c>
      <c r="D8" s="603"/>
      <c r="E8" s="942"/>
      <c r="F8" s="602">
        <f t="shared" si="0"/>
        <v>0</v>
      </c>
      <c r="G8" s="603"/>
      <c r="H8" s="602">
        <f t="shared" si="1"/>
        <v>0</v>
      </c>
      <c r="I8" s="602">
        <f t="shared" si="2"/>
        <v>0</v>
      </c>
    </row>
    <row r="9" spans="1:9">
      <c r="A9" s="602" t="str">
        <f>Application!$B700</f>
        <v>2 Bedrooms</v>
      </c>
      <c r="B9" s="943">
        <f>Application!$G700</f>
        <v>6</v>
      </c>
      <c r="C9" s="602">
        <f>Application!$O700</f>
        <v>628</v>
      </c>
      <c r="D9" s="603"/>
      <c r="E9" s="942"/>
      <c r="F9" s="602">
        <f t="shared" si="0"/>
        <v>0</v>
      </c>
      <c r="G9" s="603"/>
      <c r="H9" s="602">
        <f t="shared" si="1"/>
        <v>0</v>
      </c>
      <c r="I9" s="602">
        <f t="shared" si="2"/>
        <v>0</v>
      </c>
    </row>
    <row r="10" spans="1:9">
      <c r="A10" s="602" t="str">
        <f>Application!$B701</f>
        <v>2 Bedrooms</v>
      </c>
      <c r="B10" s="943">
        <f>Application!$G701</f>
        <v>12</v>
      </c>
      <c r="C10" s="602">
        <f>Application!$O701</f>
        <v>826</v>
      </c>
      <c r="D10" s="603"/>
      <c r="E10" s="942"/>
      <c r="F10" s="602">
        <f t="shared" si="0"/>
        <v>0</v>
      </c>
      <c r="G10" s="603"/>
      <c r="H10" s="602">
        <f t="shared" si="1"/>
        <v>0</v>
      </c>
      <c r="I10" s="602">
        <f t="shared" si="2"/>
        <v>0</v>
      </c>
    </row>
    <row r="11" spans="1:9">
      <c r="A11" s="602" t="str">
        <f>Application!$B702</f>
        <v>2 Bedrooms</v>
      </c>
      <c r="B11" s="943">
        <f>Application!$G702</f>
        <v>9</v>
      </c>
      <c r="C11" s="602">
        <f>Application!$O702</f>
        <v>1024</v>
      </c>
      <c r="D11" s="603"/>
      <c r="E11" s="942"/>
      <c r="F11" s="602">
        <f t="shared" si="0"/>
        <v>0</v>
      </c>
      <c r="G11" s="603"/>
      <c r="H11" s="602">
        <f t="shared" si="1"/>
        <v>0</v>
      </c>
      <c r="I11" s="602">
        <f t="shared" si="2"/>
        <v>0</v>
      </c>
    </row>
    <row r="12" spans="1:9">
      <c r="A12" s="602" t="str">
        <f>Application!$B703</f>
        <v>3 Bedrooms</v>
      </c>
      <c r="B12" s="943">
        <f>Application!$G703</f>
        <v>3</v>
      </c>
      <c r="C12" s="602">
        <f>Application!$O703</f>
        <v>479</v>
      </c>
      <c r="D12" s="603"/>
      <c r="E12" s="942"/>
      <c r="F12" s="602">
        <f t="shared" si="0"/>
        <v>0</v>
      </c>
      <c r="G12" s="603"/>
      <c r="H12" s="602">
        <f t="shared" si="1"/>
        <v>0</v>
      </c>
      <c r="I12" s="602">
        <f t="shared" si="2"/>
        <v>0</v>
      </c>
    </row>
    <row r="13" spans="1:9">
      <c r="A13" s="602" t="str">
        <f>Application!$B704</f>
        <v>3 Bedrooms</v>
      </c>
      <c r="B13" s="943">
        <f>Application!$G704</f>
        <v>6</v>
      </c>
      <c r="C13" s="602">
        <f>Application!$O704</f>
        <v>708</v>
      </c>
      <c r="D13" s="603"/>
      <c r="E13" s="942"/>
      <c r="F13" s="602">
        <f t="shared" si="0"/>
        <v>0</v>
      </c>
      <c r="G13" s="603"/>
      <c r="H13" s="602">
        <f t="shared" si="1"/>
        <v>0</v>
      </c>
      <c r="I13" s="602">
        <f t="shared" si="2"/>
        <v>0</v>
      </c>
    </row>
    <row r="14" spans="1:9">
      <c r="A14" s="602" t="str">
        <f>Application!$B705</f>
        <v>3 Bedrooms</v>
      </c>
      <c r="B14" s="943">
        <f>Application!$G705</f>
        <v>12</v>
      </c>
      <c r="C14" s="602">
        <f>Application!$O705</f>
        <v>937</v>
      </c>
      <c r="D14" s="603"/>
      <c r="E14" s="942"/>
      <c r="F14" s="602">
        <f t="shared" si="0"/>
        <v>0</v>
      </c>
      <c r="G14" s="603"/>
      <c r="H14" s="602">
        <f t="shared" si="1"/>
        <v>0</v>
      </c>
      <c r="I14" s="602">
        <f t="shared" si="2"/>
        <v>0</v>
      </c>
    </row>
    <row r="15" spans="1:9">
      <c r="A15" s="602" t="str">
        <f>Application!$B706</f>
        <v>3 Bedrooms</v>
      </c>
      <c r="B15" s="943">
        <f>Application!$G706</f>
        <v>9</v>
      </c>
      <c r="C15" s="602">
        <f>Application!$O706</f>
        <v>1165</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1104480</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1100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1606</v>
      </c>
      <c r="U7" s="1612"/>
      <c r="V7" s="1612"/>
      <c r="W7" s="1612"/>
      <c r="X7" s="1612"/>
      <c r="Y7" s="1612" t="s">
        <v>1748</v>
      </c>
      <c r="Z7" s="1612"/>
      <c r="AA7" s="1612"/>
      <c r="AB7" s="1612"/>
      <c r="AC7" s="1612"/>
      <c r="AD7" s="1612" t="s">
        <v>1360</v>
      </c>
      <c r="AE7" s="1612"/>
      <c r="AF7" s="1612"/>
      <c r="AG7" s="1612"/>
      <c r="AH7" s="1612"/>
      <c r="AI7" s="1612" t="s">
        <v>1749</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0">
        <f>IF('Sources and Basis Breakdown'!F105=0,'Sources and Basis Breakdown'!E105,'Sources and Basis Breakdown'!F105)</f>
        <v>32145715</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14" t="s">
        <v>447</v>
      </c>
      <c r="C12" s="1033"/>
      <c r="D12" s="1033"/>
      <c r="E12" s="1033"/>
      <c r="F12" s="1033"/>
      <c r="G12" s="1033"/>
      <c r="H12" s="1033"/>
      <c r="I12" s="1033"/>
      <c r="J12" s="1033"/>
      <c r="K12" s="1033"/>
      <c r="L12" s="1033"/>
      <c r="M12" s="1033"/>
      <c r="N12" s="1033"/>
      <c r="O12" s="1033"/>
      <c r="P12" s="1033"/>
      <c r="Q12" s="1033"/>
      <c r="R12" s="1033"/>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1712</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17" t="s">
        <v>768</v>
      </c>
      <c r="D14" s="1617"/>
      <c r="E14" s="1617"/>
      <c r="F14" s="1617"/>
      <c r="G14" s="1617"/>
      <c r="H14" s="1617"/>
      <c r="I14" s="1617"/>
      <c r="J14" s="1617"/>
      <c r="K14" s="1617"/>
      <c r="L14" s="1617"/>
      <c r="M14" s="1617"/>
      <c r="N14" s="1617"/>
      <c r="O14" s="1617"/>
      <c r="P14" s="1617"/>
      <c r="Q14" s="1617"/>
      <c r="R14" s="1617"/>
      <c r="S14" s="1618"/>
      <c r="T14" s="1081">
        <f>'Basis &amp; Credits'!T14</f>
        <v>0</v>
      </c>
      <c r="U14" s="1077"/>
      <c r="V14" s="1077"/>
      <c r="W14" s="1077"/>
      <c r="X14" s="1077"/>
      <c r="Y14" s="1081">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5" customHeight="1">
      <c r="B15" s="8"/>
      <c r="C15" s="1617" t="s">
        <v>769</v>
      </c>
      <c r="D15" s="1617"/>
      <c r="E15" s="1617"/>
      <c r="F15" s="1617"/>
      <c r="G15" s="1617"/>
      <c r="H15" s="1617"/>
      <c r="I15" s="1617"/>
      <c r="J15" s="1617"/>
      <c r="K15" s="1617"/>
      <c r="L15" s="1617"/>
      <c r="M15" s="1617"/>
      <c r="N15" s="1617"/>
      <c r="O15" s="1617"/>
      <c r="P15" s="1617"/>
      <c r="Q15" s="1617"/>
      <c r="R15" s="1617"/>
      <c r="S15" s="1618"/>
      <c r="T15" s="1081">
        <f>'Basis &amp; Credits'!T15</f>
        <v>0</v>
      </c>
      <c r="U15" s="1077"/>
      <c r="V15" s="1077"/>
      <c r="W15" s="1077"/>
      <c r="X15" s="1077"/>
      <c r="Y15" s="1081">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5" customHeight="1">
      <c r="B16" s="8"/>
      <c r="C16" s="1616" t="s">
        <v>1012</v>
      </c>
      <c r="D16" s="1616"/>
      <c r="E16" s="1616"/>
      <c r="F16" s="1616"/>
      <c r="G16" s="1616"/>
      <c r="H16" s="1616"/>
      <c r="I16" s="1616"/>
      <c r="J16" s="1616"/>
      <c r="K16" s="1616"/>
      <c r="L16" s="1616"/>
      <c r="M16" s="1616"/>
      <c r="N16" s="1616"/>
      <c r="O16" s="1616"/>
      <c r="P16" s="1616"/>
      <c r="Q16" s="1616"/>
      <c r="R16" s="1616"/>
      <c r="S16" s="1619"/>
      <c r="T16" s="1081">
        <f>'Basis &amp; Credits'!T16</f>
        <v>0</v>
      </c>
      <c r="U16" s="1077"/>
      <c r="V16" s="1077"/>
      <c r="W16" s="1077"/>
      <c r="X16" s="1077"/>
      <c r="Y16" s="1081">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5" customHeight="1">
      <c r="B17" s="8"/>
      <c r="C17" s="1617" t="s">
        <v>770</v>
      </c>
      <c r="D17" s="1617"/>
      <c r="E17" s="1617"/>
      <c r="F17" s="1617"/>
      <c r="G17" s="1617"/>
      <c r="H17" s="1617"/>
      <c r="I17" s="1617"/>
      <c r="J17" s="1617"/>
      <c r="K17" s="1617"/>
      <c r="L17" s="1617"/>
      <c r="M17" s="1617"/>
      <c r="N17" s="1617"/>
      <c r="O17" s="1617"/>
      <c r="P17" s="1617"/>
      <c r="Q17" s="1617"/>
      <c r="R17" s="1617"/>
      <c r="S17" s="1618"/>
      <c r="T17" s="1081">
        <f>'Basis &amp; Credits'!T17</f>
        <v>0</v>
      </c>
      <c r="U17" s="1077"/>
      <c r="V17" s="1077"/>
      <c r="W17" s="1077"/>
      <c r="X17" s="1077"/>
      <c r="Y17" s="1081">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5" customHeight="1">
      <c r="B18" s="593"/>
      <c r="C18" s="1616" t="s">
        <v>1364</v>
      </c>
      <c r="D18" s="1617"/>
      <c r="E18" s="1617"/>
      <c r="F18" s="1617"/>
      <c r="G18" s="1617"/>
      <c r="H18" s="1617"/>
      <c r="I18" s="1617"/>
      <c r="J18" s="1617"/>
      <c r="K18" s="1617"/>
      <c r="L18" s="1617"/>
      <c r="M18" s="1617"/>
      <c r="N18" s="1617"/>
      <c r="O18" s="1617"/>
      <c r="P18" s="1617"/>
      <c r="Q18" s="1617"/>
      <c r="R18" s="1617"/>
      <c r="S18" s="1618"/>
      <c r="T18" s="1079">
        <f>'Basis &amp; Credits'!T18</f>
        <v>0</v>
      </c>
      <c r="U18" s="1080"/>
      <c r="V18" s="1080"/>
      <c r="W18" s="1080"/>
      <c r="X18" s="1081"/>
      <c r="Y18" s="1081">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5"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081">
        <f>'Basis &amp; Credits'!T19</f>
        <v>0</v>
      </c>
      <c r="U19" s="1077"/>
      <c r="V19" s="1077"/>
      <c r="W19" s="1077"/>
      <c r="X19" s="1077"/>
      <c r="Y19" s="1081">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05">
        <f>SUM(T13:X19)</f>
        <v>0</v>
      </c>
      <c r="U20" s="1075"/>
      <c r="V20" s="1075"/>
      <c r="W20" s="1075"/>
      <c r="X20" s="1075"/>
      <c r="Y20" s="1605">
        <f>SUM(Y13:AC19)</f>
        <v>0</v>
      </c>
      <c r="Z20" s="1075"/>
      <c r="AA20" s="1075"/>
      <c r="AB20" s="1075"/>
      <c r="AC20" s="1075"/>
      <c r="AD20" s="1075">
        <f>SUM(AD13:AH19)</f>
        <v>0</v>
      </c>
      <c r="AE20" s="1075"/>
      <c r="AF20" s="1075"/>
      <c r="AG20" s="1075"/>
      <c r="AH20" s="1075"/>
      <c r="AI20" s="1075">
        <f>SUM(AI13:AM19)</f>
        <v>0</v>
      </c>
      <c r="AJ20" s="1075"/>
      <c r="AK20" s="1075"/>
      <c r="AL20" s="1075"/>
      <c r="AM20" s="1075"/>
    </row>
    <row r="21" spans="1:39" ht="12.95" customHeight="1">
      <c r="B21" s="1187" t="s">
        <v>1711</v>
      </c>
      <c r="C21" s="1188"/>
      <c r="D21" s="1188"/>
      <c r="E21" s="1188"/>
      <c r="F21" s="1188"/>
      <c r="G21" s="1188"/>
      <c r="H21" s="1188"/>
      <c r="I21" s="1188"/>
      <c r="J21" s="1188"/>
      <c r="K21" s="1188"/>
      <c r="L21" s="1188"/>
      <c r="M21" s="1188"/>
      <c r="N21" s="1188"/>
      <c r="O21" s="1188"/>
      <c r="P21" s="1188"/>
      <c r="Q21" s="1188"/>
      <c r="R21" s="1188"/>
      <c r="S21" s="1189"/>
      <c r="T21" s="1081">
        <f>'Basis &amp; Credits'!E21</f>
        <v>0</v>
      </c>
      <c r="U21" s="1077"/>
      <c r="V21" s="1077"/>
      <c r="W21" s="1077"/>
      <c r="X21" s="1077"/>
      <c r="Y21" s="1081">
        <f>'Basis &amp; Credits'!J21</f>
        <v>0</v>
      </c>
      <c r="Z21" s="1077"/>
      <c r="AA21" s="1077"/>
      <c r="AB21" s="1077"/>
      <c r="AC21" s="1077"/>
      <c r="AD21" s="1077">
        <f>'Basis &amp; Credits'!O21</f>
        <v>0</v>
      </c>
      <c r="AE21" s="1077"/>
      <c r="AF21" s="1077"/>
      <c r="AG21" s="1077"/>
      <c r="AH21" s="1077"/>
      <c r="AI21" s="1077">
        <f>'Basis &amp; Credits'!T21</f>
        <v>4367937</v>
      </c>
      <c r="AJ21" s="1077"/>
      <c r="AK21" s="1077"/>
      <c r="AL21" s="1077"/>
      <c r="AM21" s="1077"/>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-4367937</v>
      </c>
      <c r="AJ22" s="1607"/>
      <c r="AK22" s="1607"/>
      <c r="AL22" s="1607"/>
      <c r="AM22" s="1607"/>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05">
        <f>T11+T22</f>
        <v>32145715</v>
      </c>
      <c r="U23" s="1075"/>
      <c r="V23" s="1075"/>
      <c r="W23" s="1075"/>
      <c r="X23" s="1075"/>
      <c r="Y23" s="1605">
        <f>Y11+Y22</f>
        <v>0</v>
      </c>
      <c r="Z23" s="1075"/>
      <c r="AA23" s="1075"/>
      <c r="AB23" s="1075"/>
      <c r="AC23" s="1075"/>
      <c r="AD23" s="1605">
        <f>AD11+AD22</f>
        <v>0</v>
      </c>
      <c r="AE23" s="1075"/>
      <c r="AF23" s="1075"/>
      <c r="AG23" s="1075"/>
      <c r="AH23" s="1075"/>
      <c r="AI23" s="1605">
        <f>AI11+AI22</f>
        <v>-4367937</v>
      </c>
      <c r="AJ23" s="1075"/>
      <c r="AK23" s="1075"/>
      <c r="AL23" s="1075"/>
      <c r="AM23" s="1075"/>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1747</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1"/>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241">
        <f>T23*T25</f>
        <v>32145715</v>
      </c>
      <c r="U26" s="1608"/>
      <c r="V26" s="1608"/>
      <c r="W26" s="1608"/>
      <c r="X26" s="1608"/>
      <c r="Y26" s="1241">
        <f>Y23*Y25</f>
        <v>0</v>
      </c>
      <c r="Z26" s="1608"/>
      <c r="AA26" s="1608"/>
      <c r="AB26" s="1608"/>
      <c r="AC26" s="1608"/>
      <c r="AD26" s="1241">
        <f>AD23*AD25</f>
        <v>0</v>
      </c>
      <c r="AE26" s="1608"/>
      <c r="AF26" s="1608"/>
      <c r="AG26" s="1608"/>
      <c r="AH26" s="1608"/>
      <c r="AI26" s="1241">
        <f>AI23*AI25</f>
        <v>-4367937</v>
      </c>
      <c r="AJ26" s="1608"/>
      <c r="AK26" s="1608"/>
      <c r="AL26" s="1608"/>
      <c r="AM26" s="1608"/>
    </row>
    <row r="27" spans="1:39" ht="12.95"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241">
        <f>IF(ISERROR((T26*T27)),0,(T26*T27))</f>
        <v>32145715</v>
      </c>
      <c r="U28" s="1608"/>
      <c r="V28" s="1608"/>
      <c r="W28" s="1608"/>
      <c r="X28" s="1608"/>
      <c r="Y28" s="1241">
        <f>IF(ISERROR((Y26*Y27)),0,(Y26*Y27))</f>
        <v>0</v>
      </c>
      <c r="Z28" s="1608"/>
      <c r="AA28" s="1608"/>
      <c r="AB28" s="1608"/>
      <c r="AC28" s="1608"/>
      <c r="AD28" s="1241">
        <f>IF(ISERROR((AD26*AD27)),0,(AD26*AD27))</f>
        <v>0</v>
      </c>
      <c r="AE28" s="1608"/>
      <c r="AF28" s="1608"/>
      <c r="AG28" s="1608"/>
      <c r="AH28" s="1608"/>
      <c r="AI28" s="1241">
        <f>IF(ISERROR((AI26*AI27)),0,(AI26*AI27))</f>
        <v>-4367937</v>
      </c>
      <c r="AJ28" s="1608"/>
      <c r="AK28" s="1608"/>
      <c r="AL28" s="1608"/>
      <c r="AM28" s="1608"/>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03">
        <f>T28+Y28+AD28+AI28</f>
        <v>27777778</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2" t="s">
        <v>41</v>
      </c>
      <c r="AE35" s="1502"/>
      <c r="AF35" s="1502"/>
      <c r="AG35" s="1502"/>
      <c r="AH35" s="1502"/>
    </row>
    <row r="36" spans="1:40" ht="12.95" customHeight="1">
      <c r="B36" s="204"/>
      <c r="X36" s="71"/>
      <c r="Y36" s="1612"/>
      <c r="Z36" s="1612"/>
      <c r="AA36" s="1612"/>
      <c r="AB36" s="1612"/>
      <c r="AC36" s="1612"/>
      <c r="AD36" s="1502"/>
      <c r="AE36" s="1502"/>
      <c r="AF36" s="1502"/>
      <c r="AG36" s="1502"/>
      <c r="AH36" s="150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2"/>
      <c r="AE37" s="1502"/>
      <c r="AF37" s="1502"/>
      <c r="AG37" s="1502"/>
      <c r="AH37" s="1502"/>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075">
        <f>IF(T24&gt;=(T23+Y23+AD23+AI23),T28+Y28,0)</f>
        <v>0</v>
      </c>
      <c r="Z38" s="1075"/>
      <c r="AA38" s="1075"/>
      <c r="AB38" s="1075"/>
      <c r="AC38" s="1075"/>
      <c r="AD38" s="1075">
        <f>IF(T24&gt;=(T23+Y23+AD23+AI23),AD28+AI28,0)</f>
        <v>0</v>
      </c>
      <c r="AE38" s="1075"/>
      <c r="AF38" s="1075"/>
      <c r="AG38" s="1075"/>
      <c r="AH38" s="1075"/>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3">
        <v>0.09</v>
      </c>
      <c r="Z39" s="1963"/>
      <c r="AA39" s="1963"/>
      <c r="AB39" s="1963"/>
      <c r="AC39" s="1963"/>
      <c r="AD39" s="1643">
        <v>0.04</v>
      </c>
      <c r="AE39" s="1643"/>
      <c r="AF39" s="1643"/>
      <c r="AG39" s="1643"/>
      <c r="AH39" s="1643"/>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075">
        <f>ROUND(Y38*Y39,0)</f>
        <v>0</v>
      </c>
      <c r="Z40" s="1075"/>
      <c r="AA40" s="1075"/>
      <c r="AB40" s="1075"/>
      <c r="AC40" s="1075"/>
      <c r="AD40" s="1605">
        <f>ROUND(AD38*AD39,0)</f>
        <v>0</v>
      </c>
      <c r="AE40" s="1075"/>
      <c r="AF40" s="1075"/>
      <c r="AG40" s="1075"/>
      <c r="AH40" s="1075"/>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3">
        <f>IF((Y40+AD40)&gt;2500000,2500000,Y40+AD40)</f>
        <v>0</v>
      </c>
      <c r="Z41" s="1604"/>
      <c r="AA41" s="1604"/>
      <c r="AB41" s="1604"/>
      <c r="AC41" s="1604"/>
      <c r="AD41" s="1604"/>
      <c r="AE41" s="1604"/>
      <c r="AF41" s="1604"/>
      <c r="AG41" s="1604"/>
      <c r="AH41" s="1605"/>
    </row>
    <row r="42" spans="1:40" ht="12.95" customHeight="1">
      <c r="A42" s="3"/>
      <c r="B42" s="1637" t="s">
        <v>1162</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8">
        <f>'Sources and Uses Budget'!B104-'Sources and Uses Budget'!$B$15</f>
        <v>35431205</v>
      </c>
      <c r="AC46" s="1199"/>
      <c r="AD46" s="1199"/>
      <c r="AE46" s="1199"/>
      <c r="AF46" s="1200"/>
    </row>
    <row r="47" spans="1:40" ht="12.95" customHeight="1">
      <c r="D47" s="3" t="s">
        <v>837</v>
      </c>
      <c r="AB47" s="1198">
        <f>Application!AG633-MIN('Sources and Uses Budget'!B15,Application!AG385)</f>
        <v>0</v>
      </c>
      <c r="AC47" s="1199"/>
      <c r="AD47" s="1199"/>
      <c r="AE47" s="1199"/>
      <c r="AF47" s="1200"/>
    </row>
    <row r="48" spans="1:40" ht="12.95" customHeight="1">
      <c r="D48" s="3" t="s">
        <v>378</v>
      </c>
      <c r="AB48" s="1198">
        <f>AB46-AB47</f>
        <v>35431205</v>
      </c>
      <c r="AC48" s="1199"/>
      <c r="AD48" s="1199"/>
      <c r="AE48" s="1199"/>
      <c r="AF48" s="1200"/>
    </row>
    <row r="49" spans="1:40" ht="12.95" customHeight="1">
      <c r="D49" s="3" t="s">
        <v>872</v>
      </c>
      <c r="AA49" s="34"/>
      <c r="AB49" s="1632"/>
      <c r="AC49" s="1633"/>
      <c r="AD49" s="1633"/>
      <c r="AE49" s="1633"/>
      <c r="AF49" s="1634"/>
    </row>
    <row r="50" spans="1:40" s="323" customFormat="1" ht="12.95" customHeight="1">
      <c r="A50"/>
      <c r="B50"/>
      <c r="C50"/>
      <c r="D50"/>
      <c r="E50" s="1638" t="s">
        <v>1353</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198">
        <f>(IF((Y41&lt;AB54),Y41,AB54))</f>
        <v>0</v>
      </c>
      <c r="AC55" s="1199"/>
      <c r="AD55" s="1199"/>
      <c r="AE55" s="1199"/>
      <c r="AF55" s="1200"/>
    </row>
    <row r="56" spans="1:40" ht="12.95" customHeight="1">
      <c r="D56" s="3" t="s">
        <v>107</v>
      </c>
      <c r="AB56" s="1198">
        <f>ROUND((10*AB55*AB49),0)</f>
        <v>0</v>
      </c>
      <c r="AC56" s="1199"/>
      <c r="AD56" s="1199"/>
      <c r="AE56" s="1199"/>
      <c r="AF56" s="1200"/>
    </row>
    <row r="57" spans="1:40" ht="12.95" customHeight="1">
      <c r="D57" s="3"/>
      <c r="AB57" s="276"/>
      <c r="AC57" s="276"/>
      <c r="AD57" s="276"/>
      <c r="AE57" s="276"/>
      <c r="AF57" s="276"/>
    </row>
    <row r="58" spans="1:40" ht="12.95" customHeight="1">
      <c r="D58" s="3" t="s">
        <v>106</v>
      </c>
      <c r="AB58" s="1378">
        <f>AB48-AB56</f>
        <v>35431205</v>
      </c>
      <c r="AC58" s="1378"/>
      <c r="AD58" s="1378"/>
      <c r="AE58" s="1378"/>
      <c r="AF58" s="13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1750</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075">
        <f>Y28</f>
        <v>0</v>
      </c>
      <c r="Z63" s="1635"/>
      <c r="AA63" s="1635"/>
      <c r="AB63" s="1635"/>
      <c r="AC63" s="1635"/>
      <c r="AD63" s="1075">
        <f>AI28</f>
        <v>-4367937</v>
      </c>
      <c r="AE63" s="1635"/>
      <c r="AF63" s="1635"/>
      <c r="AG63" s="1635"/>
      <c r="AH63" s="1635"/>
    </row>
    <row r="64" spans="1:40" ht="12.95"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2.2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5" customHeight="1">
      <c r="C67" s="3"/>
      <c r="D67" s="3" t="s">
        <v>941</v>
      </c>
      <c r="Y67" s="1075">
        <f>ROUND(Y63*Y66,0)</f>
        <v>0</v>
      </c>
      <c r="Z67" s="1635"/>
      <c r="AA67" s="1635"/>
      <c r="AB67" s="1635"/>
      <c r="AC67" s="1635"/>
      <c r="AD67" s="1075" t="str">
        <f>IF(OR(Application!D211="At-Risk",Application!D211="At-Risk/Located in Rural Census Tract",Application!D214="At-Risk"),ROUND(AD63*AD66,0),"$0")</f>
        <v>$0</v>
      </c>
      <c r="AE67" s="1075"/>
      <c r="AF67" s="1075"/>
      <c r="AG67" s="1075"/>
      <c r="AH67" s="107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2"/>
      <c r="AC70" s="1633"/>
      <c r="AD70" s="1633"/>
      <c r="AE70" s="1633"/>
      <c r="AF70" s="1634"/>
    </row>
    <row r="71" spans="1:34" ht="12.95" customHeight="1">
      <c r="A71" s="3"/>
      <c r="C71" s="3"/>
      <c r="D71" s="3"/>
      <c r="E71" s="1636" t="s">
        <v>1745</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04">
        <f>ROUND(IF(ISERROR((AB58/AB70)),0,(AB58/AB70)),0)</f>
        <v>0</v>
      </c>
      <c r="AC75" s="1504"/>
      <c r="AD75" s="1504"/>
      <c r="AE75" s="1504"/>
      <c r="AF75" s="1504"/>
    </row>
    <row r="76" spans="1:34" ht="12.95" customHeight="1">
      <c r="C76" s="3"/>
      <c r="D76" s="3" t="s">
        <v>105</v>
      </c>
      <c r="AB76" s="1549">
        <f>IF((Y67+AD67&lt;AB75),Y67+AD67,AB75)</f>
        <v>0</v>
      </c>
      <c r="AC76" s="1550"/>
      <c r="AD76" s="1550"/>
      <c r="AE76" s="1550"/>
      <c r="AF76" s="1551"/>
    </row>
    <row r="77" spans="1:34" ht="12.95" customHeight="1">
      <c r="C77" s="3"/>
      <c r="D77" s="3" t="s">
        <v>942</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378">
        <f>AB48-(AB56+AB77)</f>
        <v>35431205</v>
      </c>
      <c r="AC79" s="1378"/>
      <c r="AD79" s="1378"/>
      <c r="AE79" s="1378"/>
      <c r="AF79" s="137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1354</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1606</v>
      </c>
      <c r="U7" s="1612"/>
      <c r="V7" s="1612"/>
      <c r="W7" s="1612"/>
      <c r="X7" s="1612"/>
      <c r="Y7" s="1612" t="s">
        <v>1748</v>
      </c>
      <c r="Z7" s="1612"/>
      <c r="AA7" s="1612"/>
      <c r="AB7" s="1612"/>
      <c r="AC7" s="1612"/>
      <c r="AD7" s="1612" t="s">
        <v>1360</v>
      </c>
      <c r="AE7" s="1612"/>
      <c r="AF7" s="1612"/>
      <c r="AG7" s="1612"/>
      <c r="AH7" s="1612"/>
      <c r="AI7" s="1612" t="s">
        <v>1749</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0">
        <f>IF('Sources and Basis Breakdown'!F105=0,'Sources and Basis Breakdown'!E105,'Sources and Basis Breakdown'!F105)</f>
        <v>32145715</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5" customHeight="1">
      <c r="B12" s="1614" t="s">
        <v>447</v>
      </c>
      <c r="C12" s="1033"/>
      <c r="D12" s="1033"/>
      <c r="E12" s="1033"/>
      <c r="F12" s="1033"/>
      <c r="G12" s="1033"/>
      <c r="H12" s="1033"/>
      <c r="I12" s="1033"/>
      <c r="J12" s="1033"/>
      <c r="K12" s="1033"/>
      <c r="L12" s="1033"/>
      <c r="M12" s="1033"/>
      <c r="N12" s="1033"/>
      <c r="O12" s="1033"/>
      <c r="P12" s="1033"/>
      <c r="Q12" s="1033"/>
      <c r="R12" s="1033"/>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1712</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5" customHeight="1">
      <c r="B14" s="8"/>
      <c r="C14" s="1617" t="s">
        <v>768</v>
      </c>
      <c r="D14" s="1617"/>
      <c r="E14" s="1617"/>
      <c r="F14" s="1617"/>
      <c r="G14" s="1617"/>
      <c r="H14" s="1617"/>
      <c r="I14" s="1617"/>
      <c r="J14" s="1617"/>
      <c r="K14" s="1617"/>
      <c r="L14" s="1617"/>
      <c r="M14" s="1617"/>
      <c r="N14" s="1617"/>
      <c r="O14" s="1617"/>
      <c r="P14" s="1617"/>
      <c r="Q14" s="1617"/>
      <c r="R14" s="1617"/>
      <c r="S14" s="1618"/>
      <c r="T14" s="1081">
        <f>'Basis &amp; Credits'!T14</f>
        <v>0</v>
      </c>
      <c r="U14" s="1077"/>
      <c r="V14" s="1077"/>
      <c r="W14" s="1077"/>
      <c r="X14" s="1077"/>
      <c r="Y14" s="1081">
        <f>'Basis &amp; Credits'!Y14</f>
        <v>0</v>
      </c>
      <c r="Z14" s="1077"/>
      <c r="AA14" s="1077"/>
      <c r="AB14" s="1077"/>
      <c r="AC14" s="1077"/>
      <c r="AD14" s="1077">
        <f>'Basis &amp; Credits'!AD14</f>
        <v>0</v>
      </c>
      <c r="AE14" s="1077"/>
      <c r="AF14" s="1077"/>
      <c r="AG14" s="1077"/>
      <c r="AH14" s="1077"/>
      <c r="AI14" s="1077">
        <f>'Basis &amp; Credits'!AI14</f>
        <v>0</v>
      </c>
      <c r="AJ14" s="1077"/>
      <c r="AK14" s="1077"/>
      <c r="AL14" s="1077"/>
      <c r="AM14" s="1077"/>
    </row>
    <row r="15" spans="1:40" ht="12.95" customHeight="1">
      <c r="B15" s="8"/>
      <c r="C15" s="1617" t="s">
        <v>769</v>
      </c>
      <c r="D15" s="1617"/>
      <c r="E15" s="1617"/>
      <c r="F15" s="1617"/>
      <c r="G15" s="1617"/>
      <c r="H15" s="1617"/>
      <c r="I15" s="1617"/>
      <c r="J15" s="1617"/>
      <c r="K15" s="1617"/>
      <c r="L15" s="1617"/>
      <c r="M15" s="1617"/>
      <c r="N15" s="1617"/>
      <c r="O15" s="1617"/>
      <c r="P15" s="1617"/>
      <c r="Q15" s="1617"/>
      <c r="R15" s="1617"/>
      <c r="S15" s="1618"/>
      <c r="T15" s="1081">
        <f>'Basis &amp; Credits'!T15</f>
        <v>0</v>
      </c>
      <c r="U15" s="1077"/>
      <c r="V15" s="1077"/>
      <c r="W15" s="1077"/>
      <c r="X15" s="1077"/>
      <c r="Y15" s="1081">
        <f>'Basis &amp; Credits'!Y15</f>
        <v>0</v>
      </c>
      <c r="Z15" s="1077"/>
      <c r="AA15" s="1077"/>
      <c r="AB15" s="1077"/>
      <c r="AC15" s="1077"/>
      <c r="AD15" s="1077">
        <f>'Basis &amp; Credits'!AD15</f>
        <v>0</v>
      </c>
      <c r="AE15" s="1077"/>
      <c r="AF15" s="1077"/>
      <c r="AG15" s="1077"/>
      <c r="AH15" s="1077"/>
      <c r="AI15" s="1077">
        <f>'Basis &amp; Credits'!AI15</f>
        <v>0</v>
      </c>
      <c r="AJ15" s="1077"/>
      <c r="AK15" s="1077"/>
      <c r="AL15" s="1077"/>
      <c r="AM15" s="1077"/>
    </row>
    <row r="16" spans="1:40" ht="12.95" customHeight="1">
      <c r="B16" s="8"/>
      <c r="C16" s="1616" t="s">
        <v>1012</v>
      </c>
      <c r="D16" s="1616"/>
      <c r="E16" s="1616"/>
      <c r="F16" s="1616"/>
      <c r="G16" s="1616"/>
      <c r="H16" s="1616"/>
      <c r="I16" s="1616"/>
      <c r="J16" s="1616"/>
      <c r="K16" s="1616"/>
      <c r="L16" s="1616"/>
      <c r="M16" s="1616"/>
      <c r="N16" s="1616"/>
      <c r="O16" s="1616"/>
      <c r="P16" s="1616"/>
      <c r="Q16" s="1616"/>
      <c r="R16" s="1616"/>
      <c r="S16" s="1619"/>
      <c r="T16" s="1081">
        <f>'Basis &amp; Credits'!T16</f>
        <v>0</v>
      </c>
      <c r="U16" s="1077"/>
      <c r="V16" s="1077"/>
      <c r="W16" s="1077"/>
      <c r="X16" s="1077"/>
      <c r="Y16" s="1081">
        <f>'Basis &amp; Credits'!Y16</f>
        <v>0</v>
      </c>
      <c r="Z16" s="1077"/>
      <c r="AA16" s="1077"/>
      <c r="AB16" s="1077"/>
      <c r="AC16" s="1077"/>
      <c r="AD16" s="1077">
        <f>'Basis &amp; Credits'!AD16</f>
        <v>0</v>
      </c>
      <c r="AE16" s="1077"/>
      <c r="AF16" s="1077"/>
      <c r="AG16" s="1077"/>
      <c r="AH16" s="1077"/>
      <c r="AI16" s="1077">
        <f>'Basis &amp; Credits'!AI16</f>
        <v>0</v>
      </c>
      <c r="AJ16" s="1077"/>
      <c r="AK16" s="1077"/>
      <c r="AL16" s="1077"/>
      <c r="AM16" s="1077"/>
    </row>
    <row r="17" spans="1:39" ht="12.95" customHeight="1">
      <c r="B17" s="8"/>
      <c r="C17" s="1617" t="s">
        <v>770</v>
      </c>
      <c r="D17" s="1617"/>
      <c r="E17" s="1617"/>
      <c r="F17" s="1617"/>
      <c r="G17" s="1617"/>
      <c r="H17" s="1617"/>
      <c r="I17" s="1617"/>
      <c r="J17" s="1617"/>
      <c r="K17" s="1617"/>
      <c r="L17" s="1617"/>
      <c r="M17" s="1617"/>
      <c r="N17" s="1617"/>
      <c r="O17" s="1617"/>
      <c r="P17" s="1617"/>
      <c r="Q17" s="1617"/>
      <c r="R17" s="1617"/>
      <c r="S17" s="1618"/>
      <c r="T17" s="1081">
        <f>'Basis &amp; Credits'!T17</f>
        <v>0</v>
      </c>
      <c r="U17" s="1077"/>
      <c r="V17" s="1077"/>
      <c r="W17" s="1077"/>
      <c r="X17" s="1077"/>
      <c r="Y17" s="1081">
        <f>'Basis &amp; Credits'!Y17</f>
        <v>0</v>
      </c>
      <c r="Z17" s="1077"/>
      <c r="AA17" s="1077"/>
      <c r="AB17" s="1077"/>
      <c r="AC17" s="1077"/>
      <c r="AD17" s="1077">
        <f>'Basis &amp; Credits'!AD17</f>
        <v>0</v>
      </c>
      <c r="AE17" s="1077"/>
      <c r="AF17" s="1077"/>
      <c r="AG17" s="1077"/>
      <c r="AH17" s="1077"/>
      <c r="AI17" s="1077">
        <f>'Basis &amp; Credits'!AI17</f>
        <v>0</v>
      </c>
      <c r="AJ17" s="1077"/>
      <c r="AK17" s="1077"/>
      <c r="AL17" s="1077"/>
      <c r="AM17" s="1077"/>
    </row>
    <row r="18" spans="1:39" ht="12.95" customHeight="1">
      <c r="B18" s="593"/>
      <c r="C18" s="1616" t="s">
        <v>1364</v>
      </c>
      <c r="D18" s="1617"/>
      <c r="E18" s="1617"/>
      <c r="F18" s="1617"/>
      <c r="G18" s="1617"/>
      <c r="H18" s="1617"/>
      <c r="I18" s="1617"/>
      <c r="J18" s="1617"/>
      <c r="K18" s="1617"/>
      <c r="L18" s="1617"/>
      <c r="M18" s="1617"/>
      <c r="N18" s="1617"/>
      <c r="O18" s="1617"/>
      <c r="P18" s="1617"/>
      <c r="Q18" s="1617"/>
      <c r="R18" s="1617"/>
      <c r="S18" s="1618"/>
      <c r="T18" s="1079">
        <f>'Basis &amp; Credits'!T18</f>
        <v>0</v>
      </c>
      <c r="U18" s="1080"/>
      <c r="V18" s="1080"/>
      <c r="W18" s="1080"/>
      <c r="X18" s="1081"/>
      <c r="Y18" s="1081">
        <f>'Basis &amp; Credits'!Y18</f>
        <v>0</v>
      </c>
      <c r="Z18" s="1077"/>
      <c r="AA18" s="1077"/>
      <c r="AB18" s="1077"/>
      <c r="AC18" s="1077"/>
      <c r="AD18" s="1077">
        <f>'Basis &amp; Credits'!AD18</f>
        <v>0</v>
      </c>
      <c r="AE18" s="1077"/>
      <c r="AF18" s="1077"/>
      <c r="AG18" s="1077"/>
      <c r="AH18" s="1077"/>
      <c r="AI18" s="1077">
        <f>'Basis &amp; Credits'!AI18</f>
        <v>0</v>
      </c>
      <c r="AJ18" s="1077"/>
      <c r="AK18" s="1077"/>
      <c r="AL18" s="1077"/>
      <c r="AM18" s="1077"/>
    </row>
    <row r="19" spans="1:39" ht="12.95"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081">
        <f>'Basis &amp; Credits'!T19</f>
        <v>0</v>
      </c>
      <c r="U19" s="1077"/>
      <c r="V19" s="1077"/>
      <c r="W19" s="1077"/>
      <c r="X19" s="1077"/>
      <c r="Y19" s="1081">
        <f>'Basis &amp; Credits'!Y19</f>
        <v>0</v>
      </c>
      <c r="Z19" s="1077"/>
      <c r="AA19" s="1077"/>
      <c r="AB19" s="1077"/>
      <c r="AC19" s="1077"/>
      <c r="AD19" s="1077">
        <f>'Basis &amp; Credits'!AD19</f>
        <v>0</v>
      </c>
      <c r="AE19" s="1077"/>
      <c r="AF19" s="1077"/>
      <c r="AG19" s="1077"/>
      <c r="AH19" s="1077"/>
      <c r="AI19" s="1077">
        <f>'Basis &amp; Credits'!AI19</f>
        <v>0</v>
      </c>
      <c r="AJ19" s="1077"/>
      <c r="AK19" s="1077"/>
      <c r="AL19" s="1077"/>
      <c r="AM19" s="1077"/>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05">
        <f>SUM(T13:X19)</f>
        <v>0</v>
      </c>
      <c r="U20" s="1075"/>
      <c r="V20" s="1075"/>
      <c r="W20" s="1075"/>
      <c r="X20" s="1075"/>
      <c r="Y20" s="1605">
        <f>SUM(Y13:AC19)</f>
        <v>0</v>
      </c>
      <c r="Z20" s="1075"/>
      <c r="AA20" s="1075"/>
      <c r="AB20" s="1075"/>
      <c r="AC20" s="1075"/>
      <c r="AD20" s="1075">
        <f>SUM(AD13:AH19)</f>
        <v>0</v>
      </c>
      <c r="AE20" s="1075"/>
      <c r="AF20" s="1075"/>
      <c r="AG20" s="1075"/>
      <c r="AH20" s="1075"/>
      <c r="AI20" s="1075">
        <f>SUM(AI13:AM19)</f>
        <v>0</v>
      </c>
      <c r="AJ20" s="1075"/>
      <c r="AK20" s="1075"/>
      <c r="AL20" s="1075"/>
      <c r="AM20" s="1075"/>
    </row>
    <row r="21" spans="1:39" ht="12.95" customHeight="1">
      <c r="B21" s="1187" t="s">
        <v>1711</v>
      </c>
      <c r="C21" s="1188"/>
      <c r="D21" s="1188"/>
      <c r="E21" s="1188"/>
      <c r="F21" s="1188"/>
      <c r="G21" s="1188"/>
      <c r="H21" s="1188"/>
      <c r="I21" s="1188"/>
      <c r="J21" s="1188"/>
      <c r="K21" s="1188"/>
      <c r="L21" s="1188"/>
      <c r="M21" s="1188"/>
      <c r="N21" s="1188"/>
      <c r="O21" s="1188"/>
      <c r="P21" s="1188"/>
      <c r="Q21" s="1188"/>
      <c r="R21" s="1188"/>
      <c r="S21" s="1189"/>
      <c r="T21" s="1081">
        <f>'Basis &amp; Credits'!T21</f>
        <v>4367937</v>
      </c>
      <c r="U21" s="1077"/>
      <c r="V21" s="1077"/>
      <c r="W21" s="1077"/>
      <c r="X21" s="1077"/>
      <c r="Y21" s="1081">
        <f>'Basis &amp; Credits'!Y21</f>
        <v>0</v>
      </c>
      <c r="Z21" s="1077"/>
      <c r="AA21" s="1077"/>
      <c r="AB21" s="1077"/>
      <c r="AC21" s="1077"/>
      <c r="AD21" s="1077">
        <f>'Basis &amp; Credits'!AD21</f>
        <v>0</v>
      </c>
      <c r="AE21" s="1077"/>
      <c r="AF21" s="1077"/>
      <c r="AG21" s="1077"/>
      <c r="AH21" s="1077"/>
      <c r="AI21" s="1077">
        <f>'Basis &amp; Credits'!AI21</f>
        <v>0</v>
      </c>
      <c r="AJ21" s="1077"/>
      <c r="AK21" s="1077"/>
      <c r="AL21" s="1077"/>
      <c r="AM21" s="1077"/>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06">
        <f>(T20+T21)*-1</f>
        <v>-4367937</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05">
        <f>T11+T22</f>
        <v>27777778</v>
      </c>
      <c r="U23" s="1075"/>
      <c r="V23" s="1075"/>
      <c r="W23" s="1075"/>
      <c r="X23" s="1075"/>
      <c r="Y23" s="1605">
        <f>Y11+Y22</f>
        <v>0</v>
      </c>
      <c r="Z23" s="1075"/>
      <c r="AA23" s="1075"/>
      <c r="AB23" s="1075"/>
      <c r="AC23" s="1075"/>
      <c r="AD23" s="1605">
        <f>AD11+AD22</f>
        <v>0</v>
      </c>
      <c r="AE23" s="1075"/>
      <c r="AF23" s="1075"/>
      <c r="AG23" s="1075"/>
      <c r="AH23" s="1075"/>
      <c r="AI23" s="1605">
        <f>AI11+AI22</f>
        <v>0</v>
      </c>
      <c r="AJ23" s="1075"/>
      <c r="AK23" s="1075"/>
      <c r="AL23" s="1075"/>
      <c r="AM23" s="1075"/>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1747</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241">
        <f>T23*T25</f>
        <v>27777778</v>
      </c>
      <c r="U26" s="1608"/>
      <c r="V26" s="1608"/>
      <c r="W26" s="1608"/>
      <c r="X26" s="1608"/>
      <c r="Y26" s="1241">
        <f>Y23*Y25</f>
        <v>0</v>
      </c>
      <c r="Z26" s="1608"/>
      <c r="AA26" s="1608"/>
      <c r="AB26" s="1608"/>
      <c r="AC26" s="1608"/>
      <c r="AD26" s="1241">
        <f>AD23*AD25</f>
        <v>0</v>
      </c>
      <c r="AE26" s="1608"/>
      <c r="AF26" s="1608"/>
      <c r="AG26" s="1608"/>
      <c r="AH26" s="1608"/>
      <c r="AI26" s="1241">
        <f>AI23*AI25</f>
        <v>0</v>
      </c>
      <c r="AJ26" s="1608"/>
      <c r="AK26" s="1608"/>
      <c r="AL26" s="1608"/>
      <c r="AM26" s="1608"/>
    </row>
    <row r="27" spans="1:39" ht="12.95"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241">
        <f>IF(ISERROR((T26*T27)),0,(T26*T27))</f>
        <v>27777778</v>
      </c>
      <c r="U28" s="1608"/>
      <c r="V28" s="1608"/>
      <c r="W28" s="1608"/>
      <c r="X28" s="1608"/>
      <c r="Y28" s="1241">
        <f>IF(ISERROR((Y26*Y27)),0,(Y26*Y27))</f>
        <v>0</v>
      </c>
      <c r="Z28" s="1608"/>
      <c r="AA28" s="1608"/>
      <c r="AB28" s="1608"/>
      <c r="AC28" s="1608"/>
      <c r="AD28" s="1241">
        <f>IF(ISERROR((AD26*AD27)),0,(AD26*AD27))</f>
        <v>0</v>
      </c>
      <c r="AE28" s="1608"/>
      <c r="AF28" s="1608"/>
      <c r="AG28" s="1608"/>
      <c r="AH28" s="1608"/>
      <c r="AI28" s="1241">
        <f>IF(ISERROR((AI26*AI27)),0,(AI26*AI27))</f>
        <v>0</v>
      </c>
      <c r="AJ28" s="1608"/>
      <c r="AK28" s="1608"/>
      <c r="AL28" s="1608"/>
      <c r="AM28" s="1608"/>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03">
        <f>T28+Y28+AD28+AI28</f>
        <v>27777778</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2" t="s">
        <v>41</v>
      </c>
      <c r="AE35" s="1502"/>
      <c r="AF35" s="1502"/>
      <c r="AG35" s="1502"/>
      <c r="AH35" s="1502"/>
    </row>
    <row r="36" spans="1:40" ht="12.95" customHeight="1">
      <c r="B36" s="204"/>
      <c r="X36" s="71"/>
      <c r="Y36" s="1612"/>
      <c r="Z36" s="1612"/>
      <c r="AA36" s="1612"/>
      <c r="AB36" s="1612"/>
      <c r="AC36" s="1612"/>
      <c r="AD36" s="1502"/>
      <c r="AE36" s="1502"/>
      <c r="AF36" s="1502"/>
      <c r="AG36" s="1502"/>
      <c r="AH36" s="150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2"/>
      <c r="AE37" s="1502"/>
      <c r="AF37" s="1502"/>
      <c r="AG37" s="1502"/>
      <c r="AH37" s="1502"/>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075">
        <f>IF(T24&gt;=(T23+Y23+AD23+AI23),T28+Y28,0)</f>
        <v>0</v>
      </c>
      <c r="Z38" s="1075"/>
      <c r="AA38" s="1075"/>
      <c r="AB38" s="1075"/>
      <c r="AC38" s="1075"/>
      <c r="AD38" s="1075">
        <f>IF(T24&gt;=(T23+Y23+AD23+AI23),AD28+AI28,0)</f>
        <v>0</v>
      </c>
      <c r="AE38" s="1075"/>
      <c r="AF38" s="1075"/>
      <c r="AG38" s="1075"/>
      <c r="AH38" s="1075"/>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3">
        <v>0.09</v>
      </c>
      <c r="Z39" s="1963"/>
      <c r="AA39" s="1963"/>
      <c r="AB39" s="1963"/>
      <c r="AC39" s="1963"/>
      <c r="AD39" s="1963">
        <f>'Basis &amp; Credits'!AD39:AH39</f>
        <v>0.04</v>
      </c>
      <c r="AE39" s="1963"/>
      <c r="AF39" s="1963"/>
      <c r="AG39" s="1963"/>
      <c r="AH39" s="1963"/>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075">
        <f>ROUND(Y38*Y39,0)</f>
        <v>0</v>
      </c>
      <c r="Z40" s="1075"/>
      <c r="AA40" s="1075"/>
      <c r="AB40" s="1075"/>
      <c r="AC40" s="1075"/>
      <c r="AD40" s="1605">
        <f>ROUND(AD38*AD39,0)</f>
        <v>0</v>
      </c>
      <c r="AE40" s="1075"/>
      <c r="AF40" s="1075"/>
      <c r="AG40" s="1075"/>
      <c r="AH40" s="1075"/>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3">
        <f>IF((Y40+AD40)&gt;2500000,2500000,Y40+AD40)</f>
        <v>0</v>
      </c>
      <c r="Z41" s="1604"/>
      <c r="AA41" s="1604"/>
      <c r="AB41" s="1604"/>
      <c r="AC41" s="1604"/>
      <c r="AD41" s="1604"/>
      <c r="AE41" s="1604"/>
      <c r="AF41" s="1604"/>
      <c r="AG41" s="1604"/>
      <c r="AH41" s="1605"/>
    </row>
    <row r="42" spans="1:40" ht="12.95" customHeight="1">
      <c r="A42" s="3"/>
      <c r="B42" s="1637" t="s">
        <v>1162</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8">
        <f>'Sources and Uses Budget'!B104-'Sources and Uses Budget'!$B$15</f>
        <v>35431205</v>
      </c>
      <c r="AC46" s="1199"/>
      <c r="AD46" s="1199"/>
      <c r="AE46" s="1199"/>
      <c r="AF46" s="1200"/>
    </row>
    <row r="47" spans="1:40" ht="12.95" customHeight="1">
      <c r="D47" s="3" t="s">
        <v>837</v>
      </c>
      <c r="AB47" s="1198">
        <f>Application!AG633-MIN('Sources and Uses Budget'!B15,Application!AG385)</f>
        <v>0</v>
      </c>
      <c r="AC47" s="1199"/>
      <c r="AD47" s="1199"/>
      <c r="AE47" s="1199"/>
      <c r="AF47" s="1200"/>
    </row>
    <row r="48" spans="1:40" ht="12.95" customHeight="1">
      <c r="D48" s="3" t="s">
        <v>378</v>
      </c>
      <c r="AB48" s="1198">
        <f>AB46-AB47</f>
        <v>35431205</v>
      </c>
      <c r="AC48" s="1199"/>
      <c r="AD48" s="1199"/>
      <c r="AE48" s="1199"/>
      <c r="AF48" s="1200"/>
    </row>
    <row r="49" spans="1:40" ht="12.95" customHeight="1">
      <c r="D49" s="3" t="s">
        <v>872</v>
      </c>
      <c r="AA49" s="34"/>
      <c r="AB49" s="1632"/>
      <c r="AC49" s="1633"/>
      <c r="AD49" s="1633"/>
      <c r="AE49" s="1633"/>
      <c r="AF49" s="1634"/>
    </row>
    <row r="50" spans="1:40" s="323" customFormat="1" ht="12.95" customHeight="1">
      <c r="A50"/>
      <c r="B50"/>
      <c r="C50"/>
      <c r="D50"/>
      <c r="E50" s="1638" t="s">
        <v>1353</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0</v>
      </c>
      <c r="AC53" s="1199"/>
      <c r="AD53" s="1199"/>
      <c r="AE53" s="1199"/>
      <c r="AF53" s="1200"/>
    </row>
    <row r="54" spans="1:40" ht="12.95" customHeight="1">
      <c r="D54" s="3" t="s">
        <v>561</v>
      </c>
      <c r="AB54" s="1198">
        <f>(AB53/10)</f>
        <v>0</v>
      </c>
      <c r="AC54" s="1199"/>
      <c r="AD54" s="1199"/>
      <c r="AE54" s="1199"/>
      <c r="AF54" s="1200"/>
    </row>
    <row r="55" spans="1:40" ht="12.95" customHeight="1">
      <c r="D55" s="3" t="s">
        <v>341</v>
      </c>
      <c r="AB55" s="1965">
        <f>(IF((Y41&lt;AB54),Y41,AB54))</f>
        <v>0</v>
      </c>
      <c r="AC55" s="1966"/>
      <c r="AD55" s="1966"/>
      <c r="AE55" s="1966"/>
      <c r="AF55" s="1967"/>
    </row>
    <row r="56" spans="1:40" ht="12.95" customHeight="1">
      <c r="D56" s="3" t="s">
        <v>107</v>
      </c>
      <c r="AB56" s="1198">
        <f>ROUND((10*AB55*AB49),0)</f>
        <v>0</v>
      </c>
      <c r="AC56" s="1199"/>
      <c r="AD56" s="1199"/>
      <c r="AE56" s="1199"/>
      <c r="AF56" s="1200"/>
    </row>
    <row r="57" spans="1:40" ht="12.95" customHeight="1">
      <c r="D57" s="3"/>
      <c r="AB57" s="276"/>
      <c r="AC57" s="276"/>
      <c r="AD57" s="276"/>
      <c r="AE57" s="276"/>
      <c r="AF57" s="276"/>
    </row>
    <row r="58" spans="1:40" ht="12.95" customHeight="1">
      <c r="D58" s="3" t="s">
        <v>106</v>
      </c>
      <c r="AB58" s="1378">
        <f>AB48-AB56</f>
        <v>35431205</v>
      </c>
      <c r="AC58" s="1378"/>
      <c r="AD58" s="1378"/>
      <c r="AE58" s="1378"/>
      <c r="AF58" s="13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1750</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075">
        <f>Y28</f>
        <v>0</v>
      </c>
      <c r="Z63" s="1635"/>
      <c r="AA63" s="1635"/>
      <c r="AB63" s="1635"/>
      <c r="AC63" s="1635"/>
      <c r="AD63" s="1075">
        <f>AI28</f>
        <v>0</v>
      </c>
      <c r="AE63" s="1635"/>
      <c r="AF63" s="1635"/>
      <c r="AG63" s="1635"/>
      <c r="AH63" s="1635"/>
    </row>
    <row r="64" spans="1:40" ht="12.95"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0.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5" customHeight="1">
      <c r="C67" s="3"/>
      <c r="D67" s="3" t="s">
        <v>941</v>
      </c>
      <c r="Y67" s="1075">
        <f>ROUND(Y63*Y66,0)</f>
        <v>0</v>
      </c>
      <c r="Z67" s="1635"/>
      <c r="AA67" s="1635"/>
      <c r="AB67" s="1635"/>
      <c r="AC67" s="1635"/>
      <c r="AD67" s="1075" t="str">
        <f>IF(OR(Application!D211="At-Risk",Application!D211="At-Risk/Located in Rural Census Tract",Application!D214="At-Risk"),ROUND(AD63*AD66,0),"$0")</f>
        <v>$0</v>
      </c>
      <c r="AE67" s="1075"/>
      <c r="AF67" s="1075"/>
      <c r="AG67" s="1075"/>
      <c r="AH67" s="107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2"/>
      <c r="AC70" s="1633"/>
      <c r="AD70" s="1633"/>
      <c r="AE70" s="1633"/>
      <c r="AF70" s="1634"/>
    </row>
    <row r="71" spans="1:34" ht="12.95" customHeight="1">
      <c r="A71" s="3"/>
      <c r="C71" s="3"/>
      <c r="D71" s="3"/>
      <c r="E71" s="1636" t="s">
        <v>1745</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04">
        <f>ROUND(IF(ISERROR((AB58/AB70)),0,(AB58/AB70)),0)</f>
        <v>0</v>
      </c>
      <c r="AC75" s="1504"/>
      <c r="AD75" s="1504"/>
      <c r="AE75" s="1504"/>
      <c r="AF75" s="1504"/>
    </row>
    <row r="76" spans="1:34" ht="12.95" customHeight="1">
      <c r="C76" s="3"/>
      <c r="D76" s="3" t="s">
        <v>105</v>
      </c>
      <c r="AB76" s="1549">
        <f>IF((Y67+AD67&lt;AB75),Y67+AD67,AB75)</f>
        <v>0</v>
      </c>
      <c r="AC76" s="1550"/>
      <c r="AD76" s="1550"/>
      <c r="AE76" s="1550"/>
      <c r="AF76" s="1551"/>
    </row>
    <row r="77" spans="1:34" ht="12.95" customHeight="1">
      <c r="C77" s="3"/>
      <c r="D77" s="3" t="s">
        <v>942</v>
      </c>
      <c r="AB77" s="1630">
        <f>AB76*AB70</f>
        <v>0</v>
      </c>
      <c r="AC77" s="1630"/>
      <c r="AD77" s="1630"/>
      <c r="AE77" s="1630"/>
      <c r="AF77" s="1630"/>
    </row>
    <row r="78" spans="1:34" ht="12.95" customHeight="1">
      <c r="C78" s="3"/>
      <c r="D78" s="3"/>
      <c r="AB78" s="598"/>
      <c r="AC78" s="598"/>
      <c r="AD78" s="598"/>
      <c r="AE78" s="598"/>
      <c r="AF78" s="598"/>
    </row>
    <row r="79" spans="1:34" ht="12.95" customHeight="1">
      <c r="D79" s="3" t="s">
        <v>106</v>
      </c>
      <c r="AB79" s="1378">
        <f>AB48-(AB56+AB77)</f>
        <v>35431205</v>
      </c>
      <c r="AC79" s="1378"/>
      <c r="AD79" s="1378"/>
      <c r="AE79" s="1378"/>
      <c r="AF79" s="137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2400000</v>
      </c>
      <c r="C5" s="329">
        <f>'Sources and Uses Budget'!C4</f>
        <v>2400000</v>
      </c>
      <c r="D5" s="329">
        <f>'Sources and Uses Budget'!C4</f>
        <v>2400000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2400000</v>
      </c>
      <c r="C9" s="331">
        <f>SUM(C5:C8)</f>
        <v>2400000</v>
      </c>
      <c r="D9" s="331">
        <f>SUM(D5:D8)</f>
        <v>2400000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2400000</v>
      </c>
      <c r="C13" s="331">
        <f>SUM(C9+C12)</f>
        <v>2400000</v>
      </c>
      <c r="D13" s="331">
        <f>SUM(D9+D12)</f>
        <v>2400000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1952</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1752916</v>
      </c>
      <c r="C30" s="329">
        <f>'Sources and Uses Budget'!C29</f>
        <v>1752916</v>
      </c>
      <c r="D30" s="329">
        <f>'Sources and Uses Budget'!C29</f>
        <v>1752916</v>
      </c>
      <c r="E30" s="331">
        <f t="shared" si="0"/>
        <v>0</v>
      </c>
      <c r="F30" s="330"/>
      <c r="G30" s="330"/>
    </row>
    <row r="31" spans="1:7" s="568" customFormat="1" ht="12.75">
      <c r="A31" s="239" t="s">
        <v>911</v>
      </c>
      <c r="B31" s="329">
        <f>'Sources and Uses Budget'!C30</f>
        <v>17622000</v>
      </c>
      <c r="C31" s="329">
        <f>'Sources and Uses Budget'!C30</f>
        <v>17622000</v>
      </c>
      <c r="D31" s="329">
        <f>'Sources and Uses Budget'!C30</f>
        <v>17622000</v>
      </c>
      <c r="E31" s="331">
        <f t="shared" si="0"/>
        <v>0</v>
      </c>
      <c r="F31" s="330"/>
      <c r="G31" s="330"/>
    </row>
    <row r="32" spans="1:7" s="568" customFormat="1" ht="12.75">
      <c r="A32" s="239" t="s">
        <v>912</v>
      </c>
      <c r="B32" s="329">
        <f>'Sources and Uses Budget'!C31</f>
        <v>1296435</v>
      </c>
      <c r="C32" s="329">
        <f>'Sources and Uses Budget'!C31</f>
        <v>1296435</v>
      </c>
      <c r="D32" s="329">
        <f>'Sources and Uses Budget'!C31</f>
        <v>1296435</v>
      </c>
      <c r="E32" s="331">
        <f t="shared" si="0"/>
        <v>0</v>
      </c>
      <c r="F32" s="330"/>
      <c r="G32" s="330"/>
    </row>
    <row r="33" spans="1:7" s="568" customFormat="1" ht="12.75">
      <c r="A33" s="239" t="s">
        <v>913</v>
      </c>
      <c r="B33" s="329">
        <f>'Sources and Uses Budget'!C32</f>
        <v>1180290</v>
      </c>
      <c r="C33" s="329">
        <f>'Sources and Uses Budget'!C32</f>
        <v>1180290</v>
      </c>
      <c r="D33" s="329">
        <f>'Sources and Uses Budget'!C32</f>
        <v>1180290</v>
      </c>
      <c r="E33" s="331">
        <f t="shared" si="0"/>
        <v>0</v>
      </c>
      <c r="F33" s="330"/>
      <c r="G33" s="330"/>
    </row>
    <row r="34" spans="1:7" s="568" customFormat="1" ht="12.75">
      <c r="A34" s="239" t="s">
        <v>914</v>
      </c>
      <c r="B34" s="329">
        <f>'Sources and Uses Budget'!C33</f>
        <v>458000</v>
      </c>
      <c r="C34" s="329">
        <f>'Sources and Uses Budget'!C33</f>
        <v>458000</v>
      </c>
      <c r="D34" s="329">
        <f>'Sources and Uses Budget'!C33</f>
        <v>458000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173000</v>
      </c>
      <c r="C36" s="329">
        <f>'Sources and Uses Budget'!C35</f>
        <v>173000</v>
      </c>
      <c r="D36" s="329">
        <f>'Sources and Uses Budget'!C35</f>
        <v>173000</v>
      </c>
      <c r="E36" s="331">
        <f t="shared" si="0"/>
        <v>0</v>
      </c>
      <c r="F36" s="330"/>
      <c r="G36" s="330"/>
    </row>
    <row r="37" spans="1:7" s="568" customFormat="1" ht="12.75">
      <c r="A37" s="239" t="s">
        <v>1952</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22482641</v>
      </c>
      <c r="C39" s="894">
        <f>'Sources and Uses Budget'!C38</f>
        <v>22482641</v>
      </c>
      <c r="D39" s="894">
        <f>'Sources and Uses Budget'!C38</f>
        <v>22482641</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905000</v>
      </c>
      <c r="C41" s="329">
        <f>'Sources and Uses Budget'!C40</f>
        <v>905000</v>
      </c>
      <c r="D41" s="329">
        <f>'Sources and Uses Budget'!C40</f>
        <v>905000</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905000</v>
      </c>
      <c r="C43" s="894">
        <f>'Sources and Uses Budget'!C42</f>
        <v>905000</v>
      </c>
      <c r="D43" s="894">
        <f>'Sources and Uses Budget'!C42</f>
        <v>905000</v>
      </c>
      <c r="E43" s="331">
        <f>C43-B43</f>
        <v>0</v>
      </c>
      <c r="F43" s="330"/>
      <c r="G43" s="330"/>
    </row>
    <row r="44" spans="1:7" s="568" customFormat="1" ht="12.75">
      <c r="A44" s="887" t="s">
        <v>924</v>
      </c>
      <c r="B44" s="329">
        <f>'Sources and Uses Budget'!C43</f>
        <v>175000</v>
      </c>
      <c r="C44" s="329">
        <f>'Sources and Uses Budget'!C43</f>
        <v>175000</v>
      </c>
      <c r="D44" s="329">
        <f>'Sources and Uses Budget'!C43</f>
        <v>175000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1400000</v>
      </c>
      <c r="C46" s="329">
        <f>'Sources and Uses Budget'!C45</f>
        <v>1400000</v>
      </c>
      <c r="D46" s="329">
        <f>'Sources and Uses Budget'!C45</f>
        <v>1400000</v>
      </c>
      <c r="E46" s="331">
        <f t="shared" si="0"/>
        <v>0</v>
      </c>
      <c r="F46" s="330"/>
      <c r="G46" s="330"/>
    </row>
    <row r="47" spans="1:7" s="568" customFormat="1" ht="12.75">
      <c r="A47" s="239" t="s">
        <v>927</v>
      </c>
      <c r="B47" s="329">
        <f>'Sources and Uses Budget'!C46</f>
        <v>293000</v>
      </c>
      <c r="C47" s="329">
        <f>'Sources and Uses Budget'!C46</f>
        <v>293000</v>
      </c>
      <c r="D47" s="329">
        <f>'Sources and Uses Budget'!C46</f>
        <v>293000</v>
      </c>
      <c r="E47" s="331">
        <f t="shared" si="0"/>
        <v>0</v>
      </c>
      <c r="F47" s="330"/>
      <c r="G47" s="330"/>
    </row>
    <row r="48" spans="1:7" s="568" customFormat="1" ht="12.75">
      <c r="A48" s="239" t="s">
        <v>928</v>
      </c>
      <c r="B48" s="329">
        <f>'Sources and Uses Budget'!C47</f>
        <v>25000</v>
      </c>
      <c r="C48" s="329">
        <f>'Sources and Uses Budget'!C47</f>
        <v>25000</v>
      </c>
      <c r="D48" s="329">
        <f>'Sources and Uses Budget'!C47</f>
        <v>25000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64000</v>
      </c>
      <c r="C50" s="329">
        <f>'Sources and Uses Budget'!C49</f>
        <v>64000</v>
      </c>
      <c r="D50" s="329">
        <f>'Sources and Uses Budget'!C49</f>
        <v>64000</v>
      </c>
      <c r="E50" s="331">
        <f t="shared" si="0"/>
        <v>0</v>
      </c>
      <c r="F50" s="330"/>
      <c r="G50" s="330"/>
    </row>
    <row r="51" spans="1:7" s="568" customFormat="1" ht="12.75">
      <c r="A51" s="239" t="s">
        <v>930</v>
      </c>
      <c r="B51" s="329">
        <f>'Sources and Uses Budget'!C50</f>
        <v>120000</v>
      </c>
      <c r="C51" s="329">
        <f>'Sources and Uses Budget'!C50</f>
        <v>120000</v>
      </c>
      <c r="D51" s="329">
        <f>'Sources and Uses Budget'!C50</f>
        <v>120000</v>
      </c>
      <c r="E51" s="331">
        <f t="shared" si="0"/>
        <v>0</v>
      </c>
      <c r="F51" s="330"/>
      <c r="G51" s="330"/>
    </row>
    <row r="52" spans="1:7" s="569" customFormat="1" ht="12.75">
      <c r="A52" s="239" t="s">
        <v>931</v>
      </c>
      <c r="B52" s="329">
        <f>'Sources and Uses Budget'!C51</f>
        <v>360192</v>
      </c>
      <c r="C52" s="329">
        <f>'Sources and Uses Budget'!C51</f>
        <v>360192</v>
      </c>
      <c r="D52" s="329">
        <f>'Sources and Uses Budget'!C51</f>
        <v>360192</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2262192</v>
      </c>
      <c r="C54" s="894">
        <f>'Sources and Uses Budget'!C53</f>
        <v>2262192</v>
      </c>
      <c r="D54" s="894">
        <f>'Sources and Uses Budget'!C53</f>
        <v>2262192</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10000</v>
      </c>
      <c r="C56" s="329">
        <f>'Sources and Uses Budget'!C55</f>
        <v>10000</v>
      </c>
      <c r="D56" s="329">
        <f>'Sources and Uses Budget'!C55</f>
        <v>10000</v>
      </c>
      <c r="E56" s="331">
        <f t="shared" si="0"/>
        <v>0</v>
      </c>
      <c r="F56" s="330"/>
      <c r="G56" s="330"/>
    </row>
    <row r="57" spans="1:7" s="568" customFormat="1" ht="12.75">
      <c r="A57" s="888" t="s">
        <v>928</v>
      </c>
      <c r="B57" s="329">
        <f>'Sources and Uses Budget'!C56</f>
        <v>25000</v>
      </c>
      <c r="C57" s="329">
        <f>'Sources and Uses Budget'!C56</f>
        <v>25000</v>
      </c>
      <c r="D57" s="329">
        <f>'Sources and Uses Budget'!C56</f>
        <v>25000</v>
      </c>
      <c r="E57" s="331">
        <f t="shared" si="0"/>
        <v>0</v>
      </c>
      <c r="F57" s="330"/>
      <c r="G57" s="330"/>
    </row>
    <row r="58" spans="1:7" s="568" customFormat="1" ht="12.75">
      <c r="A58" s="888" t="s">
        <v>932</v>
      </c>
      <c r="B58" s="329">
        <f>'Sources and Uses Budget'!C57</f>
        <v>0</v>
      </c>
      <c r="C58" s="329">
        <f>'Sources and Uses Budget'!C57</f>
        <v>0</v>
      </c>
      <c r="D58" s="329">
        <f>'Sources and Uses Budget'!C57</f>
        <v>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35000</v>
      </c>
      <c r="C62" s="894">
        <f>'Sources and Uses Budget'!C61</f>
        <v>35000</v>
      </c>
      <c r="D62" s="894">
        <f>'Sources and Uses Budget'!C61</f>
        <v>35000</v>
      </c>
      <c r="E62" s="331">
        <f t="shared" si="0"/>
        <v>0</v>
      </c>
      <c r="F62" s="330"/>
      <c r="G62" s="330"/>
    </row>
    <row r="63" spans="1:7" s="568" customFormat="1" ht="12.75">
      <c r="A63" s="890" t="s">
        <v>501</v>
      </c>
      <c r="B63" s="894">
        <f>'Sources and Uses Budget'!C62</f>
        <v>28259833</v>
      </c>
      <c r="C63" s="894">
        <f>'Sources and Uses Budget'!C62</f>
        <v>28259833</v>
      </c>
      <c r="D63" s="894">
        <f>'Sources and Uses Budget'!C62</f>
        <v>28259833</v>
      </c>
      <c r="E63" s="331">
        <f t="shared" si="0"/>
        <v>0</v>
      </c>
      <c r="F63" s="330"/>
      <c r="G63" s="330"/>
    </row>
    <row r="64" spans="1:7" s="568" customFormat="1" ht="24">
      <c r="A64" s="235" t="s">
        <v>1953</v>
      </c>
      <c r="B64" s="327"/>
      <c r="C64" s="327"/>
      <c r="D64" s="327"/>
      <c r="E64" s="327"/>
      <c r="F64" s="327"/>
      <c r="G64" s="327"/>
    </row>
    <row r="65" spans="1:7" s="568" customFormat="1" ht="12.75">
      <c r="A65" s="239" t="s">
        <v>284</v>
      </c>
      <c r="B65" s="329">
        <f>'Sources and Uses Budget'!C64</f>
        <v>60000</v>
      </c>
      <c r="C65" s="329">
        <f>'Sources and Uses Budget'!C64</f>
        <v>60000</v>
      </c>
      <c r="D65" s="329">
        <f>'Sources and Uses Budget'!C64</f>
        <v>60000</v>
      </c>
      <c r="E65" s="331">
        <f t="shared" si="0"/>
        <v>0</v>
      </c>
      <c r="F65" s="330"/>
      <c r="G65" s="330"/>
    </row>
    <row r="66" spans="1:7" s="568" customFormat="1" ht="24">
      <c r="A66" s="239" t="s">
        <v>1954</v>
      </c>
      <c r="B66" s="329">
        <f>'Sources and Uses Budget'!C65</f>
        <v>120000</v>
      </c>
      <c r="C66" s="329">
        <f>'Sources and Uses Budget'!C65</f>
        <v>120000</v>
      </c>
      <c r="D66" s="329">
        <f>'Sources and Uses Budget'!C65</f>
        <v>120000</v>
      </c>
      <c r="E66" s="331">
        <f t="shared" si="0"/>
        <v>0</v>
      </c>
      <c r="F66" s="330"/>
      <c r="G66" s="330"/>
    </row>
    <row r="67" spans="1:7" s="568" customFormat="1" ht="24">
      <c r="A67" s="239" t="s">
        <v>1955</v>
      </c>
      <c r="B67" s="329">
        <f>'Sources and Uses Budget'!C66</f>
        <v>0</v>
      </c>
      <c r="C67" s="329">
        <f>'Sources and Uses Budget'!C66</f>
        <v>0</v>
      </c>
      <c r="D67" s="329">
        <f>'Sources and Uses Budget'!C66</f>
        <v>0</v>
      </c>
      <c r="E67" s="331">
        <f t="shared" si="0"/>
        <v>0</v>
      </c>
      <c r="F67" s="330"/>
      <c r="G67" s="330"/>
    </row>
    <row r="68" spans="1:7" s="568" customFormat="1" ht="12.75">
      <c r="A68" s="239" t="s">
        <v>1956</v>
      </c>
      <c r="B68" s="329">
        <f>'Sources and Uses Budget'!C67</f>
        <v>0</v>
      </c>
      <c r="C68" s="329">
        <f>'Sources and Uses Budget'!C67</f>
        <v>0</v>
      </c>
      <c r="D68" s="329">
        <f>'Sources and Uses Budget'!C67</f>
        <v>0</v>
      </c>
      <c r="E68" s="331">
        <f t="shared" si="0"/>
        <v>0</v>
      </c>
      <c r="F68" s="330"/>
      <c r="G68" s="330"/>
    </row>
    <row r="69" spans="1:7" s="568" customFormat="1" ht="12.75">
      <c r="A69" s="250" t="s">
        <v>2014</v>
      </c>
      <c r="B69" s="329">
        <f>'Sources and Uses Budget'!C68</f>
        <v>0</v>
      </c>
      <c r="C69" s="329">
        <f>'Sources and Uses Budget'!C68</f>
        <v>0</v>
      </c>
      <c r="D69" s="329">
        <f>'Sources and Uses Budget'!C68</f>
        <v>0</v>
      </c>
      <c r="E69" s="331">
        <f t="shared" si="0"/>
        <v>0</v>
      </c>
      <c r="F69" s="330"/>
      <c r="G69" s="330"/>
    </row>
    <row r="70" spans="1:7" s="568" customFormat="1" ht="12.75">
      <c r="A70" s="243" t="s">
        <v>1957</v>
      </c>
      <c r="B70" s="894">
        <f>'Sources and Uses Budget'!C69</f>
        <v>180000</v>
      </c>
      <c r="C70" s="894">
        <f>'Sources and Uses Budget'!C69</f>
        <v>180000</v>
      </c>
      <c r="D70" s="894">
        <f>'Sources and Uses Budget'!C69</f>
        <v>180000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238870</v>
      </c>
      <c r="C75" s="329">
        <f>'Sources and Uses Budget'!C74</f>
        <v>238870</v>
      </c>
      <c r="D75" s="329">
        <f>'Sources and Uses Budget'!C74</f>
        <v>238870</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238870</v>
      </c>
      <c r="C77" s="894">
        <f>'Sources and Uses Budget'!C76</f>
        <v>238870</v>
      </c>
      <c r="D77" s="894">
        <f>'Sources and Uses Budget'!C76</f>
        <v>238870</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1124132</v>
      </c>
      <c r="C79" s="329">
        <f>'Sources and Uses Budget'!C78</f>
        <v>1124132</v>
      </c>
      <c r="D79" s="329">
        <f>'Sources and Uses Budget'!C78</f>
        <v>1124132</v>
      </c>
      <c r="E79" s="331">
        <f t="shared" ref="E79:E105" si="2">C79-B79</f>
        <v>0</v>
      </c>
      <c r="F79" s="330"/>
      <c r="G79" s="330"/>
    </row>
    <row r="80" spans="1:7" s="568" customFormat="1" ht="12.75">
      <c r="A80" s="888" t="s">
        <v>538</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1742</v>
      </c>
      <c r="B81" s="894">
        <f>'Sources and Uses Budget'!C80</f>
        <v>1274132</v>
      </c>
      <c r="C81" s="894">
        <f>'Sources and Uses Budget'!C80</f>
        <v>1274132</v>
      </c>
      <c r="D81" s="894">
        <f>'Sources and Uses Budget'!C80</f>
        <v>1274132</v>
      </c>
      <c r="E81" s="331">
        <f t="shared" si="2"/>
        <v>0</v>
      </c>
      <c r="F81" s="330"/>
      <c r="G81" s="330"/>
    </row>
    <row r="82" spans="1:7" s="568" customFormat="1" ht="12.75">
      <c r="A82" s="883" t="s">
        <v>515</v>
      </c>
      <c r="B82" s="327"/>
      <c r="C82" s="327"/>
      <c r="D82" s="327"/>
      <c r="E82" s="327"/>
      <c r="F82" s="327"/>
      <c r="G82" s="327"/>
    </row>
    <row r="83" spans="1:7" s="568" customFormat="1" ht="12.75">
      <c r="A83" s="239" t="s">
        <v>2113</v>
      </c>
      <c r="B83" s="329">
        <f>'Sources and Uses Budget'!C82</f>
        <v>158620</v>
      </c>
      <c r="C83" s="329">
        <f>'Sources and Uses Budget'!C82</f>
        <v>158620</v>
      </c>
      <c r="D83" s="329">
        <f>'Sources and Uses Budget'!C82</f>
        <v>158620</v>
      </c>
      <c r="E83" s="331">
        <f t="shared" si="2"/>
        <v>0</v>
      </c>
      <c r="F83" s="330"/>
      <c r="G83" s="330"/>
    </row>
    <row r="84" spans="1:7" s="568" customFormat="1" ht="12.75">
      <c r="A84" s="239" t="s">
        <v>516</v>
      </c>
      <c r="B84" s="329">
        <f>'Sources and Uses Budget'!C83</f>
        <v>15000</v>
      </c>
      <c r="C84" s="329">
        <f>'Sources and Uses Budget'!C83</f>
        <v>15000</v>
      </c>
      <c r="D84" s="329">
        <f>'Sources and Uses Budget'!C83</f>
        <v>15000</v>
      </c>
      <c r="E84" s="331">
        <f t="shared" si="2"/>
        <v>0</v>
      </c>
      <c r="F84" s="330"/>
      <c r="G84" s="330"/>
    </row>
    <row r="85" spans="1:7" s="568" customFormat="1" ht="12.75">
      <c r="A85" s="239" t="s">
        <v>517</v>
      </c>
      <c r="B85" s="329">
        <f>'Sources and Uses Budget'!C84</f>
        <v>1449568</v>
      </c>
      <c r="C85" s="329">
        <f>'Sources and Uses Budget'!C84</f>
        <v>1449568</v>
      </c>
      <c r="D85" s="329">
        <f>'Sources and Uses Budget'!C84</f>
        <v>1449568</v>
      </c>
      <c r="E85" s="331">
        <f t="shared" si="2"/>
        <v>0</v>
      </c>
      <c r="F85" s="330"/>
      <c r="G85" s="330"/>
    </row>
    <row r="86" spans="1:7" s="568" customFormat="1" ht="12.75">
      <c r="A86" s="239" t="s">
        <v>518</v>
      </c>
      <c r="B86" s="329">
        <f>'Sources and Uses Budget'!C85</f>
        <v>413781</v>
      </c>
      <c r="C86" s="329">
        <f>'Sources and Uses Budget'!C85</f>
        <v>413781</v>
      </c>
      <c r="D86" s="329">
        <f>'Sources and Uses Budget'!C85</f>
        <v>413781</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60000</v>
      </c>
      <c r="C88" s="329">
        <f>'Sources and Uses Budget'!C87</f>
        <v>60000</v>
      </c>
      <c r="D88" s="329">
        <f>'Sources and Uses Budget'!C87</f>
        <v>60000</v>
      </c>
      <c r="E88" s="331">
        <f t="shared" si="2"/>
        <v>0</v>
      </c>
      <c r="F88" s="330"/>
      <c r="G88" s="330"/>
    </row>
    <row r="89" spans="1:7" s="568" customFormat="1" ht="12.75">
      <c r="A89" s="239" t="s">
        <v>521</v>
      </c>
      <c r="B89" s="329">
        <f>'Sources and Uses Budget'!C88</f>
        <v>500449</v>
      </c>
      <c r="C89" s="329">
        <f>'Sources and Uses Budget'!C88</f>
        <v>500449</v>
      </c>
      <c r="D89" s="329">
        <f>'Sources and Uses Budget'!C88</f>
        <v>500449</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280952</v>
      </c>
      <c r="C91" s="329">
        <f>'Sources and Uses Budget'!C90</f>
        <v>280952</v>
      </c>
      <c r="D91" s="329">
        <f>'Sources and Uses Budget'!C90</f>
        <v>280952</v>
      </c>
      <c r="E91" s="331">
        <f t="shared" si="2"/>
        <v>0</v>
      </c>
      <c r="F91" s="330"/>
      <c r="G91" s="330"/>
    </row>
    <row r="92" spans="1:7" s="568" customFormat="1" ht="12.75">
      <c r="A92" s="250" t="s">
        <v>1740</v>
      </c>
      <c r="B92" s="329">
        <f>'Sources and Uses Budget'!C91</f>
        <v>15000</v>
      </c>
      <c r="C92" s="329">
        <f>'Sources and Uses Budget'!C91</f>
        <v>15000</v>
      </c>
      <c r="D92" s="329">
        <f>'Sources and Uses Budget'!C91</f>
        <v>15000</v>
      </c>
      <c r="E92" s="331">
        <f t="shared" si="2"/>
        <v>0</v>
      </c>
      <c r="F92" s="330"/>
      <c r="G92" s="330"/>
    </row>
    <row r="93" spans="1:7" s="568" customFormat="1" ht="12.75">
      <c r="A93" s="246" t="s">
        <v>533</v>
      </c>
      <c r="B93" s="329">
        <f>'Sources and Uses Budget'!C92</f>
        <v>75000</v>
      </c>
      <c r="C93" s="329">
        <f>'Sources and Uses Budget'!C92</f>
        <v>75000</v>
      </c>
      <c r="D93" s="329">
        <f>'Sources and Uses Budget'!C92</f>
        <v>75000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2978370</v>
      </c>
      <c r="C96" s="894">
        <f>'Sources and Uses Budget'!C95</f>
        <v>2978370</v>
      </c>
      <c r="D96" s="894">
        <f>'Sources and Uses Budget'!C95</f>
        <v>2978370</v>
      </c>
      <c r="E96" s="331">
        <f t="shared" si="2"/>
        <v>0</v>
      </c>
      <c r="F96" s="330"/>
      <c r="G96" s="330"/>
    </row>
    <row r="97" spans="1:7" s="568" customFormat="1" ht="12.75">
      <c r="A97" s="243" t="s">
        <v>524</v>
      </c>
      <c r="B97" s="894">
        <f>'Sources and Uses Budget'!C96</f>
        <v>32931205</v>
      </c>
      <c r="C97" s="894">
        <f>'Sources and Uses Budget'!C96</f>
        <v>32931205</v>
      </c>
      <c r="D97" s="894">
        <f>'Sources and Uses Budget'!C96</f>
        <v>32931205</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2013</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35431205</v>
      </c>
      <c r="C105" s="894">
        <f>'Sources and Uses Budget'!C104</f>
        <v>35431205</v>
      </c>
      <c r="D105" s="894">
        <f>'Sources and Uses Budget'!C104</f>
        <v>35431205</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9" t="s">
        <v>300</v>
      </c>
      <c r="B2" s="990"/>
      <c r="C2" s="990"/>
      <c r="D2" s="990"/>
      <c r="E2" s="990"/>
      <c r="F2" s="990"/>
      <c r="G2" s="990"/>
      <c r="H2" s="990"/>
      <c r="I2" s="990"/>
      <c r="J2" s="990"/>
    </row>
    <row r="3" spans="1:10" ht="15">
      <c r="A3" s="991" t="s">
        <v>2298</v>
      </c>
      <c r="B3" s="990"/>
      <c r="C3" s="990"/>
      <c r="D3" s="990"/>
      <c r="E3" s="990"/>
      <c r="F3" s="990"/>
      <c r="G3" s="990"/>
      <c r="H3" s="990"/>
      <c r="I3" s="990"/>
      <c r="J3" s="990"/>
    </row>
    <row r="4" spans="1:10"/>
    <row r="5" spans="1:10" ht="12.75" customHeight="1">
      <c r="A5" s="996" t="s">
        <v>2167</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2097</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92" t="s">
        <v>1868</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5" t="s">
        <v>1018</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1035</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1018</v>
      </c>
    </row>
    <row r="66" spans="1:9"/>
    <row r="67" spans="1:9"/>
    <row r="68" spans="1:9"/>
    <row r="69" spans="1:9"/>
    <row r="70" spans="1:9"/>
    <row r="71" spans="1:9"/>
    <row r="72" spans="1:9"/>
    <row r="73" spans="1:9"/>
    <row r="74" spans="1:9"/>
    <row r="75" spans="1:9"/>
    <row r="76" spans="1:9">
      <c r="A76" s="988" t="s">
        <v>1142</v>
      </c>
      <c r="B76" s="988"/>
      <c r="C76" s="988"/>
      <c r="D76" s="988"/>
      <c r="E76" s="988"/>
      <c r="F76" s="988"/>
      <c r="G76" s="988"/>
      <c r="H76" s="988"/>
      <c r="I76" s="988"/>
    </row>
    <row r="77" spans="1:9">
      <c r="A77" s="987" t="s">
        <v>1288</v>
      </c>
      <c r="B77" s="987"/>
      <c r="C77" s="987"/>
      <c r="D77" s="987"/>
      <c r="E77" s="987"/>
      <c r="F77" s="668"/>
    </row>
    <row r="78" spans="1:9">
      <c r="A78" s="987" t="s">
        <v>1287</v>
      </c>
      <c r="B78" s="987"/>
      <c r="C78" s="987"/>
      <c r="D78" s="987"/>
      <c r="E78" s="987"/>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252" sqref="B1252"/>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3" t="s">
        <v>2299</v>
      </c>
      <c r="B2" s="1043"/>
      <c r="C2" s="990"/>
      <c r="D2" s="990"/>
      <c r="E2" s="990"/>
      <c r="F2" s="990"/>
      <c r="G2" s="990"/>
      <c r="I2" t="s">
        <v>79</v>
      </c>
    </row>
    <row r="3" spans="1:9" ht="12.75">
      <c r="A3" s="190"/>
      <c r="B3" s="190"/>
      <c r="C3"/>
      <c r="D3"/>
      <c r="E3"/>
      <c r="F3"/>
      <c r="G3"/>
      <c r="I3" s="5" t="s">
        <v>1392</v>
      </c>
    </row>
    <row r="4" spans="1:9" ht="12.75">
      <c r="A4" s="1044" t="s">
        <v>2133</v>
      </c>
      <c r="B4" s="1044"/>
      <c r="C4" s="1045"/>
      <c r="D4" s="1045"/>
      <c r="E4" s="1045"/>
      <c r="F4" s="1045"/>
      <c r="G4" s="1045"/>
      <c r="I4" s="5" t="s">
        <v>1376</v>
      </c>
    </row>
    <row r="5" spans="1:9" ht="12.75">
      <c r="A5" s="1044" t="s">
        <v>1041</v>
      </c>
      <c r="B5" s="1044"/>
      <c r="C5" s="1045"/>
      <c r="D5" s="1045"/>
      <c r="E5" s="1045"/>
      <c r="F5" s="1045"/>
      <c r="G5" s="1045"/>
      <c r="I5" t="s">
        <v>124</v>
      </c>
    </row>
    <row r="6" spans="1:9" ht="13.7" customHeight="1"/>
    <row r="7" spans="1:9" ht="12.75">
      <c r="A7" s="1047" t="s">
        <v>2310</v>
      </c>
      <c r="B7" s="1047"/>
      <c r="C7" s="1047"/>
      <c r="D7" s="1047"/>
      <c r="E7" s="1047"/>
      <c r="F7" s="1047"/>
      <c r="G7" s="1047"/>
    </row>
    <row r="8" spans="1:9" ht="12.75">
      <c r="A8" s="1047"/>
      <c r="B8" s="1047"/>
      <c r="C8" s="1047"/>
      <c r="D8" s="1047"/>
      <c r="E8" s="1047"/>
      <c r="F8" s="1047"/>
      <c r="G8" s="1047"/>
    </row>
    <row r="9" spans="1:9" ht="12.75">
      <c r="A9" s="192"/>
      <c r="B9" s="192"/>
      <c r="C9" s="190"/>
      <c r="D9" s="190"/>
      <c r="E9" s="190"/>
      <c r="F9" s="190"/>
      <c r="G9" s="190"/>
    </row>
    <row r="10" spans="1:9" ht="12.75">
      <c r="A10" s="1033" t="s">
        <v>1544</v>
      </c>
      <c r="B10" s="1033"/>
      <c r="C10" s="1033"/>
      <c r="D10" s="1033"/>
      <c r="E10" s="1033"/>
      <c r="F10" s="1033"/>
      <c r="G10" s="1033"/>
    </row>
    <row r="11" spans="1:9" ht="12.75">
      <c r="A11" s="190"/>
      <c r="B11" s="190"/>
    </row>
    <row r="12" spans="1:9" ht="13.7" customHeight="1">
      <c r="C12" s="190"/>
      <c r="D12" s="1046" t="s">
        <v>1543</v>
      </c>
      <c r="E12" s="1046"/>
      <c r="F12" s="1046"/>
      <c r="G12" s="610"/>
    </row>
    <row r="13" spans="1:9" ht="12.75">
      <c r="C13" s="190"/>
      <c r="D13" s="1046"/>
      <c r="E13" s="1046"/>
      <c r="F13" s="1046"/>
      <c r="G13" s="610"/>
    </row>
    <row r="14" spans="1:9" ht="12.75">
      <c r="A14" s="191"/>
      <c r="B14" s="191"/>
      <c r="C14" s="191"/>
      <c r="D14" s="999" t="s">
        <v>1414</v>
      </c>
      <c r="E14" s="999"/>
      <c r="F14" s="999"/>
    </row>
    <row r="15" spans="1:9" ht="12.75">
      <c r="A15" s="191"/>
      <c r="B15" s="191"/>
      <c r="C15" s="191"/>
    </row>
    <row r="16" spans="1:9" ht="14.45" customHeight="1">
      <c r="A16" s="271"/>
      <c r="B16" s="609" t="s">
        <v>124</v>
      </c>
      <c r="C16" s="191"/>
      <c r="D16" s="972" t="s">
        <v>2062</v>
      </c>
      <c r="E16" s="979"/>
      <c r="F16" s="979"/>
      <c r="G16" s="354"/>
    </row>
    <row r="17" spans="1:7" ht="14.45" customHeight="1">
      <c r="A17" s="271"/>
      <c r="C17" s="191"/>
      <c r="D17" s="979"/>
      <c r="E17" s="979"/>
      <c r="F17" s="979"/>
      <c r="G17" s="354"/>
    </row>
    <row r="18" spans="1:7" ht="12.75">
      <c r="A18" s="191"/>
      <c r="C18" s="191"/>
      <c r="D18" s="979"/>
      <c r="E18" s="979"/>
      <c r="F18" s="979"/>
      <c r="G18" s="354"/>
    </row>
    <row r="19" spans="1:7" ht="12.75">
      <c r="A19" s="191"/>
      <c r="C19" s="191"/>
      <c r="D19" s="24"/>
      <c r="E19" s="128" t="s">
        <v>2063</v>
      </c>
      <c r="F19" s="24"/>
      <c r="G19" s="354"/>
    </row>
    <row r="20" spans="1:7" ht="12.75">
      <c r="A20" s="191"/>
      <c r="B20" s="191"/>
      <c r="C20" s="191"/>
    </row>
    <row r="21" spans="1:7" ht="14.25">
      <c r="A21" s="271"/>
      <c r="B21" s="609" t="s">
        <v>1376</v>
      </c>
      <c r="D21" s="972" t="s">
        <v>2064</v>
      </c>
      <c r="E21" s="979"/>
      <c r="F21" s="979"/>
    </row>
    <row r="22" spans="1:7" ht="12.75">
      <c r="D22" s="979"/>
      <c r="E22" s="979"/>
      <c r="F22" s="979"/>
    </row>
    <row r="23" spans="1:7" ht="12.75">
      <c r="D23" s="102"/>
      <c r="E23" s="104" t="s">
        <v>2065</v>
      </c>
      <c r="F23" s="102"/>
    </row>
    <row r="24" spans="1:7" ht="14.25">
      <c r="A24" s="271"/>
      <c r="B24" s="271"/>
      <c r="D24" s="44"/>
    </row>
    <row r="25" spans="1:7" ht="14.25">
      <c r="A25" s="271"/>
      <c r="B25" s="609" t="s">
        <v>124</v>
      </c>
      <c r="D25" s="979" t="s">
        <v>1408</v>
      </c>
      <c r="E25" s="979"/>
      <c r="F25" s="979"/>
    </row>
    <row r="26" spans="1:7" ht="14.25">
      <c r="A26" s="271"/>
      <c r="B26" s="271"/>
      <c r="D26" s="979"/>
      <c r="E26" s="979"/>
      <c r="F26" s="979"/>
    </row>
    <row r="27" spans="1:7" ht="14.25">
      <c r="A27" s="271"/>
      <c r="B27" s="271"/>
      <c r="D27" s="44"/>
    </row>
    <row r="28" spans="1:7" ht="14.25" customHeight="1">
      <c r="A28" s="271"/>
      <c r="B28" s="609" t="s">
        <v>1376</v>
      </c>
      <c r="D28" s="972" t="s">
        <v>2134</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124</v>
      </c>
      <c r="D34" s="979" t="s">
        <v>2135</v>
      </c>
      <c r="E34" s="979"/>
      <c r="F34" s="979"/>
    </row>
    <row r="35" spans="1:6" ht="14.25">
      <c r="A35" s="271"/>
      <c r="B35" s="271"/>
      <c r="D35" s="979"/>
      <c r="E35" s="979"/>
      <c r="F35" s="979"/>
    </row>
    <row r="36" spans="1:6" ht="14.25">
      <c r="A36" s="271"/>
      <c r="B36" s="271"/>
      <c r="D36" s="209"/>
      <c r="E36" s="209"/>
      <c r="F36" s="209"/>
    </row>
    <row r="37" spans="1:6" ht="14.25">
      <c r="A37" s="271"/>
      <c r="B37" s="609" t="s">
        <v>1376</v>
      </c>
      <c r="D37" s="972" t="s">
        <v>1753</v>
      </c>
      <c r="E37" s="979"/>
      <c r="F37" s="979"/>
    </row>
    <row r="38" spans="1:6" ht="14.25">
      <c r="A38" s="271"/>
      <c r="B38" s="271"/>
      <c r="D38" s="979"/>
      <c r="E38" s="979"/>
      <c r="F38" s="979"/>
    </row>
    <row r="39" spans="1:6" ht="14.25">
      <c r="A39" s="271"/>
      <c r="B39" s="271"/>
      <c r="D39" s="979"/>
      <c r="E39" s="979"/>
      <c r="F39" s="979"/>
    </row>
    <row r="40" spans="1:6" ht="14.25">
      <c r="A40" s="271"/>
      <c r="B40" s="271"/>
      <c r="D40" s="979"/>
      <c r="E40" s="979"/>
      <c r="F40" s="979"/>
    </row>
    <row r="41" spans="1:6" ht="14.25">
      <c r="A41" s="271"/>
      <c r="B41" s="271"/>
      <c r="D41" s="979"/>
      <c r="E41" s="979"/>
      <c r="F41" s="979"/>
    </row>
    <row r="42" spans="1:6" ht="14.25">
      <c r="A42" s="271"/>
      <c r="B42" s="271"/>
      <c r="D42" s="979"/>
      <c r="E42" s="979"/>
      <c r="F42" s="979"/>
    </row>
    <row r="43" spans="1:6" ht="14.25">
      <c r="A43" s="271"/>
      <c r="B43" s="271"/>
      <c r="D43" s="979"/>
      <c r="E43" s="979"/>
      <c r="F43" s="979"/>
    </row>
    <row r="44" spans="1:6" ht="14.25">
      <c r="A44" s="271"/>
      <c r="B44" s="271"/>
      <c r="D44" s="979"/>
      <c r="E44" s="979"/>
      <c r="F44" s="979"/>
    </row>
    <row r="45" spans="1:6" ht="14.25">
      <c r="A45" s="271"/>
      <c r="B45" s="271"/>
      <c r="D45" s="24"/>
      <c r="E45" s="24"/>
      <c r="F45" s="24"/>
    </row>
    <row r="46" spans="1:6" ht="14.45" customHeight="1">
      <c r="A46" s="271"/>
      <c r="B46" s="609" t="s">
        <v>124</v>
      </c>
      <c r="D46" s="979" t="s">
        <v>1441</v>
      </c>
      <c r="E46" s="979"/>
      <c r="F46" s="979"/>
    </row>
    <row r="47" spans="1:6" ht="14.25">
      <c r="A47" s="271"/>
      <c r="B47" s="271"/>
      <c r="D47" s="979"/>
      <c r="E47" s="979"/>
      <c r="F47" s="979"/>
    </row>
    <row r="48" spans="1:6" ht="14.25">
      <c r="A48" s="271"/>
      <c r="B48" s="271"/>
      <c r="D48" s="979"/>
      <c r="E48" s="979"/>
      <c r="F48" s="979"/>
    </row>
    <row r="49" spans="1:6" ht="14.25">
      <c r="A49" s="271"/>
      <c r="B49" s="271"/>
      <c r="D49" s="979"/>
      <c r="E49" s="979"/>
      <c r="F49" s="979"/>
    </row>
    <row r="50" spans="1:6" ht="14.25">
      <c r="A50" s="271"/>
      <c r="B50" s="271"/>
      <c r="D50" s="979"/>
      <c r="E50" s="979"/>
      <c r="F50" s="979"/>
    </row>
    <row r="51" spans="1:6" ht="14.25">
      <c r="A51" s="271"/>
      <c r="B51" s="271"/>
      <c r="D51" s="44"/>
    </row>
    <row r="52" spans="1:6" ht="14.25">
      <c r="A52" s="271"/>
      <c r="B52" s="609" t="s">
        <v>1376</v>
      </c>
      <c r="D52" s="972" t="s">
        <v>1884</v>
      </c>
      <c r="E52" s="979"/>
      <c r="F52" s="979"/>
    </row>
    <row r="53" spans="1:6" ht="14.25">
      <c r="A53" s="271"/>
      <c r="B53" s="271"/>
      <c r="D53" s="979"/>
      <c r="E53" s="979"/>
      <c r="F53" s="979"/>
    </row>
    <row r="54" spans="1:6" ht="14.25">
      <c r="A54" s="271"/>
      <c r="B54" s="271"/>
      <c r="D54" s="979"/>
      <c r="E54" s="979"/>
      <c r="F54" s="979"/>
    </row>
    <row r="55" spans="1:6" ht="14.25">
      <c r="A55" s="271"/>
      <c r="B55" s="271"/>
      <c r="D55" s="979"/>
      <c r="E55" s="979"/>
      <c r="F55" s="979"/>
    </row>
    <row r="56" spans="1:6" ht="14.25">
      <c r="A56" s="271"/>
      <c r="B56" s="271"/>
      <c r="D56" s="979"/>
      <c r="E56" s="979"/>
      <c r="F56" s="979"/>
    </row>
    <row r="57" spans="1:6" ht="15" customHeight="1">
      <c r="A57" s="271"/>
      <c r="B57" s="271"/>
      <c r="D57" s="979"/>
      <c r="E57" s="979"/>
      <c r="F57" s="979"/>
    </row>
    <row r="58" spans="1:6" ht="14.25">
      <c r="A58" s="271"/>
      <c r="B58" s="271"/>
      <c r="D58"/>
    </row>
    <row r="59" spans="1:6" ht="14.25">
      <c r="A59" s="271"/>
      <c r="B59" s="609" t="s">
        <v>124</v>
      </c>
      <c r="D59" s="972" t="s">
        <v>1926</v>
      </c>
      <c r="E59" s="979"/>
      <c r="F59" s="979"/>
    </row>
    <row r="60" spans="1:6" ht="14.25">
      <c r="A60" s="271"/>
      <c r="B60" s="271"/>
      <c r="D60" s="979"/>
      <c r="E60" s="979"/>
      <c r="F60" s="979"/>
    </row>
    <row r="61" spans="1:6" ht="14.25">
      <c r="A61" s="271"/>
      <c r="B61" s="271"/>
      <c r="D61" s="979"/>
      <c r="E61" s="979"/>
      <c r="F61" s="979"/>
    </row>
    <row r="62" spans="1:6" ht="14.25">
      <c r="A62" s="271"/>
      <c r="B62" s="271"/>
      <c r="D62" s="979"/>
      <c r="E62" s="979"/>
      <c r="F62" s="979"/>
    </row>
    <row r="63" spans="1:6" ht="17.25" customHeight="1">
      <c r="A63" s="271"/>
      <c r="B63" s="271"/>
      <c r="D63" s="979"/>
      <c r="E63" s="979"/>
      <c r="F63" s="979"/>
    </row>
    <row r="64" spans="1:6" ht="14.25" customHeight="1">
      <c r="A64" s="271"/>
      <c r="B64" s="609" t="s">
        <v>124</v>
      </c>
      <c r="D64" s="979" t="s">
        <v>2136</v>
      </c>
      <c r="E64" s="979"/>
      <c r="F64" s="979"/>
    </row>
    <row r="65" spans="1:6" ht="15" customHeight="1">
      <c r="A65" s="271"/>
      <c r="B65" s="271"/>
      <c r="D65" s="979"/>
      <c r="E65" s="979"/>
      <c r="F65" s="979"/>
    </row>
    <row r="66" spans="1:6" ht="21.6" customHeight="1">
      <c r="A66" s="271"/>
      <c r="B66" s="271"/>
      <c r="D66" s="979"/>
      <c r="E66" s="979"/>
      <c r="F66" s="979"/>
    </row>
    <row r="67" spans="1:6" ht="14.25">
      <c r="A67" s="271"/>
      <c r="B67" s="271"/>
    </row>
    <row r="68" spans="1:6" ht="14.25" customHeight="1">
      <c r="A68" s="271"/>
      <c r="B68" s="609" t="s">
        <v>1376</v>
      </c>
      <c r="D68" s="972" t="s">
        <v>2066</v>
      </c>
      <c r="E68" s="979"/>
      <c r="F68" s="979"/>
    </row>
    <row r="69" spans="1:6" ht="12.75">
      <c r="D69" s="979"/>
      <c r="E69" s="979"/>
      <c r="F69" s="979"/>
    </row>
    <row r="70" spans="1:6" ht="12.75">
      <c r="D70" s="979"/>
      <c r="E70" s="979"/>
      <c r="F70" s="979"/>
    </row>
    <row r="71" spans="1:6" ht="14.25">
      <c r="A71" s="271"/>
      <c r="B71" s="271"/>
      <c r="D71" s="209"/>
      <c r="E71" s="128" t="s">
        <v>2063</v>
      </c>
      <c r="F71" s="209"/>
    </row>
    <row r="72" spans="1:6" ht="14.25">
      <c r="A72" s="271"/>
      <c r="B72" s="271"/>
    </row>
    <row r="73" spans="1:6" ht="14.25">
      <c r="A73" s="271"/>
      <c r="B73" s="609" t="s">
        <v>124</v>
      </c>
      <c r="D73" s="979" t="s">
        <v>1542</v>
      </c>
      <c r="E73" s="979"/>
      <c r="F73" s="979"/>
    </row>
    <row r="74" spans="1:6" ht="12.75">
      <c r="D74" s="979"/>
      <c r="E74" s="979"/>
      <c r="F74" s="979"/>
    </row>
    <row r="75" spans="1:6" ht="12.75">
      <c r="D75" s="979"/>
      <c r="E75" s="979"/>
      <c r="F75" s="979"/>
    </row>
    <row r="76" spans="1:6" ht="12.75"/>
    <row r="77" spans="1:6" ht="14.25">
      <c r="A77" s="271" t="s">
        <v>229</v>
      </c>
      <c r="B77" s="609" t="s">
        <v>124</v>
      </c>
      <c r="D77" s="979" t="s">
        <v>1444</v>
      </c>
      <c r="E77" s="979"/>
      <c r="F77" s="979"/>
    </row>
    <row r="78" spans="1:6" ht="12.75">
      <c r="D78" s="979"/>
      <c r="E78" s="979"/>
      <c r="F78" s="979"/>
    </row>
    <row r="79" spans="1:6" ht="12.75"/>
    <row r="80" spans="1:6" ht="14.25">
      <c r="A80" s="271" t="s">
        <v>229</v>
      </c>
      <c r="B80" s="609" t="s">
        <v>1376</v>
      </c>
      <c r="D80" s="979" t="s">
        <v>1445</v>
      </c>
      <c r="E80" s="979"/>
      <c r="F80" s="979"/>
    </row>
    <row r="81" spans="1:7" ht="12.75">
      <c r="D81" s="979"/>
      <c r="E81" s="979"/>
      <c r="F81" s="979"/>
    </row>
    <row r="82" spans="1:7" ht="12.75">
      <c r="D82" s="979"/>
      <c r="E82" s="979"/>
      <c r="F82" s="979"/>
    </row>
    <row r="83" spans="1:7" ht="12.75">
      <c r="D83" s="44"/>
    </row>
    <row r="84" spans="1:7" ht="14.25">
      <c r="A84" s="271" t="s">
        <v>229</v>
      </c>
      <c r="B84" s="609" t="s">
        <v>124</v>
      </c>
      <c r="D84" s="979" t="s">
        <v>1446</v>
      </c>
      <c r="E84" s="979"/>
      <c r="F84" s="979"/>
    </row>
    <row r="85" spans="1:7" ht="12.75">
      <c r="D85" s="979"/>
      <c r="E85" s="979"/>
      <c r="F85" s="979"/>
    </row>
    <row r="86" spans="1:7" ht="12.75"/>
    <row r="87" spans="1:7" ht="12.75">
      <c r="A87" s="1033" t="s">
        <v>1380</v>
      </c>
      <c r="B87" s="1033"/>
      <c r="C87" s="1033"/>
      <c r="D87" s="1033"/>
      <c r="E87" s="1033"/>
      <c r="F87" s="1033"/>
      <c r="G87" s="1033"/>
    </row>
    <row r="88" spans="1:7" ht="12.75">
      <c r="E88"/>
      <c r="F88"/>
      <c r="G88"/>
    </row>
    <row r="89" spans="1:7" ht="13.7" customHeight="1">
      <c r="C89" s="590"/>
      <c r="D89" s="1006" t="s">
        <v>1381</v>
      </c>
      <c r="E89" s="1006"/>
      <c r="F89" s="1006"/>
      <c r="G89"/>
    </row>
    <row r="90" spans="1:7" ht="13.7" customHeight="1">
      <c r="A90" s="44"/>
      <c r="B90" s="44"/>
      <c r="D90" s="979" t="s">
        <v>1545</v>
      </c>
      <c r="E90" s="979"/>
      <c r="F90" s="979"/>
      <c r="G90"/>
    </row>
    <row r="91" spans="1:7" ht="12.75">
      <c r="A91" s="44"/>
      <c r="B91" s="44"/>
      <c r="E91"/>
      <c r="F91"/>
      <c r="G91"/>
    </row>
    <row r="92" spans="1:7" ht="14.25" customHeight="1">
      <c r="A92" s="271"/>
      <c r="B92" s="609" t="s">
        <v>1376</v>
      </c>
      <c r="D92" s="972" t="s">
        <v>1857</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124</v>
      </c>
      <c r="D101" s="1026" t="s">
        <v>1858</v>
      </c>
      <c r="E101" s="1026"/>
      <c r="F101" s="1026"/>
      <c r="G101"/>
    </row>
    <row r="102" spans="1:7" ht="14.25">
      <c r="A102" s="271"/>
      <c r="B102" s="271"/>
      <c r="D102" s="1026"/>
      <c r="E102" s="1026"/>
      <c r="F102" s="1026"/>
      <c r="G102"/>
    </row>
    <row r="103" spans="1:7" ht="14.25">
      <c r="A103" s="271"/>
      <c r="B103" s="271"/>
      <c r="D103" s="1026"/>
      <c r="E103" s="1026"/>
      <c r="F103" s="1026"/>
      <c r="G103"/>
    </row>
    <row r="104" spans="1:7" ht="14.25">
      <c r="A104" s="271"/>
      <c r="B104" s="271"/>
      <c r="D104" s="1026"/>
      <c r="E104" s="1026"/>
      <c r="F104" s="1026"/>
      <c r="G104"/>
    </row>
    <row r="105" spans="1:7" ht="14.25">
      <c r="A105" s="271"/>
      <c r="B105" s="271"/>
      <c r="D105" s="1026"/>
      <c r="E105" s="1026"/>
      <c r="F105" s="1026"/>
      <c r="G105"/>
    </row>
    <row r="106" spans="1:7" ht="14.25">
      <c r="A106" s="271"/>
      <c r="B106" s="271"/>
      <c r="D106" s="1026"/>
      <c r="E106" s="1026"/>
      <c r="F106" s="1026"/>
      <c r="G106"/>
    </row>
    <row r="107" spans="1:7" ht="14.25">
      <c r="A107" s="271"/>
      <c r="B107" s="271"/>
      <c r="D107" s="1026"/>
      <c r="E107" s="1026"/>
      <c r="F107" s="1026"/>
      <c r="G107"/>
    </row>
    <row r="108" spans="1:7" ht="14.25">
      <c r="A108" s="271"/>
      <c r="B108" s="271"/>
      <c r="D108" s="1026"/>
      <c r="E108" s="1026"/>
      <c r="F108" s="1026"/>
      <c r="G108"/>
    </row>
    <row r="109" spans="1:7" ht="14.25">
      <c r="A109" s="271"/>
      <c r="B109" s="271"/>
      <c r="D109" s="1026"/>
      <c r="E109" s="1026"/>
      <c r="F109" s="1026"/>
      <c r="G109"/>
    </row>
    <row r="110" spans="1:7" ht="14.25">
      <c r="A110" s="271"/>
      <c r="B110" s="271"/>
      <c r="D110" s="1026"/>
      <c r="E110" s="1026"/>
      <c r="F110" s="1026"/>
      <c r="G110"/>
    </row>
    <row r="111" spans="1:7" ht="14.25">
      <c r="A111" s="271"/>
      <c r="B111" s="271"/>
      <c r="D111" s="1026"/>
      <c r="E111" s="1026"/>
      <c r="F111" s="1026"/>
      <c r="G111"/>
    </row>
    <row r="112" spans="1:7" ht="14.25">
      <c r="A112" s="271"/>
      <c r="B112" s="271"/>
      <c r="D112" s="1026"/>
      <c r="E112" s="1026"/>
      <c r="F112" s="1026"/>
      <c r="G112"/>
    </row>
    <row r="113" spans="1:7" ht="14.25">
      <c r="A113" s="271"/>
      <c r="B113" s="271"/>
      <c r="D113" s="1026"/>
      <c r="E113" s="1026"/>
      <c r="F113" s="1026"/>
      <c r="G113"/>
    </row>
    <row r="114" spans="1:7" ht="14.25">
      <c r="A114" s="271"/>
      <c r="B114" s="609" t="s">
        <v>124</v>
      </c>
      <c r="D114" s="979" t="s">
        <v>1546</v>
      </c>
      <c r="E114" s="979"/>
      <c r="F114" s="979"/>
      <c r="G114"/>
    </row>
    <row r="115" spans="1:7" ht="14.25">
      <c r="A115" s="271"/>
      <c r="B115" s="271"/>
      <c r="D115" s="979"/>
      <c r="E115" s="979"/>
      <c r="F115" s="979"/>
      <c r="G115"/>
    </row>
    <row r="116" spans="1:7" ht="14.25">
      <c r="A116" s="271"/>
      <c r="B116" s="271"/>
      <c r="D116" s="979"/>
      <c r="E116" s="979"/>
      <c r="F116" s="979"/>
      <c r="G116"/>
    </row>
    <row r="117" spans="1:7" ht="14.25">
      <c r="A117" s="271"/>
      <c r="B117" s="271"/>
      <c r="D117" s="979"/>
      <c r="E117" s="979"/>
      <c r="F117" s="979"/>
      <c r="G117"/>
    </row>
    <row r="118" spans="1:7" ht="14.25">
      <c r="A118" s="271"/>
      <c r="B118" s="271"/>
      <c r="D118" s="979"/>
      <c r="E118" s="979"/>
      <c r="F118" s="979"/>
      <c r="G118"/>
    </row>
    <row r="119" spans="1:7" ht="14.25">
      <c r="A119" s="271"/>
      <c r="B119" s="271"/>
      <c r="D119" s="979"/>
      <c r="E119" s="979"/>
      <c r="F119" s="979"/>
      <c r="G119"/>
    </row>
    <row r="120" spans="1:7" ht="14.25">
      <c r="A120" s="271"/>
      <c r="B120" s="271"/>
      <c r="D120" s="979"/>
      <c r="E120" s="979"/>
      <c r="F120" s="979"/>
      <c r="G120"/>
    </row>
    <row r="121" spans="1:7" ht="14.25">
      <c r="A121" s="271"/>
      <c r="B121" s="271"/>
      <c r="D121" s="979"/>
      <c r="E121" s="979"/>
      <c r="F121" s="979"/>
      <c r="G121"/>
    </row>
    <row r="122" spans="1:7" ht="12.75" customHeight="1">
      <c r="A122" s="271"/>
      <c r="B122" s="609" t="s">
        <v>124</v>
      </c>
      <c r="D122" s="979" t="s">
        <v>1547</v>
      </c>
      <c r="E122" s="979"/>
      <c r="F122" s="979"/>
    </row>
    <row r="123" spans="1:7" ht="12.75">
      <c r="D123" s="979"/>
      <c r="E123" s="979"/>
      <c r="F123" s="979"/>
    </row>
    <row r="124" spans="1:7" ht="12.75">
      <c r="D124" s="979"/>
      <c r="E124" s="979"/>
      <c r="F124" s="979"/>
    </row>
    <row r="125" spans="1:7" ht="12.75">
      <c r="D125" s="979"/>
      <c r="E125" s="979"/>
      <c r="F125" s="979"/>
    </row>
    <row r="126" spans="1:7" ht="26.85" customHeight="1">
      <c r="D126" s="979"/>
      <c r="E126" s="979"/>
      <c r="F126" s="979"/>
    </row>
    <row r="127" spans="1:7" ht="12.75"/>
    <row r="128" spans="1:7" ht="14.25">
      <c r="A128" s="271"/>
      <c r="B128" s="609" t="s">
        <v>1376</v>
      </c>
      <c r="D128" s="979" t="s">
        <v>1548</v>
      </c>
      <c r="E128" s="979"/>
      <c r="F128" s="979"/>
    </row>
    <row r="129" spans="1:7" s="323" customFormat="1" ht="13.9" customHeight="1">
      <c r="A129" s="316"/>
      <c r="B129" s="316"/>
      <c r="C129" s="316"/>
      <c r="D129" s="979"/>
      <c r="E129" s="979"/>
      <c r="F129" s="979"/>
      <c r="G129" s="357"/>
    </row>
    <row r="130" spans="1:7" ht="13.9" customHeight="1">
      <c r="D130" s="979"/>
      <c r="E130" s="979"/>
      <c r="F130" s="979"/>
    </row>
    <row r="131" spans="1:7" ht="13.9" customHeight="1">
      <c r="D131" s="979"/>
      <c r="E131" s="979"/>
      <c r="F131" s="979"/>
    </row>
    <row r="132" spans="1:7" ht="13.9" customHeight="1">
      <c r="D132" s="979"/>
      <c r="E132" s="979"/>
      <c r="F132" s="979"/>
    </row>
    <row r="133" spans="1:7" ht="13.9" customHeight="1">
      <c r="D133" s="979"/>
      <c r="E133" s="979"/>
      <c r="F133" s="979"/>
    </row>
    <row r="134" spans="1:7" ht="13.9" customHeight="1">
      <c r="D134" s="979"/>
      <c r="E134" s="979"/>
      <c r="F134" s="979"/>
      <c r="G134"/>
    </row>
    <row r="135" spans="1:7" ht="13.9" customHeight="1">
      <c r="D135" s="979"/>
      <c r="E135" s="979"/>
      <c r="F135" s="979"/>
      <c r="G135"/>
    </row>
    <row r="136" spans="1:7" ht="13.9" customHeight="1">
      <c r="D136" s="979"/>
      <c r="E136" s="979"/>
      <c r="F136" s="979"/>
      <c r="G136"/>
    </row>
    <row r="137" spans="1:7" ht="13.9" customHeight="1">
      <c r="D137" s="979"/>
      <c r="E137" s="979"/>
      <c r="F137" s="979"/>
      <c r="G137"/>
    </row>
    <row r="138" spans="1:7" ht="17.25" customHeight="1">
      <c r="D138" s="979"/>
      <c r="E138" s="979"/>
      <c r="F138" s="979"/>
      <c r="G138"/>
    </row>
    <row r="139" spans="1:7" ht="25.5" hidden="1" customHeight="1">
      <c r="D139" s="979"/>
      <c r="E139" s="979"/>
      <c r="F139" s="979"/>
      <c r="G139"/>
    </row>
    <row r="140" spans="1:7" ht="13.9" customHeight="1">
      <c r="G140"/>
    </row>
    <row r="141" spans="1:7" ht="13.9" customHeight="1">
      <c r="B141" s="609" t="s">
        <v>124</v>
      </c>
      <c r="D141" s="972" t="s">
        <v>1730</v>
      </c>
      <c r="E141" s="979"/>
      <c r="F141" s="979"/>
      <c r="G141"/>
    </row>
    <row r="142" spans="1:7" ht="13.9" customHeight="1">
      <c r="D142" s="979"/>
      <c r="E142" s="979"/>
      <c r="F142" s="979"/>
      <c r="G142"/>
    </row>
    <row r="143" spans="1:7" ht="13.9" customHeight="1">
      <c r="D143" s="979"/>
      <c r="E143" s="979"/>
      <c r="F143" s="979"/>
      <c r="G143"/>
    </row>
    <row r="144" spans="1:7" ht="13.9" customHeight="1">
      <c r="D144" s="979"/>
      <c r="E144" s="979"/>
      <c r="F144" s="979"/>
      <c r="G144"/>
    </row>
    <row r="145" spans="1:7" ht="13.9" customHeight="1">
      <c r="D145" s="979"/>
      <c r="E145" s="979"/>
      <c r="F145" s="979"/>
      <c r="G145"/>
    </row>
    <row r="146" spans="1:7" ht="13.9" customHeight="1">
      <c r="A146" s="18"/>
      <c r="B146" s="18"/>
      <c r="D146" s="979"/>
      <c r="E146" s="979"/>
      <c r="F146" s="979"/>
      <c r="G146"/>
    </row>
    <row r="147" spans="1:7" ht="13.9" customHeight="1">
      <c r="A147" s="18"/>
      <c r="B147" s="18"/>
      <c r="D147" s="979"/>
      <c r="E147" s="979"/>
      <c r="F147" s="979"/>
      <c r="G147"/>
    </row>
    <row r="148" spans="1:7" ht="13.9" customHeight="1">
      <c r="A148" s="18"/>
      <c r="B148" s="18"/>
      <c r="D148" s="979"/>
      <c r="E148" s="979"/>
      <c r="F148" s="979"/>
      <c r="G148"/>
    </row>
    <row r="149" spans="1:7" ht="13.9" customHeight="1">
      <c r="A149" s="18"/>
      <c r="B149" s="18"/>
      <c r="D149" s="979"/>
      <c r="E149" s="979"/>
      <c r="F149" s="979"/>
      <c r="G149"/>
    </row>
    <row r="150" spans="1:7" ht="13.9" customHeight="1">
      <c r="A150" s="18"/>
      <c r="B150" s="18"/>
      <c r="D150" s="979"/>
      <c r="E150" s="979"/>
      <c r="F150" s="979"/>
      <c r="G150"/>
    </row>
    <row r="151" spans="1:7" ht="13.9" customHeight="1">
      <c r="A151" s="18"/>
      <c r="B151" s="18"/>
      <c r="D151" s="979"/>
      <c r="E151" s="979"/>
      <c r="F151" s="979"/>
      <c r="G151"/>
    </row>
    <row r="152" spans="1:7" ht="13.9" customHeight="1">
      <c r="A152" s="18"/>
      <c r="B152" s="18"/>
      <c r="D152" s="979"/>
      <c r="E152" s="979"/>
      <c r="F152" s="979"/>
      <c r="G152"/>
    </row>
    <row r="153" spans="1:7" ht="13.9" customHeight="1">
      <c r="A153" s="18"/>
      <c r="B153" s="18"/>
      <c r="D153" s="979"/>
      <c r="E153" s="979"/>
      <c r="F153" s="979"/>
      <c r="G153"/>
    </row>
    <row r="154" spans="1:7" ht="13.9" customHeight="1">
      <c r="A154" s="18"/>
      <c r="B154" s="18"/>
      <c r="D154" s="979"/>
      <c r="E154" s="979"/>
      <c r="F154" s="979"/>
      <c r="G154"/>
    </row>
    <row r="155" spans="1:7" ht="13.9" customHeight="1">
      <c r="A155" s="18"/>
      <c r="B155" s="18"/>
      <c r="D155" s="979"/>
      <c r="E155" s="979"/>
      <c r="F155" s="979"/>
      <c r="G155"/>
    </row>
    <row r="156" spans="1:7" ht="13.9" customHeight="1">
      <c r="A156" s="18"/>
      <c r="B156" s="18"/>
      <c r="D156" s="979"/>
      <c r="E156" s="979"/>
      <c r="F156" s="979"/>
      <c r="G156"/>
    </row>
    <row r="157" spans="1:7" ht="13.9" customHeight="1">
      <c r="A157" s="18"/>
      <c r="B157" s="18"/>
      <c r="D157" s="979"/>
      <c r="E157" s="979"/>
      <c r="F157" s="979"/>
      <c r="G157"/>
    </row>
    <row r="158" spans="1:7" ht="13.9" customHeight="1">
      <c r="A158" s="18"/>
      <c r="B158" s="18"/>
      <c r="D158" s="979"/>
      <c r="E158" s="979"/>
      <c r="F158" s="979"/>
      <c r="G158"/>
    </row>
    <row r="159" spans="1:7" ht="13.9" customHeight="1">
      <c r="A159" s="18"/>
      <c r="B159" s="18"/>
      <c r="D159" s="1028" t="s">
        <v>1731</v>
      </c>
      <c r="E159" s="1028"/>
      <c r="F159" s="1028"/>
      <c r="G159"/>
    </row>
    <row r="160" spans="1:7" ht="13.9" customHeight="1">
      <c r="A160" s="18"/>
      <c r="B160" s="18"/>
      <c r="D160" s="44"/>
      <c r="G160"/>
    </row>
    <row r="161" spans="1:7" ht="13.9" customHeight="1">
      <c r="A161" s="271"/>
      <c r="B161" s="609" t="s">
        <v>124</v>
      </c>
      <c r="D161" s="1026" t="s">
        <v>2297</v>
      </c>
      <c r="E161" s="1027"/>
      <c r="F161" s="1027"/>
      <c r="G161"/>
    </row>
    <row r="162" spans="1:7" ht="13.9" customHeight="1">
      <c r="A162" s="271"/>
      <c r="B162" s="18"/>
      <c r="D162" s="1026"/>
      <c r="E162" s="1027"/>
      <c r="F162" s="1027"/>
      <c r="G162"/>
    </row>
    <row r="163" spans="1:7" ht="13.9" customHeight="1">
      <c r="A163" s="271"/>
      <c r="B163" s="18"/>
      <c r="D163" s="1027"/>
      <c r="E163" s="1027"/>
      <c r="F163" s="1027"/>
      <c r="G163"/>
    </row>
    <row r="164" spans="1:7" ht="13.9" customHeight="1">
      <c r="A164" s="271"/>
      <c r="B164" s="18"/>
      <c r="D164" s="1027"/>
      <c r="E164" s="1027"/>
      <c r="F164" s="1027"/>
      <c r="G164"/>
    </row>
    <row r="165" spans="1:7" ht="13.9" customHeight="1">
      <c r="A165" s="18"/>
      <c r="B165" s="18"/>
      <c r="D165" s="1027"/>
      <c r="E165" s="1027"/>
      <c r="F165" s="1027"/>
      <c r="G165"/>
    </row>
    <row r="166" spans="1:7" ht="13.9" customHeight="1">
      <c r="A166" s="18"/>
      <c r="B166" s="18"/>
      <c r="D166" s="44"/>
      <c r="G166"/>
    </row>
    <row r="167" spans="1:7" ht="13.9" customHeight="1">
      <c r="A167" s="271"/>
      <c r="B167" s="609" t="s">
        <v>124</v>
      </c>
      <c r="D167" s="1027" t="s">
        <v>1549</v>
      </c>
      <c r="E167" s="1027"/>
      <c r="F167" s="1027"/>
      <c r="G167"/>
    </row>
    <row r="168" spans="1:7" ht="13.9" customHeight="1">
      <c r="A168" s="18"/>
      <c r="B168" s="18"/>
      <c r="D168" s="1027"/>
      <c r="E168" s="1027"/>
      <c r="F168" s="1027"/>
    </row>
    <row r="169" spans="1:7" ht="13.9" customHeight="1">
      <c r="A169" s="18"/>
      <c r="B169" s="18"/>
      <c r="D169" s="1027"/>
      <c r="E169" s="1027"/>
      <c r="F169" s="1027"/>
    </row>
    <row r="170" spans="1:7" ht="13.9" customHeight="1">
      <c r="A170" s="18"/>
      <c r="B170" s="18"/>
      <c r="D170" s="1027"/>
      <c r="E170" s="1027"/>
      <c r="F170" s="1027"/>
    </row>
    <row r="171" spans="1:7" ht="13.9" customHeight="1">
      <c r="A171" s="18"/>
      <c r="B171" s="18"/>
      <c r="D171" s="44"/>
    </row>
    <row r="172" spans="1:7" ht="13.9" customHeight="1">
      <c r="A172" s="370"/>
      <c r="B172" s="609" t="s">
        <v>124</v>
      </c>
      <c r="C172" s="370"/>
      <c r="D172" s="1030" t="s">
        <v>2137</v>
      </c>
      <c r="E172" s="1030"/>
      <c r="F172" s="1030"/>
      <c r="G172" s="361"/>
    </row>
    <row r="173" spans="1:7" ht="13.9" customHeight="1">
      <c r="A173" s="370"/>
      <c r="B173" s="370"/>
      <c r="C173" s="370"/>
      <c r="D173" s="1030"/>
      <c r="E173" s="1030"/>
      <c r="F173" s="1030"/>
      <c r="G173" s="361"/>
    </row>
    <row r="174" spans="1:7" ht="13.9" customHeight="1">
      <c r="A174" s="370"/>
      <c r="B174" s="370"/>
      <c r="C174" s="370"/>
      <c r="D174" s="1030"/>
      <c r="E174" s="1030"/>
      <c r="F174" s="1030"/>
      <c r="G174" s="361"/>
    </row>
    <row r="175" spans="1:7" ht="12.75">
      <c r="A175" s="370"/>
      <c r="B175" s="370"/>
      <c r="C175" s="370"/>
      <c r="D175" s="372"/>
      <c r="E175" s="361"/>
      <c r="F175" s="361"/>
      <c r="G175" s="361"/>
    </row>
    <row r="176" spans="1:7" ht="12.75">
      <c r="A176" s="1033" t="s">
        <v>1383</v>
      </c>
      <c r="B176" s="1033"/>
      <c r="C176" s="1033"/>
      <c r="D176" s="1033"/>
      <c r="E176" s="1033"/>
      <c r="F176" s="1033"/>
      <c r="G176" s="1033"/>
    </row>
    <row r="177" spans="1:6" ht="12.75">
      <c r="D177" s="44"/>
    </row>
    <row r="178" spans="1:6" ht="12.75">
      <c r="C178" s="590"/>
      <c r="D178" s="1029" t="s">
        <v>1382</v>
      </c>
      <c r="E178" s="1029"/>
      <c r="F178" s="1029"/>
    </row>
    <row r="179" spans="1:6" ht="12.75">
      <c r="A179" s="190"/>
      <c r="B179" s="190"/>
      <c r="C179" s="190"/>
      <c r="D179" s="1031" t="s">
        <v>1415</v>
      </c>
      <c r="E179" s="1031"/>
      <c r="F179" s="1031"/>
    </row>
    <row r="180" spans="1:6" ht="12.75">
      <c r="A180" s="191"/>
      <c r="B180" s="191"/>
      <c r="C180" s="191"/>
    </row>
    <row r="181" spans="1:6" ht="14.25">
      <c r="A181" s="271"/>
      <c r="B181" s="609" t="s">
        <v>124</v>
      </c>
      <c r="D181" s="1032" t="s">
        <v>1733</v>
      </c>
      <c r="E181" s="1009"/>
      <c r="F181" s="1009"/>
    </row>
    <row r="182" spans="1:6" ht="14.25">
      <c r="A182" s="271"/>
      <c r="D182" s="312"/>
      <c r="E182" s="102"/>
      <c r="F182" s="102"/>
    </row>
    <row r="183" spans="1:6" ht="14.25">
      <c r="A183" s="271"/>
      <c r="B183" s="609" t="s">
        <v>124</v>
      </c>
      <c r="D183" s="1009" t="s">
        <v>1550</v>
      </c>
      <c r="E183" s="1009"/>
      <c r="F183" s="1009"/>
    </row>
    <row r="184" spans="1:6" ht="14.25">
      <c r="A184" s="271"/>
      <c r="D184" s="102"/>
      <c r="E184" s="102"/>
      <c r="F184" s="102"/>
    </row>
    <row r="185" spans="1:6" ht="14.25">
      <c r="A185" s="271"/>
      <c r="B185" s="609" t="s">
        <v>124</v>
      </c>
      <c r="D185" s="1034" t="s">
        <v>1810</v>
      </c>
      <c r="E185" s="1034"/>
      <c r="F185" s="1034"/>
    </row>
    <row r="186" spans="1:6" ht="13.7" customHeight="1">
      <c r="A186" s="271"/>
      <c r="D186" s="41" t="s">
        <v>900</v>
      </c>
      <c r="E186" s="972" t="s">
        <v>2132</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1811</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124</v>
      </c>
      <c r="D198" s="972" t="s">
        <v>2300</v>
      </c>
      <c r="E198" s="979"/>
      <c r="F198" s="979"/>
    </row>
    <row r="199" spans="1:7" ht="14.25">
      <c r="A199" s="271"/>
      <c r="B199" s="271"/>
      <c r="D199" s="979"/>
      <c r="E199" s="979"/>
      <c r="F199" s="979"/>
    </row>
    <row r="200" spans="1:7" ht="14.25">
      <c r="A200" s="271"/>
      <c r="B200" s="271"/>
      <c r="D200" s="979"/>
      <c r="E200" s="979"/>
      <c r="F200" s="979"/>
    </row>
    <row r="201" spans="1:7" ht="14.25">
      <c r="A201" s="271"/>
      <c r="B201" s="271"/>
      <c r="D201" s="979"/>
      <c r="E201" s="979"/>
      <c r="F201" s="979"/>
    </row>
    <row r="202" spans="1:7" ht="12.75">
      <c r="D202" s="1028" t="s">
        <v>2302</v>
      </c>
      <c r="E202" s="1028"/>
      <c r="F202" s="1028"/>
    </row>
    <row r="203" spans="1:7" ht="12.75">
      <c r="D203" s="625"/>
      <c r="E203" s="625"/>
      <c r="F203" s="625"/>
    </row>
    <row r="204" spans="1:7" ht="14.25">
      <c r="A204" s="271"/>
      <c r="B204" s="609" t="s">
        <v>124</v>
      </c>
      <c r="D204" s="1001" t="s">
        <v>2303</v>
      </c>
      <c r="E204" s="999"/>
      <c r="F204" s="999"/>
    </row>
    <row r="205" spans="1:7" ht="12.75"/>
    <row r="206" spans="1:7" ht="12.75">
      <c r="A206" s="1033" t="s">
        <v>1385</v>
      </c>
      <c r="B206" s="1033"/>
      <c r="C206" s="1033"/>
      <c r="D206" s="1033"/>
      <c r="E206" s="1033"/>
      <c r="F206" s="1033"/>
      <c r="G206" s="1033"/>
    </row>
    <row r="207" spans="1:7" ht="12.75"/>
    <row r="208" spans="1:7" ht="12.75">
      <c r="C208" s="591"/>
      <c r="D208" s="1029" t="s">
        <v>1384</v>
      </c>
      <c r="E208" s="1029"/>
      <c r="F208" s="1029"/>
    </row>
    <row r="209" spans="1:6" ht="12.75">
      <c r="A209" s="592"/>
      <c r="B209" s="592"/>
      <c r="C209" s="591"/>
      <c r="D209" s="1029" t="s">
        <v>697</v>
      </c>
      <c r="E209" s="1029"/>
      <c r="F209" s="1029"/>
    </row>
    <row r="210" spans="1:6" ht="12.75">
      <c r="A210" s="190"/>
      <c r="B210" s="190"/>
      <c r="C210" s="190"/>
      <c r="D210" s="1009" t="s">
        <v>1416</v>
      </c>
      <c r="E210" s="1009"/>
      <c r="F210" s="1009"/>
    </row>
    <row r="211" spans="1:6" ht="12.75">
      <c r="A211" s="190"/>
      <c r="B211" s="190"/>
      <c r="C211" s="190"/>
    </row>
    <row r="212" spans="1:6" ht="12.75">
      <c r="A212" s="190"/>
      <c r="B212" s="190"/>
      <c r="C212" s="190"/>
      <c r="D212" s="979" t="s">
        <v>1426</v>
      </c>
      <c r="E212" s="979"/>
      <c r="F212" s="979"/>
    </row>
    <row r="213" spans="1:6" ht="12.75">
      <c r="A213" s="190"/>
      <c r="B213" s="190"/>
      <c r="C213" s="190"/>
      <c r="D213" s="979"/>
      <c r="E213" s="979"/>
      <c r="F213" s="979"/>
    </row>
    <row r="214" spans="1:6" ht="12.75">
      <c r="A214" s="190"/>
      <c r="B214" s="190"/>
      <c r="C214" s="190"/>
      <c r="D214" s="979"/>
      <c r="E214" s="979"/>
      <c r="F214" s="979"/>
    </row>
    <row r="215" spans="1:6" ht="12.75">
      <c r="A215" s="190"/>
      <c r="B215" s="190"/>
      <c r="C215" s="190"/>
      <c r="D215" s="979"/>
      <c r="E215" s="979"/>
      <c r="F215" s="979"/>
    </row>
    <row r="216" spans="1:6" ht="12.75">
      <c r="A216" s="190"/>
      <c r="B216" s="190"/>
      <c r="C216" s="190"/>
    </row>
    <row r="217" spans="1:6" ht="12.75">
      <c r="A217" s="190"/>
      <c r="B217" s="190"/>
      <c r="C217" s="190"/>
      <c r="D217" s="972" t="s">
        <v>2138</v>
      </c>
      <c r="E217" s="979"/>
      <c r="F217" s="979"/>
    </row>
    <row r="218" spans="1:6" ht="12.75">
      <c r="A218" s="190"/>
      <c r="B218" s="190"/>
      <c r="C218" s="190"/>
      <c r="D218" s="979"/>
      <c r="E218" s="979"/>
      <c r="F218" s="979"/>
    </row>
    <row r="219" spans="1:6" ht="12.75">
      <c r="A219" s="190"/>
      <c r="B219" s="190"/>
      <c r="C219" s="190"/>
      <c r="D219" s="979"/>
      <c r="E219" s="979"/>
      <c r="F219" s="979"/>
    </row>
    <row r="220" spans="1:6" ht="12.75">
      <c r="A220" s="190"/>
      <c r="B220" s="190"/>
      <c r="C220" s="190"/>
      <c r="D220" s="979"/>
      <c r="E220" s="979"/>
      <c r="F220" s="979"/>
    </row>
    <row r="221" spans="1:6" ht="12.75">
      <c r="A221" s="190"/>
      <c r="B221" s="190"/>
      <c r="C221" s="190"/>
      <c r="D221" s="979"/>
      <c r="E221" s="979"/>
      <c r="F221" s="979"/>
    </row>
    <row r="222" spans="1:6" ht="12.75">
      <c r="A222" s="190"/>
      <c r="B222" s="190"/>
      <c r="C222" s="190"/>
      <c r="D222" s="979"/>
      <c r="E222" s="979"/>
      <c r="F222" s="979"/>
    </row>
    <row r="223" spans="1:6" ht="12.75">
      <c r="A223" s="191"/>
      <c r="B223" s="191"/>
      <c r="C223" s="191"/>
    </row>
    <row r="224" spans="1:6" ht="14.45" customHeight="1">
      <c r="A224" s="271"/>
      <c r="B224" s="609" t="s">
        <v>1376</v>
      </c>
      <c r="C224" s="191"/>
      <c r="D224" s="999" t="s">
        <v>292</v>
      </c>
      <c r="E224" s="999"/>
      <c r="F224" s="999"/>
    </row>
    <row r="225" spans="1:6" ht="14.25">
      <c r="A225" s="271"/>
      <c r="C225" s="191"/>
      <c r="D225" s="1009" t="s">
        <v>1111</v>
      </c>
      <c r="E225" s="1009"/>
      <c r="F225" s="1009"/>
    </row>
    <row r="226" spans="1:6" ht="14.25">
      <c r="A226" s="271"/>
      <c r="B226" s="271"/>
      <c r="C226" s="191"/>
      <c r="D226" s="104" t="s">
        <v>1430</v>
      </c>
      <c r="E226" s="1039" t="s">
        <v>2067</v>
      </c>
      <c r="F226" s="1039"/>
    </row>
    <row r="227" spans="1:6" ht="12.75">
      <c r="D227" s="1032" t="s">
        <v>1409</v>
      </c>
      <c r="E227" s="1009"/>
      <c r="F227" s="1009"/>
    </row>
    <row r="228" spans="1:6" ht="12.75"/>
    <row r="229" spans="1:6" ht="14.25">
      <c r="A229" s="271"/>
      <c r="B229" s="609" t="s">
        <v>124</v>
      </c>
      <c r="D229" s="1009" t="s">
        <v>293</v>
      </c>
      <c r="E229" s="1009"/>
      <c r="F229" s="1009"/>
    </row>
    <row r="230" spans="1:6" ht="14.25">
      <c r="A230" s="271"/>
      <c r="D230" s="999" t="s">
        <v>1111</v>
      </c>
      <c r="E230" s="999"/>
      <c r="F230" s="999"/>
    </row>
    <row r="231" spans="1:6" ht="14.25">
      <c r="A231" s="271"/>
      <c r="B231" s="271"/>
      <c r="D231" s="63" t="s">
        <v>1431</v>
      </c>
      <c r="E231" s="1039" t="s">
        <v>2068</v>
      </c>
      <c r="F231" s="1039"/>
    </row>
    <row r="232" spans="1:6" ht="12.75">
      <c r="D232" s="1009" t="s">
        <v>1410</v>
      </c>
      <c r="E232" s="1009"/>
      <c r="F232" s="1009"/>
    </row>
    <row r="233" spans="1:6" ht="12.75"/>
    <row r="234" spans="1:6" ht="14.25">
      <c r="A234" s="271"/>
      <c r="B234" s="609" t="s">
        <v>124</v>
      </c>
      <c r="D234" s="1009" t="s">
        <v>641</v>
      </c>
      <c r="E234" s="1009"/>
      <c r="F234" s="1009"/>
    </row>
    <row r="235" spans="1:6" ht="14.25">
      <c r="A235" s="271"/>
      <c r="D235" s="44" t="s">
        <v>1111</v>
      </c>
    </row>
    <row r="236" spans="1:6" ht="14.25">
      <c r="A236" s="271"/>
      <c r="B236" s="271"/>
      <c r="D236" s="63" t="s">
        <v>1430</v>
      </c>
      <c r="E236" s="1039" t="s">
        <v>2069</v>
      </c>
      <c r="F236" s="1039"/>
    </row>
    <row r="237" spans="1:6" ht="14.25">
      <c r="A237" s="271"/>
      <c r="B237" s="271"/>
      <c r="D237" s="979" t="s">
        <v>1433</v>
      </c>
      <c r="E237" s="979"/>
      <c r="F237" s="979"/>
    </row>
    <row r="238" spans="1:6" ht="12.75">
      <c r="D238" s="979"/>
      <c r="E238" s="979"/>
      <c r="F238" s="979"/>
    </row>
    <row r="239" spans="1:6" ht="12.75">
      <c r="D239" s="979"/>
      <c r="E239" s="979"/>
      <c r="F239" s="979"/>
    </row>
    <row r="240" spans="1:6" ht="12.75">
      <c r="D240" s="979"/>
      <c r="E240" s="979"/>
      <c r="F240" s="979"/>
    </row>
    <row r="241" spans="1:6" ht="12.75">
      <c r="D241" s="979"/>
      <c r="E241" s="979"/>
      <c r="F241" s="979"/>
    </row>
    <row r="242" spans="1:6" ht="12.75">
      <c r="D242" s="979" t="s">
        <v>1411</v>
      </c>
      <c r="E242" s="979"/>
      <c r="F242" s="979"/>
    </row>
    <row r="243" spans="1:6" ht="12.75">
      <c r="D243" s="44"/>
    </row>
    <row r="244" spans="1:6" ht="14.25">
      <c r="A244" s="271"/>
      <c r="B244" s="609" t="s">
        <v>124</v>
      </c>
      <c r="D244" s="1009" t="s">
        <v>642</v>
      </c>
      <c r="E244" s="1009"/>
      <c r="F244" s="1009"/>
    </row>
    <row r="245" spans="1:6" ht="14.25">
      <c r="A245" s="271"/>
      <c r="D245" s="1009" t="s">
        <v>1111</v>
      </c>
      <c r="E245" s="1009"/>
      <c r="F245" s="1009"/>
    </row>
    <row r="246" spans="1:6" ht="14.25">
      <c r="A246" s="271"/>
      <c r="B246" s="271"/>
      <c r="D246" s="63" t="s">
        <v>1430</v>
      </c>
      <c r="E246" s="1039" t="s">
        <v>2070</v>
      </c>
      <c r="F246" s="1039"/>
    </row>
    <row r="247" spans="1:6" ht="12.75">
      <c r="D247" s="1032" t="s">
        <v>1930</v>
      </c>
      <c r="E247" s="1009"/>
      <c r="F247" s="1009"/>
    </row>
    <row r="248" spans="1:6" ht="12.75">
      <c r="D248" s="102"/>
      <c r="E248" s="102"/>
      <c r="F248" s="102"/>
    </row>
    <row r="249" spans="1:6" ht="14.25">
      <c r="A249" s="271"/>
      <c r="B249" s="609" t="s">
        <v>124</v>
      </c>
      <c r="D249" s="1032" t="s">
        <v>1929</v>
      </c>
      <c r="E249" s="1009"/>
      <c r="F249" s="1009"/>
    </row>
    <row r="250" spans="1:6" ht="14.25">
      <c r="A250" s="271"/>
      <c r="D250" s="1009" t="s">
        <v>1111</v>
      </c>
      <c r="E250" s="1009"/>
      <c r="F250" s="1009"/>
    </row>
    <row r="251" spans="1:6" ht="14.25">
      <c r="A251" s="271"/>
      <c r="B251" s="271"/>
      <c r="D251" s="63" t="s">
        <v>1430</v>
      </c>
      <c r="E251" s="1039" t="s">
        <v>2071</v>
      </c>
      <c r="F251" s="1039"/>
    </row>
    <row r="252" spans="1:6" ht="12.75">
      <c r="D252" s="1032" t="s">
        <v>1931</v>
      </c>
      <c r="E252" s="1009"/>
      <c r="F252" s="1009"/>
    </row>
    <row r="253" spans="1:6" ht="12.75">
      <c r="D253" s="44"/>
    </row>
    <row r="254" spans="1:6" ht="14.25">
      <c r="A254" s="271"/>
      <c r="B254" s="609" t="s">
        <v>124</v>
      </c>
      <c r="D254" s="102" t="s">
        <v>1453</v>
      </c>
      <c r="E254" s="102"/>
      <c r="F254" s="102"/>
    </row>
    <row r="255" spans="1:6" ht="14.25">
      <c r="A255" s="271"/>
      <c r="B255"/>
      <c r="D255" s="972" t="s">
        <v>1754</v>
      </c>
      <c r="E255" s="979"/>
      <c r="F255" s="979"/>
    </row>
    <row r="256" spans="1:6" ht="14.25">
      <c r="A256" s="271"/>
      <c r="D256" s="979"/>
      <c r="E256" s="979"/>
      <c r="F256" s="979"/>
    </row>
    <row r="257" spans="1:7" ht="14.25">
      <c r="A257" s="271"/>
      <c r="D257" s="979"/>
      <c r="E257" s="979"/>
      <c r="F257" s="979"/>
    </row>
    <row r="258" spans="1:7" ht="14.25">
      <c r="A258" s="271"/>
      <c r="D258" s="24"/>
      <c r="E258" s="24"/>
      <c r="F258" s="24"/>
    </row>
    <row r="259" spans="1:7" ht="14.25">
      <c r="A259" s="271"/>
      <c r="B259" s="609" t="s">
        <v>124</v>
      </c>
      <c r="D259" s="1009" t="s">
        <v>1022</v>
      </c>
      <c r="E259" s="1009"/>
      <c r="F259" s="1009"/>
    </row>
    <row r="260" spans="1:7" ht="14.25">
      <c r="A260" s="271"/>
      <c r="D260" s="102"/>
      <c r="E260" s="102"/>
      <c r="F260" s="102"/>
    </row>
    <row r="261" spans="1:7" ht="12.75">
      <c r="A261" s="1033" t="s">
        <v>1387</v>
      </c>
      <c r="B261" s="1033"/>
      <c r="C261" s="1033"/>
      <c r="D261" s="1033"/>
      <c r="E261" s="1033"/>
      <c r="F261" s="1033"/>
      <c r="G261" s="1033"/>
    </row>
    <row r="262" spans="1:7" ht="12.75">
      <c r="D262" s="44"/>
    </row>
    <row r="263" spans="1:7" ht="12.75">
      <c r="C263" s="590"/>
      <c r="D263" s="1000" t="s">
        <v>1386</v>
      </c>
      <c r="E263" s="1000"/>
      <c r="F263" s="1000"/>
    </row>
    <row r="264" spans="1:7" ht="12.75">
      <c r="A264" s="190"/>
      <c r="B264" s="190"/>
      <c r="C264" s="190"/>
      <c r="D264" s="999" t="s">
        <v>1417</v>
      </c>
      <c r="E264" s="999"/>
      <c r="F264" s="999"/>
    </row>
    <row r="265" spans="1:7" ht="12.75">
      <c r="A265" s="18"/>
      <c r="B265" s="18"/>
      <c r="C265" s="18"/>
      <c r="D265" s="3"/>
    </row>
    <row r="266" spans="1:7" ht="12.75">
      <c r="A266" s="18"/>
      <c r="C266" s="18"/>
      <c r="D266" s="1000" t="s">
        <v>209</v>
      </c>
      <c r="E266" s="1000"/>
      <c r="F266" s="1000"/>
      <c r="G266"/>
    </row>
    <row r="267" spans="1:7" ht="14.45" customHeight="1">
      <c r="A267" s="271"/>
      <c r="B267" s="609" t="s">
        <v>1376</v>
      </c>
      <c r="C267" s="880"/>
      <c r="D267" s="1020" t="s">
        <v>2007</v>
      </c>
      <c r="E267" s="1020"/>
      <c r="F267" s="1020"/>
      <c r="G267"/>
    </row>
    <row r="268" spans="1:7" ht="14.25">
      <c r="A268" s="271"/>
      <c r="B268" s="881"/>
      <c r="C268" s="880"/>
      <c r="D268" s="1020"/>
      <c r="E268" s="1020"/>
      <c r="F268" s="1020"/>
      <c r="G268"/>
    </row>
    <row r="269" spans="1:7" ht="14.25">
      <c r="A269" s="271"/>
      <c r="B269" s="881"/>
      <c r="C269" s="880"/>
      <c r="D269" s="1020"/>
      <c r="E269" s="1020"/>
      <c r="F269" s="1020"/>
      <c r="G269"/>
    </row>
    <row r="270" spans="1:7" ht="14.45" customHeight="1">
      <c r="A270" s="271"/>
      <c r="B270" s="881"/>
      <c r="C270" s="880"/>
      <c r="D270" s="1020"/>
      <c r="E270" s="1020"/>
      <c r="F270" s="1020"/>
      <c r="G270"/>
    </row>
    <row r="271" spans="1:7" ht="14.25">
      <c r="A271" s="271"/>
      <c r="B271" s="881"/>
      <c r="C271" s="880"/>
      <c r="D271" s="882"/>
      <c r="E271" s="882"/>
      <c r="F271" s="882"/>
      <c r="G271"/>
    </row>
    <row r="272" spans="1:7" ht="14.25">
      <c r="A272" s="271"/>
      <c r="B272" s="609" t="s">
        <v>1376</v>
      </c>
      <c r="C272" s="880"/>
      <c r="D272" s="1020" t="s">
        <v>2008</v>
      </c>
      <c r="E272" s="1020"/>
      <c r="F272" s="1020"/>
      <c r="G272"/>
    </row>
    <row r="273" spans="1:7" ht="14.25">
      <c r="A273" s="271"/>
      <c r="B273" s="881"/>
      <c r="C273" s="880"/>
      <c r="D273" s="1020"/>
      <c r="E273" s="1020"/>
      <c r="F273" s="1020"/>
      <c r="G273"/>
    </row>
    <row r="274" spans="1:7" ht="14.25">
      <c r="A274" s="271"/>
      <c r="B274" s="881"/>
      <c r="C274" s="880"/>
      <c r="D274" s="1020"/>
      <c r="E274" s="1020"/>
      <c r="F274" s="1020"/>
      <c r="G274"/>
    </row>
    <row r="275" spans="1:7" ht="14.25">
      <c r="A275" s="271"/>
      <c r="B275" s="881"/>
      <c r="C275" s="880"/>
      <c r="D275" s="1020"/>
      <c r="E275" s="1020"/>
      <c r="F275" s="1020"/>
      <c r="G275"/>
    </row>
    <row r="276" spans="1:7" ht="14.25">
      <c r="A276" s="271"/>
      <c r="B276" s="881"/>
      <c r="C276" s="880"/>
      <c r="D276" s="1020"/>
      <c r="E276" s="1020"/>
      <c r="F276" s="1020"/>
      <c r="G276"/>
    </row>
    <row r="277" spans="1:7" ht="14.25">
      <c r="A277" s="271"/>
      <c r="B277" s="881"/>
      <c r="C277" s="880"/>
      <c r="D277" s="882"/>
      <c r="E277" s="882"/>
      <c r="F277" s="882"/>
      <c r="G277"/>
    </row>
    <row r="278" spans="1:7" ht="14.25">
      <c r="A278" s="271"/>
      <c r="B278" s="881"/>
      <c r="C278" s="880"/>
      <c r="D278" s="1020" t="s">
        <v>1559</v>
      </c>
      <c r="E278" s="1020"/>
      <c r="F278" s="1020"/>
      <c r="G278"/>
    </row>
    <row r="279" spans="1:7" ht="14.25">
      <c r="A279" s="271"/>
      <c r="B279" s="881"/>
      <c r="C279" s="880"/>
      <c r="D279" s="1020"/>
      <c r="E279" s="1020"/>
      <c r="F279" s="1020"/>
      <c r="G279"/>
    </row>
    <row r="280" spans="1:7" ht="14.25">
      <c r="A280" s="271"/>
      <c r="B280" s="881"/>
      <c r="C280" s="880"/>
      <c r="D280" s="1020"/>
      <c r="E280" s="1020"/>
      <c r="F280" s="1020"/>
      <c r="G280"/>
    </row>
    <row r="281" spans="1:7" ht="14.25">
      <c r="A281" s="271"/>
      <c r="B281" s="881"/>
      <c r="C281" s="880"/>
      <c r="D281" s="1020"/>
      <c r="E281" s="1020"/>
      <c r="F281" s="1020"/>
      <c r="G281"/>
    </row>
    <row r="282" spans="1:7" ht="14.25">
      <c r="A282" s="271"/>
      <c r="B282" s="881"/>
      <c r="C282" s="880"/>
      <c r="D282" s="1020"/>
      <c r="E282" s="1020"/>
      <c r="F282" s="1020"/>
      <c r="G282"/>
    </row>
    <row r="283" spans="1:7" ht="14.25">
      <c r="A283" s="271"/>
      <c r="B283" s="271"/>
      <c r="D283" s="209"/>
      <c r="E283" s="209"/>
      <c r="F283" s="209"/>
      <c r="G283"/>
    </row>
    <row r="284" spans="1:7" s="448" customFormat="1" ht="14.45" customHeight="1">
      <c r="A284" s="289"/>
      <c r="B284" s="609" t="s">
        <v>124</v>
      </c>
      <c r="C284" s="798"/>
      <c r="D284" s="1022" t="s">
        <v>1924</v>
      </c>
      <c r="E284" s="1022"/>
      <c r="F284" s="1022"/>
      <c r="G284" s="799"/>
    </row>
    <row r="285" spans="1:7" s="448" customFormat="1" ht="14.25">
      <c r="A285" s="289"/>
      <c r="B285" s="798"/>
      <c r="C285" s="798"/>
      <c r="D285" s="1022"/>
      <c r="E285" s="1022"/>
      <c r="F285" s="1022"/>
      <c r="G285" s="799"/>
    </row>
    <row r="286" spans="1:7" s="448" customFormat="1" ht="14.25">
      <c r="A286" s="289"/>
      <c r="B286" s="798"/>
      <c r="C286" s="798"/>
      <c r="D286" s="1022"/>
      <c r="E286" s="1022"/>
      <c r="F286" s="1022"/>
      <c r="G286" s="799"/>
    </row>
    <row r="287" spans="1:7" s="448" customFormat="1" ht="12.75">
      <c r="A287" s="798"/>
      <c r="B287" s="798"/>
      <c r="C287" s="798"/>
      <c r="D287" s="926"/>
      <c r="E287" s="927" t="s">
        <v>2072</v>
      </c>
      <c r="F287" s="926"/>
      <c r="G287" s="799"/>
    </row>
    <row r="288" spans="1:7" ht="14.25">
      <c r="A288" s="271"/>
      <c r="B288" s="271"/>
      <c r="D288" s="44"/>
      <c r="E288"/>
      <c r="F288"/>
      <c r="G288"/>
    </row>
    <row r="289" spans="1:7" ht="14.25">
      <c r="A289" s="271"/>
      <c r="B289" s="609" t="s">
        <v>1376</v>
      </c>
      <c r="D289" s="999" t="s">
        <v>1112</v>
      </c>
      <c r="E289" s="999"/>
      <c r="F289" s="999"/>
      <c r="G289"/>
    </row>
    <row r="290" spans="1:7" ht="14.25">
      <c r="A290" s="271"/>
      <c r="B290" s="271"/>
      <c r="D290" s="999" t="s">
        <v>1560</v>
      </c>
      <c r="E290" s="999"/>
      <c r="F290" s="999"/>
      <c r="G290"/>
    </row>
    <row r="291" spans="1:7" ht="14.25">
      <c r="A291" s="271"/>
      <c r="B291" s="271"/>
      <c r="D291" s="3" t="s">
        <v>1042</v>
      </c>
      <c r="E291" s="927" t="s">
        <v>2073</v>
      </c>
      <c r="F291" s="3"/>
    </row>
    <row r="292" spans="1:7" ht="12.75">
      <c r="D292" s="28"/>
    </row>
    <row r="293" spans="1:7" ht="14.25">
      <c r="A293" s="271"/>
      <c r="B293" s="609" t="s">
        <v>1376</v>
      </c>
      <c r="D293" s="979" t="s">
        <v>1561</v>
      </c>
      <c r="E293" s="979"/>
      <c r="F293" s="979"/>
    </row>
    <row r="294" spans="1:7" ht="14.25">
      <c r="A294" s="271"/>
      <c r="B294" s="271"/>
      <c r="D294" s="979"/>
      <c r="E294" s="979"/>
      <c r="F294" s="979"/>
    </row>
    <row r="295" spans="1:7" ht="12.75">
      <c r="D295" s="28"/>
    </row>
    <row r="296" spans="1:7" ht="12.75">
      <c r="A296" s="1033" t="s">
        <v>1389</v>
      </c>
      <c r="B296" s="1033"/>
      <c r="C296" s="1033"/>
      <c r="D296" s="1033"/>
      <c r="E296" s="1033"/>
      <c r="F296" s="1033"/>
      <c r="G296" s="1033"/>
    </row>
    <row r="297" spans="1:7" ht="12.75">
      <c r="D297" s="28"/>
    </row>
    <row r="298" spans="1:7" ht="12.75">
      <c r="C298" s="590"/>
      <c r="D298" s="1000" t="s">
        <v>1388</v>
      </c>
      <c r="E298" s="1000"/>
      <c r="F298" s="1000"/>
    </row>
    <row r="299" spans="1:7" ht="12.75">
      <c r="A299" s="190"/>
      <c r="B299" s="190"/>
      <c r="C299" s="190"/>
      <c r="D299" s="44"/>
    </row>
    <row r="300" spans="1:7" ht="12.75">
      <c r="A300" s="191"/>
      <c r="B300" s="191"/>
      <c r="C300" s="191"/>
      <c r="D300" s="1000" t="s">
        <v>211</v>
      </c>
      <c r="E300" s="1000"/>
      <c r="F300" s="1000"/>
    </row>
    <row r="301" spans="1:7" ht="14.45" customHeight="1">
      <c r="A301" s="271"/>
      <c r="B301" s="609" t="s">
        <v>124</v>
      </c>
      <c r="D301" s="972" t="s">
        <v>1881</v>
      </c>
      <c r="E301" s="979"/>
      <c r="F301" s="979"/>
    </row>
    <row r="302" spans="1:7" ht="12.75">
      <c r="D302" s="979"/>
      <c r="E302" s="979"/>
      <c r="F302" s="979"/>
    </row>
    <row r="303" spans="1:7" ht="12.75">
      <c r="D303" s="979"/>
      <c r="E303" s="979"/>
      <c r="F303" s="979"/>
    </row>
    <row r="304" spans="1:7" ht="12.75">
      <c r="D304" s="24"/>
      <c r="E304" s="24"/>
      <c r="F304" s="24"/>
    </row>
    <row r="305" spans="1:7" s="448" customFormat="1" ht="14.45" customHeight="1">
      <c r="A305" s="289"/>
      <c r="B305" s="609" t="s">
        <v>124</v>
      </c>
      <c r="C305" s="798"/>
      <c r="D305" s="1022" t="s">
        <v>1925</v>
      </c>
      <c r="E305" s="1022"/>
      <c r="F305" s="1022"/>
      <c r="G305" s="799"/>
    </row>
    <row r="306" spans="1:7" s="448" customFormat="1" ht="12.75">
      <c r="A306" s="798"/>
      <c r="B306" s="798"/>
      <c r="C306" s="798"/>
      <c r="D306" s="1022"/>
      <c r="E306" s="1022"/>
      <c r="F306" s="1022"/>
      <c r="G306" s="799"/>
    </row>
    <row r="307" spans="1:7" s="448" customFormat="1" ht="12.75">
      <c r="A307" s="798"/>
      <c r="B307" s="798"/>
      <c r="C307" s="798"/>
      <c r="D307" s="1022"/>
      <c r="E307" s="1022"/>
      <c r="F307" s="1022"/>
      <c r="G307" s="799"/>
    </row>
    <row r="308" spans="1:7" s="448" customFormat="1" ht="12.75">
      <c r="A308" s="798"/>
      <c r="B308" s="798"/>
      <c r="C308" s="798"/>
      <c r="E308" s="373" t="s">
        <v>2074</v>
      </c>
      <c r="F308" s="373"/>
      <c r="G308" s="799"/>
    </row>
    <row r="309" spans="1:7" ht="12.75">
      <c r="D309" s="212"/>
    </row>
    <row r="310" spans="1:7" ht="12.75">
      <c r="A310" s="1033" t="s">
        <v>1390</v>
      </c>
      <c r="B310" s="1033"/>
      <c r="C310" s="1033"/>
      <c r="D310" s="1033"/>
      <c r="E310" s="1033"/>
      <c r="F310" s="1033"/>
      <c r="G310" s="1033"/>
    </row>
    <row r="311" spans="1:7" ht="12.75">
      <c r="D311" s="212"/>
    </row>
    <row r="312" spans="1:7" ht="12.75">
      <c r="C312" s="190"/>
      <c r="D312" s="1006" t="s">
        <v>1562</v>
      </c>
      <c r="E312" s="1006"/>
      <c r="F312" s="1006"/>
    </row>
    <row r="313" spans="1:7" ht="12.75">
      <c r="C313" s="190"/>
      <c r="D313" s="1006"/>
      <c r="E313" s="1006"/>
      <c r="F313" s="1006"/>
    </row>
    <row r="314" spans="1:7" ht="12.75">
      <c r="A314" s="191"/>
      <c r="B314" s="191"/>
      <c r="C314" s="191"/>
      <c r="D314" s="3"/>
    </row>
    <row r="315" spans="1:7" ht="12.75">
      <c r="C315" s="191"/>
      <c r="D315" s="1000" t="s">
        <v>162</v>
      </c>
      <c r="E315" s="1000"/>
      <c r="F315" s="1000"/>
    </row>
    <row r="316" spans="1:7" ht="14.25">
      <c r="A316" s="271"/>
      <c r="B316" s="271"/>
      <c r="D316" s="1024" t="s">
        <v>1563</v>
      </c>
      <c r="E316" s="1024"/>
      <c r="F316" s="1024"/>
    </row>
    <row r="317" spans="1:7" ht="12" customHeight="1"/>
    <row r="318" spans="1:7" ht="14.45" customHeight="1">
      <c r="A318" s="271"/>
      <c r="B318" s="609" t="s">
        <v>124</v>
      </c>
      <c r="D318" s="979" t="s">
        <v>1564</v>
      </c>
      <c r="E318" s="979"/>
      <c r="F318" s="979"/>
    </row>
    <row r="319" spans="1:7" ht="14.25">
      <c r="A319" s="271"/>
      <c r="B319" s="271"/>
      <c r="D319" s="979"/>
      <c r="E319" s="979"/>
      <c r="F319" s="979"/>
    </row>
    <row r="320" spans="1:7" ht="12.75"/>
    <row r="321" spans="1:7" ht="14.45" customHeight="1">
      <c r="A321" s="271"/>
      <c r="B321" s="609" t="s">
        <v>124</v>
      </c>
      <c r="D321" s="979" t="s">
        <v>1565</v>
      </c>
      <c r="E321" s="979"/>
      <c r="F321" s="979"/>
    </row>
    <row r="322" spans="1:7" ht="14.25">
      <c r="A322" s="271"/>
      <c r="B322" s="271"/>
      <c r="D322" s="979"/>
      <c r="E322" s="979"/>
      <c r="F322" s="979"/>
    </row>
    <row r="323" spans="1:7" ht="14.25">
      <c r="A323" s="271"/>
      <c r="B323" s="271"/>
      <c r="D323" s="979"/>
      <c r="E323" s="979"/>
      <c r="F323" s="979"/>
    </row>
    <row r="324" spans="1:7" ht="12.75">
      <c r="D324" s="44"/>
      <c r="E324"/>
      <c r="F324"/>
      <c r="G324"/>
    </row>
    <row r="325" spans="1:7" ht="14.25">
      <c r="A325" s="271"/>
      <c r="B325" s="609" t="s">
        <v>124</v>
      </c>
      <c r="D325" s="979" t="s">
        <v>1566</v>
      </c>
      <c r="E325" s="979"/>
      <c r="F325" s="979"/>
    </row>
    <row r="326" spans="1:7" ht="14.25">
      <c r="A326" s="271"/>
      <c r="B326" s="271"/>
      <c r="D326" s="979"/>
      <c r="E326" s="979"/>
      <c r="F326" s="979"/>
    </row>
    <row r="327" spans="1:7" ht="12.75">
      <c r="A327" s="18"/>
      <c r="B327" s="18"/>
      <c r="D327" s="44"/>
    </row>
    <row r="328" spans="1:7" ht="12.75">
      <c r="A328" s="1033" t="s">
        <v>1377</v>
      </c>
      <c r="B328" s="1033"/>
      <c r="C328" s="1033"/>
      <c r="D328" s="1033"/>
      <c r="E328" s="1033"/>
      <c r="F328" s="1033"/>
      <c r="G328" s="1033"/>
    </row>
    <row r="329" spans="1:7" ht="12.75">
      <c r="A329" s="18"/>
      <c r="B329" s="18"/>
      <c r="D329" s="44"/>
      <c r="G329"/>
    </row>
    <row r="330" spans="1:7" ht="12.75">
      <c r="C330" s="18"/>
      <c r="D330" s="1000" t="s">
        <v>163</v>
      </c>
      <c r="E330" s="1000"/>
      <c r="F330" s="1000"/>
      <c r="G330"/>
    </row>
    <row r="331" spans="1:7" ht="12.75">
      <c r="C331" s="18"/>
      <c r="D331" s="999" t="s">
        <v>1418</v>
      </c>
      <c r="E331" s="999"/>
      <c r="F331" s="999"/>
      <c r="G331"/>
    </row>
    <row r="332" spans="1:7" ht="12.75">
      <c r="C332" s="18"/>
      <c r="D332" s="182"/>
      <c r="G332"/>
    </row>
    <row r="333" spans="1:7" ht="12.75">
      <c r="B333" s="609" t="s">
        <v>124</v>
      </c>
      <c r="D333" s="999" t="s">
        <v>1567</v>
      </c>
      <c r="E333" s="999"/>
      <c r="F333" s="999"/>
      <c r="G333"/>
    </row>
    <row r="334" spans="1:7" ht="14.25">
      <c r="A334" s="271"/>
      <c r="B334" s="271"/>
      <c r="D334" s="420"/>
      <c r="G334"/>
    </row>
    <row r="335" spans="1:7" ht="14.25">
      <c r="A335" s="271"/>
      <c r="B335" s="609" t="s">
        <v>124</v>
      </c>
      <c r="D335" s="999" t="s">
        <v>1568</v>
      </c>
      <c r="E335" s="999"/>
      <c r="F335" s="999"/>
      <c r="G335"/>
    </row>
    <row r="336" spans="1:7" ht="12.75">
      <c r="G336"/>
    </row>
    <row r="337" spans="1:7" ht="14.45" customHeight="1">
      <c r="A337" s="271"/>
      <c r="B337" s="609" t="s">
        <v>124</v>
      </c>
      <c r="D337" s="979" t="s">
        <v>1574</v>
      </c>
      <c r="E337" s="979"/>
      <c r="F337" s="979"/>
      <c r="G337"/>
    </row>
    <row r="338" spans="1:7" ht="14.25">
      <c r="A338" s="271"/>
      <c r="B338" s="271"/>
      <c r="D338" s="979"/>
      <c r="E338" s="979"/>
      <c r="F338" s="979"/>
      <c r="G338"/>
    </row>
    <row r="339" spans="1:7" ht="14.25">
      <c r="A339" s="271"/>
      <c r="B339" s="271"/>
      <c r="D339" s="979"/>
      <c r="E339" s="979"/>
      <c r="F339" s="979"/>
      <c r="G339"/>
    </row>
    <row r="340" spans="1:7" ht="14.25">
      <c r="A340" s="271"/>
      <c r="B340" s="271"/>
      <c r="D340" s="979"/>
      <c r="E340" s="979"/>
      <c r="F340" s="979"/>
      <c r="G340"/>
    </row>
    <row r="341" spans="1:7" ht="14.25">
      <c r="A341" s="271"/>
      <c r="B341" s="271"/>
      <c r="D341" s="979"/>
      <c r="E341" s="979"/>
      <c r="F341" s="979"/>
      <c r="G341"/>
    </row>
    <row r="342" spans="1:7" ht="14.25">
      <c r="A342" s="271"/>
      <c r="B342" s="271"/>
      <c r="D342" s="979"/>
      <c r="E342" s="979"/>
      <c r="F342" s="979"/>
      <c r="G342"/>
    </row>
    <row r="343" spans="1:7" ht="14.25">
      <c r="A343" s="271"/>
      <c r="B343" s="271"/>
      <c r="D343" s="979"/>
      <c r="E343" s="979"/>
      <c r="F343" s="979"/>
      <c r="G343"/>
    </row>
    <row r="344" spans="1:7" ht="14.25">
      <c r="A344" s="271"/>
      <c r="B344" s="271"/>
      <c r="D344" s="979"/>
      <c r="E344" s="979"/>
      <c r="F344" s="979"/>
      <c r="G344"/>
    </row>
    <row r="345" spans="1:7" ht="14.25">
      <c r="A345" s="271"/>
      <c r="B345" s="271"/>
      <c r="D345" s="979"/>
      <c r="E345" s="979"/>
      <c r="F345" s="979"/>
    </row>
    <row r="346" spans="1:7" ht="14.25">
      <c r="A346" s="271"/>
      <c r="B346" s="271"/>
      <c r="D346" s="979"/>
      <c r="E346" s="979"/>
      <c r="F346" s="979"/>
    </row>
    <row r="347" spans="1:7" ht="14.25">
      <c r="A347" s="271"/>
      <c r="B347" s="271"/>
      <c r="D347" s="979"/>
      <c r="E347" s="979"/>
      <c r="F347" s="979"/>
    </row>
    <row r="348" spans="1:7" ht="14.25">
      <c r="A348" s="271"/>
      <c r="B348" s="271"/>
      <c r="D348" s="979"/>
      <c r="E348" s="979"/>
      <c r="F348" s="979"/>
    </row>
    <row r="349" spans="1:7" ht="14.25">
      <c r="A349" s="271"/>
      <c r="B349" s="271"/>
      <c r="D349" s="979"/>
      <c r="E349" s="979"/>
      <c r="F349" s="979"/>
    </row>
    <row r="350" spans="1:7" ht="14.25">
      <c r="A350" s="271"/>
      <c r="B350" s="271"/>
      <c r="D350" s="979"/>
      <c r="E350" s="979"/>
      <c r="F350" s="979"/>
    </row>
    <row r="351" spans="1:7" ht="14.25">
      <c r="A351" s="271"/>
      <c r="B351" s="271"/>
      <c r="D351" s="979"/>
      <c r="E351" s="979"/>
      <c r="F351" s="979"/>
    </row>
    <row r="352" spans="1:7" ht="12.75"/>
    <row r="353" spans="1:6" ht="14.45" customHeight="1">
      <c r="A353" s="271"/>
      <c r="B353" s="609" t="s">
        <v>124</v>
      </c>
      <c r="D353" s="979" t="s">
        <v>1569</v>
      </c>
      <c r="E353" s="979"/>
      <c r="F353" s="979"/>
    </row>
    <row r="354" spans="1:6" ht="12.75">
      <c r="D354" s="979"/>
      <c r="E354" s="979"/>
      <c r="F354" s="979"/>
    </row>
    <row r="355" spans="1:6" ht="12.75">
      <c r="D355" s="979"/>
      <c r="E355" s="979"/>
      <c r="F355" s="979"/>
    </row>
    <row r="356" spans="1:6" ht="12.75">
      <c r="D356" s="979"/>
      <c r="E356" s="979"/>
      <c r="F356" s="979"/>
    </row>
    <row r="357" spans="1:6" ht="12.75">
      <c r="D357" s="979"/>
      <c r="E357" s="979"/>
      <c r="F357" s="979"/>
    </row>
    <row r="358" spans="1:6" ht="12.75">
      <c r="D358" s="979"/>
      <c r="E358" s="979"/>
      <c r="F358" s="979"/>
    </row>
    <row r="359" spans="1:6" ht="12.75">
      <c r="D359" s="979"/>
      <c r="E359" s="979"/>
      <c r="F359" s="979"/>
    </row>
    <row r="360" spans="1:6" ht="12.75">
      <c r="D360" s="979"/>
      <c r="E360" s="979"/>
      <c r="F360" s="979"/>
    </row>
    <row r="361" spans="1:6" ht="12.75">
      <c r="D361" s="979"/>
      <c r="E361" s="979"/>
      <c r="F361" s="979"/>
    </row>
    <row r="362" spans="1:6" ht="12.75">
      <c r="E362" s="44"/>
      <c r="F362" s="44"/>
    </row>
    <row r="363" spans="1:6" ht="14.25" customHeight="1">
      <c r="A363" s="271"/>
      <c r="B363" s="609" t="s">
        <v>124</v>
      </c>
      <c r="D363" s="996" t="s">
        <v>2075</v>
      </c>
      <c r="E363" s="996"/>
      <c r="F363" s="996"/>
    </row>
    <row r="364" spans="1:6" ht="12.75">
      <c r="D364" s="996"/>
      <c r="E364" s="996"/>
      <c r="F364" s="996"/>
    </row>
    <row r="365" spans="1:6" ht="12.75">
      <c r="D365" s="996"/>
      <c r="E365" s="996"/>
      <c r="F365" s="996"/>
    </row>
    <row r="366" spans="1:6" ht="12.75">
      <c r="D366" s="996"/>
      <c r="E366" s="996"/>
      <c r="F366" s="996"/>
    </row>
    <row r="367" spans="1:6" ht="12.75">
      <c r="D367" s="996"/>
      <c r="E367" s="996"/>
      <c r="F367" s="996"/>
    </row>
    <row r="368" spans="1:6" ht="12.75">
      <c r="D368" s="209"/>
      <c r="E368" s="104" t="s">
        <v>2076</v>
      </c>
      <c r="F368" s="209"/>
    </row>
    <row r="369" spans="1:6" ht="13.5" thickBot="1">
      <c r="D369" s="777"/>
      <c r="E369" s="98"/>
      <c r="F369" s="98"/>
    </row>
    <row r="370" spans="1:6" ht="14.25" thickTop="1" thickBot="1">
      <c r="D370" s="1048" t="s">
        <v>1266</v>
      </c>
      <c r="E370" s="1048"/>
      <c r="F370" s="1048"/>
    </row>
    <row r="371" spans="1:6" ht="13.5" thickTop="1">
      <c r="D371" s="1049" t="s">
        <v>1570</v>
      </c>
      <c r="E371" s="1049"/>
      <c r="F371" s="1049"/>
    </row>
    <row r="372" spans="1:6" ht="12.75">
      <c r="D372" s="44"/>
    </row>
    <row r="373" spans="1:6" ht="14.25">
      <c r="A373" s="271"/>
      <c r="B373" s="609" t="s">
        <v>124</v>
      </c>
      <c r="C373" s="361"/>
      <c r="D373" s="1016" t="s">
        <v>2139</v>
      </c>
      <c r="E373" s="1016"/>
      <c r="F373" s="1016"/>
    </row>
    <row r="374" spans="1:6" ht="14.25">
      <c r="A374" s="271"/>
      <c r="B374" s="271"/>
      <c r="C374" s="361"/>
      <c r="D374" s="420"/>
    </row>
    <row r="375" spans="1:6" ht="14.25">
      <c r="A375" s="271"/>
      <c r="B375" s="609" t="s">
        <v>124</v>
      </c>
      <c r="C375" s="361"/>
      <c r="D375" s="986" t="s">
        <v>2140</v>
      </c>
      <c r="E375" s="1036"/>
      <c r="F375" s="1036"/>
    </row>
    <row r="376" spans="1:6" ht="14.25">
      <c r="A376" s="271"/>
      <c r="B376" s="271"/>
      <c r="C376" s="361"/>
      <c r="D376" s="1036"/>
      <c r="E376" s="1036"/>
      <c r="F376" s="1036"/>
    </row>
    <row r="377" spans="1:6" ht="14.25">
      <c r="A377" s="271"/>
      <c r="B377" s="271"/>
      <c r="C377" s="361"/>
      <c r="D377" s="1036"/>
      <c r="E377" s="1036"/>
      <c r="F377" s="1036"/>
    </row>
    <row r="378" spans="1:6" ht="14.25">
      <c r="A378" s="271"/>
      <c r="B378" s="271"/>
      <c r="C378" s="361"/>
      <c r="D378" s="1036"/>
      <c r="E378" s="1036"/>
      <c r="F378" s="1036"/>
    </row>
    <row r="379" spans="1:6" ht="14.25">
      <c r="A379" s="271"/>
      <c r="B379" s="271"/>
      <c r="C379" s="361"/>
      <c r="D379" s="1036"/>
      <c r="E379" s="1036"/>
      <c r="F379" s="1036"/>
    </row>
    <row r="380" spans="1:6" ht="14.25">
      <c r="A380" s="271"/>
      <c r="B380" s="271"/>
      <c r="C380" s="361"/>
      <c r="D380" s="1036"/>
      <c r="E380" s="1036"/>
      <c r="F380" s="1036"/>
    </row>
    <row r="381" spans="1:6" ht="14.25">
      <c r="A381" s="271"/>
      <c r="B381" s="271"/>
      <c r="C381" s="361"/>
      <c r="D381" s="1036"/>
      <c r="E381" s="1036"/>
      <c r="F381" s="1036"/>
    </row>
    <row r="382" spans="1:6" ht="14.25">
      <c r="A382" s="271"/>
      <c r="B382" s="271"/>
      <c r="C382" s="361"/>
      <c r="D382" s="1036"/>
      <c r="E382" s="1036"/>
      <c r="F382" s="1036"/>
    </row>
    <row r="383" spans="1:6" ht="14.25">
      <c r="A383" s="271"/>
      <c r="B383" s="271"/>
      <c r="C383" s="361"/>
      <c r="D383" s="1036"/>
      <c r="E383" s="1036"/>
      <c r="F383" s="1036"/>
    </row>
    <row r="384" spans="1:6" ht="14.25">
      <c r="A384" s="271"/>
      <c r="B384" s="271"/>
      <c r="C384" s="361"/>
      <c r="D384" s="1036"/>
      <c r="E384" s="1036"/>
      <c r="F384" s="1036"/>
    </row>
    <row r="385" spans="1:6" ht="14.25">
      <c r="A385" s="271"/>
      <c r="B385" s="271"/>
      <c r="C385" s="361"/>
      <c r="D385" s="627"/>
      <c r="E385" s="627"/>
      <c r="F385" s="627"/>
    </row>
    <row r="386" spans="1:6" ht="14.25">
      <c r="A386" s="271"/>
      <c r="B386" s="609" t="s">
        <v>124</v>
      </c>
      <c r="C386" s="361"/>
      <c r="D386" s="1036" t="s">
        <v>1571</v>
      </c>
      <c r="E386" s="1036"/>
      <c r="F386" s="1036"/>
    </row>
    <row r="387" spans="1:6" ht="12.75">
      <c r="A387" s="361"/>
      <c r="B387" s="361"/>
      <c r="C387" s="361"/>
      <c r="D387" s="1036"/>
      <c r="E387" s="1036"/>
      <c r="F387" s="1036"/>
    </row>
    <row r="388" spans="1:6" ht="12.75">
      <c r="A388" s="361"/>
      <c r="B388" s="361"/>
      <c r="C388" s="361"/>
      <c r="D388" s="1036"/>
      <c r="E388" s="1036"/>
      <c r="F388" s="1036"/>
    </row>
    <row r="389" spans="1:6" ht="12.75">
      <c r="A389" s="361"/>
      <c r="B389" s="361"/>
      <c r="C389" s="361"/>
      <c r="D389" s="1036"/>
      <c r="E389" s="1036"/>
      <c r="F389" s="1036"/>
    </row>
    <row r="390" spans="1:6" ht="12.75">
      <c r="A390" s="361"/>
      <c r="B390" s="361"/>
      <c r="C390" s="361"/>
      <c r="D390" s="627"/>
      <c r="E390" s="627"/>
      <c r="F390" s="627"/>
    </row>
    <row r="391" spans="1:6" ht="12.75">
      <c r="A391" s="361"/>
      <c r="B391" s="361"/>
      <c r="C391" s="361"/>
      <c r="D391" s="1036" t="s">
        <v>1572</v>
      </c>
      <c r="E391" s="1036"/>
      <c r="F391" s="1036"/>
    </row>
    <row r="392" spans="1:6" ht="12.75">
      <c r="A392" s="361"/>
      <c r="B392" s="361"/>
      <c r="C392" s="361"/>
      <c r="D392" s="1036"/>
      <c r="E392" s="1036"/>
      <c r="F392" s="1036"/>
    </row>
    <row r="393" spans="1:6" ht="12.75">
      <c r="A393" s="361"/>
      <c r="B393" s="361"/>
      <c r="C393" s="361"/>
      <c r="D393" s="1036"/>
      <c r="E393" s="1036"/>
      <c r="F393" s="1036"/>
    </row>
    <row r="394" spans="1:6" ht="12.75">
      <c r="A394" s="361"/>
      <c r="B394" s="361"/>
      <c r="C394" s="361"/>
      <c r="D394" s="1036"/>
      <c r="E394" s="1036"/>
      <c r="F394" s="1036"/>
    </row>
    <row r="395" spans="1:6" ht="12.75">
      <c r="A395" s="361"/>
      <c r="B395" s="361"/>
      <c r="C395" s="361"/>
      <c r="D395" s="1036"/>
      <c r="E395" s="1036"/>
      <c r="F395" s="1036"/>
    </row>
    <row r="396" spans="1:6" ht="12.75">
      <c r="A396" s="361"/>
      <c r="B396" s="361"/>
      <c r="C396" s="361"/>
      <c r="D396" s="1036"/>
      <c r="E396" s="1036"/>
      <c r="F396" s="1036"/>
    </row>
    <row r="397" spans="1:6" ht="12.75">
      <c r="A397" s="361"/>
      <c r="B397" s="361"/>
      <c r="C397" s="361"/>
      <c r="D397" s="1036"/>
      <c r="E397" s="1036"/>
      <c r="F397" s="1036"/>
    </row>
    <row r="398" spans="1:6" ht="12.75">
      <c r="A398" s="361"/>
      <c r="B398" s="361"/>
      <c r="C398" s="361"/>
      <c r="D398" s="1036"/>
      <c r="E398" s="1036"/>
      <c r="F398" s="1036"/>
    </row>
    <row r="399" spans="1:6" ht="12.75">
      <c r="A399" s="361"/>
      <c r="B399" s="361"/>
      <c r="C399" s="361"/>
      <c r="D399" s="1036"/>
      <c r="E399" s="1036"/>
      <c r="F399" s="1036"/>
    </row>
    <row r="400" spans="1:6" ht="13.7" customHeight="1">
      <c r="A400" s="361"/>
      <c r="B400" s="361"/>
      <c r="C400" s="361"/>
      <c r="D400" s="1036" t="s">
        <v>1575</v>
      </c>
      <c r="E400" s="1036"/>
      <c r="F400" s="1036"/>
    </row>
    <row r="401" spans="1:6" ht="13.7" customHeight="1">
      <c r="A401" s="361"/>
      <c r="B401" s="361"/>
      <c r="C401" s="361"/>
      <c r="D401" s="1036"/>
      <c r="E401" s="1036"/>
      <c r="F401" s="1036"/>
    </row>
    <row r="402" spans="1:6" ht="13.7" customHeight="1">
      <c r="A402" s="361"/>
      <c r="B402" s="361"/>
      <c r="C402" s="361"/>
      <c r="D402" s="1036"/>
      <c r="E402" s="1036"/>
      <c r="F402" s="1036"/>
    </row>
    <row r="403" spans="1:6" ht="13.7" customHeight="1">
      <c r="A403" s="361"/>
      <c r="B403" s="361"/>
      <c r="C403" s="361"/>
      <c r="D403" s="1036"/>
      <c r="E403" s="1036"/>
      <c r="F403" s="1036"/>
    </row>
    <row r="404" spans="1:6" ht="13.7" customHeight="1">
      <c r="A404" s="361"/>
      <c r="B404" s="361"/>
      <c r="C404" s="361"/>
      <c r="D404" s="1036"/>
      <c r="E404" s="1036"/>
      <c r="F404" s="1036"/>
    </row>
    <row r="405" spans="1:6" ht="13.7" customHeight="1">
      <c r="A405" s="361"/>
      <c r="B405" s="361"/>
      <c r="C405" s="361"/>
      <c r="D405" s="1036"/>
      <c r="E405" s="1036"/>
      <c r="F405" s="1036"/>
    </row>
    <row r="406" spans="1:6" ht="13.7" customHeight="1">
      <c r="A406" s="361"/>
      <c r="B406" s="361"/>
      <c r="C406" s="361"/>
      <c r="D406" s="1036"/>
      <c r="E406" s="1036"/>
      <c r="F406" s="1036"/>
    </row>
    <row r="407" spans="1:6" ht="13.7" customHeight="1">
      <c r="A407" s="361"/>
      <c r="B407" s="361"/>
      <c r="C407" s="361"/>
      <c r="D407" s="1036"/>
      <c r="E407" s="1036"/>
      <c r="F407" s="1036"/>
    </row>
    <row r="408" spans="1:6" ht="13.7" customHeight="1">
      <c r="A408" s="361"/>
      <c r="B408" s="361"/>
      <c r="C408" s="361"/>
      <c r="D408" s="1036"/>
      <c r="E408" s="1036"/>
      <c r="F408" s="1036"/>
    </row>
    <row r="409" spans="1:6" ht="13.7" customHeight="1">
      <c r="A409" s="361"/>
      <c r="B409" s="361"/>
      <c r="C409" s="361"/>
      <c r="D409" s="1036"/>
      <c r="E409" s="1036"/>
      <c r="F409" s="1036"/>
    </row>
    <row r="410" spans="1:6" ht="13.7" customHeight="1">
      <c r="A410" s="361"/>
      <c r="B410" s="361"/>
      <c r="C410" s="361"/>
      <c r="D410" s="1036"/>
      <c r="E410" s="1036"/>
      <c r="F410" s="1036"/>
    </row>
    <row r="411" spans="1:6" ht="13.7" customHeight="1">
      <c r="A411" s="361"/>
      <c r="B411" s="361"/>
      <c r="C411" s="361"/>
      <c r="D411" s="1036"/>
      <c r="E411" s="1036"/>
      <c r="F411" s="1036"/>
    </row>
    <row r="412" spans="1:6" ht="13.7" customHeight="1">
      <c r="A412" s="361"/>
      <c r="B412" s="361"/>
      <c r="C412" s="361"/>
      <c r="D412" s="1036"/>
      <c r="E412" s="1036"/>
      <c r="F412" s="1036"/>
    </row>
    <row r="413" spans="1:6" ht="13.7" customHeight="1">
      <c r="A413" s="361"/>
      <c r="B413" s="361"/>
      <c r="C413" s="361"/>
      <c r="D413" s="1036"/>
      <c r="E413" s="1036"/>
      <c r="F413" s="1036"/>
    </row>
    <row r="414" spans="1:6" ht="13.7" customHeight="1">
      <c r="A414" s="361"/>
      <c r="B414" s="361"/>
      <c r="C414" s="361"/>
      <c r="D414" s="1036"/>
      <c r="E414" s="1036"/>
      <c r="F414" s="1036"/>
    </row>
    <row r="415" spans="1:6" ht="13.7" customHeight="1">
      <c r="A415" s="361"/>
      <c r="B415" s="361"/>
      <c r="C415" s="361"/>
      <c r="D415" s="1036"/>
      <c r="E415" s="1036"/>
      <c r="F415" s="1036"/>
    </row>
    <row r="416" spans="1:6" ht="13.7" customHeight="1">
      <c r="A416" s="361"/>
      <c r="B416" s="361"/>
      <c r="C416" s="361"/>
      <c r="D416" s="1036"/>
      <c r="E416" s="1036"/>
      <c r="F416" s="1036"/>
    </row>
    <row r="417" spans="1:6" ht="13.7" customHeight="1">
      <c r="A417" s="361"/>
      <c r="B417" s="361"/>
      <c r="C417" s="361"/>
      <c r="D417" s="1036"/>
      <c r="E417" s="1036"/>
      <c r="F417" s="1036"/>
    </row>
    <row r="418" spans="1:6" ht="12.75">
      <c r="A418" s="361"/>
      <c r="B418" s="361"/>
      <c r="C418" s="361"/>
      <c r="D418" s="420"/>
    </row>
    <row r="419" spans="1:6" ht="13.7" customHeight="1">
      <c r="A419" s="361"/>
      <c r="B419" s="609" t="s">
        <v>124</v>
      </c>
      <c r="C419" s="361"/>
      <c r="D419" s="1036" t="s">
        <v>1573</v>
      </c>
      <c r="E419" s="1036"/>
      <c r="F419" s="1036"/>
    </row>
    <row r="420" spans="1:6" ht="12.75">
      <c r="A420" s="361"/>
      <c r="B420" s="361"/>
      <c r="C420" s="361"/>
      <c r="D420" s="1036"/>
      <c r="E420" s="1036"/>
      <c r="F420" s="1036"/>
    </row>
    <row r="421" spans="1:6" ht="12.75">
      <c r="A421" s="361"/>
      <c r="B421" s="361"/>
      <c r="C421" s="361"/>
      <c r="D421" s="627"/>
      <c r="E421" s="627"/>
      <c r="F421" s="627"/>
    </row>
    <row r="422" spans="1:6" ht="12.75">
      <c r="A422" s="361"/>
      <c r="B422" s="609" t="s">
        <v>124</v>
      </c>
      <c r="C422" s="361"/>
      <c r="D422" s="1026" t="s">
        <v>1878</v>
      </c>
      <c r="E422" s="1026"/>
      <c r="F422" s="1026"/>
    </row>
    <row r="423" spans="1:6" ht="12.75">
      <c r="A423" s="361"/>
      <c r="B423" s="361"/>
      <c r="C423" s="361"/>
      <c r="D423" s="1026"/>
      <c r="E423" s="1026"/>
      <c r="F423" s="1026"/>
    </row>
    <row r="424" spans="1:6" ht="12.75">
      <c r="A424" s="361"/>
      <c r="B424" s="361"/>
      <c r="C424" s="361"/>
      <c r="D424" s="1026"/>
      <c r="E424" s="1026"/>
      <c r="F424" s="1026"/>
    </row>
    <row r="425" spans="1:6" ht="12.75">
      <c r="A425" s="361"/>
      <c r="B425" s="361"/>
      <c r="C425" s="361"/>
      <c r="D425" s="1026"/>
      <c r="E425" s="1026"/>
      <c r="F425" s="1026"/>
    </row>
    <row r="426" spans="1:6" ht="12.75">
      <c r="A426" s="361"/>
      <c r="B426" s="361"/>
      <c r="C426" s="361"/>
      <c r="D426" s="1026"/>
      <c r="E426" s="1026"/>
      <c r="F426" s="1026"/>
    </row>
    <row r="427" spans="1:6" ht="12.75">
      <c r="A427" s="361"/>
      <c r="B427" s="361"/>
      <c r="C427" s="361"/>
      <c r="D427" s="1026"/>
      <c r="E427" s="1026"/>
      <c r="F427" s="1026"/>
    </row>
    <row r="428" spans="1:6" ht="14.45" customHeight="1">
      <c r="A428" s="271"/>
      <c r="B428" s="609" t="s">
        <v>124</v>
      </c>
      <c r="C428" s="361"/>
      <c r="D428" s="1026" t="s">
        <v>1859</v>
      </c>
      <c r="E428" s="1026"/>
      <c r="F428" s="1026"/>
    </row>
    <row r="429" spans="1:6" ht="14.25">
      <c r="A429" s="500"/>
      <c r="B429" s="500"/>
      <c r="C429" s="361"/>
      <c r="D429" s="1026"/>
      <c r="E429" s="1026"/>
      <c r="F429" s="1026"/>
    </row>
    <row r="430" spans="1:6" ht="14.25">
      <c r="A430" s="500"/>
      <c r="B430" s="500"/>
      <c r="C430" s="361"/>
      <c r="D430" s="1026"/>
      <c r="E430" s="1026"/>
      <c r="F430" s="1026"/>
    </row>
    <row r="431" spans="1:6" ht="14.25">
      <c r="A431" s="500"/>
      <c r="B431" s="500"/>
      <c r="C431" s="361"/>
      <c r="D431" s="1026"/>
      <c r="E431" s="1026"/>
      <c r="F431" s="1026"/>
    </row>
    <row r="432" spans="1:6" ht="14.25" customHeight="1">
      <c r="A432" s="500"/>
      <c r="B432" s="500"/>
      <c r="C432" s="361"/>
      <c r="D432" s="1055" t="s">
        <v>1874</v>
      </c>
      <c r="E432" s="1055"/>
      <c r="F432" s="1055"/>
    </row>
    <row r="433" spans="1:6" ht="12.75">
      <c r="D433" s="44"/>
    </row>
    <row r="434" spans="1:6" ht="14.45" customHeight="1">
      <c r="A434" s="271"/>
      <c r="B434" s="609" t="s">
        <v>124</v>
      </c>
      <c r="C434" s="207"/>
      <c r="D434" s="979" t="s">
        <v>2141</v>
      </c>
      <c r="E434" s="979"/>
      <c r="F434" s="979"/>
    </row>
    <row r="435" spans="1:6" ht="14.25">
      <c r="A435" s="271"/>
      <c r="B435" s="271"/>
      <c r="D435" s="979"/>
      <c r="E435" s="979"/>
      <c r="F435" s="979"/>
    </row>
    <row r="436" spans="1:6" ht="14.25">
      <c r="A436" s="271"/>
      <c r="B436" s="271"/>
      <c r="D436" s="979"/>
      <c r="E436" s="979"/>
      <c r="F436" s="979"/>
    </row>
    <row r="437" spans="1:6" ht="14.25">
      <c r="A437" s="271"/>
      <c r="B437" s="271"/>
      <c r="D437" s="979"/>
      <c r="E437" s="979"/>
      <c r="F437" s="979"/>
    </row>
    <row r="438" spans="1:6" ht="14.25">
      <c r="A438" s="271"/>
      <c r="B438" s="271"/>
      <c r="D438" s="979"/>
      <c r="E438" s="979"/>
      <c r="F438" s="979"/>
    </row>
    <row r="439" spans="1:6" ht="14.25">
      <c r="A439" s="271"/>
      <c r="B439" s="271"/>
      <c r="D439" s="979"/>
      <c r="E439" s="979"/>
      <c r="F439" s="979"/>
    </row>
    <row r="440" spans="1:6" ht="14.25">
      <c r="A440" s="271"/>
      <c r="B440" s="271"/>
      <c r="D440" s="979"/>
      <c r="E440" s="979"/>
      <c r="F440" s="979"/>
    </row>
    <row r="441" spans="1:6" ht="14.25">
      <c r="A441" s="271"/>
      <c r="B441" s="271"/>
      <c r="D441" s="979"/>
      <c r="E441" s="979"/>
      <c r="F441" s="979"/>
    </row>
    <row r="442" spans="1:6" ht="14.25">
      <c r="A442" s="271"/>
      <c r="B442" s="271"/>
      <c r="D442" s="979"/>
      <c r="E442" s="979"/>
      <c r="F442" s="979"/>
    </row>
    <row r="443" spans="1:6" ht="14.25">
      <c r="A443" s="271"/>
      <c r="B443" s="271"/>
      <c r="D443" s="979"/>
      <c r="E443" s="979"/>
      <c r="F443" s="979"/>
    </row>
    <row r="444" spans="1:6" ht="14.25">
      <c r="A444" s="271"/>
      <c r="B444" s="271"/>
      <c r="D444" s="979"/>
      <c r="E444" s="979"/>
      <c r="F444" s="979"/>
    </row>
    <row r="445" spans="1:6" ht="14.25">
      <c r="A445" s="271"/>
      <c r="B445" s="271"/>
      <c r="D445" s="979"/>
      <c r="E445" s="979"/>
      <c r="F445" s="979"/>
    </row>
    <row r="446" spans="1:6" ht="14.25">
      <c r="A446" s="271"/>
      <c r="B446" s="271"/>
      <c r="D446" s="979"/>
      <c r="E446" s="979"/>
      <c r="F446" s="979"/>
    </row>
    <row r="447" spans="1:6" ht="14.25">
      <c r="A447" s="271"/>
      <c r="B447" s="271"/>
      <c r="D447" s="979"/>
      <c r="E447" s="979"/>
      <c r="F447" s="979"/>
    </row>
    <row r="448" spans="1:6" ht="14.25">
      <c r="A448" s="271"/>
      <c r="B448" s="271"/>
      <c r="D448" s="979"/>
      <c r="E448" s="979"/>
      <c r="F448" s="979"/>
    </row>
    <row r="449" spans="1:6" ht="14.25">
      <c r="A449" s="271"/>
      <c r="B449" s="271"/>
      <c r="D449" s="979"/>
      <c r="E449" s="979"/>
      <c r="F449" s="979"/>
    </row>
    <row r="450" spans="1:6" ht="14.25">
      <c r="A450" s="271"/>
      <c r="B450" s="271"/>
      <c r="D450" s="979"/>
      <c r="E450" s="979"/>
      <c r="F450" s="979"/>
    </row>
    <row r="451" spans="1:6" ht="14.25">
      <c r="A451" s="271"/>
      <c r="B451" s="271"/>
      <c r="D451" s="979"/>
      <c r="E451" s="979"/>
      <c r="F451" s="979"/>
    </row>
    <row r="452" spans="1:6" ht="14.25">
      <c r="A452" s="271"/>
      <c r="B452" s="271"/>
      <c r="D452" s="979"/>
      <c r="E452" s="979"/>
      <c r="F452" s="979"/>
    </row>
    <row r="453" spans="1:6" ht="14.25">
      <c r="A453" s="271"/>
      <c r="B453" s="271"/>
      <c r="D453" s="979"/>
      <c r="E453" s="979"/>
      <c r="F453" s="979"/>
    </row>
    <row r="454" spans="1:6" ht="14.25">
      <c r="A454" s="271"/>
      <c r="B454" s="271"/>
      <c r="D454" s="979"/>
      <c r="E454" s="979"/>
      <c r="F454" s="979"/>
    </row>
    <row r="455" spans="1:6" ht="14.25">
      <c r="A455" s="271"/>
      <c r="B455" s="271"/>
      <c r="D455" s="979"/>
      <c r="E455" s="979"/>
      <c r="F455" s="979"/>
    </row>
    <row r="456" spans="1:6" ht="14.25">
      <c r="A456" s="271"/>
      <c r="B456" s="271"/>
      <c r="D456" s="979"/>
      <c r="E456" s="979"/>
      <c r="F456" s="979"/>
    </row>
    <row r="457" spans="1:6" ht="14.25">
      <c r="A457" s="271"/>
      <c r="B457" s="271"/>
      <c r="D457" s="979"/>
      <c r="E457" s="979"/>
      <c r="F457" s="979"/>
    </row>
    <row r="458" spans="1:6" ht="14.25">
      <c r="A458" s="271"/>
      <c r="B458" s="271"/>
      <c r="D458" s="979"/>
      <c r="E458" s="979"/>
      <c r="F458" s="979"/>
    </row>
    <row r="459" spans="1:6" ht="14.25">
      <c r="A459" s="271"/>
      <c r="B459" s="271"/>
      <c r="D459" s="979"/>
      <c r="E459" s="979"/>
      <c r="F459" s="979"/>
    </row>
    <row r="460" spans="1:6" ht="14.25">
      <c r="A460" s="271"/>
      <c r="B460" s="271"/>
      <c r="D460" s="979"/>
      <c r="E460" s="979"/>
      <c r="F460" s="979"/>
    </row>
    <row r="461" spans="1:6" ht="14.25">
      <c r="A461" s="271"/>
      <c r="B461" s="271"/>
      <c r="D461" s="979"/>
      <c r="E461" s="979"/>
      <c r="F461" s="979"/>
    </row>
    <row r="462" spans="1:6" ht="14.25">
      <c r="A462" s="271"/>
      <c r="B462" s="271"/>
      <c r="D462" s="979"/>
      <c r="E462" s="979"/>
      <c r="F462" s="979"/>
    </row>
    <row r="463" spans="1:6" ht="14.25">
      <c r="A463" s="271"/>
      <c r="B463" s="271"/>
      <c r="D463" s="979"/>
      <c r="E463" s="979"/>
      <c r="F463" s="979"/>
    </row>
    <row r="464" spans="1:6" ht="12.75" hidden="1">
      <c r="D464" s="979"/>
      <c r="E464" s="979"/>
      <c r="F464" s="979"/>
    </row>
    <row r="465" spans="1:6" ht="12.75" hidden="1">
      <c r="D465" s="44"/>
    </row>
    <row r="466" spans="1:6" ht="14.25">
      <c r="A466" s="271"/>
      <c r="B466" s="609" t="s">
        <v>124</v>
      </c>
      <c r="C466" s="207"/>
      <c r="D466" s="1001" t="s">
        <v>2078</v>
      </c>
      <c r="E466" s="999"/>
      <c r="F466" s="999"/>
    </row>
    <row r="467" spans="1:6" ht="12.75">
      <c r="D467"/>
      <c r="E467" s="928" t="s">
        <v>2077</v>
      </c>
      <c r="F467" s="928"/>
    </row>
    <row r="468" spans="1:6" ht="13.7" customHeight="1">
      <c r="D468" s="972" t="s">
        <v>1856</v>
      </c>
      <c r="E468" s="979"/>
      <c r="F468" s="979"/>
    </row>
    <row r="469" spans="1:6" ht="13.7" customHeight="1">
      <c r="D469" s="979"/>
      <c r="E469" s="979"/>
      <c r="F469" s="979"/>
    </row>
    <row r="470" spans="1:6" ht="12.75">
      <c r="D470" s="44"/>
    </row>
    <row r="471" spans="1:6" ht="14.45" customHeight="1">
      <c r="A471" s="271"/>
      <c r="B471" s="609" t="s">
        <v>124</v>
      </c>
      <c r="C471" s="207"/>
      <c r="D471" s="979" t="s">
        <v>1576</v>
      </c>
      <c r="E471" s="979"/>
      <c r="F471" s="979"/>
    </row>
    <row r="472" spans="1:6" ht="12.75">
      <c r="D472" s="979"/>
      <c r="E472" s="979"/>
      <c r="F472" s="979"/>
    </row>
    <row r="473" spans="1:6" ht="12.75">
      <c r="D473" s="979"/>
      <c r="E473" s="979"/>
      <c r="F473" s="979"/>
    </row>
    <row r="474" spans="1:6" ht="12.75">
      <c r="D474" s="24"/>
      <c r="E474" s="24"/>
      <c r="F474" s="24"/>
    </row>
    <row r="475" spans="1:6" ht="14.25">
      <c r="B475" s="609" t="s">
        <v>124</v>
      </c>
      <c r="C475" s="271"/>
      <c r="D475" s="972" t="s">
        <v>1718</v>
      </c>
      <c r="E475" s="979"/>
      <c r="F475" s="979"/>
    </row>
    <row r="476" spans="1:6" ht="12.75">
      <c r="D476" s="979"/>
      <c r="E476" s="979"/>
      <c r="F476" s="979"/>
    </row>
    <row r="477" spans="1:6" ht="12.75">
      <c r="D477" s="44"/>
      <c r="E477" s="44"/>
    </row>
    <row r="478" spans="1:6" ht="14.25">
      <c r="B478" s="609" t="s">
        <v>124</v>
      </c>
      <c r="C478" s="271"/>
      <c r="D478" s="979" t="s">
        <v>1577</v>
      </c>
      <c r="E478" s="979"/>
      <c r="F478" s="979"/>
    </row>
    <row r="479" spans="1:6" ht="12.75">
      <c r="D479" s="979"/>
      <c r="E479" s="979"/>
      <c r="F479" s="979"/>
    </row>
    <row r="480" spans="1:6" ht="12.75">
      <c r="D480" s="979"/>
      <c r="E480" s="979"/>
      <c r="F480" s="979"/>
    </row>
    <row r="481" spans="2:6" ht="12.75">
      <c r="D481" s="979"/>
      <c r="E481" s="979"/>
      <c r="F481" s="979"/>
    </row>
    <row r="482" spans="2:6" ht="12.75">
      <c r="B482" s="609" t="s">
        <v>124</v>
      </c>
      <c r="D482" s="979"/>
      <c r="E482" s="979"/>
      <c r="F482" s="979"/>
    </row>
    <row r="483" spans="2:6" ht="12.75">
      <c r="D483" s="979"/>
      <c r="E483" s="979"/>
      <c r="F483" s="979"/>
    </row>
    <row r="484" spans="2:6" ht="12.75">
      <c r="D484" s="979"/>
      <c r="E484" s="979"/>
      <c r="F484" s="979"/>
    </row>
    <row r="485" spans="2:6" ht="12.75">
      <c r="B485" s="609" t="s">
        <v>124</v>
      </c>
      <c r="D485" s="979"/>
      <c r="E485" s="979"/>
      <c r="F485" s="979"/>
    </row>
    <row r="486" spans="2:6" ht="12.75">
      <c r="D486" s="979"/>
      <c r="E486" s="979"/>
      <c r="F486" s="979"/>
    </row>
    <row r="487" spans="2:6" ht="12.75">
      <c r="D487" s="979"/>
      <c r="E487" s="979"/>
      <c r="F487" s="979"/>
    </row>
    <row r="488" spans="2:6" ht="12.75">
      <c r="D488" s="979"/>
      <c r="E488" s="979"/>
      <c r="F488" s="979"/>
    </row>
    <row r="489" spans="2:6" ht="12.75">
      <c r="B489" s="609" t="s">
        <v>124</v>
      </c>
      <c r="D489" s="979"/>
      <c r="E489" s="979"/>
      <c r="F489" s="979"/>
    </row>
    <row r="490" spans="2:6" ht="12.75">
      <c r="D490" s="979"/>
      <c r="E490" s="979"/>
      <c r="F490" s="979"/>
    </row>
    <row r="491" spans="2:6" ht="12.75">
      <c r="B491" s="609" t="s">
        <v>124</v>
      </c>
      <c r="D491" s="979"/>
      <c r="E491" s="979"/>
      <c r="F491" s="979"/>
    </row>
    <row r="492" spans="2:6" ht="12.75">
      <c r="D492" s="979"/>
      <c r="E492" s="979"/>
      <c r="F492" s="979"/>
    </row>
    <row r="493" spans="2:6" ht="13.7" customHeight="1">
      <c r="B493" s="609" t="s">
        <v>124</v>
      </c>
      <c r="D493" s="979" t="s">
        <v>1578</v>
      </c>
      <c r="E493" s="979"/>
      <c r="F493" s="979"/>
    </row>
    <row r="494" spans="2:6" ht="12.75">
      <c r="D494" s="979"/>
      <c r="E494" s="979"/>
      <c r="F494" s="979"/>
    </row>
    <row r="495" spans="2:6" ht="12.75">
      <c r="D495" s="979"/>
      <c r="E495" s="979"/>
      <c r="F495" s="979"/>
    </row>
    <row r="496" spans="2:6" ht="12.75">
      <c r="D496" s="979"/>
      <c r="E496" s="979"/>
      <c r="F496" s="979"/>
    </row>
    <row r="497" spans="1:7" ht="12.75">
      <c r="D497" s="979"/>
      <c r="E497" s="979"/>
      <c r="F497" s="979"/>
    </row>
    <row r="498" spans="1:7" ht="12.75">
      <c r="D498" s="44"/>
    </row>
    <row r="499" spans="1:7" ht="12.75">
      <c r="B499" s="609" t="s">
        <v>124</v>
      </c>
      <c r="D499" s="999" t="s">
        <v>1419</v>
      </c>
      <c r="E499" s="999"/>
      <c r="F499" s="999"/>
    </row>
    <row r="500" spans="1:7" ht="12.75">
      <c r="A500" s="44"/>
      <c r="B500" s="44"/>
    </row>
    <row r="501" spans="1:7" ht="12.75">
      <c r="A501" s="1033" t="s">
        <v>1378</v>
      </c>
      <c r="B501" s="1033"/>
      <c r="C501" s="1033"/>
      <c r="D501" s="1033"/>
      <c r="E501" s="1033"/>
      <c r="F501" s="1033"/>
      <c r="G501" s="1033"/>
    </row>
    <row r="502" spans="1:7" ht="12.75">
      <c r="A502" s="44"/>
      <c r="B502" s="44"/>
    </row>
    <row r="503" spans="1:7" ht="12.75">
      <c r="D503" s="1050" t="s">
        <v>1118</v>
      </c>
      <c r="E503" s="1050"/>
      <c r="F503" s="1050"/>
    </row>
    <row r="504" spans="1:7" ht="12.75">
      <c r="D504" s="1016" t="s">
        <v>1412</v>
      </c>
      <c r="E504" s="1016"/>
      <c r="F504" s="1016"/>
    </row>
    <row r="505" spans="1:7" ht="14.25">
      <c r="A505" s="271"/>
      <c r="B505" s="271"/>
      <c r="D505" s="420"/>
    </row>
    <row r="506" spans="1:7" ht="14.25">
      <c r="A506" s="271"/>
      <c r="B506" s="609" t="s">
        <v>124</v>
      </c>
      <c r="D506" s="1036" t="s">
        <v>1579</v>
      </c>
      <c r="E506" s="1036"/>
      <c r="F506" s="1036"/>
    </row>
    <row r="507" spans="1:7" ht="14.25">
      <c r="A507" s="271"/>
      <c r="B507" s="271"/>
      <c r="D507" s="1036"/>
      <c r="E507" s="1036"/>
      <c r="F507" s="1036"/>
    </row>
    <row r="508" spans="1:7" ht="14.25">
      <c r="A508" s="271"/>
      <c r="B508" s="271"/>
      <c r="D508" s="44"/>
    </row>
    <row r="509" spans="1:7" ht="14.25">
      <c r="A509" s="271"/>
      <c r="B509" s="609" t="s">
        <v>124</v>
      </c>
      <c r="D509" s="1051" t="s">
        <v>1875</v>
      </c>
      <c r="E509" s="1002"/>
      <c r="F509" s="1002"/>
    </row>
    <row r="510" spans="1:7" ht="14.25">
      <c r="A510" s="271"/>
      <c r="B510" s="271"/>
      <c r="D510" s="1002"/>
      <c r="E510" s="1002"/>
      <c r="F510" s="1002"/>
    </row>
    <row r="511" spans="1:7" ht="14.25">
      <c r="A511" s="271"/>
      <c r="B511" s="271"/>
      <c r="D511" s="1002"/>
      <c r="E511" s="1002"/>
      <c r="F511" s="1002"/>
      <c r="G511"/>
    </row>
    <row r="512" spans="1:7" ht="14.25">
      <c r="A512" s="271"/>
      <c r="B512" s="271"/>
      <c r="D512" s="1002"/>
      <c r="E512" s="1002"/>
      <c r="F512" s="1002"/>
      <c r="G512"/>
    </row>
    <row r="513" spans="1:7" ht="12.75">
      <c r="G513"/>
    </row>
    <row r="514" spans="1:7" ht="14.25">
      <c r="A514" s="271"/>
      <c r="B514" s="609" t="s">
        <v>124</v>
      </c>
      <c r="D514" s="999" t="s">
        <v>1581</v>
      </c>
      <c r="E514" s="999"/>
      <c r="F514" s="999"/>
      <c r="G514"/>
    </row>
    <row r="515" spans="1:7" ht="12.75">
      <c r="D515" s="44"/>
      <c r="G515"/>
    </row>
    <row r="516" spans="1:7" ht="14.25">
      <c r="A516" s="271"/>
      <c r="B516" s="609" t="s">
        <v>124</v>
      </c>
      <c r="D516" s="979" t="s">
        <v>1582</v>
      </c>
      <c r="E516" s="979"/>
      <c r="F516" s="979"/>
      <c r="G516"/>
    </row>
    <row r="517" spans="1:7" ht="12.75">
      <c r="D517" s="979"/>
      <c r="E517" s="979"/>
      <c r="F517" s="979"/>
      <c r="G517"/>
    </row>
    <row r="518" spans="1:7" ht="12.75">
      <c r="D518" s="420"/>
      <c r="G518"/>
    </row>
    <row r="519" spans="1:7" ht="14.25">
      <c r="A519" s="271"/>
      <c r="B519" s="609" t="s">
        <v>124</v>
      </c>
      <c r="D519" s="999" t="s">
        <v>1580</v>
      </c>
      <c r="E519" s="999"/>
      <c r="F519" s="999"/>
    </row>
    <row r="520" spans="1:7" ht="14.25">
      <c r="A520" s="271"/>
      <c r="B520" s="271"/>
      <c r="D520" s="44"/>
    </row>
    <row r="521" spans="1:7" ht="12.75">
      <c r="A521" s="1033" t="s">
        <v>1379</v>
      </c>
      <c r="B521" s="1033"/>
      <c r="C521" s="1033"/>
      <c r="D521" s="1033"/>
      <c r="E521" s="1033"/>
      <c r="F521" s="1033"/>
      <c r="G521" s="1033"/>
    </row>
    <row r="522" spans="1:7" ht="12" customHeight="1">
      <c r="A522" s="271"/>
      <c r="B522" s="271"/>
      <c r="D522" s="44"/>
    </row>
    <row r="523" spans="1:7" ht="12.75">
      <c r="B523" s="609" t="s">
        <v>1376</v>
      </c>
      <c r="C523" s="190"/>
      <c r="D523" s="1007" t="s">
        <v>1525</v>
      </c>
      <c r="E523" s="1007"/>
      <c r="F523" s="1007"/>
    </row>
    <row r="524" spans="1:7" ht="12.75">
      <c r="C524" s="190"/>
      <c r="D524" s="1007"/>
      <c r="E524" s="1007"/>
      <c r="F524" s="1007"/>
    </row>
    <row r="525" spans="1:7" ht="12.75">
      <c r="A525" s="191"/>
      <c r="B525" s="191"/>
      <c r="C525" s="191"/>
      <c r="D525" s="1007"/>
      <c r="E525" s="1007"/>
      <c r="F525" s="1007"/>
    </row>
    <row r="526" spans="1:7" ht="12.75">
      <c r="A526" s="191"/>
      <c r="B526" s="191"/>
      <c r="C526" s="191"/>
      <c r="D526" s="1007"/>
      <c r="E526" s="1007"/>
      <c r="F526" s="1007"/>
    </row>
    <row r="527" spans="1:7" ht="12.75">
      <c r="A527" s="191"/>
      <c r="B527" s="191"/>
      <c r="C527" s="191"/>
    </row>
    <row r="528" spans="1:7" ht="14.25">
      <c r="A528" s="271"/>
      <c r="B528" s="609" t="s">
        <v>124</v>
      </c>
      <c r="C528" s="207"/>
      <c r="D528" s="979" t="s">
        <v>2142</v>
      </c>
      <c r="E528" s="979"/>
      <c r="F528" s="979"/>
      <c r="G528"/>
    </row>
    <row r="529" spans="1:7" ht="12.75">
      <c r="A529" s="207"/>
      <c r="B529" s="207"/>
      <c r="C529" s="207"/>
      <c r="D529" s="979"/>
      <c r="E529" s="979"/>
      <c r="F529" s="979"/>
      <c r="G529"/>
    </row>
    <row r="530" spans="1:7" ht="12.75">
      <c r="A530" s="191"/>
      <c r="B530" s="191"/>
      <c r="C530" s="191"/>
      <c r="D530" s="44"/>
      <c r="G530"/>
    </row>
    <row r="531" spans="1:7" ht="12.75">
      <c r="A531" s="191"/>
      <c r="B531" s="609" t="s">
        <v>124</v>
      </c>
      <c r="C531" s="191"/>
      <c r="D531" s="929" t="s">
        <v>2079</v>
      </c>
      <c r="E531" s="930"/>
      <c r="G531"/>
    </row>
    <row r="532" spans="1:7" ht="12.75">
      <c r="A532" s="191"/>
      <c r="B532" s="191"/>
      <c r="C532" s="191"/>
      <c r="D532" s="930"/>
      <c r="E532" s="104" t="s">
        <v>2080</v>
      </c>
      <c r="G532"/>
    </row>
    <row r="533" spans="1:7" ht="14.25">
      <c r="A533" s="271"/>
      <c r="B533"/>
      <c r="D533" s="1036" t="s">
        <v>2143</v>
      </c>
      <c r="E533" s="1036"/>
      <c r="F533" s="1036"/>
      <c r="G533"/>
    </row>
    <row r="534" spans="1:7" ht="14.25">
      <c r="A534" s="271"/>
      <c r="B534" s="271"/>
      <c r="D534" s="1036"/>
      <c r="E534" s="1036"/>
      <c r="F534" s="1036"/>
      <c r="G534"/>
    </row>
    <row r="535" spans="1:7" ht="12.75">
      <c r="D535" s="1036"/>
      <c r="E535" s="1036"/>
      <c r="F535" s="1036"/>
    </row>
    <row r="536" spans="1:7" ht="12" customHeight="1">
      <c r="A536" s="44"/>
      <c r="B536" s="44"/>
      <c r="C536" s="207"/>
      <c r="E536" s="44"/>
    </row>
    <row r="537" spans="1:7" ht="12.75">
      <c r="A537" s="1033" t="s">
        <v>1391</v>
      </c>
      <c r="B537" s="1033"/>
      <c r="C537" s="1033"/>
      <c r="D537" s="1033"/>
      <c r="E537" s="1033"/>
      <c r="F537" s="1033"/>
      <c r="G537" s="1033"/>
    </row>
    <row r="538" spans="1:7" ht="12" customHeight="1">
      <c r="A538" s="44"/>
      <c r="B538" s="44"/>
      <c r="C538" s="207"/>
      <c r="E538" s="44"/>
    </row>
    <row r="539" spans="1:7" ht="12.75">
      <c r="C539" s="207"/>
      <c r="D539" s="1000" t="s">
        <v>1420</v>
      </c>
      <c r="E539" s="1000"/>
      <c r="F539" s="1000"/>
    </row>
    <row r="540" spans="1:7" ht="12.75"/>
    <row r="541" spans="1:7" ht="12.75">
      <c r="B541" s="609" t="s">
        <v>124</v>
      </c>
      <c r="D541" s="979" t="s">
        <v>1551</v>
      </c>
      <c r="E541" s="979"/>
      <c r="F541" s="979"/>
    </row>
    <row r="542" spans="1:7" ht="12.75">
      <c r="D542" s="979"/>
      <c r="E542" s="979"/>
      <c r="F542" s="979"/>
    </row>
    <row r="543" spans="1:7" ht="12" customHeight="1">
      <c r="A543" s="207"/>
      <c r="B543" s="207"/>
      <c r="C543" s="207"/>
      <c r="D543" s="44"/>
    </row>
    <row r="544" spans="1:7" ht="14.25">
      <c r="A544" s="271"/>
      <c r="B544" s="609" t="s">
        <v>124</v>
      </c>
      <c r="C544" s="207"/>
      <c r="D544" s="979" t="s">
        <v>1552</v>
      </c>
      <c r="E544" s="979"/>
      <c r="F544" s="979"/>
    </row>
    <row r="545" spans="1:7" ht="12.75">
      <c r="A545" s="207"/>
      <c r="B545" s="207"/>
      <c r="C545" s="207"/>
      <c r="D545" s="979"/>
      <c r="E545" s="979"/>
      <c r="F545" s="979"/>
    </row>
    <row r="546" spans="1:7" ht="12" customHeight="1">
      <c r="A546" s="207"/>
      <c r="B546" s="207"/>
      <c r="C546" s="207"/>
      <c r="D546" s="44"/>
    </row>
    <row r="547" spans="1:7" ht="12.75">
      <c r="A547" s="1011" t="s">
        <v>1427</v>
      </c>
      <c r="B547" s="1011"/>
      <c r="C547" s="1011"/>
      <c r="D547" s="1011"/>
      <c r="E547" s="1011"/>
      <c r="F547" s="1011"/>
      <c r="G547" s="1011"/>
    </row>
    <row r="548" spans="1:7" ht="12" customHeight="1">
      <c r="A548" s="44"/>
      <c r="B548" s="44"/>
      <c r="C548" s="207"/>
      <c r="D548" s="44"/>
    </row>
    <row r="549" spans="1:7" ht="12.75">
      <c r="C549" s="207"/>
      <c r="D549" s="1000" t="s">
        <v>164</v>
      </c>
      <c r="E549" s="1000"/>
      <c r="F549" s="1000"/>
    </row>
    <row r="550" spans="1:7" ht="12.75">
      <c r="C550" s="207"/>
      <c r="D550" s="999" t="s">
        <v>1534</v>
      </c>
      <c r="E550" s="999"/>
      <c r="F550" s="999"/>
    </row>
    <row r="551" spans="1:7" ht="12.75">
      <c r="C551" s="207"/>
      <c r="D551" s="44"/>
      <c r="E551" s="44"/>
      <c r="F551" s="44"/>
    </row>
    <row r="552" spans="1:7" ht="14.25">
      <c r="A552" s="271"/>
      <c r="B552" s="609" t="s">
        <v>1376</v>
      </c>
      <c r="C552" s="207"/>
      <c r="D552" s="999" t="s">
        <v>1113</v>
      </c>
      <c r="E552" s="999"/>
      <c r="F552" s="999"/>
    </row>
    <row r="553" spans="1:7" ht="12" customHeight="1">
      <c r="A553" s="207"/>
      <c r="B553" s="207"/>
      <c r="C553" s="207"/>
      <c r="D553" s="44"/>
      <c r="E553"/>
      <c r="F553"/>
      <c r="G553"/>
    </row>
    <row r="554" spans="1:7" ht="14.45" customHeight="1">
      <c r="A554" s="271"/>
      <c r="B554" s="609" t="s">
        <v>1376</v>
      </c>
      <c r="C554" s="207"/>
      <c r="D554" s="979" t="s">
        <v>1533</v>
      </c>
      <c r="E554" s="979"/>
      <c r="F554" s="979"/>
      <c r="G554"/>
    </row>
    <row r="555" spans="1:7" ht="12.75">
      <c r="A555" s="207"/>
      <c r="B555" s="207"/>
      <c r="C555" s="207"/>
      <c r="D555" s="979"/>
      <c r="E555" s="979"/>
      <c r="F555" s="979"/>
      <c r="G555"/>
    </row>
    <row r="556" spans="1:7" ht="12" customHeight="1">
      <c r="A556" s="207"/>
      <c r="B556" s="207"/>
      <c r="C556" s="207"/>
      <c r="D556" s="44"/>
      <c r="E556"/>
      <c r="F556"/>
      <c r="G556"/>
    </row>
    <row r="557" spans="1:7" ht="14.25">
      <c r="A557" s="271"/>
      <c r="B557" s="609" t="s">
        <v>1376</v>
      </c>
      <c r="C557" s="207"/>
      <c r="D557" s="979" t="s">
        <v>1535</v>
      </c>
      <c r="E557" s="979"/>
      <c r="F557" s="979"/>
      <c r="G557"/>
    </row>
    <row r="558" spans="1:7" ht="12.75">
      <c r="A558" s="207"/>
      <c r="B558" s="207"/>
      <c r="C558" s="207"/>
      <c r="D558" s="979"/>
      <c r="E558" s="979"/>
      <c r="F558" s="979"/>
      <c r="G558"/>
    </row>
    <row r="559" spans="1:7" ht="12" customHeight="1">
      <c r="A559" s="207"/>
      <c r="B559" s="207"/>
      <c r="C559" s="207"/>
      <c r="D559" s="44"/>
      <c r="E559"/>
      <c r="F559"/>
      <c r="G559"/>
    </row>
    <row r="560" spans="1:7" ht="14.25">
      <c r="A560" s="271"/>
      <c r="B560" s="609" t="s">
        <v>1376</v>
      </c>
      <c r="C560" s="207"/>
      <c r="D560" s="979" t="s">
        <v>1536</v>
      </c>
      <c r="E560" s="979"/>
      <c r="F560" s="979"/>
      <c r="G560"/>
    </row>
    <row r="561" spans="1:7" ht="12.75">
      <c r="A561" s="207"/>
      <c r="B561" s="207"/>
      <c r="C561" s="207"/>
      <c r="D561" s="979"/>
      <c r="E561" s="979"/>
      <c r="F561" s="979"/>
      <c r="G561"/>
    </row>
    <row r="562" spans="1:7" ht="12" customHeight="1">
      <c r="A562" s="207"/>
      <c r="B562" s="207"/>
      <c r="C562" s="207"/>
      <c r="D562" s="44"/>
      <c r="E562"/>
      <c r="F562"/>
      <c r="G562"/>
    </row>
    <row r="563" spans="1:7" ht="14.45" customHeight="1">
      <c r="A563" s="271"/>
      <c r="B563" s="609" t="s">
        <v>1376</v>
      </c>
      <c r="C563" s="207"/>
      <c r="D563" s="979" t="s">
        <v>1537</v>
      </c>
      <c r="E563" s="979"/>
      <c r="F563" s="979"/>
      <c r="G563"/>
    </row>
    <row r="564" spans="1:7" ht="12.75">
      <c r="A564" s="207"/>
      <c r="B564" s="207"/>
      <c r="C564" s="207"/>
      <c r="D564" s="979"/>
      <c r="E564" s="979"/>
      <c r="F564" s="979"/>
      <c r="G564"/>
    </row>
    <row r="565" spans="1:7" ht="12.75">
      <c r="A565" s="207"/>
      <c r="B565" s="207"/>
      <c r="C565" s="207"/>
      <c r="D565" s="979"/>
      <c r="E565" s="979"/>
      <c r="F565" s="979"/>
      <c r="G565"/>
    </row>
    <row r="566" spans="1:7" ht="12.75">
      <c r="A566" s="207"/>
      <c r="B566" s="207"/>
      <c r="C566" s="207"/>
      <c r="D566" s="44"/>
      <c r="E566"/>
      <c r="F566"/>
      <c r="G566"/>
    </row>
    <row r="567" spans="1:7" ht="14.25">
      <c r="A567" s="271"/>
      <c r="B567" s="609" t="s">
        <v>124</v>
      </c>
      <c r="C567" s="207"/>
      <c r="D567" s="972" t="s">
        <v>1631</v>
      </c>
      <c r="E567" s="979"/>
      <c r="F567" s="979"/>
      <c r="G567"/>
    </row>
    <row r="568" spans="1:7" ht="12.75">
      <c r="A568" s="207"/>
      <c r="B568" s="207"/>
      <c r="C568" s="207"/>
      <c r="D568" s="979"/>
      <c r="E568" s="979"/>
      <c r="F568" s="979"/>
      <c r="G568"/>
    </row>
    <row r="569" spans="1:7" ht="12.75">
      <c r="A569" s="207"/>
      <c r="B569" s="207"/>
      <c r="C569" s="207"/>
      <c r="D569" s="44"/>
      <c r="G569"/>
    </row>
    <row r="570" spans="1:7" ht="14.25">
      <c r="A570" s="271"/>
      <c r="B570" s="609" t="s">
        <v>124</v>
      </c>
      <c r="C570" s="207"/>
      <c r="D570" s="979" t="s">
        <v>1538</v>
      </c>
      <c r="E570" s="979"/>
      <c r="F570" s="979"/>
      <c r="G570"/>
    </row>
    <row r="571" spans="1:7" ht="12.75">
      <c r="A571" s="207"/>
      <c r="B571" s="207"/>
      <c r="C571" s="207"/>
      <c r="D571" s="979"/>
      <c r="E571" s="979"/>
      <c r="F571" s="979"/>
      <c r="G571"/>
    </row>
    <row r="572" spans="1:7" ht="12" customHeight="1">
      <c r="A572" s="207"/>
      <c r="B572" s="207"/>
      <c r="C572" s="207"/>
      <c r="D572" s="44"/>
      <c r="G572"/>
    </row>
    <row r="573" spans="1:7" ht="14.25">
      <c r="A573" s="271"/>
      <c r="B573" s="609" t="s">
        <v>1376</v>
      </c>
      <c r="C573" s="207"/>
      <c r="D573" s="999" t="s">
        <v>1539</v>
      </c>
      <c r="E573" s="999"/>
      <c r="F573" s="999"/>
      <c r="G573"/>
    </row>
    <row r="574" spans="1:7" ht="14.25">
      <c r="A574" s="271"/>
      <c r="B574" s="271"/>
      <c r="C574" s="207"/>
      <c r="D574" s="1040" t="s">
        <v>2081</v>
      </c>
      <c r="E574" s="1040"/>
      <c r="F574" s="1040"/>
      <c r="G574"/>
    </row>
    <row r="575" spans="1:7" ht="12.75">
      <c r="A575" s="18"/>
      <c r="B575" s="18"/>
      <c r="C575" s="207"/>
      <c r="D575" s="931"/>
      <c r="E575" s="104" t="s">
        <v>2082</v>
      </c>
      <c r="F575" s="932"/>
      <c r="G575"/>
    </row>
    <row r="576" spans="1:7" ht="15" customHeight="1">
      <c r="A576" s="18"/>
      <c r="B576" s="18"/>
      <c r="C576" s="207"/>
      <c r="D576" s="972" t="s">
        <v>1752</v>
      </c>
      <c r="E576" s="979"/>
      <c r="F576" s="979"/>
      <c r="G576"/>
    </row>
    <row r="577" spans="1:7" ht="12.75">
      <c r="A577" s="18"/>
      <c r="B577" s="18"/>
      <c r="C577" s="207"/>
      <c r="D577" s="979"/>
      <c r="E577" s="979"/>
      <c r="F577" s="979"/>
      <c r="G577"/>
    </row>
    <row r="578" spans="1:7" ht="12.75">
      <c r="A578" s="18"/>
      <c r="B578" s="18"/>
      <c r="C578" s="207"/>
      <c r="D578" s="979"/>
      <c r="E578" s="979"/>
      <c r="F578" s="979"/>
      <c r="G578"/>
    </row>
    <row r="579" spans="1:7" ht="12.75">
      <c r="A579" s="18"/>
      <c r="B579" s="18"/>
      <c r="C579" s="207"/>
      <c r="D579" s="979"/>
      <c r="E579" s="979"/>
      <c r="F579" s="979"/>
      <c r="G579"/>
    </row>
    <row r="580" spans="1:7" ht="12.75">
      <c r="A580" s="18"/>
      <c r="B580" s="18"/>
      <c r="C580" s="207"/>
      <c r="D580" s="979"/>
      <c r="E580" s="979"/>
      <c r="F580" s="979"/>
      <c r="G580"/>
    </row>
    <row r="581" spans="1:7" ht="12.75">
      <c r="A581" s="18"/>
      <c r="B581" s="18"/>
      <c r="C581" s="207"/>
      <c r="D581" s="979"/>
      <c r="E581" s="979"/>
      <c r="F581" s="979"/>
      <c r="G581"/>
    </row>
    <row r="582" spans="1:7" ht="12.75">
      <c r="A582" s="18"/>
      <c r="B582" s="18"/>
      <c r="C582" s="207"/>
      <c r="D582" s="979"/>
      <c r="E582" s="979"/>
      <c r="F582" s="979"/>
      <c r="G582"/>
    </row>
    <row r="583" spans="1:7" ht="12.75">
      <c r="A583" s="18"/>
      <c r="B583" s="18"/>
      <c r="C583" s="207"/>
      <c r="D583" s="979"/>
      <c r="E583" s="979"/>
      <c r="F583" s="979"/>
      <c r="G583"/>
    </row>
    <row r="584" spans="1:7" ht="12.75">
      <c r="A584" s="18"/>
      <c r="B584" s="18"/>
      <c r="C584" s="207"/>
      <c r="D584" s="979"/>
      <c r="E584" s="979"/>
      <c r="F584" s="979"/>
      <c r="G584"/>
    </row>
    <row r="585" spans="1:7" ht="12.75">
      <c r="A585" s="18"/>
      <c r="B585" s="18"/>
      <c r="C585" s="207"/>
      <c r="D585" s="209"/>
      <c r="E585" s="209"/>
      <c r="F585" s="209"/>
      <c r="G585"/>
    </row>
    <row r="586" spans="1:7" ht="14.25">
      <c r="A586" s="271"/>
      <c r="B586" s="609" t="s">
        <v>1376</v>
      </c>
      <c r="C586" s="207"/>
      <c r="D586" s="999" t="s">
        <v>1540</v>
      </c>
      <c r="E586" s="999"/>
      <c r="F586" s="999"/>
      <c r="G586"/>
    </row>
    <row r="587" spans="1:7" ht="13.7" customHeight="1">
      <c r="C587" s="207"/>
      <c r="D587" s="979" t="s">
        <v>1541</v>
      </c>
      <c r="E587" s="979"/>
      <c r="F587" s="979"/>
      <c r="G587"/>
    </row>
    <row r="588" spans="1:7" ht="12.75">
      <c r="A588" s="207"/>
      <c r="B588" s="207"/>
      <c r="C588" s="207"/>
      <c r="D588" s="979"/>
      <c r="E588" s="979"/>
      <c r="F588" s="979"/>
      <c r="G588"/>
    </row>
    <row r="589" spans="1:7" ht="12.75">
      <c r="A589" s="207"/>
      <c r="B589" s="207"/>
      <c r="C589" s="207"/>
      <c r="D589" s="979"/>
      <c r="E589" s="979"/>
      <c r="F589" s="979"/>
      <c r="G589"/>
    </row>
    <row r="590" spans="1:7" ht="12.75">
      <c r="A590" s="207"/>
      <c r="B590" s="207"/>
      <c r="C590" s="207"/>
      <c r="D590" s="209"/>
      <c r="E590" s="209"/>
      <c r="F590" s="209"/>
      <c r="G590"/>
    </row>
    <row r="591" spans="1:7" ht="14.45" customHeight="1">
      <c r="A591" s="271"/>
      <c r="B591" s="609" t="s">
        <v>1376</v>
      </c>
      <c r="C591" s="207"/>
      <c r="D591" s="979" t="s">
        <v>2144</v>
      </c>
      <c r="E591" s="979"/>
      <c r="F591" s="979"/>
      <c r="G591"/>
    </row>
    <row r="592" spans="1:7" ht="14.25">
      <c r="A592" s="271"/>
      <c r="B592" s="271"/>
      <c r="C592" s="207"/>
      <c r="D592" s="979"/>
      <c r="E592" s="979"/>
      <c r="F592" s="979"/>
      <c r="G592"/>
    </row>
    <row r="593" spans="1:7" ht="14.25">
      <c r="A593" s="271"/>
      <c r="B593" s="271"/>
      <c r="C593" s="207"/>
      <c r="D593" s="979"/>
      <c r="E593" s="979"/>
      <c r="F593" s="979"/>
    </row>
    <row r="594" spans="1:7" ht="12.75">
      <c r="A594" s="207"/>
      <c r="B594" s="207"/>
      <c r="C594" s="207"/>
      <c r="D594" s="979"/>
      <c r="E594" s="979"/>
      <c r="F594" s="979"/>
    </row>
    <row r="595" spans="1:7" ht="12.75">
      <c r="A595" s="207"/>
      <c r="B595" s="207"/>
      <c r="C595" s="207"/>
      <c r="D595" s="44"/>
    </row>
    <row r="596" spans="1:7" ht="12.75">
      <c r="A596" s="191"/>
      <c r="B596" s="609" t="s">
        <v>124</v>
      </c>
      <c r="C596" s="191"/>
      <c r="D596" s="1032" t="s">
        <v>1813</v>
      </c>
      <c r="E596" s="1009"/>
      <c r="F596" s="1009"/>
    </row>
    <row r="597" spans="1:7" ht="12.75">
      <c r="A597" s="191"/>
      <c r="B597" s="191"/>
      <c r="C597" s="191"/>
    </row>
    <row r="598" spans="1:7" ht="12.75">
      <c r="A598" s="207"/>
      <c r="B598" s="207"/>
      <c r="C598" s="207"/>
      <c r="D598" s="24"/>
      <c r="E598" s="24"/>
      <c r="F598" s="24"/>
    </row>
    <row r="599" spans="1:7" ht="12.75">
      <c r="A599" s="1033" t="s">
        <v>1393</v>
      </c>
      <c r="B599" s="1033"/>
      <c r="C599" s="1033"/>
      <c r="D599" s="1033"/>
      <c r="E599" s="1033"/>
      <c r="F599" s="1033"/>
      <c r="G599" s="1033"/>
    </row>
    <row r="600" spans="1:7" ht="12.75">
      <c r="A600" s="207"/>
      <c r="B600" s="207"/>
      <c r="C600" s="207"/>
    </row>
    <row r="601" spans="1:7" ht="12.75">
      <c r="C601" s="190"/>
      <c r="D601" s="1006" t="s">
        <v>165</v>
      </c>
      <c r="E601" s="1006"/>
      <c r="F601" s="1006"/>
    </row>
    <row r="602" spans="1:7" ht="12.75">
      <c r="C602" s="190"/>
      <c r="D602" s="1002" t="s">
        <v>1442</v>
      </c>
      <c r="E602" s="1002"/>
      <c r="F602" s="1002"/>
    </row>
    <row r="603" spans="1:7" ht="12.75">
      <c r="C603" s="190"/>
      <c r="D603" s="371"/>
    </row>
    <row r="604" spans="1:7" ht="14.25">
      <c r="A604" s="271"/>
      <c r="B604" s="609" t="s">
        <v>1376</v>
      </c>
      <c r="D604" s="1002" t="s">
        <v>1114</v>
      </c>
      <c r="E604" s="1002"/>
      <c r="F604" s="1002"/>
    </row>
    <row r="605" spans="1:7" ht="12.75">
      <c r="A605" s="18"/>
      <c r="B605" s="18"/>
      <c r="D605" s="361"/>
    </row>
    <row r="606" spans="1:7" ht="14.45" customHeight="1">
      <c r="A606" s="271"/>
      <c r="B606" s="609" t="s">
        <v>1376</v>
      </c>
      <c r="D606" s="1002" t="s">
        <v>2145</v>
      </c>
      <c r="E606" s="1002"/>
      <c r="F606" s="1002"/>
    </row>
    <row r="607" spans="1:7" ht="14.45" customHeight="1">
      <c r="A607" s="271"/>
      <c r="B607" s="271"/>
      <c r="D607" s="1002"/>
      <c r="E607" s="1002"/>
      <c r="F607" s="1002"/>
    </row>
    <row r="608" spans="1:7" ht="14.25">
      <c r="A608" s="271"/>
      <c r="B608" s="271"/>
      <c r="D608" s="1002"/>
      <c r="E608" s="1002"/>
      <c r="F608" s="1002"/>
    </row>
    <row r="609" spans="1:7" ht="14.25">
      <c r="A609" s="271"/>
      <c r="B609" s="271"/>
      <c r="D609" s="613"/>
      <c r="E609" s="613"/>
      <c r="F609" s="613"/>
    </row>
    <row r="610" spans="1:7" ht="14.25">
      <c r="A610" s="271"/>
      <c r="B610" s="609" t="s">
        <v>124</v>
      </c>
      <c r="D610" s="1002" t="s">
        <v>1443</v>
      </c>
      <c r="E610" s="1002"/>
      <c r="F610" s="1002"/>
    </row>
    <row r="611" spans="1:7" ht="14.25">
      <c r="A611" s="271"/>
      <c r="B611" s="271"/>
      <c r="D611" s="1002"/>
      <c r="E611" s="1002"/>
      <c r="F611" s="1002"/>
    </row>
    <row r="612" spans="1:7" ht="14.25">
      <c r="A612" s="271"/>
      <c r="B612" s="271"/>
      <c r="D612" s="1002"/>
      <c r="E612" s="1002"/>
      <c r="F612" s="1002"/>
    </row>
    <row r="613" spans="1:7" ht="14.25">
      <c r="A613" s="271"/>
      <c r="B613" s="271"/>
      <c r="D613" s="1002"/>
      <c r="E613" s="1002"/>
      <c r="F613" s="1002"/>
    </row>
    <row r="614" spans="1:7" ht="14.25">
      <c r="A614" s="271"/>
      <c r="B614" s="271"/>
      <c r="D614" s="371"/>
    </row>
    <row r="615" spans="1:7" ht="14.25">
      <c r="A615" s="271"/>
      <c r="B615" s="609" t="s">
        <v>1376</v>
      </c>
      <c r="D615" s="1002" t="s">
        <v>2146</v>
      </c>
      <c r="E615" s="1002"/>
      <c r="F615" s="1002"/>
    </row>
    <row r="616" spans="1:7" ht="14.25">
      <c r="A616" s="271"/>
      <c r="B616" s="271"/>
      <c r="D616" s="1002"/>
      <c r="E616" s="1002"/>
      <c r="F616" s="1002"/>
    </row>
    <row r="617" spans="1:7" ht="14.25">
      <c r="A617" s="271"/>
      <c r="B617" s="271"/>
      <c r="D617" s="371"/>
    </row>
    <row r="618" spans="1:7" ht="14.45" customHeight="1">
      <c r="A618" s="271"/>
      <c r="B618" s="609" t="s">
        <v>124</v>
      </c>
      <c r="D618" s="1002" t="s">
        <v>1447</v>
      </c>
      <c r="E618" s="1002"/>
      <c r="F618" s="1002"/>
    </row>
    <row r="619" spans="1:7" ht="14.25">
      <c r="A619" s="271"/>
      <c r="B619" s="271"/>
      <c r="D619" s="1002"/>
      <c r="E619" s="1002"/>
      <c r="F619" s="1002"/>
    </row>
    <row r="620" spans="1:7" ht="14.25">
      <c r="A620" s="271"/>
      <c r="B620" s="271"/>
      <c r="D620" s="371"/>
    </row>
    <row r="621" spans="1:7" ht="14.25">
      <c r="A621" s="271"/>
      <c r="B621" s="609" t="s">
        <v>1376</v>
      </c>
      <c r="D621" s="1002" t="s">
        <v>1115</v>
      </c>
      <c r="E621" s="1002"/>
      <c r="F621" s="1002"/>
    </row>
    <row r="622" spans="1:7" ht="12.75">
      <c r="A622" s="18"/>
      <c r="B622" s="18"/>
    </row>
    <row r="623" spans="1:7" ht="12.75">
      <c r="A623" s="1033" t="s">
        <v>1395</v>
      </c>
      <c r="B623" s="1033"/>
      <c r="C623" s="1033"/>
      <c r="D623" s="1033"/>
      <c r="E623" s="1033"/>
      <c r="F623" s="1033"/>
      <c r="G623" s="1033"/>
    </row>
    <row r="624" spans="1:7" ht="12.75">
      <c r="A624" s="63"/>
      <c r="B624" s="63"/>
    </row>
    <row r="625" spans="1:7" ht="12.75">
      <c r="C625" s="191"/>
      <c r="D625" s="1029" t="s">
        <v>1394</v>
      </c>
      <c r="E625" s="1029"/>
      <c r="F625" s="1029"/>
    </row>
    <row r="626" spans="1:7" ht="12.75">
      <c r="C626" s="191"/>
      <c r="D626" s="1009" t="s">
        <v>1421</v>
      </c>
      <c r="E626" s="1009"/>
      <c r="F626" s="1009"/>
    </row>
    <row r="627" spans="1:7" ht="12.75">
      <c r="C627" s="191"/>
      <c r="D627" s="102"/>
      <c r="E627" s="102"/>
      <c r="F627" s="102"/>
    </row>
    <row r="628" spans="1:7" ht="14.25" customHeight="1">
      <c r="A628" s="271"/>
      <c r="B628" s="609" t="s">
        <v>1376</v>
      </c>
      <c r="D628" s="1052" t="s">
        <v>2084</v>
      </c>
      <c r="E628" s="1053"/>
      <c r="F628" s="1053"/>
    </row>
    <row r="629" spans="1:7" ht="12.75">
      <c r="D629" s="1053"/>
      <c r="E629" s="1053"/>
      <c r="F629" s="1053"/>
    </row>
    <row r="630" spans="1:7" ht="12.75">
      <c r="D630" s="933"/>
      <c r="E630" s="927" t="s">
        <v>2083</v>
      </c>
      <c r="F630" s="933"/>
    </row>
    <row r="631" spans="1:7" ht="12.75">
      <c r="A631" s="63"/>
      <c r="B631" s="63"/>
    </row>
    <row r="632" spans="1:7" ht="12" customHeight="1">
      <c r="A632" s="1033" t="s">
        <v>1397</v>
      </c>
      <c r="B632" s="1033"/>
      <c r="C632" s="1033"/>
      <c r="D632" s="1033"/>
      <c r="E632" s="1033"/>
      <c r="F632" s="1033"/>
      <c r="G632" s="1033"/>
    </row>
    <row r="633" spans="1:7" ht="12.75">
      <c r="A633" s="44"/>
      <c r="B633" s="44"/>
    </row>
    <row r="634" spans="1:7" ht="12.75">
      <c r="C634" s="190"/>
      <c r="D634" s="1000" t="s">
        <v>1396</v>
      </c>
      <c r="E634" s="1000"/>
      <c r="F634" s="1000"/>
    </row>
    <row r="635" spans="1:7" ht="12.75">
      <c r="A635" s="191"/>
      <c r="B635" s="191"/>
      <c r="C635" s="191"/>
      <c r="D635" s="999" t="s">
        <v>1553</v>
      </c>
      <c r="E635" s="999"/>
      <c r="F635" s="999"/>
    </row>
    <row r="636" spans="1:7" ht="12.75">
      <c r="A636" s="191"/>
      <c r="B636" s="191"/>
      <c r="C636" s="191"/>
    </row>
    <row r="637" spans="1:7" ht="14.25">
      <c r="A637" s="271"/>
      <c r="B637" s="271"/>
      <c r="D637" s="1029" t="s">
        <v>870</v>
      </c>
      <c r="E637" s="1029"/>
      <c r="F637" s="1029"/>
    </row>
    <row r="638" spans="1:7" ht="14.25">
      <c r="A638" s="271"/>
      <c r="B638" s="609" t="s">
        <v>1376</v>
      </c>
      <c r="D638" s="1009" t="s">
        <v>1554</v>
      </c>
      <c r="E638" s="1009"/>
      <c r="F638" s="1009"/>
    </row>
    <row r="639" spans="1:7" ht="14.25">
      <c r="A639" s="271"/>
      <c r="B639" s="271"/>
      <c r="D639" s="44"/>
    </row>
    <row r="640" spans="1:7" ht="14.25">
      <c r="A640" s="271"/>
      <c r="B640" s="609" t="s">
        <v>124</v>
      </c>
      <c r="D640" s="979" t="s">
        <v>1555</v>
      </c>
      <c r="E640" s="979"/>
      <c r="F640" s="979"/>
    </row>
    <row r="641" spans="1:7" ht="14.25">
      <c r="A641" s="271"/>
      <c r="B641" s="271"/>
      <c r="D641" s="979"/>
      <c r="E641" s="979"/>
      <c r="F641" s="979"/>
    </row>
    <row r="642" spans="1:7" ht="14.25">
      <c r="A642" s="271"/>
      <c r="B642" s="271"/>
      <c r="D642" s="44"/>
    </row>
    <row r="643" spans="1:7" ht="14.25">
      <c r="A643" s="271"/>
      <c r="B643" s="609" t="s">
        <v>124</v>
      </c>
      <c r="D643" s="972" t="s">
        <v>1921</v>
      </c>
      <c r="E643" s="972"/>
      <c r="F643" s="972"/>
    </row>
    <row r="644" spans="1:7" ht="13.7" customHeight="1">
      <c r="D644" s="972"/>
      <c r="E644" s="972"/>
      <c r="F644" s="972"/>
    </row>
    <row r="645" spans="1:7" ht="12.75"/>
    <row r="646" spans="1:7" ht="14.25">
      <c r="A646" s="271"/>
      <c r="B646" s="609" t="s">
        <v>124</v>
      </c>
      <c r="D646" s="1009" t="s">
        <v>1556</v>
      </c>
      <c r="E646" s="1009"/>
      <c r="F646" s="1009"/>
    </row>
    <row r="647" spans="1:7" ht="12.75">
      <c r="A647" s="190"/>
      <c r="B647" s="190"/>
      <c r="C647" s="190"/>
    </row>
    <row r="648" spans="1:7" ht="12.75">
      <c r="A648" s="1033" t="s">
        <v>1398</v>
      </c>
      <c r="B648" s="1033"/>
      <c r="C648" s="1033"/>
      <c r="D648" s="1033"/>
      <c r="E648" s="1033"/>
      <c r="F648" s="1033"/>
      <c r="G648" s="1033"/>
    </row>
    <row r="649" spans="1:7" ht="12.75">
      <c r="A649" s="190"/>
      <c r="B649" s="190"/>
      <c r="C649" s="190"/>
    </row>
    <row r="650" spans="1:7" ht="12.75">
      <c r="C650" s="18"/>
      <c r="D650" s="1017" t="s">
        <v>1422</v>
      </c>
      <c r="E650" s="1017"/>
      <c r="F650" s="1017"/>
    </row>
    <row r="651" spans="1:7" ht="12.75">
      <c r="A651" s="18"/>
      <c r="B651" s="18"/>
      <c r="D651" s="3"/>
    </row>
    <row r="652" spans="1:7" ht="14.25" customHeight="1">
      <c r="A652" s="271"/>
      <c r="B652" s="609" t="s">
        <v>1376</v>
      </c>
      <c r="D652" s="1052" t="s">
        <v>2147</v>
      </c>
      <c r="E652" s="1052"/>
      <c r="F652" s="1052"/>
    </row>
    <row r="653" spans="1:7" ht="14.25">
      <c r="A653" s="271"/>
      <c r="B653" s="271"/>
      <c r="D653" s="1052"/>
      <c r="E653" s="1052"/>
      <c r="F653" s="1052"/>
    </row>
    <row r="654" spans="1:7" ht="12.75">
      <c r="D654" s="933"/>
      <c r="E654" s="927" t="s">
        <v>2086</v>
      </c>
      <c r="F654" s="933"/>
    </row>
    <row r="655" spans="1:7" ht="12.75">
      <c r="D655" s="976" t="s">
        <v>2085</v>
      </c>
      <c r="E655" s="976"/>
      <c r="F655" s="976"/>
    </row>
    <row r="656" spans="1:7" ht="12.75" customHeight="1">
      <c r="D656" s="976"/>
      <c r="E656" s="976"/>
      <c r="F656" s="976"/>
    </row>
    <row r="657" spans="1:9" ht="12.75">
      <c r="B657"/>
      <c r="D657" s="976"/>
      <c r="E657" s="976"/>
      <c r="F657" s="976"/>
    </row>
    <row r="658" spans="1:9" ht="12.75"/>
    <row r="659" spans="1:9" ht="14.25">
      <c r="A659" s="303"/>
      <c r="B659" s="609" t="s">
        <v>124</v>
      </c>
      <c r="D659" s="1018" t="s">
        <v>1557</v>
      </c>
      <c r="E659" s="1018"/>
      <c r="F659" s="1018"/>
      <c r="G659" s="44"/>
    </row>
    <row r="660" spans="1:9" ht="14.25">
      <c r="A660" s="303"/>
      <c r="B660" s="303"/>
      <c r="D660" s="1018"/>
      <c r="E660" s="1018"/>
      <c r="F660" s="1018"/>
      <c r="G660" s="44"/>
    </row>
    <row r="661" spans="1:9" ht="14.25">
      <c r="A661" s="303"/>
      <c r="B661" s="303"/>
      <c r="D661" s="44"/>
      <c r="E661" s="44"/>
      <c r="F661" s="44"/>
      <c r="G661" s="44"/>
    </row>
    <row r="662" spans="1:9" ht="13.7" customHeight="1">
      <c r="A662" s="303"/>
      <c r="B662" s="609" t="s">
        <v>124</v>
      </c>
      <c r="D662" s="1020" t="s">
        <v>1814</v>
      </c>
      <c r="E662" s="1020"/>
      <c r="F662" s="1020"/>
      <c r="G662" s="44"/>
    </row>
    <row r="663" spans="1:9" ht="14.25">
      <c r="A663" s="303"/>
      <c r="B663" s="303"/>
      <c r="D663" s="1020"/>
      <c r="E663" s="1020"/>
      <c r="F663" s="1020"/>
      <c r="G663" s="44"/>
    </row>
    <row r="664" spans="1:9" ht="14.25">
      <c r="A664" s="271"/>
      <c r="B664" s="271"/>
      <c r="D664" s="626"/>
      <c r="E664" s="626"/>
      <c r="F664" s="626"/>
      <c r="G664" s="44"/>
    </row>
    <row r="665" spans="1:9" ht="14.25">
      <c r="A665" s="271"/>
      <c r="B665" s="609" t="s">
        <v>124</v>
      </c>
      <c r="C665" s="207"/>
      <c r="D665" s="1019" t="s">
        <v>1558</v>
      </c>
      <c r="E665" s="1019"/>
      <c r="F665" s="1019"/>
      <c r="G665" s="44"/>
    </row>
    <row r="666" spans="1:9" ht="12.75">
      <c r="A666" s="44"/>
      <c r="B666" s="44"/>
      <c r="C666" s="207"/>
      <c r="D666" s="44"/>
      <c r="E666" s="44"/>
      <c r="F666" s="44"/>
      <c r="G666" s="44"/>
      <c r="H666" s="267"/>
      <c r="I666" s="267"/>
    </row>
    <row r="667" spans="1:9" ht="12.75">
      <c r="A667" s="1033" t="s">
        <v>1400</v>
      </c>
      <c r="B667" s="1033"/>
      <c r="C667" s="1033"/>
      <c r="D667" s="1033"/>
      <c r="E667" s="1033"/>
      <c r="F667" s="1033"/>
      <c r="G667" s="1033"/>
    </row>
    <row r="668" spans="1:9" ht="12.75">
      <c r="A668" s="44"/>
      <c r="B668" s="44"/>
      <c r="C668" s="207"/>
      <c r="D668" s="44"/>
      <c r="E668" s="44"/>
      <c r="F668" s="44"/>
      <c r="G668" s="44"/>
    </row>
    <row r="669" spans="1:9" ht="12.75">
      <c r="C669" s="190"/>
      <c r="D669" s="1000" t="s">
        <v>1399</v>
      </c>
      <c r="E669" s="1000"/>
      <c r="F669" s="1000"/>
      <c r="G669" s="44"/>
    </row>
    <row r="670" spans="1:9" ht="12.75">
      <c r="A670" s="191"/>
      <c r="B670" s="191"/>
      <c r="C670" s="191"/>
      <c r="D670" s="999" t="s">
        <v>1423</v>
      </c>
      <c r="E670" s="999"/>
      <c r="F670" s="999"/>
      <c r="G670" s="44"/>
    </row>
    <row r="671" spans="1:9" ht="12.75">
      <c r="A671" s="191"/>
      <c r="B671" s="191"/>
      <c r="C671" s="191"/>
      <c r="D671" s="44"/>
      <c r="E671" s="44"/>
      <c r="F671" s="44"/>
      <c r="G671" s="44"/>
    </row>
    <row r="672" spans="1:9" ht="14.45" customHeight="1">
      <c r="A672" s="271"/>
      <c r="B672" s="609" t="s">
        <v>1376</v>
      </c>
      <c r="C672" s="207"/>
      <c r="D672" s="972" t="s">
        <v>1877</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03" t="s">
        <v>1440</v>
      </c>
      <c r="E679" s="1003"/>
      <c r="F679" s="1003"/>
      <c r="G679" s="44"/>
    </row>
    <row r="680" spans="1:7" ht="14.25" hidden="1">
      <c r="A680" s="271"/>
      <c r="B680" s="271"/>
      <c r="C680" s="207"/>
      <c r="D680" s="997" t="s">
        <v>2148</v>
      </c>
      <c r="E680" s="997"/>
      <c r="F680" s="997"/>
      <c r="G680" s="44"/>
    </row>
    <row r="681" spans="1:7" ht="14.25" hidden="1">
      <c r="A681" s="271"/>
      <c r="B681" s="271"/>
      <c r="C681" s="207"/>
      <c r="D681" s="997"/>
      <c r="E681" s="997"/>
      <c r="F681" s="997"/>
      <c r="G681" s="44"/>
    </row>
    <row r="682" spans="1:7" ht="14.25" hidden="1">
      <c r="A682" s="271"/>
      <c r="B682" s="271"/>
      <c r="C682" s="207"/>
      <c r="D682" s="997"/>
      <c r="E682" s="997"/>
      <c r="F682" s="997"/>
      <c r="G682" s="44"/>
    </row>
    <row r="683" spans="1:7" ht="14.25" hidden="1">
      <c r="A683" s="271"/>
      <c r="B683" s="271"/>
      <c r="C683" s="207"/>
      <c r="D683" s="997"/>
      <c r="E683" s="997"/>
      <c r="F683" s="997"/>
      <c r="G683" s="44"/>
    </row>
    <row r="684" spans="1:7" ht="14.25" hidden="1">
      <c r="A684" s="271"/>
      <c r="B684" s="271"/>
      <c r="C684" s="207"/>
      <c r="D684" s="997"/>
      <c r="E684" s="997"/>
      <c r="F684" s="997"/>
      <c r="G684" s="44"/>
    </row>
    <row r="685" spans="1:7" ht="14.25" hidden="1">
      <c r="A685" s="271"/>
      <c r="B685" s="271"/>
      <c r="C685" s="207"/>
      <c r="D685" s="1021" t="s">
        <v>1876</v>
      </c>
      <c r="E685" s="1021"/>
      <c r="F685" s="1021"/>
      <c r="G685" s="44"/>
    </row>
    <row r="686" spans="1:7" ht="12.75">
      <c r="A686" s="44"/>
      <c r="B686" s="44"/>
      <c r="C686" s="207"/>
      <c r="D686" s="44"/>
      <c r="E686" s="44"/>
      <c r="F686" s="44"/>
      <c r="G686" s="44"/>
    </row>
    <row r="687" spans="1:7" ht="12.75">
      <c r="A687" s="1033" t="s">
        <v>1401</v>
      </c>
      <c r="B687" s="1033"/>
      <c r="C687" s="1033"/>
      <c r="D687" s="1033"/>
      <c r="E687" s="1033"/>
      <c r="F687" s="1033"/>
      <c r="G687" s="1033"/>
    </row>
    <row r="688" spans="1:7" ht="12.75">
      <c r="A688" s="44"/>
      <c r="B688" s="44"/>
      <c r="C688" s="207"/>
      <c r="D688" s="44"/>
      <c r="E688" s="44"/>
      <c r="F688" s="44"/>
      <c r="G688" s="44"/>
    </row>
    <row r="689" spans="1:7" ht="12.75">
      <c r="C689" s="190"/>
      <c r="D689" s="1000" t="s">
        <v>783</v>
      </c>
      <c r="E689" s="1000"/>
      <c r="F689" s="1000"/>
      <c r="G689" s="44"/>
    </row>
    <row r="690" spans="1:7" ht="12.75">
      <c r="A690" s="190"/>
      <c r="B690" s="190"/>
      <c r="C690" s="190"/>
      <c r="D690" s="1000" t="s">
        <v>871</v>
      </c>
      <c r="E690" s="1000"/>
      <c r="F690" s="1000"/>
      <c r="G690" s="44"/>
    </row>
    <row r="691" spans="1:7" ht="12.75">
      <c r="A691" s="191"/>
      <c r="B691" s="191"/>
      <c r="C691" s="191"/>
      <c r="D691" s="999" t="s">
        <v>1524</v>
      </c>
      <c r="E691" s="999"/>
      <c r="F691" s="999"/>
    </row>
    <row r="692" spans="1:7" ht="14.25" customHeight="1">
      <c r="A692" s="191"/>
      <c r="B692" s="191"/>
      <c r="C692" s="191"/>
    </row>
    <row r="693" spans="1:7" ht="14.25">
      <c r="A693" s="271"/>
      <c r="B693" s="609" t="s">
        <v>1376</v>
      </c>
      <c r="C693" s="191"/>
      <c r="D693" s="999" t="s">
        <v>1116</v>
      </c>
      <c r="E693" s="999"/>
      <c r="F693" s="999"/>
    </row>
    <row r="694" spans="1:7" ht="12.75">
      <c r="A694" s="191"/>
      <c r="B694" s="191"/>
      <c r="C694" s="191"/>
      <c r="D694" s="999" t="s">
        <v>1133</v>
      </c>
      <c r="E694" s="999"/>
      <c r="F694" s="999"/>
    </row>
    <row r="695" spans="1:7" ht="12.75" customHeight="1">
      <c r="A695" s="191"/>
      <c r="B695" s="191"/>
      <c r="C695" s="191"/>
      <c r="E695" s="927" t="s">
        <v>2088</v>
      </c>
      <c r="F695" s="15"/>
    </row>
    <row r="696" spans="1:7" ht="12.75">
      <c r="A696" s="191"/>
      <c r="B696" s="191"/>
      <c r="C696" s="191"/>
      <c r="E696" s="926" t="s">
        <v>2087</v>
      </c>
      <c r="F696" s="15"/>
    </row>
    <row r="697" spans="1:7" ht="12.75">
      <c r="A697" s="191"/>
      <c r="B697" s="191"/>
      <c r="C697" s="191"/>
      <c r="D697" s="212"/>
      <c r="E697" s="212"/>
      <c r="F697" s="212"/>
    </row>
    <row r="698" spans="1:7" ht="14.25">
      <c r="A698" s="271"/>
      <c r="B698" s="609" t="s">
        <v>1376</v>
      </c>
      <c r="C698" s="191"/>
      <c r="D698" s="979" t="s">
        <v>2149</v>
      </c>
      <c r="E698" s="979"/>
      <c r="F698" s="979"/>
    </row>
    <row r="699" spans="1:7" ht="12.75">
      <c r="A699" s="18"/>
      <c r="B699" s="18"/>
      <c r="C699" s="191"/>
      <c r="D699" s="979"/>
      <c r="E699" s="979"/>
      <c r="F699" s="979"/>
    </row>
    <row r="700" spans="1:7" ht="12.75">
      <c r="A700" s="191"/>
      <c r="B700" s="191"/>
      <c r="C700" s="191"/>
      <c r="D700" s="979"/>
      <c r="E700" s="979"/>
      <c r="F700" s="979"/>
    </row>
    <row r="701" spans="1:7" ht="12.75">
      <c r="A701" s="191"/>
      <c r="B701" s="191"/>
      <c r="C701" s="191"/>
    </row>
    <row r="702" spans="1:7" ht="14.25">
      <c r="A702" s="271"/>
      <c r="B702" s="609" t="s">
        <v>1376</v>
      </c>
      <c r="C702" s="191"/>
      <c r="D702" s="999" t="s">
        <v>1174</v>
      </c>
      <c r="E702" s="999"/>
      <c r="F702" s="999"/>
    </row>
    <row r="703" spans="1:7" ht="14.25">
      <c r="A703" s="271"/>
      <c r="B703" s="271"/>
      <c r="C703" s="191"/>
      <c r="D703" s="999" t="s">
        <v>1133</v>
      </c>
      <c r="E703" s="999"/>
      <c r="F703" s="999"/>
    </row>
    <row r="704" spans="1:7" ht="12.75">
      <c r="A704" s="191"/>
      <c r="B704" s="191"/>
      <c r="C704" s="191"/>
      <c r="E704" s="1024" t="s">
        <v>2089</v>
      </c>
      <c r="F704" s="1024"/>
    </row>
    <row r="705" spans="1:6" ht="12.75">
      <c r="A705" s="191"/>
      <c r="B705" s="191"/>
      <c r="C705" s="191"/>
      <c r="D705" s="3"/>
    </row>
    <row r="706" spans="1:6" ht="14.25">
      <c r="A706" s="271"/>
      <c r="B706" s="609" t="s">
        <v>124</v>
      </c>
      <c r="C706" s="191"/>
      <c r="D706" s="979" t="s">
        <v>1526</v>
      </c>
      <c r="E706" s="979"/>
      <c r="F706" s="979"/>
    </row>
    <row r="707" spans="1:6" ht="12.75">
      <c r="A707" s="191"/>
      <c r="B707" s="191"/>
      <c r="C707" s="191"/>
      <c r="D707" s="979"/>
      <c r="E707" s="979"/>
      <c r="F707" s="979"/>
    </row>
    <row r="708" spans="1:6" ht="12.75">
      <c r="A708" s="191"/>
      <c r="B708" s="191"/>
      <c r="C708" s="191"/>
      <c r="D708" s="979"/>
      <c r="E708" s="979"/>
      <c r="F708" s="979"/>
    </row>
    <row r="709" spans="1:6" ht="12.75">
      <c r="A709" s="191"/>
      <c r="B709" s="191"/>
      <c r="C709" s="191"/>
      <c r="D709" s="979"/>
      <c r="E709" s="979"/>
      <c r="F709" s="979"/>
    </row>
    <row r="710" spans="1:6" ht="12.75">
      <c r="A710" s="191"/>
      <c r="B710" s="191"/>
      <c r="C710" s="191"/>
      <c r="D710" s="979"/>
      <c r="E710" s="979"/>
      <c r="F710" s="979"/>
    </row>
    <row r="711" spans="1:6" ht="12.75">
      <c r="A711" s="191"/>
      <c r="B711" s="191"/>
      <c r="C711" s="191"/>
      <c r="D711" s="979"/>
      <c r="E711" s="979"/>
      <c r="F711" s="979"/>
    </row>
    <row r="712" spans="1:6" ht="12.75">
      <c r="A712" s="191"/>
      <c r="B712" s="191"/>
      <c r="C712" s="191"/>
      <c r="D712" s="979"/>
      <c r="E712" s="979"/>
      <c r="F712" s="979"/>
    </row>
    <row r="713" spans="1:6" ht="12.75">
      <c r="A713" s="191"/>
      <c r="B713" s="609" t="s">
        <v>124</v>
      </c>
      <c r="C713" s="191"/>
      <c r="D713" s="972" t="s">
        <v>1732</v>
      </c>
      <c r="E713" s="979"/>
      <c r="F713" s="979"/>
    </row>
    <row r="714" spans="1:6" ht="12.75">
      <c r="A714" s="191"/>
      <c r="B714" s="191"/>
      <c r="C714" s="191"/>
      <c r="D714" s="979"/>
      <c r="E714" s="979"/>
      <c r="F714" s="979"/>
    </row>
    <row r="715" spans="1:6" ht="12.75">
      <c r="A715" s="191"/>
      <c r="B715" s="191"/>
      <c r="C715" s="191"/>
    </row>
    <row r="716" spans="1:6" ht="14.45" customHeight="1">
      <c r="A716" s="271"/>
      <c r="B716" s="609" t="s">
        <v>124</v>
      </c>
      <c r="C716" s="191"/>
      <c r="D716" s="979" t="s">
        <v>1527</v>
      </c>
      <c r="E716" s="979"/>
      <c r="F716" s="979"/>
    </row>
    <row r="717" spans="1:6" ht="12.75">
      <c r="A717" s="191"/>
      <c r="B717" s="191"/>
      <c r="C717" s="191"/>
      <c r="D717" s="979"/>
      <c r="E717" s="979"/>
      <c r="F717" s="979"/>
    </row>
    <row r="718" spans="1:6" ht="12.75">
      <c r="A718" s="191"/>
      <c r="B718" s="191"/>
      <c r="C718" s="191"/>
      <c r="D718" s="979"/>
      <c r="E718" s="979"/>
      <c r="F718" s="979"/>
    </row>
    <row r="719" spans="1:6" ht="12.75">
      <c r="A719" s="191"/>
      <c r="B719" s="191"/>
      <c r="C719" s="191"/>
      <c r="D719" s="979"/>
      <c r="E719" s="979"/>
      <c r="F719" s="979"/>
    </row>
    <row r="720" spans="1:6" ht="12.75">
      <c r="A720" s="191"/>
      <c r="B720" s="191"/>
      <c r="C720" s="191"/>
      <c r="D720" s="979"/>
      <c r="E720" s="979"/>
      <c r="F720" s="979"/>
    </row>
    <row r="721" spans="1:9" ht="12.75">
      <c r="A721" s="191"/>
      <c r="B721" s="191"/>
      <c r="C721" s="191"/>
      <c r="D721" s="979"/>
      <c r="E721" s="979"/>
      <c r="F721" s="979"/>
    </row>
    <row r="722" spans="1:9" ht="12.75">
      <c r="A722" s="191"/>
      <c r="B722" s="191"/>
      <c r="C722" s="191"/>
      <c r="D722" s="979"/>
      <c r="E722" s="979"/>
      <c r="F722" s="979"/>
    </row>
    <row r="723" spans="1:9" ht="12.75">
      <c r="A723" s="191"/>
      <c r="B723" s="191"/>
      <c r="C723" s="191"/>
      <c r="D723" s="979"/>
      <c r="E723" s="979"/>
      <c r="F723" s="979"/>
    </row>
    <row r="724" spans="1:9" ht="12.75">
      <c r="A724" s="191"/>
      <c r="B724" s="191"/>
      <c r="C724" s="191"/>
      <c r="D724" s="979"/>
      <c r="E724" s="979"/>
      <c r="F724" s="979"/>
    </row>
    <row r="725" spans="1:9" ht="12.75">
      <c r="A725" s="191"/>
      <c r="B725" s="191"/>
      <c r="C725" s="191"/>
      <c r="D725" s="979"/>
      <c r="E725" s="979"/>
      <c r="F725" s="979"/>
    </row>
    <row r="726" spans="1:9" ht="12.75">
      <c r="A726" s="191"/>
      <c r="B726" s="191"/>
      <c r="C726" s="191"/>
      <c r="D726" s="979"/>
      <c r="E726" s="979"/>
      <c r="F726" s="979"/>
    </row>
    <row r="727" spans="1:9" ht="12.75">
      <c r="A727" s="191"/>
      <c r="B727" s="191"/>
      <c r="C727" s="191"/>
      <c r="D727" s="979"/>
      <c r="E727" s="979"/>
      <c r="F727" s="979"/>
    </row>
    <row r="728" spans="1:9" ht="12.75">
      <c r="A728" s="191"/>
      <c r="B728" s="191"/>
      <c r="C728" s="191"/>
      <c r="D728" s="979"/>
      <c r="E728" s="979"/>
      <c r="F728" s="979"/>
    </row>
    <row r="729" spans="1:9" ht="12.75">
      <c r="A729" s="191"/>
      <c r="B729" s="609" t="s">
        <v>124</v>
      </c>
      <c r="C729" s="191"/>
      <c r="D729" s="979" t="s">
        <v>1531</v>
      </c>
      <c r="E729" s="979"/>
      <c r="F729" s="979"/>
      <c r="H729" s="267"/>
      <c r="I729" s="267"/>
    </row>
    <row r="730" spans="1:9" ht="12.75">
      <c r="A730" s="191"/>
      <c r="B730" s="191"/>
      <c r="C730" s="191"/>
      <c r="D730" s="979"/>
      <c r="E730" s="979"/>
      <c r="F730" s="979"/>
      <c r="H730" s="267"/>
      <c r="I730" s="267"/>
    </row>
    <row r="731" spans="1:9" ht="12.75">
      <c r="A731" s="191"/>
      <c r="B731" s="191"/>
      <c r="C731" s="191"/>
      <c r="D731" s="24"/>
      <c r="E731" s="24"/>
      <c r="F731" s="24"/>
      <c r="H731" s="267"/>
      <c r="I731" s="267"/>
    </row>
    <row r="732" spans="1:9" ht="12.75">
      <c r="A732" s="191"/>
      <c r="B732" s="609" t="s">
        <v>124</v>
      </c>
      <c r="C732" s="191"/>
      <c r="D732" s="979" t="s">
        <v>1532</v>
      </c>
      <c r="E732" s="979"/>
      <c r="F732" s="979"/>
      <c r="H732" s="267"/>
      <c r="I732" s="267"/>
    </row>
    <row r="733" spans="1:9" ht="12.75">
      <c r="A733" s="191"/>
      <c r="B733" s="191"/>
      <c r="C733" s="191"/>
      <c r="D733" s="979"/>
      <c r="E733" s="979"/>
      <c r="F733" s="979"/>
      <c r="H733" s="267"/>
      <c r="I733" s="267"/>
    </row>
    <row r="734" spans="1:9" ht="12.75">
      <c r="A734" s="191"/>
      <c r="B734" s="191"/>
      <c r="C734" s="191"/>
      <c r="D734" s="979"/>
      <c r="E734" s="979"/>
      <c r="F734" s="979"/>
      <c r="H734" s="267"/>
      <c r="I734" s="267"/>
    </row>
    <row r="735" spans="1:9" ht="12.75">
      <c r="A735" s="191"/>
      <c r="B735" s="191"/>
      <c r="C735" s="191"/>
      <c r="D735" s="24"/>
      <c r="E735" s="24"/>
      <c r="F735" s="24"/>
      <c r="H735" s="267"/>
      <c r="I735" s="267"/>
    </row>
    <row r="736" spans="1:9" ht="14.45" customHeight="1">
      <c r="A736" s="271"/>
      <c r="B736" s="609" t="s">
        <v>124</v>
      </c>
      <c r="C736" s="191"/>
      <c r="D736" s="972" t="s">
        <v>1922</v>
      </c>
      <c r="E736" s="979"/>
      <c r="F736" s="979"/>
    </row>
    <row r="737" spans="1:9" ht="12.75">
      <c r="A737" s="191"/>
      <c r="B737" s="191"/>
      <c r="C737" s="191"/>
      <c r="D737" s="979"/>
      <c r="E737" s="979"/>
      <c r="F737" s="979"/>
    </row>
    <row r="738" spans="1:9" ht="12.75">
      <c r="A738" s="191"/>
      <c r="B738" s="191"/>
      <c r="C738" s="191"/>
      <c r="D738" s="979"/>
      <c r="E738" s="979"/>
      <c r="F738" s="979"/>
    </row>
    <row r="739" spans="1:9" ht="12.75">
      <c r="A739" s="191"/>
      <c r="B739" s="191"/>
      <c r="C739" s="191"/>
    </row>
    <row r="740" spans="1:9" ht="14.45" customHeight="1">
      <c r="A740" s="271"/>
      <c r="B740" s="609" t="s">
        <v>124</v>
      </c>
      <c r="C740" s="191"/>
      <c r="D740" s="979" t="s">
        <v>1528</v>
      </c>
      <c r="E740" s="979"/>
      <c r="F740" s="979"/>
    </row>
    <row r="741" spans="1:9" ht="12.75">
      <c r="A741" s="191"/>
      <c r="B741" s="191"/>
      <c r="C741" s="191"/>
      <c r="D741" s="979"/>
      <c r="E741" s="979"/>
      <c r="F741" s="979"/>
    </row>
    <row r="742" spans="1:9" ht="12.75">
      <c r="A742" s="191"/>
      <c r="B742" s="191"/>
      <c r="C742" s="191"/>
      <c r="D742" s="979"/>
      <c r="E742" s="979"/>
      <c r="F742" s="979"/>
    </row>
    <row r="743" spans="1:9" ht="12.75">
      <c r="A743" s="191"/>
      <c r="B743" s="191"/>
      <c r="C743" s="191"/>
      <c r="D743" s="212"/>
      <c r="H743" s="267"/>
      <c r="I743" s="267"/>
    </row>
    <row r="744" spans="1:9" ht="14.25">
      <c r="A744" s="271"/>
      <c r="B744" s="609" t="s">
        <v>124</v>
      </c>
      <c r="C744" s="191"/>
      <c r="D744" s="979" t="s">
        <v>1530</v>
      </c>
      <c r="E744" s="979"/>
      <c r="F744" s="979"/>
    </row>
    <row r="745" spans="1:9" ht="12.75">
      <c r="A745" s="191"/>
      <c r="B745" s="191"/>
      <c r="C745" s="191"/>
      <c r="D745" s="979"/>
      <c r="E745" s="979"/>
      <c r="F745" s="979"/>
    </row>
    <row r="746" spans="1:9" ht="12.75">
      <c r="A746" s="191"/>
      <c r="B746" s="191"/>
      <c r="C746" s="191"/>
      <c r="D746" s="979"/>
      <c r="E746" s="979"/>
      <c r="F746" s="979"/>
    </row>
    <row r="747" spans="1:9" ht="12.75">
      <c r="A747" s="191"/>
      <c r="B747" s="191"/>
      <c r="C747" s="191"/>
      <c r="D747" s="979"/>
      <c r="E747" s="979"/>
      <c r="F747" s="979"/>
    </row>
    <row r="748" spans="1:9" ht="12.75">
      <c r="A748" s="191"/>
      <c r="B748" s="191"/>
      <c r="C748" s="191"/>
      <c r="D748" s="24"/>
      <c r="E748" s="24"/>
      <c r="F748" s="24"/>
    </row>
    <row r="749" spans="1:9" ht="14.25">
      <c r="A749" s="271"/>
      <c r="B749" s="609" t="s">
        <v>124</v>
      </c>
      <c r="C749" s="191"/>
      <c r="D749" s="972" t="s">
        <v>2215</v>
      </c>
      <c r="E749" s="979"/>
      <c r="F749" s="979"/>
      <c r="H749" s="267"/>
      <c r="I749" s="267"/>
    </row>
    <row r="750" spans="1:9" ht="12.75">
      <c r="A750" s="191"/>
      <c r="B750" s="191"/>
      <c r="C750" s="191"/>
      <c r="D750" s="979"/>
      <c r="E750" s="979"/>
      <c r="F750" s="979"/>
      <c r="H750" s="267"/>
      <c r="I750" s="267"/>
    </row>
    <row r="751" spans="1:9" ht="12.75">
      <c r="A751" s="191"/>
      <c r="B751" s="191"/>
      <c r="C751" s="191"/>
      <c r="D751" s="979"/>
      <c r="E751" s="979"/>
      <c r="F751" s="979"/>
      <c r="H751" s="267"/>
      <c r="I751" s="267"/>
    </row>
    <row r="752" spans="1:9" ht="12.75">
      <c r="A752" s="191"/>
      <c r="B752" s="191"/>
      <c r="C752" s="191"/>
      <c r="D752" s="979"/>
      <c r="E752" s="979"/>
      <c r="F752" s="979"/>
      <c r="H752" s="267"/>
      <c r="I752" s="267"/>
    </row>
    <row r="753" spans="1:9" ht="12.75">
      <c r="A753" s="191"/>
      <c r="B753" s="191"/>
      <c r="C753" s="191"/>
      <c r="D753" s="979"/>
      <c r="E753" s="979"/>
      <c r="F753" s="979"/>
      <c r="H753" s="267"/>
      <c r="I753" s="267"/>
    </row>
    <row r="754" spans="1:9" ht="12.75">
      <c r="A754" s="191"/>
      <c r="B754" s="191"/>
      <c r="C754" s="191"/>
      <c r="D754" s="979"/>
      <c r="E754" s="979"/>
      <c r="F754" s="979"/>
      <c r="H754" s="267"/>
      <c r="I754" s="267"/>
    </row>
    <row r="755" spans="1:9" ht="12.75">
      <c r="A755" s="191"/>
      <c r="B755" s="191"/>
      <c r="C755" s="191"/>
      <c r="D755" s="979"/>
      <c r="E755" s="979"/>
      <c r="F755" s="979"/>
      <c r="H755" s="267"/>
      <c r="I755" s="267"/>
    </row>
    <row r="756" spans="1:9" ht="12.75">
      <c r="A756" s="191"/>
      <c r="B756" s="191"/>
      <c r="C756" s="191"/>
      <c r="D756" s="1023" t="s">
        <v>1529</v>
      </c>
      <c r="E756" s="1023"/>
      <c r="F756" s="1023"/>
      <c r="H756" s="267"/>
      <c r="I756" s="267"/>
    </row>
    <row r="757" spans="1:9" ht="12.75">
      <c r="A757" s="191"/>
      <c r="B757" s="191"/>
      <c r="C757" s="191"/>
      <c r="D757" s="560"/>
      <c r="H757" s="267"/>
      <c r="I757" s="267"/>
    </row>
    <row r="758" spans="1:9" ht="12.75">
      <c r="A758" s="1011" t="s">
        <v>1428</v>
      </c>
      <c r="B758" s="1011"/>
      <c r="C758" s="1011"/>
      <c r="D758" s="1011"/>
      <c r="E758" s="1011"/>
      <c r="F758" s="1011"/>
      <c r="G758" s="1011"/>
      <c r="H758" s="267"/>
      <c r="I758" s="267"/>
    </row>
    <row r="759" spans="1:9" ht="12.75">
      <c r="A759" s="191"/>
      <c r="B759" s="191"/>
      <c r="C759" s="191"/>
      <c r="D759" s="212"/>
      <c r="H759" s="267"/>
      <c r="I759" s="267"/>
    </row>
    <row r="760" spans="1:9" ht="12.75">
      <c r="C760" s="191"/>
      <c r="D760" s="1006" t="s">
        <v>1448</v>
      </c>
      <c r="E760" s="1006"/>
      <c r="F760" s="1006"/>
      <c r="H760" s="267"/>
      <c r="I760" s="267"/>
    </row>
    <row r="761" spans="1:9" ht="12.75">
      <c r="A761" s="190"/>
      <c r="B761" s="190"/>
      <c r="C761" s="190"/>
      <c r="D761" s="1009" t="s">
        <v>1451</v>
      </c>
      <c r="E761" s="1009"/>
      <c r="F761" s="1009"/>
      <c r="H761" s="267"/>
      <c r="I761" s="267"/>
    </row>
    <row r="762" spans="1:9" ht="12.75">
      <c r="A762" s="191"/>
      <c r="B762" s="191"/>
      <c r="C762" s="191"/>
      <c r="H762" s="267"/>
      <c r="I762" s="267"/>
    </row>
    <row r="763" spans="1:9" ht="14.25" customHeight="1">
      <c r="A763" s="271"/>
      <c r="B763" s="609" t="s">
        <v>1376</v>
      </c>
      <c r="D763" s="979" t="s">
        <v>1449</v>
      </c>
      <c r="E763" s="979"/>
      <c r="F763" s="979"/>
      <c r="H763" s="267"/>
      <c r="I763" s="267"/>
    </row>
    <row r="764" spans="1:9" ht="11.25" customHeight="1">
      <c r="D764" s="979"/>
      <c r="E764" s="979"/>
      <c r="F764" s="979"/>
      <c r="H764" s="267"/>
      <c r="I764" s="267"/>
    </row>
    <row r="765" spans="1:9" ht="12.75">
      <c r="D765" s="979"/>
      <c r="E765" s="979"/>
      <c r="F765" s="979"/>
      <c r="H765" s="267"/>
      <c r="I765" s="267"/>
    </row>
    <row r="766" spans="1:9" ht="12.75">
      <c r="D766" s="979"/>
      <c r="E766" s="979"/>
      <c r="F766" s="979"/>
      <c r="H766" s="267"/>
      <c r="I766" s="267"/>
    </row>
    <row r="767" spans="1:9" ht="12.75">
      <c r="D767" s="979"/>
      <c r="E767" s="979"/>
      <c r="F767" s="979"/>
      <c r="H767" s="267"/>
      <c r="I767" s="267"/>
    </row>
    <row r="768" spans="1:9" ht="17.25" customHeight="1">
      <c r="D768" s="979"/>
      <c r="E768" s="979"/>
      <c r="F768" s="979"/>
      <c r="H768" s="267"/>
      <c r="I768" s="267"/>
    </row>
    <row r="769" spans="1:9" ht="12.75">
      <c r="D769" s="44"/>
      <c r="E769" s="44"/>
      <c r="F769" s="44"/>
      <c r="H769" s="267"/>
      <c r="I769" s="267"/>
    </row>
    <row r="770" spans="1:9" ht="12.75" customHeight="1">
      <c r="B770" s="609" t="s">
        <v>124</v>
      </c>
      <c r="D770" s="1020" t="s">
        <v>1863</v>
      </c>
      <c r="E770" s="1020"/>
      <c r="F770" s="1020"/>
      <c r="H770" s="267"/>
      <c r="I770" s="267"/>
    </row>
    <row r="771" spans="1:9" ht="12.75">
      <c r="D771" s="1020"/>
      <c r="E771" s="1020"/>
      <c r="F771" s="1020"/>
      <c r="H771" s="267"/>
      <c r="I771" s="267"/>
    </row>
    <row r="772" spans="1:9" ht="12.75">
      <c r="D772" s="1020"/>
      <c r="E772" s="1020"/>
      <c r="F772" s="1020"/>
      <c r="H772" s="267"/>
      <c r="I772" s="267"/>
    </row>
    <row r="773" spans="1:9" ht="12.75">
      <c r="D773" s="1020"/>
      <c r="E773" s="1020"/>
      <c r="F773" s="1020"/>
      <c r="H773" s="267"/>
      <c r="I773" s="267"/>
    </row>
    <row r="774" spans="1:9" ht="12.75">
      <c r="D774" s="44"/>
      <c r="H774" s="267"/>
      <c r="I774" s="267"/>
    </row>
    <row r="775" spans="1:9" ht="12.75">
      <c r="B775" s="609" t="s">
        <v>124</v>
      </c>
      <c r="C775" s="433"/>
      <c r="D775" s="1022" t="s">
        <v>1864</v>
      </c>
      <c r="E775" s="997"/>
      <c r="F775" s="997"/>
      <c r="G775" s="372"/>
      <c r="H775" s="267"/>
      <c r="I775" s="267"/>
    </row>
    <row r="776" spans="1:9" ht="12.75">
      <c r="A776" s="433"/>
      <c r="B776" s="433"/>
      <c r="C776" s="433"/>
      <c r="D776" s="997"/>
      <c r="E776" s="997"/>
      <c r="F776" s="997"/>
      <c r="G776" s="372"/>
      <c r="H776" s="267"/>
      <c r="I776" s="267"/>
    </row>
    <row r="777" spans="1:9" ht="12.75">
      <c r="A777" s="433"/>
      <c r="B777" s="433"/>
      <c r="C777" s="433"/>
      <c r="D777" s="997"/>
      <c r="E777" s="997"/>
      <c r="F777" s="997"/>
      <c r="G777" s="372"/>
      <c r="H777" s="267"/>
      <c r="I777" s="267"/>
    </row>
    <row r="778" spans="1:9" ht="12.75">
      <c r="D778" s="44"/>
      <c r="E778" s="44"/>
      <c r="F778" s="44"/>
      <c r="H778" s="267"/>
      <c r="I778" s="267"/>
    </row>
    <row r="779" spans="1:9" ht="12.75">
      <c r="B779" s="609" t="s">
        <v>124</v>
      </c>
      <c r="D779" s="979" t="s">
        <v>1450</v>
      </c>
      <c r="E779" s="979"/>
      <c r="F779" s="979"/>
      <c r="H779" s="267"/>
      <c r="I779" s="267"/>
    </row>
    <row r="780" spans="1:9" ht="12.75">
      <c r="D780" s="979"/>
      <c r="E780" s="979"/>
      <c r="F780" s="979"/>
      <c r="H780" s="267"/>
      <c r="I780" s="267"/>
    </row>
    <row r="781" spans="1:9" ht="12.75">
      <c r="D781" s="24"/>
      <c r="E781" s="24"/>
      <c r="F781" s="24"/>
      <c r="H781" s="267"/>
      <c r="I781" s="267"/>
    </row>
    <row r="782" spans="1:9" ht="13.7" customHeight="1">
      <c r="B782" s="609" t="s">
        <v>124</v>
      </c>
      <c r="D782" s="972" t="s">
        <v>1755</v>
      </c>
      <c r="E782" s="979"/>
      <c r="F782" s="979"/>
      <c r="H782" s="267"/>
      <c r="I782" s="267"/>
    </row>
    <row r="783" spans="1:9" ht="12.75">
      <c r="D783" s="979"/>
      <c r="E783" s="979"/>
      <c r="F783" s="979"/>
      <c r="H783" s="267"/>
      <c r="I783" s="267"/>
    </row>
    <row r="784" spans="1:9" ht="12.75">
      <c r="D784" s="979"/>
      <c r="E784" s="979"/>
      <c r="F784" s="979"/>
      <c r="H784" s="267"/>
      <c r="I784" s="267"/>
    </row>
    <row r="785" spans="1:9" ht="12.75">
      <c r="D785" s="24"/>
      <c r="E785" s="24"/>
      <c r="F785" s="24"/>
      <c r="H785" s="267"/>
      <c r="I785" s="267"/>
    </row>
    <row r="786" spans="1:9" ht="12" customHeight="1">
      <c r="A786" s="1011" t="s">
        <v>1592</v>
      </c>
      <c r="B786" s="1011"/>
      <c r="C786" s="1011"/>
      <c r="D786" s="1011"/>
      <c r="E786" s="1011"/>
      <c r="F786" s="1011"/>
      <c r="G786" s="1011"/>
      <c r="H786" s="267"/>
      <c r="I786" s="267"/>
    </row>
    <row r="787" spans="1:9" ht="12.75">
      <c r="A787" s="63"/>
      <c r="B787" s="63"/>
      <c r="H787" s="267"/>
      <c r="I787" s="267"/>
    </row>
    <row r="788" spans="1:9" ht="13.7" customHeight="1">
      <c r="A788" s="63"/>
      <c r="B788" s="63"/>
      <c r="D788" s="1015" t="s">
        <v>1593</v>
      </c>
      <c r="E788" s="1015"/>
      <c r="F788" s="1015"/>
      <c r="H788" s="267"/>
      <c r="I788" s="267"/>
    </row>
    <row r="789" spans="1:9" ht="12.75">
      <c r="A789" s="63"/>
      <c r="B789" s="63"/>
      <c r="D789" s="1016" t="s">
        <v>1594</v>
      </c>
      <c r="E789" s="1016"/>
      <c r="F789" s="1016"/>
      <c r="H789" s="267"/>
      <c r="I789" s="267"/>
    </row>
    <row r="790" spans="1:9" ht="12.75">
      <c r="A790" s="63"/>
      <c r="B790" s="63"/>
      <c r="D790" s="420"/>
      <c r="E790" s="420"/>
      <c r="F790" s="420"/>
      <c r="H790" s="267"/>
      <c r="I790" s="267"/>
    </row>
    <row r="791" spans="1:9" ht="12.75">
      <c r="A791" s="63"/>
      <c r="B791" s="609" t="s">
        <v>1376</v>
      </c>
      <c r="D791" s="997" t="s">
        <v>1595</v>
      </c>
      <c r="E791" s="997"/>
      <c r="F791" s="997"/>
      <c r="H791" s="267"/>
      <c r="I791" s="267"/>
    </row>
    <row r="792" spans="1:9" ht="12.75">
      <c r="A792" s="63"/>
      <c r="B792" s="63"/>
      <c r="D792" s="997"/>
      <c r="E792" s="997"/>
      <c r="F792" s="997"/>
      <c r="H792" s="267"/>
      <c r="I792" s="267"/>
    </row>
    <row r="793" spans="1:9" ht="12.75">
      <c r="A793" s="191"/>
      <c r="B793" s="191"/>
      <c r="C793" s="191"/>
      <c r="D793" s="997"/>
      <c r="E793" s="997"/>
      <c r="F793" s="997"/>
      <c r="G793" s="44"/>
      <c r="H793" s="267"/>
      <c r="I793" s="267"/>
    </row>
    <row r="794" spans="1:9" ht="12.75">
      <c r="D794" s="192"/>
      <c r="H794" s="267"/>
      <c r="I794" s="267"/>
    </row>
    <row r="795" spans="1:9" ht="12.75">
      <c r="A795" s="190"/>
      <c r="B795" s="609" t="s">
        <v>124</v>
      </c>
      <c r="C795" s="190"/>
      <c r="D795" s="1022" t="s">
        <v>2210</v>
      </c>
      <c r="E795" s="997"/>
      <c r="F795" s="997"/>
      <c r="H795" s="267"/>
      <c r="I795" s="267"/>
    </row>
    <row r="796" spans="1:9" ht="12.75">
      <c r="A796" s="190"/>
      <c r="B796" s="190"/>
      <c r="C796" s="190"/>
      <c r="D796" s="997"/>
      <c r="E796" s="997"/>
      <c r="F796" s="997"/>
      <c r="H796" s="267"/>
      <c r="I796" s="267"/>
    </row>
    <row r="797" spans="1:9" ht="27.75" customHeight="1">
      <c r="A797" s="190"/>
      <c r="B797" s="190"/>
      <c r="C797" s="190"/>
      <c r="D797" s="997"/>
      <c r="E797" s="997"/>
      <c r="F797" s="997"/>
      <c r="H797" s="267"/>
      <c r="I797" s="267"/>
    </row>
    <row r="798" spans="1:9" ht="12.75">
      <c r="A798" s="191"/>
      <c r="B798" s="191"/>
      <c r="C798" s="191"/>
      <c r="E798" s="188"/>
      <c r="F798" s="188"/>
      <c r="G798" s="188"/>
      <c r="H798" s="267"/>
      <c r="I798" s="267"/>
    </row>
    <row r="799" spans="1:9" ht="14.45" customHeight="1">
      <c r="A799" s="271"/>
      <c r="B799" s="609" t="s">
        <v>124</v>
      </c>
      <c r="C799" s="207"/>
      <c r="D799" s="1022" t="s">
        <v>1697</v>
      </c>
      <c r="E799" s="1022"/>
      <c r="F799" s="1022"/>
      <c r="G799" s="188"/>
      <c r="H799" s="267"/>
      <c r="I799" s="267"/>
    </row>
    <row r="800" spans="1:9" ht="14.25">
      <c r="A800" s="271"/>
      <c r="B800" s="271"/>
      <c r="C800" s="207"/>
      <c r="D800" s="1022"/>
      <c r="E800" s="1022"/>
      <c r="F800" s="1022"/>
      <c r="G800" s="188"/>
      <c r="H800" s="267"/>
      <c r="I800" s="267"/>
    </row>
    <row r="801" spans="1:9" ht="14.25">
      <c r="A801" s="271"/>
      <c r="B801" s="271"/>
      <c r="C801" s="207"/>
      <c r="D801" s="1022"/>
      <c r="E801" s="1022"/>
      <c r="F801" s="1022"/>
      <c r="G801" s="188"/>
      <c r="H801" s="267"/>
      <c r="I801" s="267"/>
    </row>
    <row r="802" spans="1:9" ht="14.25">
      <c r="A802" s="271"/>
      <c r="B802" s="271"/>
      <c r="C802" s="207"/>
      <c r="D802" s="44"/>
      <c r="G802" s="188"/>
      <c r="H802" s="267"/>
      <c r="I802" s="267"/>
    </row>
    <row r="803" spans="1:9" ht="14.25" customHeight="1">
      <c r="A803" s="271"/>
      <c r="B803" s="609" t="s">
        <v>124</v>
      </c>
      <c r="C803" s="207"/>
      <c r="D803" s="997" t="s">
        <v>1596</v>
      </c>
      <c r="E803" s="997"/>
      <c r="F803" s="997"/>
      <c r="G803" s="188"/>
      <c r="H803" s="267"/>
      <c r="I803" s="267"/>
    </row>
    <row r="804" spans="1:9" ht="14.25">
      <c r="A804" s="271"/>
      <c r="B804" s="271"/>
      <c r="C804" s="207"/>
      <c r="D804" s="997"/>
      <c r="E804" s="997"/>
      <c r="F804" s="997"/>
      <c r="G804" s="188"/>
      <c r="H804" s="267"/>
      <c r="I804" s="267"/>
    </row>
    <row r="805" spans="1:9" ht="14.25">
      <c r="A805" s="271"/>
      <c r="B805" s="271"/>
      <c r="C805" s="207"/>
      <c r="D805" s="997"/>
      <c r="E805" s="997"/>
      <c r="F805" s="997"/>
      <c r="G805" s="188"/>
      <c r="H805" s="267"/>
      <c r="I805" s="267"/>
    </row>
    <row r="806" spans="1:9" ht="14.25">
      <c r="A806" s="271"/>
      <c r="B806" s="271"/>
      <c r="C806" s="207"/>
      <c r="D806" s="997"/>
      <c r="E806" s="997"/>
      <c r="F806" s="997"/>
      <c r="G806" s="188"/>
      <c r="H806" s="267"/>
      <c r="I806" s="267"/>
    </row>
    <row r="807" spans="1:9" ht="14.25">
      <c r="A807" s="271"/>
      <c r="B807" s="271"/>
      <c r="C807" s="207"/>
      <c r="D807" s="997"/>
      <c r="E807" s="997"/>
      <c r="F807" s="997"/>
      <c r="G807" s="188"/>
      <c r="H807" s="267"/>
      <c r="I807" s="267"/>
    </row>
    <row r="808" spans="1:9" ht="14.25">
      <c r="A808" s="271"/>
      <c r="B808" s="271"/>
      <c r="C808" s="207"/>
      <c r="D808" s="1022" t="s">
        <v>2009</v>
      </c>
      <c r="E808" s="1022"/>
      <c r="F808" s="1022"/>
      <c r="G808" s="188"/>
      <c r="H808" s="267"/>
      <c r="I808" s="267"/>
    </row>
    <row r="809" spans="1:9" ht="14.25">
      <c r="A809" s="271"/>
      <c r="B809" s="271"/>
      <c r="C809" s="207"/>
      <c r="D809" s="1022"/>
      <c r="E809" s="1022"/>
      <c r="F809" s="1022"/>
      <c r="G809" s="188"/>
      <c r="H809" s="267"/>
      <c r="I809" s="267"/>
    </row>
    <row r="810" spans="1:9" ht="14.25">
      <c r="A810" s="271"/>
      <c r="B810" s="271"/>
      <c r="C810" s="207"/>
      <c r="D810" s="1022"/>
      <c r="E810" s="1022"/>
      <c r="F810" s="1022"/>
      <c r="G810" s="188"/>
      <c r="H810" s="267"/>
      <c r="I810" s="267"/>
    </row>
    <row r="811" spans="1:9" ht="14.25">
      <c r="A811" s="271"/>
      <c r="C811" s="207"/>
      <c r="D811" s="793"/>
      <c r="E811" s="793"/>
      <c r="F811" s="793"/>
      <c r="G811" s="188"/>
      <c r="H811" s="267"/>
      <c r="I811" s="267"/>
    </row>
    <row r="812" spans="1:9" ht="14.25">
      <c r="A812" s="271"/>
      <c r="B812" s="609" t="s">
        <v>124</v>
      </c>
      <c r="C812" s="207"/>
      <c r="D812" s="997" t="s">
        <v>1598</v>
      </c>
      <c r="E812" s="997"/>
      <c r="F812" s="997"/>
      <c r="G812" s="188"/>
      <c r="H812" s="267"/>
      <c r="I812" s="267"/>
    </row>
    <row r="813" spans="1:9" ht="14.25">
      <c r="A813" s="271"/>
      <c r="B813" s="271"/>
      <c r="C813" s="207"/>
      <c r="D813" s="997"/>
      <c r="E813" s="997"/>
      <c r="F813" s="997"/>
      <c r="G813" s="188"/>
      <c r="H813" s="267"/>
      <c r="I813" s="267"/>
    </row>
    <row r="814" spans="1:9" ht="14.25">
      <c r="A814" s="271"/>
      <c r="B814" s="271"/>
      <c r="C814" s="207"/>
      <c r="D814" s="997"/>
      <c r="E814" s="997"/>
      <c r="F814" s="997"/>
      <c r="G814" s="188"/>
      <c r="H814" s="267"/>
      <c r="I814" s="267"/>
    </row>
    <row r="815" spans="1:9" ht="14.25">
      <c r="A815" s="271"/>
      <c r="B815" s="271"/>
      <c r="C815" s="207"/>
      <c r="D815" s="997"/>
      <c r="E815" s="997"/>
      <c r="F815" s="997"/>
      <c r="G815" s="188"/>
      <c r="H815" s="267"/>
      <c r="I815" s="267"/>
    </row>
    <row r="816" spans="1:9" ht="14.25">
      <c r="A816" s="271"/>
      <c r="B816" s="271"/>
      <c r="C816" s="207"/>
      <c r="D816" s="997"/>
      <c r="E816" s="997"/>
      <c r="F816" s="997"/>
      <c r="G816" s="188"/>
      <c r="H816" s="267"/>
      <c r="I816" s="267"/>
    </row>
    <row r="817" spans="1:9" ht="14.25">
      <c r="A817" s="271"/>
      <c r="B817" s="271"/>
      <c r="C817" s="207"/>
      <c r="D817" s="997"/>
      <c r="E817" s="997"/>
      <c r="F817" s="997"/>
      <c r="G817" s="188"/>
      <c r="H817" s="267"/>
      <c r="I817" s="267"/>
    </row>
    <row r="818" spans="1:9" ht="14.25">
      <c r="A818" s="271"/>
      <c r="B818" s="271"/>
      <c r="C818" s="207"/>
      <c r="D818" s="654"/>
      <c r="E818" s="654"/>
      <c r="F818" s="654"/>
      <c r="G818" s="188"/>
      <c r="H818" s="267"/>
      <c r="I818" s="267"/>
    </row>
    <row r="819" spans="1:9" ht="14.25">
      <c r="A819" s="271"/>
      <c r="B819" s="609" t="s">
        <v>124</v>
      </c>
      <c r="C819" s="207"/>
      <c r="D819" s="1022" t="s">
        <v>1865</v>
      </c>
      <c r="E819" s="997"/>
      <c r="F819" s="997"/>
      <c r="G819" s="188"/>
      <c r="H819" s="267"/>
      <c r="I819" s="267"/>
    </row>
    <row r="820" spans="1:9" ht="14.25">
      <c r="A820" s="271"/>
      <c r="B820" s="271"/>
      <c r="C820" s="207"/>
      <c r="D820" s="997"/>
      <c r="E820" s="997"/>
      <c r="F820" s="997"/>
      <c r="G820" s="188"/>
      <c r="H820" s="267"/>
      <c r="I820" s="267"/>
    </row>
    <row r="821" spans="1:9" ht="14.25">
      <c r="A821" s="271"/>
      <c r="B821" s="271"/>
      <c r="C821" s="207"/>
      <c r="D821" s="997"/>
      <c r="E821" s="997"/>
      <c r="F821" s="997"/>
      <c r="G821" s="188"/>
      <c r="H821" s="267"/>
      <c r="I821" s="267"/>
    </row>
    <row r="822" spans="1:9" ht="14.25">
      <c r="A822" s="271"/>
      <c r="B822" s="271"/>
      <c r="C822" s="207"/>
      <c r="D822" s="997"/>
      <c r="E822" s="997"/>
      <c r="F822" s="997"/>
      <c r="G822" s="188"/>
      <c r="H822" s="267"/>
      <c r="I822" s="267"/>
    </row>
    <row r="823" spans="1:9" ht="14.25">
      <c r="A823" s="271"/>
      <c r="B823" s="271"/>
      <c r="C823" s="207"/>
      <c r="D823" s="997"/>
      <c r="E823" s="997"/>
      <c r="F823" s="997"/>
      <c r="G823" s="188"/>
      <c r="H823" s="267"/>
      <c r="I823" s="267"/>
    </row>
    <row r="824" spans="1:9" ht="14.25">
      <c r="A824" s="271"/>
      <c r="B824" s="271"/>
      <c r="C824" s="207"/>
      <c r="D824" s="654"/>
      <c r="E824" s="654"/>
      <c r="F824" s="654"/>
      <c r="G824" s="188"/>
      <c r="H824" s="267"/>
      <c r="I824" s="267"/>
    </row>
    <row r="825" spans="1:9" ht="14.25">
      <c r="A825" s="271"/>
      <c r="B825" s="609" t="s">
        <v>124</v>
      </c>
      <c r="C825" s="207"/>
      <c r="D825" s="997" t="s">
        <v>1597</v>
      </c>
      <c r="E825" s="997"/>
      <c r="F825" s="997"/>
      <c r="G825" s="188"/>
      <c r="H825" s="267"/>
      <c r="I825" s="267"/>
    </row>
    <row r="826" spans="1:9" ht="14.25">
      <c r="A826" s="271"/>
      <c r="B826" s="271"/>
      <c r="C826" s="207"/>
      <c r="D826" s="997"/>
      <c r="E826" s="997"/>
      <c r="F826" s="997"/>
      <c r="G826" s="188"/>
      <c r="H826" s="267"/>
      <c r="I826" s="267"/>
    </row>
    <row r="827" spans="1:9" ht="14.25">
      <c r="A827" s="271"/>
      <c r="B827" s="271"/>
      <c r="C827" s="207"/>
      <c r="D827" s="997"/>
      <c r="E827" s="997"/>
      <c r="F827" s="997"/>
      <c r="G827" s="188"/>
      <c r="H827" s="267"/>
      <c r="I827" s="267"/>
    </row>
    <row r="828" spans="1:9" ht="14.25">
      <c r="A828" s="271"/>
      <c r="B828" s="271"/>
      <c r="C828" s="207"/>
      <c r="D828" s="997"/>
      <c r="E828" s="997"/>
      <c r="F828" s="997"/>
      <c r="G828" s="188"/>
      <c r="H828" s="267"/>
      <c r="I828" s="267"/>
    </row>
    <row r="829" spans="1:9" ht="14.25">
      <c r="A829" s="271"/>
      <c r="B829" s="271"/>
      <c r="C829" s="207"/>
      <c r="D829" s="188"/>
      <c r="G829" s="188"/>
      <c r="H829" s="267"/>
      <c r="I829" s="267"/>
    </row>
    <row r="830" spans="1:9" ht="14.25">
      <c r="A830" s="271"/>
      <c r="B830" s="609" t="s">
        <v>124</v>
      </c>
      <c r="C830" s="207"/>
      <c r="D830" s="1005" t="s">
        <v>1600</v>
      </c>
      <c r="E830" s="1005"/>
      <c r="F830" s="1005"/>
      <c r="G830" s="188"/>
      <c r="H830" s="267"/>
      <c r="I830" s="267"/>
    </row>
    <row r="831" spans="1:9" ht="14.25">
      <c r="A831" s="271"/>
      <c r="B831" s="271"/>
      <c r="C831" s="207"/>
      <c r="D831" s="1005"/>
      <c r="E831" s="1005"/>
      <c r="F831" s="1005"/>
      <c r="G831" s="188"/>
      <c r="H831" s="267"/>
      <c r="I831" s="267"/>
    </row>
    <row r="832" spans="1:9" ht="12.75">
      <c r="A832" s="18"/>
      <c r="B832" s="18"/>
      <c r="C832" s="207"/>
      <c r="D832" s="1005"/>
      <c r="E832" s="1005"/>
      <c r="F832" s="1005"/>
      <c r="G832" s="188"/>
      <c r="H832" s="267"/>
      <c r="I832" s="267"/>
    </row>
    <row r="833" spans="1:9" ht="14.25">
      <c r="A833" s="271"/>
      <c r="B833" s="18"/>
      <c r="C833" s="207"/>
      <c r="D833" s="1005"/>
      <c r="E833" s="1005"/>
      <c r="F833" s="1005"/>
      <c r="G833" s="188"/>
      <c r="H833" s="267"/>
      <c r="I833" s="267"/>
    </row>
    <row r="834" spans="1:9" ht="14.25">
      <c r="A834" s="271"/>
      <c r="B834" s="18"/>
      <c r="C834" s="207"/>
      <c r="D834" s="1005"/>
      <c r="E834" s="1005"/>
      <c r="F834" s="1005"/>
      <c r="G834" s="188"/>
      <c r="H834" s="267"/>
      <c r="I834" s="267"/>
    </row>
    <row r="835" spans="1:9" ht="14.25">
      <c r="A835" s="271"/>
      <c r="B835" s="18"/>
      <c r="C835" s="207"/>
      <c r="D835" s="1005"/>
      <c r="E835" s="1005"/>
      <c r="F835" s="1005"/>
      <c r="G835" s="188"/>
      <c r="H835" s="267"/>
      <c r="I835" s="267"/>
    </row>
    <row r="836" spans="1:9" ht="14.25">
      <c r="A836" s="271"/>
      <c r="B836" s="18"/>
      <c r="C836" s="207"/>
      <c r="D836" s="653"/>
      <c r="E836" s="653"/>
      <c r="F836" s="653"/>
      <c r="G836" s="188"/>
      <c r="H836" s="267"/>
      <c r="I836" s="267"/>
    </row>
    <row r="837" spans="1:9" ht="14.25">
      <c r="A837" s="271"/>
      <c r="B837" s="609" t="s">
        <v>124</v>
      </c>
      <c r="C837" s="207"/>
      <c r="D837" s="997" t="s">
        <v>1599</v>
      </c>
      <c r="E837" s="997"/>
      <c r="F837" s="997"/>
      <c r="G837" s="188"/>
      <c r="H837" s="267"/>
      <c r="I837" s="267"/>
    </row>
    <row r="838" spans="1:9" ht="14.25">
      <c r="A838" s="271"/>
      <c r="B838" s="271"/>
      <c r="C838" s="207"/>
      <c r="D838" s="997"/>
      <c r="E838" s="997"/>
      <c r="F838" s="997"/>
      <c r="G838" s="188"/>
      <c r="H838" s="267"/>
      <c r="I838" s="267"/>
    </row>
    <row r="839" spans="1:9" ht="14.25">
      <c r="A839" s="271"/>
      <c r="B839" s="271"/>
      <c r="C839" s="207"/>
      <c r="D839" s="188"/>
      <c r="G839" s="188"/>
      <c r="H839" s="267"/>
      <c r="I839" s="267"/>
    </row>
    <row r="840" spans="1:9" ht="14.25">
      <c r="A840" s="271"/>
      <c r="B840" s="609" t="s">
        <v>124</v>
      </c>
      <c r="C840" s="207"/>
      <c r="D840" s="1005" t="s">
        <v>1601</v>
      </c>
      <c r="E840" s="1005"/>
      <c r="F840" s="1005"/>
      <c r="G840" s="188"/>
      <c r="H840" s="267"/>
      <c r="I840" s="267"/>
    </row>
    <row r="841" spans="1:9" ht="14.25">
      <c r="A841" s="271"/>
      <c r="B841" s="271"/>
      <c r="C841" s="207"/>
      <c r="D841" s="1005"/>
      <c r="E841" s="1005"/>
      <c r="F841" s="1005"/>
      <c r="G841" s="188"/>
      <c r="H841" s="267"/>
      <c r="I841" s="267"/>
    </row>
    <row r="842" spans="1:9" ht="12.75">
      <c r="A842" s="18"/>
      <c r="B842" s="18"/>
      <c r="C842" s="207"/>
      <c r="D842" s="188"/>
      <c r="G842" s="188"/>
      <c r="H842" s="267"/>
      <c r="I842" s="267"/>
    </row>
    <row r="843" spans="1:9" ht="12.75">
      <c r="A843" s="1033" t="s">
        <v>1882</v>
      </c>
      <c r="B843" s="1033"/>
      <c r="C843" s="1033"/>
      <c r="D843" s="1033"/>
      <c r="E843" s="1033"/>
      <c r="F843" s="1033"/>
      <c r="G843" s="1033"/>
      <c r="H843" s="267"/>
      <c r="I843" s="267"/>
    </row>
    <row r="844" spans="1:9" ht="12.75">
      <c r="A844" s="190"/>
      <c r="B844" s="190"/>
      <c r="C844" s="207"/>
      <c r="D844" s="188"/>
      <c r="E844" s="188"/>
      <c r="F844" s="188"/>
      <c r="G844" s="188"/>
      <c r="H844" s="267"/>
      <c r="I844" s="267"/>
    </row>
    <row r="845" spans="1:9" ht="14.25">
      <c r="A845" s="271"/>
      <c r="B845" s="271"/>
      <c r="D845" s="1006" t="s">
        <v>1517</v>
      </c>
      <c r="E845" s="1006"/>
      <c r="F845" s="1006"/>
      <c r="H845" s="267"/>
      <c r="I845" s="267"/>
    </row>
    <row r="846" spans="1:9" ht="14.25">
      <c r="A846" s="271"/>
      <c r="B846" s="271"/>
      <c r="D846" s="972" t="s">
        <v>1879</v>
      </c>
      <c r="E846" s="972"/>
      <c r="F846" s="972"/>
      <c r="H846" s="267"/>
      <c r="I846" s="267"/>
    </row>
    <row r="847" spans="1:9" ht="14.25">
      <c r="A847" s="271"/>
      <c r="B847" s="271"/>
      <c r="D847" s="24"/>
      <c r="E847" s="210"/>
      <c r="F847" s="210"/>
      <c r="H847" s="267"/>
      <c r="I847" s="267"/>
    </row>
    <row r="848" spans="1:9" ht="12.75">
      <c r="B848" s="609" t="s">
        <v>1376</v>
      </c>
      <c r="C848" s="207"/>
      <c r="D848" s="979" t="s">
        <v>1454</v>
      </c>
      <c r="E848" s="979"/>
      <c r="F848" s="979"/>
      <c r="H848" s="267"/>
      <c r="I848" s="267"/>
    </row>
    <row r="849" spans="1:9" ht="12.75">
      <c r="A849" s="18"/>
      <c r="B849" s="18"/>
      <c r="C849" s="207"/>
      <c r="D849" s="3" t="s">
        <v>1431</v>
      </c>
      <c r="E849" s="980" t="s">
        <v>2072</v>
      </c>
      <c r="F849" s="980"/>
      <c r="H849" s="267"/>
      <c r="I849" s="267"/>
    </row>
    <row r="850" spans="1:9" ht="12.75">
      <c r="A850" s="18"/>
      <c r="B850" s="18"/>
      <c r="C850" s="207"/>
      <c r="D850" s="213"/>
      <c r="H850" s="267"/>
      <c r="I850" s="267"/>
    </row>
    <row r="851" spans="1:9" ht="12.75">
      <c r="A851" s="18"/>
      <c r="B851" s="609" t="s">
        <v>124</v>
      </c>
      <c r="C851" s="207"/>
      <c r="D851" s="1025" t="s">
        <v>1678</v>
      </c>
      <c r="E851" s="1025"/>
      <c r="F851" s="1025"/>
      <c r="H851" s="267"/>
      <c r="I851" s="267"/>
    </row>
    <row r="852" spans="1:9" ht="12.75">
      <c r="A852" s="18"/>
      <c r="B852" s="18"/>
      <c r="C852" s="207"/>
      <c r="D852" s="1025"/>
      <c r="E852" s="1025"/>
      <c r="F852" s="1025"/>
      <c r="H852" s="267"/>
      <c r="I852" s="267"/>
    </row>
    <row r="853" spans="1:9" ht="12.75">
      <c r="A853" s="18"/>
      <c r="B853" s="18"/>
      <c r="C853" s="207"/>
      <c r="D853" s="1025"/>
      <c r="E853" s="1025"/>
      <c r="F853" s="1025"/>
      <c r="H853" s="267"/>
      <c r="I853" s="267"/>
    </row>
    <row r="854" spans="1:9" ht="12.75">
      <c r="A854" s="18"/>
      <c r="B854" s="18"/>
      <c r="C854" s="207"/>
      <c r="D854" s="1025"/>
      <c r="E854" s="1025"/>
      <c r="F854" s="1025"/>
      <c r="H854" s="267"/>
      <c r="I854" s="267"/>
    </row>
    <row r="855" spans="1:9" ht="12.75">
      <c r="A855" s="18"/>
      <c r="B855" s="18"/>
      <c r="C855" s="207"/>
      <c r="D855" s="1025"/>
      <c r="E855" s="1025"/>
      <c r="F855" s="1025"/>
      <c r="H855" s="267"/>
      <c r="I855" s="267"/>
    </row>
    <row r="856" spans="1:9" ht="12.75">
      <c r="A856" s="18"/>
      <c r="B856" s="18"/>
      <c r="C856" s="207"/>
      <c r="D856" s="1025"/>
      <c r="E856" s="1025"/>
      <c r="F856" s="1025"/>
      <c r="H856" s="267"/>
      <c r="I856" s="267"/>
    </row>
    <row r="857" spans="1:9" ht="12.75">
      <c r="A857" s="18"/>
      <c r="B857" s="18"/>
      <c r="C857" s="207"/>
      <c r="D857" s="1025"/>
      <c r="E857" s="1025"/>
      <c r="F857" s="1025"/>
      <c r="H857" s="267"/>
      <c r="I857" s="267"/>
    </row>
    <row r="858" spans="1:9" ht="12.75">
      <c r="A858" s="18"/>
      <c r="B858" s="18"/>
      <c r="C858" s="207"/>
      <c r="D858" s="1025"/>
      <c r="E858" s="1025"/>
      <c r="F858" s="1025"/>
      <c r="H858" s="267"/>
      <c r="I858" s="267"/>
    </row>
    <row r="859" spans="1:9" ht="12.75">
      <c r="A859" s="18"/>
      <c r="B859" s="18"/>
      <c r="C859" s="207"/>
      <c r="D859" s="1025"/>
      <c r="E859" s="1025"/>
      <c r="F859" s="1025"/>
      <c r="H859" s="267"/>
      <c r="I859" s="267"/>
    </row>
    <row r="860" spans="1:9" ht="12.75">
      <c r="A860" s="18"/>
      <c r="B860" s="18"/>
      <c r="C860" s="207"/>
      <c r="D860" s="213"/>
      <c r="H860" s="267"/>
      <c r="I860" s="267"/>
    </row>
    <row r="861" spans="1:9" ht="14.25">
      <c r="A861" s="271"/>
      <c r="B861" s="609" t="s">
        <v>1376</v>
      </c>
      <c r="C861" s="207"/>
      <c r="D861" s="979" t="s">
        <v>1455</v>
      </c>
      <c r="E861" s="979"/>
      <c r="F861" s="979"/>
      <c r="H861" s="267"/>
      <c r="I861" s="267"/>
    </row>
    <row r="862" spans="1:9" ht="14.25">
      <c r="A862" s="271"/>
      <c r="B862" s="271"/>
      <c r="C862" s="207"/>
      <c r="D862" s="979"/>
      <c r="E862" s="979"/>
      <c r="F862" s="979"/>
      <c r="H862" s="267"/>
      <c r="I862" s="267"/>
    </row>
    <row r="863" spans="1:9" ht="14.25">
      <c r="A863" s="271"/>
      <c r="B863" s="271"/>
      <c r="C863" s="207"/>
      <c r="D863" s="979"/>
      <c r="E863" s="979"/>
      <c r="F863" s="979"/>
      <c r="H863" s="267"/>
      <c r="I863" s="267"/>
    </row>
    <row r="864" spans="1:9" ht="14.25">
      <c r="A864" s="271"/>
      <c r="B864" s="271"/>
      <c r="C864" s="207"/>
      <c r="D864" s="44"/>
      <c r="H864" s="267"/>
      <c r="I864" s="267"/>
    </row>
    <row r="865" spans="1:9" ht="12.75">
      <c r="A865" s="419"/>
      <c r="B865" s="609" t="s">
        <v>124</v>
      </c>
      <c r="C865" s="207"/>
      <c r="D865" s="1006" t="s">
        <v>1456</v>
      </c>
      <c r="E865" s="1006"/>
      <c r="F865" s="1006"/>
      <c r="H865" s="267"/>
      <c r="I865" s="267"/>
    </row>
    <row r="866" spans="1:9" ht="12.75">
      <c r="B866" s="419"/>
      <c r="C866" s="207"/>
      <c r="D866" s="1006"/>
      <c r="E866" s="1006"/>
      <c r="F866" s="1006"/>
      <c r="H866" s="267"/>
      <c r="I866" s="267"/>
    </row>
    <row r="867" spans="1:9" ht="14.25" customHeight="1">
      <c r="A867" s="271"/>
      <c r="C867" s="207"/>
      <c r="D867" s="979" t="s">
        <v>2150</v>
      </c>
      <c r="E867" s="979"/>
      <c r="F867" s="979"/>
      <c r="H867" s="267"/>
      <c r="I867" s="267"/>
    </row>
    <row r="868" spans="1:9" ht="14.25">
      <c r="A868" s="271"/>
      <c r="B868" s="271"/>
      <c r="C868" s="207"/>
      <c r="D868" s="979"/>
      <c r="E868" s="979"/>
      <c r="F868" s="979"/>
      <c r="H868" s="267"/>
      <c r="I868" s="267"/>
    </row>
    <row r="869" spans="1:9" ht="14.25">
      <c r="A869" s="271"/>
      <c r="B869" s="271"/>
      <c r="C869" s="207"/>
      <c r="D869" s="979"/>
      <c r="E869" s="979"/>
      <c r="F869" s="979"/>
      <c r="H869" s="267"/>
      <c r="I869" s="267"/>
    </row>
    <row r="870" spans="1:9" ht="14.25">
      <c r="A870" s="271"/>
      <c r="B870" s="271"/>
      <c r="C870" s="207"/>
      <c r="D870" s="979"/>
      <c r="E870" s="979"/>
      <c r="F870" s="979"/>
      <c r="H870" s="267"/>
      <c r="I870" s="267"/>
    </row>
    <row r="871" spans="1:9" ht="14.25">
      <c r="A871" s="271"/>
      <c r="B871" s="271"/>
      <c r="C871" s="207"/>
      <c r="D871" s="979"/>
      <c r="E871" s="979"/>
      <c r="F871" s="979"/>
      <c r="H871" s="267"/>
      <c r="I871" s="267"/>
    </row>
    <row r="872" spans="1:9" ht="14.25" customHeight="1">
      <c r="A872" s="271"/>
      <c r="B872" s="271"/>
      <c r="C872" s="207"/>
      <c r="D872" s="979"/>
      <c r="E872" s="979"/>
      <c r="F872" s="979"/>
      <c r="H872" s="267"/>
      <c r="I872" s="267"/>
    </row>
    <row r="873" spans="1:9" ht="14.25">
      <c r="A873" s="271"/>
      <c r="B873" s="271"/>
      <c r="C873" s="207"/>
      <c r="D873" s="44"/>
      <c r="H873" s="267"/>
      <c r="I873" s="267"/>
    </row>
    <row r="874" spans="1:9" ht="14.25">
      <c r="A874" s="271"/>
      <c r="B874" s="609" t="s">
        <v>124</v>
      </c>
      <c r="C874" s="207"/>
      <c r="D874" s="979" t="s">
        <v>1175</v>
      </c>
      <c r="E874" s="979"/>
      <c r="F874" s="979"/>
      <c r="H874" s="267"/>
      <c r="I874" s="267"/>
    </row>
    <row r="875" spans="1:9" ht="14.25">
      <c r="A875" s="271"/>
      <c r="B875" s="271"/>
      <c r="C875" s="207"/>
      <c r="D875" s="979" t="s">
        <v>1176</v>
      </c>
      <c r="E875" s="979"/>
      <c r="F875" s="979"/>
      <c r="H875" s="267"/>
      <c r="I875" s="267"/>
    </row>
    <row r="876" spans="1:9" ht="14.25">
      <c r="A876" s="271"/>
      <c r="B876" s="271"/>
      <c r="C876" s="207"/>
      <c r="D876" s="3" t="s">
        <v>1430</v>
      </c>
      <c r="E876" s="980" t="s">
        <v>2074</v>
      </c>
      <c r="F876" s="980"/>
      <c r="H876" s="267"/>
      <c r="I876" s="267"/>
    </row>
    <row r="877" spans="1:9" ht="14.25">
      <c r="A877" s="271"/>
      <c r="B877" s="271"/>
      <c r="C877" s="207"/>
      <c r="D877" s="44"/>
      <c r="H877" s="267"/>
      <c r="I877" s="267"/>
    </row>
    <row r="878" spans="1:9" ht="14.25">
      <c r="A878" s="271"/>
      <c r="B878" s="609" t="s">
        <v>124</v>
      </c>
      <c r="C878" s="207"/>
      <c r="D878" s="979" t="s">
        <v>1457</v>
      </c>
      <c r="E878" s="979"/>
      <c r="F878" s="979"/>
      <c r="H878" s="267"/>
      <c r="I878" s="267"/>
    </row>
    <row r="879" spans="1:9" ht="14.25">
      <c r="A879" s="271"/>
      <c r="B879" s="271"/>
      <c r="C879" s="207"/>
      <c r="D879" s="979"/>
      <c r="E879" s="979"/>
      <c r="F879" s="979"/>
      <c r="H879" s="267"/>
      <c r="I879" s="267"/>
    </row>
    <row r="880" spans="1:9" ht="14.25">
      <c r="A880" s="271"/>
      <c r="B880" s="271"/>
      <c r="C880" s="207"/>
      <c r="D880" s="979"/>
      <c r="E880" s="979"/>
      <c r="F880" s="979"/>
      <c r="H880" s="267"/>
      <c r="I880" s="267"/>
    </row>
    <row r="881" spans="1:9" ht="14.25">
      <c r="A881" s="271"/>
      <c r="B881" s="271"/>
      <c r="C881" s="207"/>
      <c r="D881" s="979"/>
      <c r="E881" s="979"/>
      <c r="F881" s="979"/>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0" t="s">
        <v>1516</v>
      </c>
      <c r="E885" s="1000"/>
      <c r="F885" s="1000"/>
      <c r="G885" s="188"/>
      <c r="H885" s="267"/>
      <c r="I885" s="267"/>
    </row>
    <row r="886" spans="1:9" ht="12.75">
      <c r="C886" s="191"/>
      <c r="D886" s="1013" t="s">
        <v>1880</v>
      </c>
      <c r="E886" s="1014"/>
      <c r="F886" s="1014"/>
      <c r="G886" s="188"/>
      <c r="H886" s="267"/>
      <c r="I886" s="267"/>
    </row>
    <row r="887" spans="1:9" ht="12.75">
      <c r="C887" s="191"/>
      <c r="D887" s="640"/>
      <c r="E887" s="640"/>
      <c r="F887" s="640"/>
      <c r="G887" s="188"/>
      <c r="H887" s="267"/>
      <c r="I887" s="267"/>
    </row>
    <row r="888" spans="1:9" ht="14.25">
      <c r="A888" s="271"/>
      <c r="B888" s="609" t="s">
        <v>1376</v>
      </c>
      <c r="D888" s="999" t="s">
        <v>1476</v>
      </c>
      <c r="E888" s="999"/>
      <c r="F888" s="999"/>
      <c r="G888" s="188"/>
      <c r="H888" s="267"/>
      <c r="I888" s="267"/>
    </row>
    <row r="889" spans="1:9" ht="12.75">
      <c r="D889" s="3" t="s">
        <v>1430</v>
      </c>
      <c r="E889" s="1012" t="s">
        <v>2074</v>
      </c>
      <c r="F889" s="1012"/>
      <c r="G889" s="188"/>
    </row>
    <row r="890" spans="1:9" ht="12.75">
      <c r="D890" s="44"/>
      <c r="E890" s="188"/>
      <c r="F890" s="188"/>
      <c r="G890" s="188"/>
      <c r="H890" s="267"/>
      <c r="I890" s="267"/>
    </row>
    <row r="891" spans="1:9" ht="14.25">
      <c r="A891" s="271"/>
      <c r="B891" s="609" t="s">
        <v>1376</v>
      </c>
      <c r="D891" s="972" t="s">
        <v>1883</v>
      </c>
      <c r="E891" s="1042"/>
      <c r="F891" s="1042"/>
    </row>
    <row r="892" spans="1:9" ht="12.6" customHeight="1">
      <c r="D892" s="1042"/>
      <c r="E892" s="1042"/>
      <c r="F892" s="1042"/>
    </row>
    <row r="893" spans="1:9" ht="14.25">
      <c r="A893" s="271"/>
      <c r="B893" s="271"/>
      <c r="D893" s="44"/>
      <c r="E893" s="188"/>
      <c r="F893" s="188"/>
      <c r="G893" s="188"/>
      <c r="H893" s="267"/>
      <c r="I893" s="267"/>
    </row>
    <row r="894" spans="1:9" ht="12.75">
      <c r="B894" s="609" t="s">
        <v>124</v>
      </c>
      <c r="D894" s="1008" t="s">
        <v>1680</v>
      </c>
      <c r="E894" s="1008"/>
      <c r="F894" s="1008"/>
      <c r="G894" s="188"/>
      <c r="H894" s="267"/>
      <c r="I894" s="267"/>
    </row>
    <row r="895" spans="1:9" ht="29.45" customHeight="1">
      <c r="B895" s="565"/>
      <c r="D895" s="1008"/>
      <c r="E895" s="1008"/>
      <c r="F895" s="1008"/>
      <c r="G895" s="188"/>
      <c r="H895" s="267"/>
      <c r="I895" s="267"/>
    </row>
    <row r="896" spans="1:9" ht="14.25">
      <c r="A896" s="271"/>
      <c r="B896"/>
      <c r="D896" s="979" t="s">
        <v>2150</v>
      </c>
      <c r="E896" s="979"/>
      <c r="F896" s="979"/>
      <c r="G896" s="188"/>
      <c r="H896" s="267"/>
      <c r="I896" s="267"/>
    </row>
    <row r="897" spans="1:9" ht="14.25">
      <c r="A897" s="271"/>
      <c r="B897" s="271"/>
      <c r="D897" s="979"/>
      <c r="E897" s="979"/>
      <c r="F897" s="979"/>
      <c r="G897" s="188"/>
      <c r="H897" s="267"/>
      <c r="I897" s="267"/>
    </row>
    <row r="898" spans="1:9" ht="14.25">
      <c r="A898" s="271"/>
      <c r="B898" s="271"/>
      <c r="D898" s="979"/>
      <c r="E898" s="979"/>
      <c r="F898" s="979"/>
      <c r="G898" s="188"/>
      <c r="H898" s="267"/>
      <c r="I898" s="267"/>
    </row>
    <row r="899" spans="1:9" ht="14.25">
      <c r="A899" s="271"/>
      <c r="B899" s="271"/>
      <c r="D899" s="979"/>
      <c r="E899" s="979"/>
      <c r="F899" s="979"/>
      <c r="G899" s="188"/>
      <c r="H899" s="267"/>
      <c r="I899" s="267"/>
    </row>
    <row r="900" spans="1:9" ht="14.25">
      <c r="A900" s="271"/>
      <c r="B900" s="271"/>
      <c r="D900" s="979"/>
      <c r="E900" s="979"/>
      <c r="F900" s="979"/>
      <c r="G900" s="188"/>
      <c r="H900" s="267"/>
      <c r="I900" s="267"/>
    </row>
    <row r="901" spans="1:9" ht="14.25">
      <c r="A901" s="271"/>
      <c r="B901" s="271"/>
      <c r="D901" s="979"/>
      <c r="E901" s="979"/>
      <c r="F901" s="979"/>
      <c r="G901" s="188"/>
      <c r="H901" s="267"/>
      <c r="I901" s="267"/>
    </row>
    <row r="902" spans="1:9" ht="14.25">
      <c r="A902" s="271"/>
      <c r="B902" s="271"/>
      <c r="D902" s="44"/>
      <c r="E902" s="188"/>
      <c r="F902" s="188"/>
      <c r="G902" s="188"/>
      <c r="H902" s="267"/>
      <c r="I902" s="267"/>
    </row>
    <row r="903" spans="1:9" ht="14.25">
      <c r="A903" s="271"/>
      <c r="B903" s="609" t="s">
        <v>124</v>
      </c>
      <c r="D903" s="1009" t="s">
        <v>1175</v>
      </c>
      <c r="E903" s="1009"/>
      <c r="F903" s="1009"/>
      <c r="G903" s="188"/>
      <c r="H903" s="267"/>
      <c r="I903" s="267"/>
    </row>
    <row r="904" spans="1:9" ht="14.25">
      <c r="A904" s="271"/>
      <c r="B904" s="271"/>
      <c r="D904" s="1009" t="s">
        <v>1176</v>
      </c>
      <c r="E904" s="1009"/>
      <c r="F904" s="1009"/>
      <c r="G904" s="188"/>
      <c r="H904" s="267"/>
      <c r="I904" s="267"/>
    </row>
    <row r="905" spans="1:9" ht="14.25">
      <c r="A905" s="271"/>
      <c r="B905" s="271"/>
      <c r="D905" s="3" t="s">
        <v>1477</v>
      </c>
      <c r="E905" s="1010" t="s">
        <v>2074</v>
      </c>
      <c r="F905" s="1010"/>
      <c r="G905" s="188"/>
      <c r="H905" s="267"/>
      <c r="I905" s="267"/>
    </row>
    <row r="906" spans="1:9" ht="14.25">
      <c r="A906" s="271"/>
      <c r="B906" s="271"/>
      <c r="D906" s="44"/>
      <c r="E906" s="188"/>
      <c r="F906" s="188"/>
      <c r="G906" s="188"/>
      <c r="H906" s="267"/>
      <c r="I906" s="267"/>
    </row>
    <row r="907" spans="1:9" ht="14.25">
      <c r="A907" s="271"/>
      <c r="B907" s="609" t="s">
        <v>124</v>
      </c>
      <c r="D907" s="979" t="s">
        <v>1457</v>
      </c>
      <c r="E907" s="979"/>
      <c r="F907" s="979"/>
      <c r="G907" s="188"/>
      <c r="H907" s="267"/>
      <c r="I907" s="267"/>
    </row>
    <row r="908" spans="1:9" ht="14.25">
      <c r="A908" s="271"/>
      <c r="B908" s="271"/>
      <c r="D908" s="979"/>
      <c r="E908" s="979"/>
      <c r="F908" s="979"/>
      <c r="G908" s="188"/>
      <c r="H908" s="267"/>
      <c r="I908" s="267"/>
    </row>
    <row r="909" spans="1:9" ht="14.25">
      <c r="A909" s="271"/>
      <c r="B909" s="271"/>
      <c r="D909" s="979"/>
      <c r="E909" s="979"/>
      <c r="F909" s="979"/>
      <c r="G909" s="188"/>
      <c r="H909" s="267"/>
      <c r="I909" s="267"/>
    </row>
    <row r="910" spans="1:9" ht="14.25">
      <c r="A910" s="271"/>
      <c r="B910" s="271"/>
      <c r="D910" s="979"/>
      <c r="E910" s="979"/>
      <c r="F910" s="979"/>
      <c r="G910" s="188"/>
      <c r="H910" s="267"/>
      <c r="I910" s="267"/>
    </row>
    <row r="911" spans="1:9" ht="12.75">
      <c r="A911" s="44"/>
      <c r="B911" s="44"/>
      <c r="C911" s="207"/>
      <c r="D911" s="188"/>
      <c r="E911" s="188"/>
      <c r="F911" s="188"/>
      <c r="G911" s="188"/>
      <c r="H911" s="267"/>
      <c r="I911" s="267"/>
    </row>
    <row r="912" spans="1:9" ht="12.75">
      <c r="A912" s="1033" t="s">
        <v>1403</v>
      </c>
      <c r="B912" s="1033"/>
      <c r="C912" s="1033"/>
      <c r="D912" s="1033"/>
      <c r="E912" s="1033"/>
      <c r="F912" s="1033"/>
      <c r="G912" s="1033"/>
      <c r="H912" s="267"/>
      <c r="I912" s="267"/>
    </row>
    <row r="913" spans="1:9" ht="12.75">
      <c r="A913" s="44"/>
      <c r="B913" s="44"/>
      <c r="C913" s="207"/>
      <c r="D913" s="188"/>
      <c r="E913" s="188"/>
      <c r="F913" s="188"/>
      <c r="G913" s="188"/>
      <c r="H913" s="267"/>
      <c r="I913" s="267"/>
    </row>
    <row r="914" spans="1:9" ht="12.75">
      <c r="C914" s="207"/>
      <c r="D914" s="1003" t="s">
        <v>1634</v>
      </c>
      <c r="E914" s="1003"/>
      <c r="F914" s="1003"/>
      <c r="G914" s="188"/>
      <c r="H914" s="267"/>
      <c r="I914" s="267"/>
    </row>
    <row r="915" spans="1:9" ht="12.75">
      <c r="A915" s="190"/>
      <c r="B915" s="190"/>
      <c r="C915" s="190"/>
      <c r="D915" s="999" t="s">
        <v>1475</v>
      </c>
      <c r="E915" s="999"/>
      <c r="F915" s="999"/>
      <c r="G915" s="188"/>
      <c r="H915" s="267"/>
      <c r="I915" s="267"/>
    </row>
    <row r="916" spans="1:9" ht="12.75">
      <c r="A916" s="190"/>
      <c r="B916" s="190"/>
      <c r="C916" s="190"/>
      <c r="F916" s="188"/>
      <c r="G916" s="188"/>
      <c r="H916" s="267"/>
      <c r="I916" s="267"/>
    </row>
    <row r="917" spans="1:9" ht="13.7" customHeight="1">
      <c r="A917" s="190"/>
      <c r="B917" s="609" t="s">
        <v>124</v>
      </c>
      <c r="C917" s="190"/>
      <c r="D917" s="1006" t="s">
        <v>1644</v>
      </c>
      <c r="E917" s="1006"/>
      <c r="F917" s="1006"/>
      <c r="G917" s="188"/>
      <c r="H917" s="267"/>
      <c r="I917" s="267"/>
    </row>
    <row r="918" spans="1:9" ht="12.75">
      <c r="A918" s="190"/>
      <c r="B918" s="190"/>
      <c r="C918" s="190"/>
      <c r="D918" s="1006"/>
      <c r="E918" s="1006"/>
      <c r="F918" s="1006"/>
      <c r="G918" s="188"/>
      <c r="H918" s="267"/>
      <c r="I918" s="267"/>
    </row>
    <row r="919" spans="1:9" ht="12.75">
      <c r="A919" s="190"/>
      <c r="B919" s="190"/>
      <c r="C919" s="190"/>
      <c r="D919" s="1006"/>
      <c r="E919" s="1006"/>
      <c r="F919" s="1006"/>
      <c r="G919" s="188"/>
      <c r="H919" s="267"/>
      <c r="I919" s="267"/>
    </row>
    <row r="920" spans="1:9" ht="12.75">
      <c r="A920" s="190"/>
      <c r="B920" s="190"/>
      <c r="C920" s="190"/>
      <c r="D920" s="1006"/>
      <c r="E920" s="1006"/>
      <c r="F920" s="1006"/>
      <c r="G920" s="188"/>
      <c r="H920" s="267"/>
      <c r="I920" s="267"/>
    </row>
    <row r="921" spans="1:9" ht="12.75">
      <c r="A921" s="190"/>
      <c r="B921" s="190"/>
      <c r="C921" s="190"/>
      <c r="D921" s="1006"/>
      <c r="E921" s="1006"/>
      <c r="F921" s="1006"/>
      <c r="G921" s="188"/>
      <c r="H921" s="267"/>
      <c r="I921" s="267"/>
    </row>
    <row r="922" spans="1:9" ht="12.75">
      <c r="A922" s="191"/>
      <c r="B922" s="191"/>
      <c r="C922" s="191"/>
      <c r="F922" s="188"/>
      <c r="G922" s="188"/>
      <c r="H922" s="267"/>
      <c r="I922" s="267"/>
    </row>
    <row r="923" spans="1:9" ht="14.25" customHeight="1">
      <c r="A923" s="271"/>
      <c r="B923" s="609" t="s">
        <v>1376</v>
      </c>
      <c r="C923" s="191"/>
      <c r="D923" s="980" t="s">
        <v>1728</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0" t="s">
        <v>1729</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25">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7" t="s">
        <v>1645</v>
      </c>
      <c r="E941" s="1007"/>
      <c r="F941" s="1007"/>
      <c r="G941" s="188"/>
      <c r="H941" s="267"/>
      <c r="I941" s="267"/>
    </row>
    <row r="942" spans="1:9" ht="14.25" customHeight="1">
      <c r="A942" s="271"/>
      <c r="B942" s="271"/>
      <c r="C942" s="191"/>
      <c r="D942" s="1007"/>
      <c r="E942" s="1007"/>
      <c r="F942" s="1007"/>
      <c r="G942" s="188"/>
      <c r="H942" s="267"/>
      <c r="I942" s="267"/>
    </row>
    <row r="943" spans="1:9" ht="14.25" customHeight="1">
      <c r="A943" s="271"/>
      <c r="B943" s="271"/>
      <c r="C943" s="191"/>
      <c r="D943" s="1007"/>
      <c r="E943" s="1007"/>
      <c r="F943" s="1007"/>
      <c r="G943" s="188"/>
      <c r="H943" s="267"/>
      <c r="I943" s="267"/>
    </row>
    <row r="944" spans="1:9" ht="14.25" customHeight="1">
      <c r="A944" s="271"/>
      <c r="B944" s="271"/>
      <c r="C944" s="191"/>
      <c r="D944" s="1007"/>
      <c r="E944" s="1007"/>
      <c r="F944" s="1007"/>
      <c r="G944" s="188"/>
      <c r="H944" s="267"/>
      <c r="I944" s="267"/>
    </row>
    <row r="945" spans="1:9" ht="14.25" customHeight="1">
      <c r="A945" s="271"/>
      <c r="B945" s="271"/>
      <c r="C945" s="191"/>
      <c r="D945" s="1007"/>
      <c r="E945" s="1007"/>
      <c r="F945" s="1007"/>
      <c r="G945" s="188"/>
      <c r="H945" s="267"/>
      <c r="I945" s="267"/>
    </row>
    <row r="946" spans="1:9" ht="14.25" customHeight="1">
      <c r="A946" s="271"/>
      <c r="B946" s="271"/>
      <c r="C946" s="191"/>
      <c r="D946" s="1007"/>
      <c r="E946" s="1007"/>
      <c r="F946" s="1007"/>
      <c r="G946" s="188"/>
      <c r="H946" s="267"/>
      <c r="I946" s="267"/>
    </row>
    <row r="947" spans="1:9" ht="14.25" customHeight="1">
      <c r="A947" s="271"/>
      <c r="B947" s="271"/>
      <c r="C947" s="191"/>
      <c r="D947" s="1007"/>
      <c r="E947" s="1007"/>
      <c r="F947" s="1007"/>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0" t="s">
        <v>1646</v>
      </c>
      <c r="E949" s="980"/>
      <c r="F949" s="980"/>
      <c r="G949" s="188"/>
    </row>
    <row r="950" spans="1:9" s="448" customFormat="1" ht="14.25">
      <c r="A950" s="271"/>
      <c r="B950" s="271"/>
      <c r="C950" s="191"/>
      <c r="D950" s="980"/>
      <c r="E950" s="980"/>
      <c r="F950" s="980"/>
      <c r="G950" s="188"/>
    </row>
    <row r="951" spans="1:9" s="448" customFormat="1" ht="14.25">
      <c r="A951" s="271"/>
      <c r="B951" s="271"/>
      <c r="C951" s="191"/>
      <c r="D951" s="980"/>
      <c r="E951" s="980"/>
      <c r="F951" s="980"/>
      <c r="G951" s="188"/>
    </row>
    <row r="952" spans="1:9" s="448" customFormat="1" ht="14.25">
      <c r="A952" s="271"/>
      <c r="B952" s="271"/>
      <c r="C952" s="191"/>
      <c r="D952" s="980"/>
      <c r="E952" s="980"/>
      <c r="F952" s="980"/>
      <c r="G952" s="188"/>
    </row>
    <row r="953" spans="1:9" s="448" customFormat="1" ht="14.25">
      <c r="A953" s="271"/>
      <c r="B953" s="271"/>
      <c r="C953" s="191"/>
      <c r="D953" s="3"/>
      <c r="E953" s="5"/>
      <c r="F953" s="188"/>
      <c r="G953" s="188"/>
    </row>
    <row r="954" spans="1:9" ht="14.25" customHeight="1">
      <c r="A954" s="18"/>
      <c r="B954" s="18"/>
      <c r="C954" s="207"/>
      <c r="D954" s="979" t="s">
        <v>1647</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25">
      <c r="A957" s="271"/>
      <c r="B957" s="609" t="s">
        <v>1376</v>
      </c>
      <c r="D957" s="979" t="s">
        <v>1648</v>
      </c>
      <c r="E957" s="979"/>
      <c r="F957" s="979"/>
    </row>
    <row r="958" spans="1:9" ht="12.7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03" t="s">
        <v>1637</v>
      </c>
      <c r="E960" s="1003"/>
      <c r="F960" s="1003"/>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2" t="s">
        <v>1636</v>
      </c>
      <c r="E962" s="1002"/>
      <c r="F962" s="1002"/>
      <c r="G962" s="188"/>
      <c r="H962" s="267"/>
      <c r="I962" s="267"/>
    </row>
    <row r="963" spans="1:9" ht="12.75">
      <c r="A963" s="207"/>
      <c r="B963" s="207"/>
      <c r="C963" s="207"/>
      <c r="D963" s="1002"/>
      <c r="E963" s="1002"/>
      <c r="F963" s="1002"/>
      <c r="G963" s="188"/>
      <c r="H963" s="267"/>
      <c r="I963" s="267"/>
    </row>
    <row r="964" spans="1:9" ht="12.75">
      <c r="A964" s="207"/>
      <c r="B964" s="207"/>
      <c r="C964" s="207"/>
      <c r="D964" s="1002"/>
      <c r="E964" s="1002"/>
      <c r="F964" s="1002"/>
      <c r="G964" s="188"/>
      <c r="H964" s="267"/>
      <c r="I964" s="267"/>
    </row>
    <row r="965" spans="1:9" ht="12.75">
      <c r="A965" s="207"/>
      <c r="B965" s="207"/>
      <c r="C965" s="207"/>
      <c r="D965" s="1002"/>
      <c r="E965" s="1002"/>
      <c r="F965" s="1002"/>
      <c r="G965" s="188"/>
      <c r="H965" s="267"/>
      <c r="I965" s="267"/>
    </row>
    <row r="966" spans="1:9" ht="12.75">
      <c r="A966" s="207"/>
      <c r="B966" s="207"/>
      <c r="C966" s="207"/>
      <c r="D966" s="1002"/>
      <c r="E966" s="1002"/>
      <c r="F966" s="1002"/>
      <c r="G966" s="188"/>
      <c r="H966" s="267"/>
      <c r="I966" s="267"/>
    </row>
    <row r="967" spans="1:9" ht="12.75">
      <c r="A967" s="207"/>
      <c r="B967" s="207"/>
      <c r="C967" s="207"/>
      <c r="D967" s="1002"/>
      <c r="E967" s="1002"/>
      <c r="F967" s="1002"/>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2" t="s">
        <v>1635</v>
      </c>
      <c r="E969" s="1002"/>
      <c r="F969" s="1002"/>
      <c r="G969" s="188"/>
      <c r="H969" s="267"/>
      <c r="I969" s="267"/>
    </row>
    <row r="970" spans="1:9" ht="12.75">
      <c r="A970" s="207"/>
      <c r="B970" s="207"/>
      <c r="C970" s="207"/>
      <c r="D970" s="1002"/>
      <c r="E970" s="1002"/>
      <c r="F970" s="1002"/>
      <c r="G970" s="188"/>
      <c r="H970" s="267"/>
      <c r="I970" s="267"/>
    </row>
    <row r="971" spans="1:9" ht="12.75">
      <c r="A971" s="207"/>
      <c r="B971" s="207"/>
      <c r="C971" s="207"/>
      <c r="D971" s="1002"/>
      <c r="E971" s="1002"/>
      <c r="F971" s="1002"/>
      <c r="G971" s="188"/>
      <c r="H971" s="267"/>
      <c r="I971" s="267"/>
    </row>
    <row r="972" spans="1:9" ht="12.75">
      <c r="A972" s="207"/>
      <c r="B972" s="207"/>
      <c r="C972" s="207"/>
      <c r="D972" s="1002"/>
      <c r="E972" s="1002"/>
      <c r="F972" s="1002"/>
      <c r="G972" s="188"/>
      <c r="H972" s="267"/>
      <c r="I972" s="267"/>
    </row>
    <row r="973" spans="1:9" ht="12.75">
      <c r="A973" s="207"/>
      <c r="B973" s="207"/>
      <c r="C973" s="207"/>
      <c r="D973" s="1002"/>
      <c r="E973" s="1002"/>
      <c r="F973" s="1002"/>
      <c r="G973" s="188"/>
      <c r="H973" s="267"/>
      <c r="I973" s="267"/>
    </row>
    <row r="974" spans="1:9" ht="12.75">
      <c r="A974" s="207"/>
      <c r="B974" s="207"/>
      <c r="C974" s="207"/>
      <c r="D974" s="371"/>
      <c r="E974" s="188"/>
      <c r="F974" s="188"/>
      <c r="G974" s="188"/>
      <c r="H974" s="267"/>
      <c r="I974" s="267"/>
    </row>
    <row r="975" spans="1:9" ht="14.25">
      <c r="A975" s="271"/>
      <c r="B975" s="609" t="s">
        <v>1376</v>
      </c>
      <c r="C975" s="207"/>
      <c r="D975" s="1002" t="s">
        <v>1638</v>
      </c>
      <c r="E975" s="1002"/>
      <c r="F975" s="1002"/>
      <c r="G975" s="188"/>
      <c r="H975" s="267"/>
      <c r="I975" s="267"/>
    </row>
    <row r="976" spans="1:9" ht="12.75">
      <c r="A976" s="207"/>
      <c r="B976" s="207"/>
      <c r="C976" s="207"/>
      <c r="D976" s="1002"/>
      <c r="E976" s="1002"/>
      <c r="F976" s="1002"/>
      <c r="G976" s="188"/>
      <c r="H976" s="267"/>
      <c r="I976" s="267"/>
    </row>
    <row r="977" spans="1:9" ht="12.75">
      <c r="A977" s="207"/>
      <c r="B977" s="207"/>
      <c r="C977" s="207"/>
      <c r="D977" s="1002"/>
      <c r="E977" s="1002"/>
      <c r="F977" s="1002"/>
      <c r="G977" s="188"/>
      <c r="H977" s="267"/>
      <c r="I977" s="267"/>
    </row>
    <row r="978" spans="1:9" ht="12.75">
      <c r="A978" s="207"/>
      <c r="B978" s="207"/>
      <c r="C978" s="207"/>
      <c r="D978" s="1002"/>
      <c r="E978" s="1002"/>
      <c r="F978" s="1002"/>
      <c r="G978" s="188"/>
      <c r="H978" s="267"/>
      <c r="I978" s="267"/>
    </row>
    <row r="979" spans="1:9" ht="12.75">
      <c r="A979" s="207"/>
      <c r="B979" s="207"/>
      <c r="C979" s="207"/>
      <c r="D979" s="1002"/>
      <c r="E979" s="1002"/>
      <c r="F979" s="1002"/>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2" t="s">
        <v>1639</v>
      </c>
      <c r="E981" s="1002"/>
      <c r="F981" s="1002"/>
      <c r="G981" s="188"/>
      <c r="H981" s="267"/>
      <c r="I981" s="267"/>
    </row>
    <row r="982" spans="1:9" ht="12.75">
      <c r="A982" s="207"/>
      <c r="B982" s="207"/>
      <c r="C982" s="207"/>
      <c r="D982" s="1002"/>
      <c r="E982" s="1002"/>
      <c r="F982" s="1002"/>
      <c r="G982" s="188"/>
      <c r="H982" s="267"/>
      <c r="I982" s="267"/>
    </row>
    <row r="983" spans="1:9" ht="12.75">
      <c r="A983" s="207"/>
      <c r="B983" s="207"/>
      <c r="C983" s="207"/>
      <c r="D983" s="1002"/>
      <c r="E983" s="1002"/>
      <c r="F983" s="1002"/>
      <c r="G983" s="188"/>
      <c r="H983" s="267"/>
      <c r="I983" s="267"/>
    </row>
    <row r="984" spans="1:9" ht="12.75">
      <c r="A984" s="207"/>
      <c r="B984" s="207"/>
      <c r="C984" s="207"/>
      <c r="D984" s="613"/>
      <c r="E984" s="613"/>
      <c r="F984" s="613"/>
      <c r="G984" s="188"/>
      <c r="H984" s="267"/>
      <c r="I984" s="267"/>
    </row>
    <row r="985" spans="1:9" ht="14.25">
      <c r="A985" s="271"/>
      <c r="B985" s="609" t="s">
        <v>124</v>
      </c>
      <c r="C985" s="207"/>
      <c r="D985" s="1002" t="s">
        <v>1640</v>
      </c>
      <c r="E985" s="1002"/>
      <c r="F985" s="1002"/>
      <c r="G985" s="188"/>
      <c r="H985" s="267"/>
      <c r="I985" s="267"/>
    </row>
    <row r="986" spans="1:9" ht="12.75">
      <c r="A986" s="207"/>
      <c r="B986" s="207"/>
      <c r="C986" s="207"/>
      <c r="D986" s="1002"/>
      <c r="E986" s="1002"/>
      <c r="F986" s="1002"/>
      <c r="G986" s="188"/>
      <c r="H986" s="267"/>
      <c r="I986" s="267"/>
    </row>
    <row r="987" spans="1:9" ht="12.75">
      <c r="A987" s="207"/>
      <c r="B987" s="207"/>
      <c r="C987" s="207"/>
      <c r="D987" s="371"/>
      <c r="E987" s="188"/>
      <c r="F987" s="188"/>
      <c r="G987" s="188"/>
      <c r="H987" s="267"/>
      <c r="I987" s="267"/>
    </row>
    <row r="988" spans="1:9" ht="12.75">
      <c r="A988" s="207"/>
      <c r="B988" s="609" t="s">
        <v>124</v>
      </c>
      <c r="C988" s="207"/>
      <c r="D988" s="979" t="s">
        <v>1641</v>
      </c>
      <c r="E988" s="979"/>
      <c r="F988" s="979"/>
      <c r="G988" s="188"/>
      <c r="H988" s="267"/>
      <c r="I988" s="267"/>
    </row>
    <row r="989" spans="1:9" ht="12.75">
      <c r="A989" s="207"/>
      <c r="B989" s="207"/>
      <c r="C989" s="207"/>
      <c r="D989" s="979"/>
      <c r="E989" s="979"/>
      <c r="F989" s="979"/>
      <c r="G989" s="188"/>
      <c r="H989" s="267"/>
      <c r="I989" s="267"/>
    </row>
    <row r="990" spans="1:9" ht="12.75">
      <c r="A990" s="207"/>
      <c r="B990" s="207"/>
      <c r="C990" s="207"/>
      <c r="D990" s="188"/>
      <c r="E990" s="188"/>
      <c r="F990" s="188"/>
      <c r="G990" s="188"/>
      <c r="H990" s="267"/>
      <c r="I990" s="267"/>
    </row>
    <row r="991" spans="1:9" ht="12.75">
      <c r="A991" s="207"/>
      <c r="B991" s="609" t="s">
        <v>124</v>
      </c>
      <c r="C991" s="207"/>
      <c r="D991" s="1004" t="s">
        <v>1770</v>
      </c>
      <c r="E991" s="1005"/>
      <c r="F991" s="1005"/>
      <c r="G991" s="188"/>
      <c r="H991" s="267"/>
      <c r="I991" s="267"/>
    </row>
    <row r="992" spans="1:9" ht="12.75">
      <c r="A992" s="207"/>
      <c r="B992" s="207"/>
      <c r="C992" s="207"/>
      <c r="D992" s="1004"/>
      <c r="E992" s="1005"/>
      <c r="F992" s="1005"/>
      <c r="G992" s="188"/>
      <c r="H992" s="267"/>
      <c r="I992" s="267"/>
    </row>
    <row r="993" spans="1:9" ht="12.75">
      <c r="A993" s="207"/>
      <c r="B993" s="207"/>
      <c r="C993" s="207"/>
      <c r="D993" s="1004"/>
      <c r="E993" s="1005"/>
      <c r="F993" s="1005"/>
      <c r="G993" s="188"/>
      <c r="H993" s="267"/>
      <c r="I993" s="267"/>
    </row>
    <row r="994" spans="1:9" ht="12.75">
      <c r="A994" s="207"/>
      <c r="B994" s="207"/>
      <c r="C994" s="207"/>
      <c r="D994" s="1005"/>
      <c r="E994" s="1005"/>
      <c r="F994" s="1005"/>
      <c r="G994" s="188"/>
      <c r="H994" s="267"/>
      <c r="I994" s="267"/>
    </row>
    <row r="995" spans="1:9" ht="12.75">
      <c r="A995" s="207"/>
      <c r="B995" s="207"/>
      <c r="C995" s="207"/>
      <c r="D995" s="44"/>
      <c r="E995" s="188"/>
      <c r="F995" s="188"/>
      <c r="G995" s="188"/>
      <c r="H995" s="267"/>
      <c r="I995" s="267"/>
    </row>
    <row r="996" spans="1:9" ht="12.75">
      <c r="A996" s="207"/>
      <c r="B996" s="609" t="s">
        <v>124</v>
      </c>
      <c r="C996" s="207"/>
      <c r="D996" s="999" t="s">
        <v>2151</v>
      </c>
      <c r="E996" s="999"/>
      <c r="F996" s="999"/>
      <c r="G996" s="188"/>
      <c r="H996" s="267"/>
      <c r="I996" s="267"/>
    </row>
    <row r="997" spans="1:9" ht="12.75">
      <c r="A997" s="207"/>
      <c r="B997" s="207"/>
      <c r="C997" s="207"/>
      <c r="D997" s="44"/>
      <c r="E997" s="188"/>
      <c r="F997" s="188"/>
      <c r="G997" s="188"/>
      <c r="H997" s="267"/>
      <c r="I997" s="267"/>
    </row>
    <row r="998" spans="1:9" ht="12.75">
      <c r="A998" s="207"/>
      <c r="B998" s="609" t="s">
        <v>124</v>
      </c>
      <c r="C998" s="207"/>
      <c r="D998" s="999" t="s">
        <v>2152</v>
      </c>
      <c r="E998" s="999"/>
      <c r="F998" s="999"/>
      <c r="G998" s="188"/>
      <c r="H998" s="267"/>
      <c r="I998" s="267"/>
    </row>
    <row r="999" spans="1:9" ht="12.75" customHeight="1">
      <c r="A999" s="207"/>
      <c r="B999" s="207"/>
      <c r="C999" s="207"/>
      <c r="D999" s="188"/>
      <c r="E999" s="188"/>
      <c r="F999" s="188"/>
      <c r="G999" s="188"/>
      <c r="H999" s="267"/>
      <c r="I999" s="267"/>
    </row>
    <row r="1000" spans="1:9" ht="12.75">
      <c r="A1000" s="207"/>
      <c r="C1000" s="207"/>
      <c r="D1000" s="1000" t="s">
        <v>1478</v>
      </c>
      <c r="E1000" s="1000"/>
      <c r="F1000" s="1000"/>
      <c r="G1000" s="188"/>
      <c r="H1000" s="267"/>
      <c r="I1000" s="267"/>
    </row>
    <row r="1001" spans="1:9" ht="12.75">
      <c r="A1001" s="207"/>
      <c r="C1001" s="207"/>
      <c r="D1001" s="192"/>
      <c r="E1001" s="188"/>
      <c r="F1001" s="188"/>
      <c r="G1001" s="188"/>
      <c r="H1001" s="267"/>
      <c r="I1001" s="267"/>
    </row>
    <row r="1002" spans="1:9" ht="14.25">
      <c r="A1002" s="271"/>
      <c r="B1002" s="609" t="s">
        <v>1376</v>
      </c>
      <c r="C1002" s="207"/>
      <c r="D1002" s="979" t="s">
        <v>1642</v>
      </c>
      <c r="E1002" s="979"/>
      <c r="F1002" s="979"/>
      <c r="G1002" s="188"/>
      <c r="H1002" s="267"/>
      <c r="I1002" s="267"/>
    </row>
    <row r="1003" spans="1:9" ht="12.75">
      <c r="A1003" s="207"/>
      <c r="B1003" s="207"/>
      <c r="C1003" s="207"/>
      <c r="D1003" s="979"/>
      <c r="E1003" s="979"/>
      <c r="F1003" s="979"/>
      <c r="G1003" s="188"/>
      <c r="H1003" s="267"/>
      <c r="I1003" s="267"/>
    </row>
    <row r="1004" spans="1:9" ht="12.75">
      <c r="A1004" s="207"/>
      <c r="B1004" s="207"/>
      <c r="C1004" s="207"/>
      <c r="D1004" s="979"/>
      <c r="E1004" s="979"/>
      <c r="F1004" s="979"/>
      <c r="G1004" s="188"/>
      <c r="H1004" s="267"/>
      <c r="I1004" s="267"/>
    </row>
    <row r="1005" spans="1:9" ht="12.75">
      <c r="A1005" s="207"/>
      <c r="B1005" s="207"/>
      <c r="C1005" s="207"/>
      <c r="D1005" s="979"/>
      <c r="E1005" s="979"/>
      <c r="F1005" s="979"/>
      <c r="G1005" s="188"/>
      <c r="H1005" s="267"/>
      <c r="I1005" s="267"/>
    </row>
    <row r="1006" spans="1:9" ht="12.75">
      <c r="A1006" s="207"/>
      <c r="B1006" s="207"/>
      <c r="C1006" s="207"/>
      <c r="D1006" s="979"/>
      <c r="E1006" s="979"/>
      <c r="F1006" s="979"/>
      <c r="G1006" s="188"/>
      <c r="H1006" s="267"/>
      <c r="I1006" s="267"/>
    </row>
    <row r="1007" spans="1:9" ht="12.75">
      <c r="A1007" s="207"/>
      <c r="B1007" s="207"/>
      <c r="C1007" s="207"/>
      <c r="G1007" s="188"/>
      <c r="H1007" s="267"/>
      <c r="I1007" s="267"/>
    </row>
    <row r="1008" spans="1:9" ht="14.25">
      <c r="A1008" s="271"/>
      <c r="B1008" s="609" t="s">
        <v>124</v>
      </c>
      <c r="C1008" s="207"/>
      <c r="D1008" s="979" t="s">
        <v>1643</v>
      </c>
      <c r="E1008" s="979"/>
      <c r="F1008" s="979"/>
      <c r="G1008" s="188"/>
      <c r="H1008" s="267"/>
      <c r="I1008" s="267"/>
    </row>
    <row r="1009" spans="1:9" ht="12.75">
      <c r="A1009" s="207"/>
      <c r="B1009" s="207"/>
      <c r="C1009" s="207"/>
      <c r="D1009" s="979"/>
      <c r="E1009" s="979"/>
      <c r="F1009" s="979"/>
      <c r="G1009" s="188"/>
      <c r="H1009" s="267"/>
      <c r="I1009" s="267"/>
    </row>
    <row r="1010" spans="1:9" ht="12.75">
      <c r="A1010" s="207"/>
      <c r="B1010" s="207"/>
      <c r="C1010" s="207"/>
      <c r="D1010" s="979"/>
      <c r="E1010" s="979"/>
      <c r="F1010" s="979"/>
      <c r="G1010" s="188"/>
      <c r="H1010" s="267"/>
      <c r="I1010" s="267"/>
    </row>
    <row r="1011" spans="1:9" ht="12.75">
      <c r="A1011" s="207"/>
      <c r="B1011" s="207"/>
      <c r="C1011" s="207"/>
      <c r="D1011" s="979"/>
      <c r="E1011" s="979"/>
      <c r="F1011" s="979"/>
      <c r="G1011" s="188"/>
      <c r="H1011" s="267"/>
      <c r="I1011" s="267"/>
    </row>
    <row r="1012" spans="1:9" ht="12.75">
      <c r="A1012" s="207"/>
      <c r="B1012" s="207"/>
      <c r="C1012" s="207"/>
      <c r="D1012" s="979"/>
      <c r="E1012" s="979"/>
      <c r="F1012" s="979"/>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0" t="s">
        <v>1479</v>
      </c>
      <c r="E1014" s="1000"/>
      <c r="F1014" s="1000"/>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9" t="s">
        <v>1649</v>
      </c>
      <c r="E1016" s="979"/>
      <c r="F1016" s="979"/>
      <c r="G1016" s="188"/>
      <c r="H1016" s="267"/>
      <c r="I1016" s="267"/>
    </row>
    <row r="1017" spans="1:9" ht="12.75">
      <c r="A1017" s="207"/>
      <c r="B1017" s="207"/>
      <c r="C1017" s="207"/>
      <c r="D1017" s="979"/>
      <c r="E1017" s="979"/>
      <c r="F1017" s="979"/>
      <c r="G1017" s="188"/>
      <c r="H1017" s="267"/>
      <c r="I1017" s="267"/>
    </row>
    <row r="1018" spans="1:9" ht="12.75">
      <c r="A1018" s="207"/>
      <c r="B1018" s="207"/>
      <c r="C1018" s="207"/>
      <c r="D1018" s="979"/>
      <c r="E1018" s="979"/>
      <c r="F1018" s="979"/>
      <c r="G1018" s="188"/>
      <c r="H1018" s="267"/>
      <c r="I1018" s="267"/>
    </row>
    <row r="1019" spans="1:9" ht="12.75">
      <c r="A1019" s="207"/>
      <c r="B1019" s="207"/>
      <c r="C1019" s="207"/>
      <c r="G1019" s="188"/>
      <c r="H1019" s="267"/>
      <c r="I1019" s="267"/>
    </row>
    <row r="1020" spans="1:9" ht="14.25">
      <c r="A1020" s="271"/>
      <c r="B1020" s="609" t="s">
        <v>1376</v>
      </c>
      <c r="C1020" s="207"/>
      <c r="D1020" s="979" t="s">
        <v>1650</v>
      </c>
      <c r="E1020" s="979"/>
      <c r="F1020" s="979"/>
      <c r="G1020" s="188"/>
      <c r="H1020" s="267"/>
      <c r="I1020" s="267"/>
    </row>
    <row r="1021" spans="1:9" ht="12.75">
      <c r="A1021" s="207"/>
      <c r="B1021" s="207"/>
      <c r="C1021" s="207"/>
      <c r="D1021" s="979"/>
      <c r="E1021" s="979"/>
      <c r="F1021" s="979"/>
      <c r="G1021" s="188"/>
      <c r="H1021" s="267"/>
      <c r="I1021" s="267"/>
    </row>
    <row r="1022" spans="1:9" ht="12.75">
      <c r="A1022" s="207"/>
      <c r="B1022" s="207"/>
      <c r="C1022" s="207"/>
      <c r="D1022" s="979"/>
      <c r="E1022" s="979"/>
      <c r="F1022" s="979"/>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0" t="s">
        <v>1480</v>
      </c>
      <c r="E1024" s="1000"/>
      <c r="F1024" s="1000"/>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9" t="s">
        <v>1652</v>
      </c>
      <c r="E1026" s="979"/>
      <c r="F1026" s="979"/>
      <c r="G1026" s="24"/>
      <c r="H1026" s="209"/>
      <c r="I1026" s="209"/>
    </row>
    <row r="1027" spans="1:9" ht="12.75">
      <c r="A1027" s="207"/>
      <c r="B1027" s="207"/>
      <c r="C1027" s="207"/>
      <c r="D1027" s="979"/>
      <c r="E1027" s="979"/>
      <c r="F1027" s="979"/>
      <c r="G1027" s="24"/>
      <c r="H1027" s="209"/>
      <c r="I1027" s="209"/>
    </row>
    <row r="1028" spans="1:9" ht="12.7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1376</v>
      </c>
      <c r="C1030" s="207"/>
      <c r="D1030" s="979" t="s">
        <v>1651</v>
      </c>
      <c r="E1030" s="979"/>
      <c r="F1030" s="979"/>
      <c r="G1030" s="209"/>
      <c r="H1030" s="267"/>
      <c r="I1030" s="267"/>
    </row>
    <row r="1031" spans="1:9" ht="12.75">
      <c r="A1031" s="207"/>
      <c r="B1031" s="207"/>
      <c r="C1031" s="207"/>
      <c r="D1031" s="979"/>
      <c r="E1031" s="979"/>
      <c r="F1031" s="979"/>
      <c r="G1031" s="209"/>
      <c r="H1031" s="267"/>
      <c r="I1031" s="267"/>
    </row>
    <row r="1032" spans="1:9" ht="12.7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1653</v>
      </c>
      <c r="E1034" s="977"/>
      <c r="F1034" s="977"/>
      <c r="G1034" s="208"/>
      <c r="H1034" s="267"/>
      <c r="I1034" s="267"/>
    </row>
    <row r="1035" spans="1:9" ht="12.75">
      <c r="A1035" s="207"/>
      <c r="B1035" s="207"/>
      <c r="C1035" s="207"/>
      <c r="D1035" s="977"/>
      <c r="E1035" s="977"/>
      <c r="F1035" s="977"/>
      <c r="G1035" s="208"/>
      <c r="H1035" s="267"/>
      <c r="I1035" s="267"/>
    </row>
    <row r="1036" spans="1:9" ht="12.7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1654</v>
      </c>
      <c r="E1038" s="979"/>
      <c r="F1038" s="979"/>
      <c r="G1038" s="208"/>
      <c r="H1038" s="208"/>
      <c r="I1038" s="208"/>
    </row>
    <row r="1039" spans="1:9" ht="12.75">
      <c r="A1039" s="207"/>
      <c r="B1039" s="207"/>
      <c r="C1039" s="207"/>
      <c r="D1039" s="979"/>
      <c r="E1039" s="979"/>
      <c r="F1039" s="979"/>
      <c r="G1039" s="208"/>
      <c r="H1039" s="208"/>
      <c r="I1039" s="208"/>
    </row>
    <row r="1040" spans="1:9" ht="12.75">
      <c r="A1040" s="207"/>
      <c r="B1040" s="207"/>
      <c r="C1040" s="207"/>
      <c r="D1040" s="979"/>
      <c r="E1040" s="979"/>
      <c r="F1040" s="979"/>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9" t="s">
        <v>1655</v>
      </c>
      <c r="E1042" s="979"/>
      <c r="F1042" s="979"/>
      <c r="G1042" s="208"/>
      <c r="H1042" s="208"/>
      <c r="I1042" s="208"/>
    </row>
    <row r="1043" spans="1:9" ht="12.75">
      <c r="A1043" s="207"/>
      <c r="B1043" s="207"/>
      <c r="C1043" s="207"/>
      <c r="D1043" s="979"/>
      <c r="E1043" s="979"/>
      <c r="F1043" s="979"/>
      <c r="G1043" s="208"/>
      <c r="H1043" s="208"/>
      <c r="I1043" s="208"/>
    </row>
    <row r="1044" spans="1:9" ht="12.75">
      <c r="A1044" s="207"/>
      <c r="B1044" s="207"/>
      <c r="C1044" s="207"/>
      <c r="D1044" s="979"/>
      <c r="E1044" s="979"/>
      <c r="F1044" s="979"/>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9" t="s">
        <v>1481</v>
      </c>
      <c r="E1046" s="979"/>
      <c r="F1046" s="979"/>
      <c r="G1046" s="24"/>
      <c r="H1046" s="267"/>
      <c r="I1046" s="267"/>
    </row>
    <row r="1047" spans="1:9" ht="12.75">
      <c r="A1047" s="207"/>
      <c r="B1047" s="207"/>
      <c r="C1047" s="207"/>
      <c r="D1047" s="979"/>
      <c r="E1047" s="979"/>
      <c r="F1047" s="979"/>
      <c r="G1047" s="24"/>
      <c r="H1047" s="267"/>
      <c r="I1047" s="267"/>
    </row>
    <row r="1048" spans="1:9" ht="12.75">
      <c r="A1048" s="207"/>
      <c r="B1048" s="207"/>
      <c r="C1048" s="207"/>
      <c r="D1048" s="979"/>
      <c r="E1048" s="979"/>
      <c r="F1048" s="979"/>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9" t="s">
        <v>1482</v>
      </c>
      <c r="E1050" s="979"/>
      <c r="F1050" s="979"/>
      <c r="G1050" s="24"/>
      <c r="H1050" s="267"/>
      <c r="I1050" s="267"/>
    </row>
    <row r="1051" spans="1:9" ht="12.75">
      <c r="A1051" s="207"/>
      <c r="B1051" s="207"/>
      <c r="C1051" s="207"/>
      <c r="D1051" s="979"/>
      <c r="E1051" s="979"/>
      <c r="F1051" s="979"/>
      <c r="G1051" s="24"/>
      <c r="H1051" s="267"/>
      <c r="I1051" s="267"/>
    </row>
    <row r="1052" spans="1:9" ht="12.75">
      <c r="A1052" s="207"/>
      <c r="B1052" s="207"/>
      <c r="C1052" s="207"/>
      <c r="D1052" s="979"/>
      <c r="E1052" s="979"/>
      <c r="F1052" s="979"/>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41" t="s">
        <v>1125</v>
      </c>
      <c r="E1054" s="1041"/>
      <c r="F1054" s="1041"/>
      <c r="G1054" s="608"/>
      <c r="H1054" s="267"/>
      <c r="I1054" s="267"/>
    </row>
    <row r="1055" spans="1:9" ht="12.75">
      <c r="A1055" s="207"/>
      <c r="B1055" s="207"/>
      <c r="C1055" s="207"/>
      <c r="D1055" s="1041"/>
      <c r="E1055" s="1041"/>
      <c r="F1055" s="1041"/>
      <c r="G1055" s="608"/>
      <c r="H1055" s="267"/>
      <c r="I1055" s="267"/>
    </row>
    <row r="1056" spans="1:9" ht="12.75">
      <c r="A1056" s="207"/>
      <c r="B1056" s="207"/>
      <c r="C1056" s="207"/>
      <c r="D1056" s="1041"/>
      <c r="E1056" s="1041"/>
      <c r="F1056" s="1041"/>
      <c r="G1056" s="608"/>
      <c r="H1056" s="267"/>
      <c r="I1056" s="267"/>
    </row>
    <row r="1057" spans="1:9" ht="12.75">
      <c r="A1057" s="207"/>
      <c r="B1057" s="207"/>
      <c r="C1057" s="207"/>
      <c r="D1057" s="1041"/>
      <c r="E1057" s="1041"/>
      <c r="F1057" s="1041"/>
      <c r="G1057" s="608"/>
      <c r="H1057" s="267"/>
      <c r="I1057" s="267"/>
    </row>
    <row r="1058" spans="1:9" ht="12.75">
      <c r="A1058" s="207"/>
      <c r="B1058" s="207"/>
      <c r="C1058" s="207"/>
      <c r="D1058" s="1041"/>
      <c r="E1058" s="1041"/>
      <c r="F1058" s="1041"/>
      <c r="G1058" s="608"/>
      <c r="H1058" s="267"/>
      <c r="I1058" s="267"/>
    </row>
    <row r="1059" spans="1:9" ht="12.75">
      <c r="A1059" s="207"/>
      <c r="B1059" s="207"/>
      <c r="C1059" s="207"/>
      <c r="D1059" s="1041"/>
      <c r="E1059" s="1041"/>
      <c r="F1059" s="1041"/>
      <c r="G1059" s="608"/>
      <c r="H1059" s="267"/>
      <c r="I1059" s="267"/>
    </row>
    <row r="1060" spans="1:9" ht="12.75">
      <c r="A1060" s="207"/>
      <c r="B1060" s="207"/>
      <c r="C1060" s="207"/>
      <c r="D1060" s="1041"/>
      <c r="E1060" s="1041"/>
      <c r="F1060" s="1041"/>
      <c r="G1060" s="608"/>
      <c r="H1060" s="267"/>
      <c r="I1060" s="267"/>
    </row>
    <row r="1061" spans="1:9" ht="12.75">
      <c r="A1061" s="207"/>
      <c r="B1061" s="207"/>
      <c r="C1061" s="207"/>
      <c r="D1061" s="1041"/>
      <c r="E1061" s="1041"/>
      <c r="F1061" s="1041"/>
      <c r="G1061" s="608"/>
      <c r="H1061" s="267"/>
      <c r="I1061" s="267"/>
    </row>
    <row r="1062" spans="1:9" ht="12.75">
      <c r="A1062" s="207"/>
      <c r="B1062" s="207"/>
      <c r="C1062" s="207"/>
      <c r="D1062" s="1041"/>
      <c r="E1062" s="1041"/>
      <c r="F1062" s="1041"/>
      <c r="G1062" s="608"/>
      <c r="H1062" s="267"/>
      <c r="I1062" s="267"/>
    </row>
    <row r="1063" spans="1:9" ht="12.75">
      <c r="A1063" s="207"/>
      <c r="B1063" s="207"/>
      <c r="C1063" s="207"/>
      <c r="D1063" s="1041"/>
      <c r="E1063" s="1041"/>
      <c r="F1063" s="1041"/>
      <c r="G1063" s="608"/>
      <c r="H1063" s="267"/>
      <c r="I1063" s="267"/>
    </row>
    <row r="1064" spans="1:9" ht="27.6" customHeight="1">
      <c r="A1064" s="207"/>
      <c r="B1064" s="207"/>
      <c r="C1064" s="207"/>
      <c r="D1064" s="1041"/>
      <c r="E1064" s="1041"/>
      <c r="F1064" s="1041"/>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0" t="s">
        <v>1483</v>
      </c>
      <c r="E1066" s="1000"/>
      <c r="F1066" s="1000"/>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2" t="s">
        <v>2202</v>
      </c>
      <c r="E1068" s="979"/>
      <c r="F1068" s="979"/>
      <c r="G1068" s="188"/>
      <c r="H1068" s="267"/>
      <c r="I1068" s="267"/>
    </row>
    <row r="1069" spans="1:9" ht="12.75">
      <c r="A1069" s="207"/>
      <c r="B1069" s="207"/>
      <c r="C1069" s="207"/>
      <c r="D1069" s="979"/>
      <c r="E1069" s="979"/>
      <c r="F1069" s="979"/>
      <c r="G1069" s="188"/>
      <c r="H1069" s="267"/>
      <c r="I1069" s="267"/>
    </row>
    <row r="1070" spans="1:9" ht="12.75">
      <c r="A1070" s="207"/>
      <c r="B1070" s="207"/>
      <c r="C1070" s="207"/>
      <c r="D1070" s="979"/>
      <c r="E1070" s="979"/>
      <c r="F1070" s="979"/>
      <c r="G1070" s="188"/>
      <c r="H1070" s="267"/>
      <c r="I1070" s="267"/>
    </row>
    <row r="1071" spans="1:9" ht="12.75">
      <c r="A1071" s="207"/>
      <c r="B1071" s="207"/>
      <c r="C1071" s="207"/>
      <c r="D1071" s="979"/>
      <c r="E1071" s="979"/>
      <c r="F1071" s="979"/>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2" t="s">
        <v>2203</v>
      </c>
      <c r="E1073" s="979"/>
      <c r="F1073" s="979"/>
      <c r="G1073" s="188"/>
      <c r="H1073" s="267"/>
      <c r="I1073" s="267"/>
    </row>
    <row r="1074" spans="1:9" ht="12.75">
      <c r="A1074" s="207"/>
      <c r="B1074" s="207"/>
      <c r="C1074" s="207"/>
      <c r="D1074" s="979"/>
      <c r="E1074" s="979"/>
      <c r="F1074" s="979"/>
      <c r="G1074" s="188"/>
      <c r="H1074" s="267"/>
      <c r="I1074" s="267"/>
    </row>
    <row r="1075" spans="1:9" ht="12.75">
      <c r="A1075" s="207"/>
      <c r="B1075" s="207"/>
      <c r="C1075" s="207"/>
      <c r="D1075" s="979"/>
      <c r="E1075" s="979"/>
      <c r="F1075" s="979"/>
      <c r="G1075" s="188"/>
      <c r="H1075" s="267"/>
      <c r="I1075" s="267"/>
    </row>
    <row r="1076" spans="1:9" ht="12.75">
      <c r="A1076" s="207"/>
      <c r="B1076" s="207"/>
      <c r="C1076" s="207"/>
      <c r="D1076" s="979"/>
      <c r="E1076" s="979"/>
      <c r="F1076" s="979"/>
      <c r="G1076" s="188"/>
      <c r="H1076" s="267"/>
      <c r="I1076" s="267"/>
    </row>
    <row r="1077" spans="1:9" ht="12.75">
      <c r="A1077" s="207"/>
      <c r="B1077" s="207"/>
      <c r="C1077" s="207"/>
      <c r="D1077" s="188"/>
      <c r="E1077" s="188"/>
      <c r="F1077" s="188"/>
      <c r="G1077" s="188"/>
    </row>
    <row r="1078" spans="1:9" ht="12.75">
      <c r="A1078" s="207"/>
      <c r="B1078" s="609" t="s">
        <v>124</v>
      </c>
      <c r="C1078" s="207"/>
      <c r="D1078" s="1005" t="s">
        <v>1656</v>
      </c>
      <c r="E1078" s="1005"/>
      <c r="F1078" s="1005"/>
      <c r="G1078" s="188"/>
    </row>
    <row r="1079" spans="1:9" ht="12.75">
      <c r="A1079" s="207"/>
      <c r="B1079" s="207"/>
      <c r="C1079" s="207"/>
      <c r="D1079" s="1005"/>
      <c r="E1079" s="1005"/>
      <c r="F1079" s="1005"/>
      <c r="G1079" s="188"/>
    </row>
    <row r="1080" spans="1:9" ht="12.75">
      <c r="A1080" s="207"/>
      <c r="B1080" s="207"/>
      <c r="C1080" s="207"/>
      <c r="D1080" s="1005"/>
      <c r="E1080" s="1005"/>
      <c r="F1080" s="1005"/>
      <c r="G1080" s="188"/>
    </row>
    <row r="1081" spans="1:9" ht="12.75">
      <c r="A1081" s="207"/>
      <c r="B1081" s="207"/>
      <c r="C1081" s="207"/>
      <c r="D1081" s="188"/>
      <c r="E1081" s="188"/>
      <c r="F1081" s="188"/>
      <c r="G1081" s="188"/>
    </row>
    <row r="1082" spans="1:9" ht="14.25">
      <c r="A1082" s="271"/>
      <c r="B1082" s="609" t="s">
        <v>124</v>
      </c>
      <c r="C1082" s="429"/>
      <c r="D1082" s="1035" t="s">
        <v>2153</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0" t="s">
        <v>1484</v>
      </c>
      <c r="E1086" s="1000"/>
      <c r="F1086" s="1000"/>
      <c r="G1086" s="188"/>
    </row>
    <row r="1087" spans="1:9" ht="12.75">
      <c r="C1087" s="207"/>
      <c r="D1087" s="192"/>
      <c r="E1087" s="188"/>
      <c r="F1087" s="188"/>
      <c r="G1087" s="188"/>
    </row>
    <row r="1088" spans="1:9" ht="12.75">
      <c r="A1088" s="207"/>
      <c r="B1088" s="609" t="s">
        <v>124</v>
      </c>
      <c r="C1088" s="207"/>
      <c r="D1088" s="979" t="s">
        <v>1657</v>
      </c>
      <c r="E1088" s="979"/>
      <c r="F1088" s="979"/>
      <c r="G1088" s="188"/>
    </row>
    <row r="1089" spans="1:7" ht="12.75">
      <c r="A1089" s="207"/>
      <c r="B1089" s="207"/>
      <c r="C1089" s="207"/>
      <c r="D1089" s="979"/>
      <c r="E1089" s="979"/>
      <c r="F1089" s="979"/>
      <c r="G1089" s="188"/>
    </row>
    <row r="1090" spans="1:7" ht="12.75">
      <c r="A1090" s="207"/>
      <c r="B1090" s="207"/>
      <c r="C1090" s="207"/>
      <c r="D1090" s="979"/>
      <c r="E1090" s="979"/>
      <c r="F1090" s="979"/>
      <c r="G1090" s="188"/>
    </row>
    <row r="1091" spans="1:7" ht="12.75">
      <c r="A1091" s="207"/>
      <c r="B1091" s="207"/>
      <c r="C1091" s="207"/>
      <c r="D1091" s="188"/>
      <c r="E1091" s="188"/>
      <c r="F1091" s="188"/>
      <c r="G1091" s="188"/>
    </row>
    <row r="1092" spans="1:7" ht="14.25">
      <c r="A1092" s="271"/>
      <c r="B1092" s="609" t="s">
        <v>124</v>
      </c>
      <c r="C1092" s="207"/>
      <c r="D1092" s="979" t="s">
        <v>1658</v>
      </c>
      <c r="E1092" s="979"/>
      <c r="F1092" s="979"/>
      <c r="G1092" s="188"/>
    </row>
    <row r="1093" spans="1:7" ht="12.75">
      <c r="A1093" s="207"/>
      <c r="B1093" s="207"/>
      <c r="C1093" s="207"/>
      <c r="D1093" s="979"/>
      <c r="E1093" s="979"/>
      <c r="F1093" s="979"/>
      <c r="G1093" s="188"/>
    </row>
    <row r="1094" spans="1:7" ht="12.75">
      <c r="A1094" s="207"/>
      <c r="B1094" s="207"/>
      <c r="C1094" s="207"/>
      <c r="D1094" s="979"/>
      <c r="E1094" s="979"/>
      <c r="F1094" s="979"/>
      <c r="G1094" s="188"/>
    </row>
    <row r="1095" spans="1:7" ht="12.75">
      <c r="A1095" s="207"/>
      <c r="B1095" s="207"/>
      <c r="C1095" s="207"/>
      <c r="D1095" s="188"/>
      <c r="E1095" s="188"/>
      <c r="F1095" s="188"/>
      <c r="G1095" s="188"/>
    </row>
    <row r="1096" spans="1:7" ht="12.75">
      <c r="A1096" s="207"/>
      <c r="B1096" s="207"/>
      <c r="C1096" s="207"/>
      <c r="D1096" s="1000" t="s">
        <v>1117</v>
      </c>
      <c r="E1096" s="1000"/>
      <c r="F1096" s="1000"/>
      <c r="G1096" s="188"/>
    </row>
    <row r="1097" spans="1:7" ht="12.75">
      <c r="A1097" s="207"/>
      <c r="B1097" s="207"/>
      <c r="C1097" s="207"/>
      <c r="D1097" s="999" t="s">
        <v>1485</v>
      </c>
      <c r="E1097" s="999"/>
      <c r="F1097" s="999"/>
      <c r="G1097" s="188"/>
    </row>
    <row r="1098" spans="1:7" ht="12.75">
      <c r="A1098" s="207"/>
      <c r="B1098" s="207"/>
      <c r="C1098" s="207"/>
      <c r="D1098" s="419"/>
      <c r="E1098" s="188"/>
      <c r="F1098" s="188"/>
      <c r="G1098" s="188"/>
    </row>
    <row r="1099" spans="1:7" ht="14.25">
      <c r="A1099" s="271"/>
      <c r="B1099" s="609" t="s">
        <v>124</v>
      </c>
      <c r="C1099" s="207"/>
      <c r="D1099" s="979" t="s">
        <v>1659</v>
      </c>
      <c r="E1099" s="979"/>
      <c r="F1099" s="979"/>
      <c r="G1099" s="188"/>
    </row>
    <row r="1100" spans="1:7" ht="12.75">
      <c r="A1100" s="207"/>
      <c r="B1100" s="207"/>
      <c r="C1100" s="207"/>
      <c r="D1100" s="979"/>
      <c r="E1100" s="979"/>
      <c r="F1100" s="979"/>
      <c r="G1100" s="188"/>
    </row>
    <row r="1101" spans="1:7" ht="12.75">
      <c r="A1101" s="207"/>
      <c r="B1101" s="207"/>
      <c r="C1101" s="207"/>
      <c r="D1101" s="188"/>
      <c r="E1101" s="188"/>
      <c r="F1101" s="188"/>
      <c r="G1101" s="188"/>
    </row>
    <row r="1102" spans="1:7" ht="14.25">
      <c r="A1102" s="271"/>
      <c r="B1102" s="609" t="s">
        <v>124</v>
      </c>
      <c r="C1102" s="207"/>
      <c r="D1102" s="979" t="s">
        <v>1660</v>
      </c>
      <c r="E1102" s="979"/>
      <c r="F1102" s="979"/>
      <c r="G1102" s="188"/>
    </row>
    <row r="1103" spans="1:7" ht="12.75">
      <c r="A1103" s="207"/>
      <c r="B1103" s="207"/>
      <c r="C1103" s="207"/>
      <c r="D1103" s="979"/>
      <c r="E1103" s="979"/>
      <c r="F1103" s="979"/>
      <c r="G1103" s="188"/>
    </row>
    <row r="1104" spans="1:7" ht="12.75">
      <c r="A1104" s="207"/>
      <c r="B1104" s="207"/>
      <c r="C1104" s="207"/>
      <c r="E1104" s="188"/>
      <c r="F1104" s="188"/>
      <c r="G1104" s="188"/>
    </row>
    <row r="1105" spans="1:7" ht="12.75">
      <c r="A1105" s="207"/>
      <c r="B1105" s="207"/>
      <c r="C1105" s="207"/>
      <c r="D1105" s="1000" t="s">
        <v>1486</v>
      </c>
      <c r="E1105" s="1000"/>
      <c r="F1105" s="1000"/>
      <c r="G1105" s="188"/>
    </row>
    <row r="1106" spans="1:7" ht="12.75">
      <c r="A1106" s="207"/>
      <c r="B1106" s="207"/>
      <c r="C1106" s="207"/>
      <c r="D1106" s="192"/>
      <c r="E1106" s="188"/>
      <c r="F1106" s="188"/>
      <c r="G1106" s="188"/>
    </row>
    <row r="1107" spans="1:7" ht="14.25">
      <c r="A1107" s="271"/>
      <c r="B1107" s="609" t="s">
        <v>124</v>
      </c>
      <c r="C1107" s="207"/>
      <c r="D1107" s="979" t="s">
        <v>1661</v>
      </c>
      <c r="E1107" s="979"/>
      <c r="F1107" s="979"/>
      <c r="G1107" s="188"/>
    </row>
    <row r="1108" spans="1:7" ht="12.75">
      <c r="A1108" s="207"/>
      <c r="B1108" s="207"/>
      <c r="C1108" s="207"/>
      <c r="D1108" s="979"/>
      <c r="E1108" s="979"/>
      <c r="F1108" s="979"/>
      <c r="G1108" s="188"/>
    </row>
    <row r="1109" spans="1:7" ht="12.75">
      <c r="A1109" s="207"/>
      <c r="B1109" s="207"/>
      <c r="C1109" s="207"/>
      <c r="D1109" s="979"/>
      <c r="E1109" s="979"/>
      <c r="F1109" s="979"/>
      <c r="G1109" s="188"/>
    </row>
    <row r="1110" spans="1:7" ht="12.75">
      <c r="A1110" s="207"/>
      <c r="B1110" s="207"/>
      <c r="C1110" s="207"/>
      <c r="D1110" s="979"/>
      <c r="E1110" s="979"/>
      <c r="F1110" s="979"/>
      <c r="G1110" s="188"/>
    </row>
    <row r="1111" spans="1:7" ht="12.75">
      <c r="A1111" s="207"/>
      <c r="B1111" s="207"/>
      <c r="C1111" s="207"/>
      <c r="D1111" s="979"/>
      <c r="E1111" s="979"/>
      <c r="F1111" s="979"/>
      <c r="G1111" s="188"/>
    </row>
    <row r="1112" spans="1:7" ht="12.75">
      <c r="A1112" s="207"/>
      <c r="B1112" s="207"/>
      <c r="C1112" s="207"/>
      <c r="D1112" s="979"/>
      <c r="E1112" s="979"/>
      <c r="F1112" s="979"/>
      <c r="G1112" s="188"/>
    </row>
    <row r="1113" spans="1:7" ht="12.75">
      <c r="A1113" s="207"/>
      <c r="B1113" s="207"/>
      <c r="C1113" s="207"/>
      <c r="D1113" s="979"/>
      <c r="E1113" s="979"/>
      <c r="F1113" s="979"/>
      <c r="G1113" s="188"/>
    </row>
    <row r="1114" spans="1:7" ht="12.75">
      <c r="A1114" s="207"/>
      <c r="B1114" s="207"/>
      <c r="C1114" s="207"/>
      <c r="D1114" s="188"/>
      <c r="E1114" s="188"/>
      <c r="F1114" s="188"/>
      <c r="G1114" s="188"/>
    </row>
    <row r="1115" spans="1:7" ht="14.25">
      <c r="A1115" s="271"/>
      <c r="B1115" s="609" t="s">
        <v>124</v>
      </c>
      <c r="C1115" s="207"/>
      <c r="D1115" s="979" t="s">
        <v>1662</v>
      </c>
      <c r="E1115" s="979"/>
      <c r="F1115" s="979"/>
      <c r="G1115" s="188"/>
    </row>
    <row r="1116" spans="1:7" ht="12.75">
      <c r="A1116" s="207"/>
      <c r="B1116" s="207"/>
      <c r="C1116" s="207"/>
      <c r="D1116" s="979"/>
      <c r="E1116" s="979"/>
      <c r="F1116" s="979"/>
      <c r="G1116" s="188"/>
    </row>
    <row r="1117" spans="1:7" ht="12.75">
      <c r="A1117" s="207"/>
      <c r="B1117" s="207"/>
      <c r="C1117" s="207"/>
      <c r="D1117" s="979"/>
      <c r="E1117" s="979"/>
      <c r="F1117" s="979"/>
      <c r="G1117" s="188"/>
    </row>
    <row r="1118" spans="1:7" ht="12.75">
      <c r="A1118" s="207"/>
      <c r="B1118" s="207"/>
      <c r="C1118" s="207"/>
      <c r="D1118" s="979"/>
      <c r="E1118" s="979"/>
      <c r="F1118" s="979"/>
      <c r="G1118" s="188"/>
    </row>
    <row r="1119" spans="1:7" ht="12.75">
      <c r="A1119" s="207"/>
      <c r="B1119" s="207"/>
      <c r="C1119" s="207"/>
      <c r="D1119" s="979"/>
      <c r="E1119" s="979"/>
      <c r="F1119" s="979"/>
      <c r="G1119" s="188"/>
    </row>
    <row r="1120" spans="1:7" ht="12.75">
      <c r="A1120" s="207"/>
      <c r="B1120" s="207"/>
      <c r="C1120" s="207"/>
      <c r="D1120" s="979"/>
      <c r="E1120" s="979"/>
      <c r="F1120" s="979"/>
      <c r="G1120" s="188"/>
    </row>
    <row r="1121" spans="1:7" ht="12.75">
      <c r="A1121" s="207"/>
      <c r="B1121" s="207"/>
      <c r="C1121" s="207"/>
      <c r="D1121" s="979"/>
      <c r="E1121" s="979"/>
      <c r="F1121" s="979"/>
      <c r="G1121" s="188"/>
    </row>
    <row r="1122" spans="1:7" ht="12.75">
      <c r="A1122" s="207"/>
      <c r="B1122" s="207"/>
      <c r="C1122" s="207"/>
      <c r="D1122" s="24"/>
      <c r="E1122" s="24"/>
      <c r="F1122" s="24"/>
      <c r="G1122" s="188"/>
    </row>
    <row r="1123" spans="1:7" ht="12.4" customHeight="1">
      <c r="A1123" s="207"/>
      <c r="B1123" s="609" t="s">
        <v>124</v>
      </c>
      <c r="C1123" s="207"/>
      <c r="D1123" s="1004" t="s">
        <v>1771</v>
      </c>
      <c r="E1123" s="1005"/>
      <c r="F1123" s="1005"/>
      <c r="G1123" s="188"/>
    </row>
    <row r="1124" spans="1:7" ht="12.4" customHeight="1">
      <c r="A1124" s="207"/>
      <c r="B1124" s="207"/>
      <c r="C1124" s="207"/>
      <c r="D1124" s="1005"/>
      <c r="E1124" s="1005"/>
      <c r="F1124" s="1005"/>
      <c r="G1124" s="188"/>
    </row>
    <row r="1125" spans="1:7" ht="12.75">
      <c r="A1125" s="207"/>
      <c r="B1125" s="207"/>
      <c r="C1125" s="207"/>
      <c r="D1125" s="1005"/>
      <c r="E1125" s="1005"/>
      <c r="F1125" s="1005"/>
      <c r="G1125" s="188"/>
    </row>
    <row r="1126" spans="1:7" ht="12.75">
      <c r="A1126" s="207"/>
      <c r="B1126" s="207"/>
      <c r="C1126" s="207"/>
      <c r="D1126" s="653"/>
      <c r="E1126" s="653"/>
      <c r="F1126" s="653"/>
      <c r="G1126" s="188"/>
    </row>
    <row r="1127" spans="1:7" ht="12.75">
      <c r="D1127" s="1000" t="s">
        <v>1487</v>
      </c>
      <c r="E1127" s="1000"/>
      <c r="F1127" s="1000"/>
    </row>
    <row r="1128" spans="1:7" ht="12.75">
      <c r="D1128" s="192"/>
    </row>
    <row r="1129" spans="1:7" ht="14.25">
      <c r="A1129" s="271"/>
      <c r="B1129" s="609" t="s">
        <v>124</v>
      </c>
      <c r="D1129" s="979" t="s">
        <v>1663</v>
      </c>
      <c r="E1129" s="979"/>
      <c r="F1129" s="979"/>
    </row>
    <row r="1130" spans="1:7" ht="12.75">
      <c r="D1130" s="979"/>
      <c r="E1130" s="979"/>
      <c r="F1130" s="979"/>
    </row>
    <row r="1131" spans="1:7" ht="12.75"/>
    <row r="1132" spans="1:7" ht="14.25">
      <c r="A1132" s="271"/>
      <c r="B1132" s="609" t="s">
        <v>1376</v>
      </c>
      <c r="D1132" s="979" t="s">
        <v>1664</v>
      </c>
      <c r="E1132" s="979"/>
      <c r="F1132" s="979"/>
    </row>
    <row r="1133" spans="1:7" ht="12.75">
      <c r="D1133" s="979"/>
      <c r="E1133" s="979"/>
      <c r="F1133" s="979"/>
    </row>
    <row r="1134" spans="1:7" ht="12.75"/>
    <row r="1135" spans="1:7" ht="12.75">
      <c r="D1135" s="1000" t="s">
        <v>1488</v>
      </c>
      <c r="E1135" s="1000"/>
      <c r="F1135" s="1000"/>
    </row>
    <row r="1136" spans="1:7" ht="12.75">
      <c r="D1136" s="192"/>
    </row>
    <row r="1137" spans="1:7" ht="14.25">
      <c r="A1137" s="271"/>
      <c r="B1137" s="609" t="s">
        <v>124</v>
      </c>
      <c r="D1137" s="999" t="s">
        <v>1665</v>
      </c>
      <c r="E1137" s="999"/>
      <c r="F1137" s="999"/>
    </row>
    <row r="1138" spans="1:7" ht="12.75"/>
    <row r="1139" spans="1:7" ht="14.25">
      <c r="A1139" s="271"/>
      <c r="B1139" s="609" t="s">
        <v>124</v>
      </c>
      <c r="D1139" s="979" t="s">
        <v>1666</v>
      </c>
      <c r="E1139" s="979"/>
      <c r="F1139" s="979"/>
    </row>
    <row r="1140" spans="1:7" ht="14.25">
      <c r="A1140" s="271"/>
      <c r="B1140" s="271"/>
      <c r="D1140" s="979"/>
      <c r="E1140" s="979"/>
      <c r="F1140" s="979"/>
    </row>
    <row r="1141" spans="1:7" ht="14.25">
      <c r="A1141" s="271"/>
      <c r="B1141" s="271"/>
      <c r="D1141" s="24"/>
      <c r="E1141" s="24"/>
      <c r="F1141" s="24"/>
      <c r="G1141"/>
    </row>
    <row r="1142" spans="1:7" ht="12.75">
      <c r="D1142" s="1000" t="s">
        <v>1676</v>
      </c>
      <c r="E1142" s="1000"/>
      <c r="F1142" s="1000"/>
      <c r="G1142"/>
    </row>
    <row r="1143" spans="1:7" ht="12.75">
      <c r="D1143" s="192"/>
      <c r="G1143"/>
    </row>
    <row r="1144" spans="1:7" ht="14.45" customHeight="1">
      <c r="A1144" s="271"/>
      <c r="B1144" s="609" t="s">
        <v>1376</v>
      </c>
      <c r="D1144" s="972" t="s">
        <v>2204</v>
      </c>
      <c r="E1144" s="979"/>
      <c r="F1144" s="979"/>
      <c r="G1144"/>
    </row>
    <row r="1145" spans="1:7" ht="14.25">
      <c r="A1145" s="271"/>
      <c r="B1145" s="271"/>
      <c r="D1145" s="979"/>
      <c r="E1145" s="979"/>
      <c r="F1145" s="979"/>
      <c r="G1145"/>
    </row>
    <row r="1146" spans="1:7" ht="14.25">
      <c r="A1146" s="271"/>
      <c r="B1146" s="271"/>
      <c r="D1146" s="979"/>
      <c r="E1146" s="979"/>
      <c r="F1146" s="979"/>
      <c r="G1146"/>
    </row>
    <row r="1147" spans="1:7" ht="14.25">
      <c r="A1147" s="271"/>
      <c r="B1147" s="271"/>
      <c r="D1147" s="979"/>
      <c r="E1147" s="979"/>
      <c r="F1147" s="979"/>
      <c r="G1147"/>
    </row>
    <row r="1148" spans="1:7" ht="14.25">
      <c r="A1148" s="271"/>
      <c r="B1148" s="271"/>
      <c r="D1148" s="979"/>
      <c r="E1148" s="979"/>
      <c r="F1148" s="979"/>
      <c r="G1148"/>
    </row>
    <row r="1149" spans="1:7" ht="14.25">
      <c r="A1149" s="271"/>
      <c r="B1149" s="271"/>
      <c r="D1149" s="979"/>
      <c r="E1149" s="979"/>
      <c r="F1149" s="979"/>
      <c r="G1149"/>
    </row>
    <row r="1150" spans="1:7" ht="14.25">
      <c r="A1150" s="271"/>
      <c r="B1150" s="271"/>
      <c r="D1150" s="979"/>
      <c r="E1150" s="979"/>
      <c r="F1150" s="979"/>
      <c r="G1150"/>
    </row>
    <row r="1151" spans="1:7" ht="14.25">
      <c r="A1151" s="271"/>
      <c r="B1151" s="271"/>
      <c r="D1151" s="979"/>
      <c r="E1151" s="979"/>
      <c r="F1151" s="979"/>
      <c r="G1151"/>
    </row>
    <row r="1152" spans="1:7" ht="14.25">
      <c r="A1152" s="271"/>
      <c r="B1152" s="271"/>
      <c r="D1152" s="979"/>
      <c r="E1152" s="979"/>
      <c r="F1152" s="979"/>
      <c r="G1152"/>
    </row>
    <row r="1153" spans="1:7" ht="14.25">
      <c r="A1153" s="271"/>
      <c r="B1153" s="271"/>
      <c r="D1153" s="979"/>
      <c r="E1153" s="979"/>
      <c r="F1153" s="979"/>
      <c r="G1153"/>
    </row>
    <row r="1154" spans="1:7" ht="14.25">
      <c r="A1154" s="271"/>
      <c r="B1154" s="271"/>
      <c r="D1154" s="979"/>
      <c r="E1154" s="979"/>
      <c r="F1154" s="979"/>
      <c r="G1154"/>
    </row>
    <row r="1155" spans="1:7" ht="14.25">
      <c r="A1155" s="271"/>
      <c r="B1155" s="271"/>
      <c r="D1155" s="979"/>
      <c r="E1155" s="979"/>
      <c r="F1155" s="979"/>
      <c r="G1155"/>
    </row>
    <row r="1156" spans="1:7" ht="14.25">
      <c r="A1156" s="271"/>
      <c r="B1156" s="271"/>
      <c r="D1156" s="979"/>
      <c r="E1156" s="979"/>
      <c r="F1156" s="979"/>
      <c r="G1156"/>
    </row>
    <row r="1157" spans="1:7" ht="38.25" customHeight="1">
      <c r="A1157" s="271"/>
      <c r="B1157" s="271"/>
      <c r="D1157" s="979"/>
      <c r="E1157" s="979"/>
      <c r="F1157" s="979"/>
    </row>
    <row r="1158" spans="1:7" ht="12.75"/>
    <row r="1159" spans="1:7" ht="12.75">
      <c r="A1159" s="1033" t="s">
        <v>1404</v>
      </c>
      <c r="B1159" s="1033"/>
      <c r="C1159" s="1033"/>
      <c r="D1159" s="1033"/>
      <c r="E1159" s="1033"/>
      <c r="F1159" s="1033"/>
      <c r="G1159" s="1033"/>
    </row>
    <row r="1160" spans="1:7" ht="12.75">
      <c r="A1160" s="44"/>
      <c r="B1160" s="44"/>
    </row>
    <row r="1161" spans="1:7" ht="12.75">
      <c r="C1161" s="207"/>
      <c r="D1161" s="1000" t="s">
        <v>1667</v>
      </c>
      <c r="E1161" s="1000"/>
      <c r="F1161" s="1000"/>
    </row>
    <row r="1162" spans="1:7" ht="12.75">
      <c r="A1162" s="190"/>
      <c r="B1162" s="190"/>
      <c r="C1162" s="190"/>
      <c r="D1162" s="1001" t="s">
        <v>1492</v>
      </c>
      <c r="E1162" s="999"/>
      <c r="F1162" s="999"/>
    </row>
    <row r="1163" spans="1:7" ht="12.75">
      <c r="A1163" s="190"/>
      <c r="B1163" s="190"/>
      <c r="C1163" s="190"/>
      <c r="F1163" s="188"/>
      <c r="G1163"/>
    </row>
    <row r="1164" spans="1:7" ht="13.7" customHeight="1">
      <c r="B1164" s="609" t="s">
        <v>1376</v>
      </c>
      <c r="D1164" s="1054" t="s">
        <v>2091</v>
      </c>
      <c r="E1164" s="1054"/>
      <c r="F1164" s="1054"/>
      <c r="G1164"/>
    </row>
    <row r="1165" spans="1:7" ht="12.75">
      <c r="D1165" s="1054"/>
      <c r="E1165" s="1054"/>
      <c r="F1165" s="1054"/>
      <c r="G1165"/>
    </row>
    <row r="1166" spans="1:7" ht="12.75">
      <c r="D1166" s="15"/>
      <c r="E1166" s="927" t="s">
        <v>2092</v>
      </c>
      <c r="F1166" s="15"/>
      <c r="G1166"/>
    </row>
    <row r="1167" spans="1:7" ht="12.75">
      <c r="D1167" s="15"/>
      <c r="E1167" s="15"/>
      <c r="F1167" s="15"/>
      <c r="G1167"/>
    </row>
    <row r="1168" spans="1:7" ht="12.75">
      <c r="D1168" s="996" t="s">
        <v>2090</v>
      </c>
      <c r="E1168" s="996"/>
      <c r="F1168" s="996"/>
      <c r="G1168"/>
    </row>
    <row r="1169" spans="1:7" ht="12.75">
      <c r="A1169" s="191"/>
      <c r="B1169" s="191"/>
      <c r="C1169" s="191"/>
      <c r="D1169" s="996"/>
      <c r="E1169" s="996"/>
      <c r="F1169" s="996"/>
      <c r="G1169"/>
    </row>
    <row r="1170" spans="1:7" ht="14.45" customHeight="1">
      <c r="A1170" s="191"/>
      <c r="B1170" s="191"/>
      <c r="C1170" s="191"/>
      <c r="D1170" s="996"/>
      <c r="E1170" s="996"/>
      <c r="F1170" s="996"/>
      <c r="G1170"/>
    </row>
    <row r="1171" spans="1:7" ht="12.75">
      <c r="A1171" s="191"/>
      <c r="B1171" s="191"/>
      <c r="C1171" s="191"/>
      <c r="D1171" s="106"/>
      <c r="E1171" s="106"/>
      <c r="F1171" s="106"/>
      <c r="G1171"/>
    </row>
    <row r="1172" spans="1:7" ht="12.75">
      <c r="A1172" s="191"/>
      <c r="B1172" s="609" t="s">
        <v>124</v>
      </c>
      <c r="C1172" s="191"/>
      <c r="D1172" s="979" t="s">
        <v>1677</v>
      </c>
      <c r="E1172" s="979"/>
      <c r="F1172" s="979"/>
      <c r="G1172"/>
    </row>
    <row r="1173" spans="1:7" ht="12.75">
      <c r="A1173" s="191"/>
      <c r="B1173" s="191"/>
      <c r="C1173" s="191"/>
      <c r="D1173" s="979"/>
      <c r="E1173" s="979"/>
      <c r="F1173" s="979"/>
      <c r="G1173"/>
    </row>
    <row r="1174" spans="1:7" ht="12.75">
      <c r="A1174" s="191"/>
      <c r="B1174" s="191"/>
      <c r="C1174" s="191"/>
      <c r="D1174" s="979"/>
      <c r="E1174" s="979"/>
      <c r="F1174" s="979"/>
      <c r="G1174"/>
    </row>
    <row r="1175" spans="1:7" ht="12.75">
      <c r="A1175" s="191"/>
      <c r="B1175" s="191"/>
      <c r="C1175" s="191"/>
      <c r="D1175" s="979"/>
      <c r="E1175" s="979"/>
      <c r="F1175" s="979"/>
      <c r="G1175"/>
    </row>
    <row r="1176" spans="1:7" ht="12.75">
      <c r="A1176" s="191"/>
      <c r="B1176" s="191"/>
      <c r="C1176" s="191"/>
      <c r="D1176" s="24"/>
      <c r="E1176" s="24"/>
      <c r="F1176" s="24"/>
      <c r="G1176"/>
    </row>
    <row r="1177" spans="1:7" ht="12.75">
      <c r="A1177" s="191"/>
      <c r="B1177" s="609" t="s">
        <v>124</v>
      </c>
      <c r="C1177" s="191"/>
      <c r="D1177" s="972" t="s">
        <v>1756</v>
      </c>
      <c r="E1177" s="979"/>
      <c r="F1177" s="979"/>
      <c r="G1177"/>
    </row>
    <row r="1178" spans="1:7" ht="12.75">
      <c r="A1178" s="191"/>
      <c r="B1178" s="191"/>
      <c r="C1178" s="191"/>
      <c r="D1178" s="979"/>
      <c r="E1178" s="979"/>
      <c r="F1178" s="979"/>
      <c r="G1178"/>
    </row>
    <row r="1179" spans="1:7" ht="12.75">
      <c r="A1179" s="191"/>
      <c r="B1179" s="191"/>
      <c r="C1179" s="191"/>
      <c r="D1179" s="24"/>
      <c r="E1179" s="24"/>
      <c r="F1179" s="24"/>
      <c r="G1179"/>
    </row>
    <row r="1180" spans="1:7" ht="14.25">
      <c r="A1180" s="271"/>
      <c r="B1180" s="609" t="s">
        <v>124</v>
      </c>
      <c r="D1180" s="999" t="s">
        <v>1668</v>
      </c>
      <c r="E1180" s="999"/>
      <c r="F1180" s="999"/>
      <c r="G1180"/>
    </row>
    <row r="1181" spans="1:7" ht="12.75">
      <c r="G1181"/>
    </row>
    <row r="1182" spans="1:7" ht="14.25">
      <c r="A1182" s="271"/>
      <c r="B1182" s="609" t="s">
        <v>124</v>
      </c>
      <c r="D1182" s="999" t="s">
        <v>1669</v>
      </c>
      <c r="E1182" s="999"/>
      <c r="F1182" s="999"/>
      <c r="G1182"/>
    </row>
    <row r="1183" spans="1:7" ht="12.75">
      <c r="D1183" s="44"/>
      <c r="G1183"/>
    </row>
    <row r="1184" spans="1:7" ht="14.25">
      <c r="A1184" s="271"/>
      <c r="B1184" s="609" t="s">
        <v>1376</v>
      </c>
      <c r="D1184" s="999" t="s">
        <v>1670</v>
      </c>
      <c r="E1184" s="999"/>
      <c r="F1184" s="999"/>
      <c r="G1184"/>
    </row>
    <row r="1185" spans="1:7" ht="12.75">
      <c r="D1185" s="44"/>
      <c r="G1185"/>
    </row>
    <row r="1186" spans="1:7" ht="14.25">
      <c r="A1186" s="271"/>
      <c r="B1186" s="609" t="s">
        <v>1376</v>
      </c>
      <c r="D1186" s="979" t="s">
        <v>1671</v>
      </c>
      <c r="E1186" s="979"/>
      <c r="F1186" s="979"/>
      <c r="G1186"/>
    </row>
    <row r="1187" spans="1:7" ht="14.25">
      <c r="A1187" s="271"/>
      <c r="B1187" s="271"/>
      <c r="D1187" s="979"/>
      <c r="E1187" s="979"/>
      <c r="F1187" s="979"/>
      <c r="G1187"/>
    </row>
    <row r="1188" spans="1:7" ht="14.25">
      <c r="A1188" s="271"/>
      <c r="B1188" s="271"/>
      <c r="D1188" s="44"/>
    </row>
    <row r="1189" spans="1:7" s="448" customFormat="1" ht="14.25">
      <c r="A1189" s="289"/>
      <c r="B1189" s="609" t="s">
        <v>124</v>
      </c>
      <c r="C1189" s="290"/>
      <c r="D1189" s="997" t="s">
        <v>1672</v>
      </c>
      <c r="E1189" s="997"/>
      <c r="F1189" s="997"/>
      <c r="G1189" s="292"/>
    </row>
    <row r="1190" spans="1:7" s="448" customFormat="1" ht="12.75">
      <c r="A1190" s="290"/>
      <c r="B1190" s="290"/>
      <c r="C1190" s="290"/>
      <c r="D1190" s="997"/>
      <c r="E1190" s="997"/>
      <c r="F1190" s="997"/>
      <c r="G1190" s="292"/>
    </row>
    <row r="1191" spans="1:7" s="448" customFormat="1" ht="12.75">
      <c r="A1191" s="290"/>
      <c r="B1191" s="290"/>
      <c r="C1191" s="290"/>
      <c r="D1191" s="291"/>
      <c r="E1191" s="292"/>
      <c r="F1191" s="292"/>
      <c r="G1191" s="292"/>
    </row>
    <row r="1192" spans="1:7" s="448" customFormat="1" ht="14.25">
      <c r="A1192" s="289"/>
      <c r="B1192" s="609" t="s">
        <v>124</v>
      </c>
      <c r="C1192" s="290"/>
      <c r="D1192" s="998" t="s">
        <v>1673</v>
      </c>
      <c r="E1192" s="998"/>
      <c r="F1192" s="998"/>
      <c r="G1192" s="292"/>
    </row>
    <row r="1193" spans="1:7" s="448" customFormat="1" ht="12.75">
      <c r="A1193" s="290"/>
      <c r="B1193" s="290"/>
      <c r="C1193" s="290"/>
      <c r="D1193" s="291"/>
      <c r="E1193" s="292"/>
      <c r="F1193" s="292"/>
      <c r="G1193" s="292"/>
    </row>
    <row r="1194" spans="1:7" ht="14.25">
      <c r="A1194" s="271"/>
      <c r="B1194" s="609" t="s">
        <v>124</v>
      </c>
      <c r="D1194" s="999" t="s">
        <v>1674</v>
      </c>
      <c r="E1194" s="999"/>
      <c r="F1194" s="999"/>
    </row>
    <row r="1195" spans="1:7" ht="14.25">
      <c r="A1195" s="271"/>
      <c r="B1195" s="271"/>
      <c r="D1195" s="44"/>
    </row>
    <row r="1196" spans="1:7" ht="14.25">
      <c r="A1196" s="271"/>
      <c r="B1196" s="609" t="s">
        <v>124</v>
      </c>
      <c r="D1196" s="979" t="s">
        <v>1675</v>
      </c>
      <c r="E1196" s="979"/>
      <c r="F1196" s="979"/>
    </row>
    <row r="1197" spans="1:7" ht="14.25">
      <c r="A1197" s="271"/>
      <c r="B1197" s="271"/>
      <c r="D1197" s="979"/>
      <c r="E1197" s="979"/>
      <c r="F1197" s="979"/>
    </row>
    <row r="1198" spans="1:7" ht="12.75"/>
    <row r="1199" spans="1:7" ht="12.75">
      <c r="A1199" s="1033" t="s">
        <v>2010</v>
      </c>
      <c r="B1199" s="1033"/>
      <c r="C1199" s="1033"/>
      <c r="D1199" s="1033"/>
      <c r="E1199" s="1033"/>
      <c r="F1199" s="1033"/>
      <c r="G1199" s="1033"/>
    </row>
    <row r="1200" spans="1:7" ht="12.75"/>
    <row r="1201" spans="1:7" ht="12.75">
      <c r="A1201" s="1033" t="s">
        <v>1405</v>
      </c>
      <c r="B1201" s="1033"/>
      <c r="C1201" s="1033"/>
      <c r="D1201" s="1033"/>
      <c r="E1201" s="1033"/>
      <c r="F1201" s="1033"/>
      <c r="G1201" s="1033"/>
    </row>
    <row r="1202" spans="1:7" ht="12.75"/>
    <row r="1203" spans="1:7" ht="12.75">
      <c r="D1203" s="1003" t="s">
        <v>1511</v>
      </c>
      <c r="E1203" s="1003"/>
      <c r="F1203" s="1003"/>
    </row>
    <row r="1204" spans="1:7" ht="12.75">
      <c r="D1204" s="1038" t="s">
        <v>1916</v>
      </c>
      <c r="E1204" s="1038"/>
      <c r="F1204" s="1038"/>
    </row>
    <row r="1205" spans="1:7" ht="12.75">
      <c r="A1205" s="190"/>
      <c r="B1205" s="190"/>
      <c r="C1205" s="190"/>
    </row>
    <row r="1206" spans="1:7" ht="14.25">
      <c r="A1206" s="271"/>
      <c r="B1206" s="271"/>
      <c r="C1206" s="191"/>
      <c r="D1206" s="1003" t="s">
        <v>1512</v>
      </c>
      <c r="E1206" s="1003"/>
      <c r="F1206" s="1003"/>
    </row>
    <row r="1207" spans="1:7" ht="12.75">
      <c r="B1207" s="609" t="s">
        <v>1376</v>
      </c>
      <c r="D1207" s="998" t="s">
        <v>1513</v>
      </c>
      <c r="E1207" s="998"/>
      <c r="F1207" s="998"/>
    </row>
    <row r="1208" spans="1:7" ht="12.75">
      <c r="D1208" s="1038" t="s">
        <v>1917</v>
      </c>
      <c r="E1208" s="1038"/>
      <c r="F1208" s="1038"/>
    </row>
    <row r="1209" spans="1:7" ht="12.75">
      <c r="G1209"/>
    </row>
    <row r="1210" spans="1:7" ht="12.75" customHeight="1">
      <c r="B1210" s="609" t="s">
        <v>124</v>
      </c>
      <c r="D1210" s="1022" t="s">
        <v>1834</v>
      </c>
      <c r="E1210" s="1022"/>
      <c r="F1210" s="1022"/>
      <c r="G1210"/>
    </row>
    <row r="1211" spans="1:7" ht="12.75">
      <c r="D1211" s="1022"/>
      <c r="E1211" s="1022"/>
      <c r="F1211" s="1022"/>
      <c r="G1211"/>
    </row>
    <row r="1212" spans="1:7" ht="12.75">
      <c r="G1212"/>
    </row>
    <row r="1213" spans="1:7" ht="12.75" customHeight="1"/>
    <row r="1214" spans="1:7" ht="12.75">
      <c r="A1214" s="1033" t="s">
        <v>1407</v>
      </c>
      <c r="B1214" s="1033"/>
      <c r="C1214" s="1033"/>
      <c r="D1214" s="1033"/>
      <c r="E1214" s="1033"/>
      <c r="F1214" s="1033"/>
      <c r="G1214" s="1033"/>
    </row>
    <row r="1215" spans="1:7" ht="12.75">
      <c r="A1215" s="44"/>
      <c r="B1215" s="44"/>
    </row>
    <row r="1216" spans="1:7" ht="12.75" customHeight="1">
      <c r="A1216" s="44"/>
      <c r="B1216" s="44"/>
      <c r="D1216" s="1000" t="s">
        <v>1406</v>
      </c>
      <c r="E1216" s="1000"/>
      <c r="F1216" s="1000"/>
    </row>
    <row r="1217" spans="1:7" ht="12.75" customHeight="1">
      <c r="A1217" s="44"/>
      <c r="B1217" s="44"/>
      <c r="D1217" s="999" t="s">
        <v>1413</v>
      </c>
      <c r="E1217" s="999"/>
      <c r="F1217" s="999"/>
    </row>
    <row r="1218" spans="1:7" ht="12.75" customHeight="1">
      <c r="A1218" s="44"/>
      <c r="B1218" s="44"/>
    </row>
    <row r="1219" spans="1:7" ht="14.25">
      <c r="A1219" s="271"/>
      <c r="B1219" s="609" t="s">
        <v>124</v>
      </c>
      <c r="D1219" s="1009" t="s">
        <v>1013</v>
      </c>
      <c r="E1219" s="1009"/>
      <c r="F1219" s="1009"/>
    </row>
    <row r="1220" spans="1:7" ht="12.75">
      <c r="D1220" s="999" t="s">
        <v>1133</v>
      </c>
      <c r="E1220" s="999"/>
      <c r="F1220" s="999"/>
    </row>
    <row r="1221" spans="1:7" ht="12.75">
      <c r="E1221" s="1024" t="s">
        <v>2093</v>
      </c>
      <c r="F1221" s="1024"/>
    </row>
    <row r="1222" spans="1:7" ht="12.75">
      <c r="D1222" s="3"/>
    </row>
    <row r="1223" spans="1:7" ht="12.75">
      <c r="D1223" s="1037" t="s">
        <v>1273</v>
      </c>
      <c r="E1223" s="1037"/>
      <c r="F1223" s="1037"/>
    </row>
    <row r="1224" spans="1:7" ht="12.75">
      <c r="B1224" s="609" t="s">
        <v>124</v>
      </c>
      <c r="D1224" s="972" t="s">
        <v>2094</v>
      </c>
      <c r="E1224" s="979"/>
      <c r="F1224" s="979"/>
      <c r="G1224"/>
    </row>
    <row r="1225" spans="1:7" ht="12.75">
      <c r="D1225" s="979"/>
      <c r="E1225" s="979"/>
      <c r="F1225" s="979"/>
      <c r="G1225"/>
    </row>
    <row r="1226" spans="1:7" ht="12.75">
      <c r="D1226" s="501" t="s">
        <v>1276</v>
      </c>
      <c r="E1226"/>
      <c r="F1226"/>
      <c r="G1226"/>
    </row>
    <row r="1227" spans="1:7" ht="13.7" customHeight="1">
      <c r="D1227" s="972" t="s">
        <v>2095</v>
      </c>
      <c r="E1227" s="979"/>
      <c r="F1227" s="979"/>
      <c r="G1227"/>
    </row>
    <row r="1228" spans="1:7" ht="12.75">
      <c r="D1228" s="979"/>
      <c r="E1228" s="979"/>
      <c r="F1228" s="979"/>
      <c r="G1228"/>
    </row>
    <row r="1229" spans="1:7" ht="12.75">
      <c r="D1229" s="979"/>
      <c r="E1229" s="979"/>
      <c r="F1229" s="979"/>
      <c r="G1229"/>
    </row>
    <row r="1230" spans="1:7" ht="12.75">
      <c r="D1230" s="979"/>
      <c r="E1230" s="979"/>
      <c r="F1230" s="979"/>
      <c r="G1230"/>
    </row>
    <row r="1231" spans="1:7" ht="12.75">
      <c r="D1231" s="1024" t="s">
        <v>1016</v>
      </c>
      <c r="E1231" s="1024"/>
      <c r="F1231" s="1024"/>
      <c r="G1231"/>
    </row>
    <row r="1232" spans="1:7" ht="12.75">
      <c r="B1232" s="609" t="s">
        <v>124</v>
      </c>
      <c r="D1232" s="1009" t="s">
        <v>1274</v>
      </c>
      <c r="E1232" s="1009"/>
      <c r="F1232" s="1009"/>
      <c r="G1232"/>
    </row>
    <row r="1233" spans="1:7" ht="12.75">
      <c r="E1233"/>
      <c r="F1233"/>
      <c r="G1233"/>
    </row>
    <row r="1234" spans="1:7" ht="12.75">
      <c r="D1234" s="1039" t="s">
        <v>1275</v>
      </c>
      <c r="E1234" s="1039"/>
      <c r="F1234" s="1039"/>
      <c r="G1234"/>
    </row>
    <row r="1235" spans="1:7" ht="12.75">
      <c r="D1235" s="3" t="s">
        <v>1014</v>
      </c>
      <c r="E1235"/>
      <c r="F1235"/>
      <c r="G1235"/>
    </row>
    <row r="1236" spans="1:7" ht="14.45" customHeight="1">
      <c r="A1236" s="271"/>
      <c r="B1236" s="609" t="s">
        <v>124</v>
      </c>
      <c r="D1236" s="979" t="s">
        <v>1514</v>
      </c>
      <c r="E1236" s="979"/>
      <c r="F1236" s="979"/>
      <c r="G1236"/>
    </row>
    <row r="1237" spans="1:7" ht="14.25">
      <c r="A1237" s="271"/>
      <c r="B1237" s="271"/>
      <c r="D1237" s="979"/>
      <c r="E1237" s="979"/>
      <c r="F1237" s="979"/>
      <c r="G1237"/>
    </row>
    <row r="1238" spans="1:7" ht="14.25">
      <c r="A1238" s="271"/>
      <c r="B1238" s="271"/>
      <c r="D1238" s="979"/>
      <c r="E1238" s="979"/>
      <c r="F1238" s="979"/>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9" t="s">
        <v>1515</v>
      </c>
      <c r="E1241" s="979"/>
      <c r="F1241" s="979"/>
    </row>
    <row r="1242" spans="1:7" ht="14.25">
      <c r="A1242" s="271"/>
      <c r="B1242" s="271"/>
      <c r="D1242" s="979"/>
      <c r="E1242" s="979"/>
      <c r="F1242" s="979"/>
    </row>
    <row r="1243" spans="1:7" ht="14.25">
      <c r="A1243" s="271"/>
      <c r="B1243" s="271"/>
      <c r="D1243" s="979"/>
      <c r="E1243" s="979"/>
      <c r="F1243" s="979"/>
    </row>
    <row r="1244" spans="1:7" ht="14.25">
      <c r="A1244" s="271"/>
      <c r="B1244" s="271"/>
      <c r="D1244" s="979"/>
      <c r="E1244" s="979"/>
      <c r="F1244" s="979"/>
    </row>
    <row r="1245" spans="1:7" ht="14.25">
      <c r="A1245" s="271"/>
      <c r="B1245" s="271"/>
      <c r="D1245" s="979"/>
      <c r="E1245" s="979"/>
      <c r="F1245" s="979"/>
    </row>
    <row r="1246" spans="1:7" ht="12.75" customHeight="1">
      <c r="A1246" s="44"/>
      <c r="B1246" s="44"/>
    </row>
    <row r="1247" spans="1:7" ht="12.75">
      <c r="A1247" s="1033" t="s">
        <v>1438</v>
      </c>
      <c r="B1247" s="1033"/>
      <c r="C1247" s="1033"/>
      <c r="D1247" s="1033"/>
      <c r="E1247" s="1033"/>
      <c r="F1247" s="1033"/>
      <c r="G1247" s="1033"/>
    </row>
    <row r="1248" spans="1:7" ht="12.75">
      <c r="A1248" s="44"/>
      <c r="B1248" s="44"/>
    </row>
    <row r="1249" spans="1:7" ht="12.75">
      <c r="A1249" s="44"/>
      <c r="B1249" s="44"/>
      <c r="D1249" s="1029" t="s">
        <v>1439</v>
      </c>
      <c r="E1249" s="1029"/>
      <c r="F1249" s="1029"/>
    </row>
    <row r="1250" spans="1:7" ht="12.75">
      <c r="A1250" s="268"/>
      <c r="B1250" s="268"/>
      <c r="C1250" s="268"/>
      <c r="D1250" s="1009" t="s">
        <v>1452</v>
      </c>
      <c r="E1250" s="1009"/>
      <c r="F1250" s="1009"/>
      <c r="G1250" s="269"/>
    </row>
    <row r="1251" spans="1:7" ht="10.5" customHeight="1"/>
    <row r="1252" spans="1:7" ht="14.25">
      <c r="A1252" s="271"/>
      <c r="B1252" s="609" t="s">
        <v>124</v>
      </c>
      <c r="D1252" s="1009" t="s">
        <v>1134</v>
      </c>
      <c r="E1252" s="1009"/>
      <c r="F1252" s="1009"/>
    </row>
    <row r="1253" spans="1:7" ht="12.75">
      <c r="E1253" s="1024" t="s">
        <v>2096</v>
      </c>
      <c r="F1253" s="1024"/>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Z653" sqref="Z653:AK653"/>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6" t="s">
        <v>792</v>
      </c>
      <c r="B9" s="1576"/>
      <c r="C9" s="1576"/>
      <c r="D9" s="1576"/>
      <c r="E9" s="1576"/>
      <c r="F9" s="1576"/>
      <c r="G9" s="1576"/>
      <c r="H9" s="1576"/>
      <c r="I9" s="1576"/>
      <c r="J9" s="1576"/>
      <c r="K9" s="1576"/>
      <c r="L9" s="1576"/>
      <c r="M9" s="1576"/>
      <c r="N9" s="1576"/>
      <c r="O9" s="1576"/>
      <c r="P9" s="1576"/>
      <c r="Q9" s="1576"/>
      <c r="R9" s="1576"/>
      <c r="S9" s="1576"/>
      <c r="T9" s="1576"/>
      <c r="U9" s="1576"/>
      <c r="V9" s="1576"/>
      <c r="W9" s="1576"/>
      <c r="X9" s="1576"/>
      <c r="Y9" s="1576"/>
      <c r="Z9" s="1576"/>
      <c r="AA9" s="1576"/>
      <c r="AB9" s="1576"/>
      <c r="AC9" s="1576"/>
      <c r="AD9" s="1576"/>
      <c r="AE9" s="1576"/>
      <c r="AF9" s="1576"/>
      <c r="AG9" s="1576"/>
      <c r="AH9" s="1576"/>
      <c r="AI9" s="1576"/>
      <c r="AJ9" s="1576"/>
      <c r="AK9" s="1576"/>
      <c r="AL9" s="1576"/>
      <c r="AM9" s="1576"/>
      <c r="AN9" s="1576"/>
      <c r="AO9" s="1576"/>
      <c r="AP9" s="1576"/>
      <c r="AQ9" s="1576"/>
      <c r="AR9" s="1576"/>
      <c r="AS9" s="1576"/>
      <c r="AT9" s="1576"/>
    </row>
    <row r="10" spans="1:46" s="659" customFormat="1" ht="12.95" customHeight="1">
      <c r="A10" s="1577" t="s">
        <v>2301</v>
      </c>
      <c r="B10" s="1577"/>
      <c r="C10" s="1577"/>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row>
    <row r="11" spans="1:46" s="41" customFormat="1" ht="12.95" customHeight="1">
      <c r="A11" s="1578" t="s">
        <v>2321</v>
      </c>
      <c r="B11" s="1578"/>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8"/>
      <c r="AN11" s="1578"/>
      <c r="AO11" s="1578"/>
      <c r="AP11" s="1578"/>
      <c r="AQ11" s="1578"/>
      <c r="AR11" s="1578"/>
      <c r="AS11" s="1578"/>
      <c r="AT11" s="1578"/>
    </row>
    <row r="12" spans="1:46" ht="12.95" customHeight="1">
      <c r="A12" s="982" t="s">
        <v>1873</v>
      </c>
      <c r="B12" s="982"/>
      <c r="C12" s="982"/>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c r="AL12" s="982"/>
      <c r="AM12" s="982"/>
      <c r="AN12" s="982"/>
      <c r="AO12" s="982"/>
      <c r="AP12" s="982"/>
      <c r="AQ12" s="982"/>
      <c r="AR12" s="982"/>
      <c r="AS12" s="982"/>
      <c r="AT12" s="982"/>
    </row>
    <row r="13" spans="1:46" ht="12.95" customHeight="1">
      <c r="A13" s="982"/>
      <c r="B13" s="982"/>
      <c r="C13" s="982"/>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057" t="s">
        <v>2322</v>
      </c>
      <c r="I15" s="1057"/>
      <c r="J15" s="1057"/>
      <c r="K15" s="1057"/>
      <c r="L15" s="1057"/>
      <c r="M15" s="1057"/>
      <c r="N15" s="1057"/>
      <c r="O15" s="1057"/>
      <c r="P15" s="1057"/>
      <c r="Q15" s="1057"/>
      <c r="R15" s="1057"/>
      <c r="S15" s="1057"/>
      <c r="T15" s="1057"/>
      <c r="U15" s="1057"/>
      <c r="V15" s="1057"/>
      <c r="W15" s="1057"/>
      <c r="X15" s="1057"/>
      <c r="Y15" s="1057"/>
      <c r="Z15" s="1057"/>
      <c r="AA15" s="1057"/>
      <c r="AB15" s="1057"/>
      <c r="AC15" s="1057"/>
      <c r="AD15" s="1057"/>
      <c r="AE15" s="1057"/>
      <c r="AF15" s="1057"/>
      <c r="AG15" s="1057"/>
      <c r="AH15" s="1057"/>
      <c r="AI15" s="1057"/>
      <c r="AJ15" s="1057"/>
    </row>
    <row r="16" spans="1:46" ht="12.95" customHeight="1"/>
    <row r="17" spans="1:46" ht="12.95" customHeight="1">
      <c r="A17" s="63" t="s">
        <v>793</v>
      </c>
      <c r="C17" s="5"/>
      <c r="D17" s="5"/>
      <c r="E17" s="5"/>
      <c r="F17" s="5"/>
      <c r="G17" s="5"/>
      <c r="H17" s="1058" t="s">
        <v>2323</v>
      </c>
      <c r="I17" s="1058"/>
      <c r="J17" s="1058"/>
      <c r="K17" s="1058"/>
      <c r="L17" s="1058"/>
      <c r="M17" s="1058"/>
      <c r="N17" s="1058"/>
      <c r="O17" s="1058"/>
      <c r="P17" s="1058"/>
      <c r="Q17" s="1058"/>
      <c r="R17" s="1058"/>
      <c r="S17" s="1058"/>
      <c r="T17" s="1058"/>
      <c r="U17" s="1058"/>
      <c r="V17" s="1058"/>
      <c r="W17" s="1058"/>
      <c r="X17" s="1058"/>
      <c r="Y17" s="1058"/>
      <c r="Z17" s="1058"/>
      <c r="AA17" s="1058"/>
      <c r="AB17" s="1058"/>
      <c r="AC17" s="1058"/>
      <c r="AD17" s="1058"/>
      <c r="AE17" s="1058"/>
      <c r="AF17" s="1058"/>
      <c r="AG17" s="1058"/>
      <c r="AH17" s="1058"/>
      <c r="AI17" s="1058"/>
      <c r="AJ17" s="1058"/>
    </row>
    <row r="18" spans="1:46" ht="12.95" customHeight="1"/>
    <row r="19" spans="1:46" ht="12.95" customHeight="1">
      <c r="A19" s="991" t="s">
        <v>1101</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6" ht="12.95" customHeight="1">
      <c r="A20" s="1071" t="s">
        <v>1352</v>
      </c>
      <c r="B20" s="1071"/>
      <c r="C20" s="1071"/>
      <c r="D20" s="1071"/>
      <c r="E20" s="1071"/>
      <c r="F20" s="1071"/>
      <c r="G20" s="1071"/>
      <c r="H20" s="1071"/>
      <c r="I20" s="1071"/>
      <c r="J20" s="1071"/>
      <c r="K20" s="1071"/>
      <c r="L20" s="1071"/>
      <c r="M20" s="1071"/>
      <c r="N20" s="1071"/>
      <c r="O20" s="1071"/>
      <c r="P20" s="1071"/>
      <c r="Q20" s="1071"/>
      <c r="R20" s="1071"/>
      <c r="S20" s="1071"/>
      <c r="T20" s="1071"/>
      <c r="U20" s="1071"/>
      <c r="V20" s="1071"/>
      <c r="W20" s="1071"/>
      <c r="X20" s="1071"/>
      <c r="Y20" s="1071"/>
      <c r="Z20" s="1071"/>
      <c r="AA20" s="1071"/>
      <c r="AB20" s="1071"/>
      <c r="AC20" s="1071"/>
      <c r="AD20" s="1071"/>
      <c r="AE20" s="1071"/>
      <c r="AF20" s="1071"/>
      <c r="AG20" s="1071"/>
      <c r="AH20" s="1071"/>
      <c r="AI20" s="1071"/>
      <c r="AJ20" s="1071"/>
      <c r="AK20" s="1071"/>
      <c r="AL20" s="107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6" t="s">
        <v>2251</v>
      </c>
      <c r="B22" s="996"/>
      <c r="C22" s="996"/>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996"/>
    </row>
    <row r="23" spans="1:46" ht="12.95" customHeight="1">
      <c r="A23" s="996"/>
      <c r="B23" s="996"/>
      <c r="C23" s="996"/>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6"/>
      <c r="AQ23" s="996"/>
      <c r="AR23" s="996"/>
      <c r="AS23" s="996"/>
      <c r="AT23" s="99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1">
        <f>ROUND('Basis &amp; Credits'!AB55,0)</f>
        <v>2500000</v>
      </c>
      <c r="N25" s="1411"/>
      <c r="O25" s="1411"/>
      <c r="P25" s="1411"/>
      <c r="Q25" s="1411"/>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1">
        <f>'Basis &amp; Credits'!AB76</f>
        <v>3666481</v>
      </c>
      <c r="N27" s="1411"/>
      <c r="O27" s="1411"/>
      <c r="P27" s="1411"/>
      <c r="Q27" s="1411"/>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6" t="s">
        <v>2252</v>
      </c>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996"/>
      <c r="AO29" s="996"/>
      <c r="AP29" s="996"/>
      <c r="AQ29" s="996"/>
      <c r="AR29" s="996"/>
      <c r="AS29" s="996"/>
      <c r="AT29" s="996"/>
    </row>
    <row r="30" spans="1:46" s="776" customFormat="1" ht="12.95" customHeight="1">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996"/>
    </row>
    <row r="31" spans="1:46" s="776" customFormat="1" ht="12.95" customHeight="1">
      <c r="A31" s="996"/>
      <c r="B31" s="996"/>
      <c r="C31" s="996"/>
      <c r="D31" s="996"/>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c r="AT31" s="996"/>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2250</v>
      </c>
      <c r="B33"/>
      <c r="C33" s="102"/>
      <c r="D33" s="102"/>
      <c r="E33" s="102"/>
      <c r="F33" s="102"/>
      <c r="G33" s="102"/>
      <c r="H33" s="102"/>
      <c r="I33" s="102"/>
      <c r="J33" s="102"/>
      <c r="K33" s="102"/>
      <c r="L33" s="102"/>
      <c r="M33" s="102"/>
      <c r="N33" s="102"/>
      <c r="O33" s="1066" t="s">
        <v>482</v>
      </c>
      <c r="P33" s="1066"/>
      <c r="Q33" s="1579" t="s">
        <v>2253</v>
      </c>
      <c r="R33" s="1579"/>
      <c r="S33" s="1579"/>
      <c r="T33" s="1579"/>
      <c r="U33" s="1579"/>
      <c r="V33" s="1579"/>
      <c r="W33" s="1579"/>
      <c r="X33" s="1579"/>
      <c r="Y33" s="1579"/>
      <c r="Z33" s="1579"/>
      <c r="AA33" s="1579"/>
      <c r="AB33" s="1579"/>
      <c r="AC33" s="1579"/>
      <c r="AD33" s="1579"/>
      <c r="AE33" s="1579"/>
      <c r="AF33" s="1579"/>
      <c r="AG33" s="1579"/>
      <c r="AH33" s="1579"/>
      <c r="AI33" s="1579"/>
      <c r="AJ33" s="1579"/>
      <c r="AK33" s="1579"/>
      <c r="AL33" s="1579"/>
      <c r="AM33" s="1579"/>
      <c r="AN33" s="1579"/>
      <c r="AO33" s="1579"/>
      <c r="AP33" s="1579"/>
      <c r="AQ33" s="1579"/>
      <c r="AR33" s="1579"/>
      <c r="AS33" s="1579"/>
      <c r="AT33" s="1579"/>
    </row>
    <row r="34" spans="1:46" ht="12.95" customHeight="1">
      <c r="A34" s="992" t="s">
        <v>2254</v>
      </c>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row>
    <row r="35" spans="1:46" ht="12.95" customHeight="1">
      <c r="A35" s="992"/>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row>
    <row r="36" spans="1:46" ht="12.95" customHeight="1">
      <c r="A36" s="992"/>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row>
    <row r="37" spans="1:46" ht="12.95" customHeight="1">
      <c r="A37" s="992"/>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row>
    <row r="38" spans="1:46" ht="12.95" customHeight="1">
      <c r="AM38" s="19"/>
    </row>
    <row r="39" spans="1:46" s="776" customFormat="1" ht="12.95" customHeight="1">
      <c r="A39" s="996" t="s">
        <v>2255</v>
      </c>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O39" s="996"/>
      <c r="AP39" s="996"/>
      <c r="AQ39" s="996"/>
      <c r="AR39" s="996"/>
      <c r="AS39" s="996"/>
      <c r="AT39" s="996"/>
    </row>
    <row r="40" spans="1:46" s="776" customFormat="1" ht="12.95" customHeight="1">
      <c r="A40" s="996"/>
      <c r="B40" s="996"/>
      <c r="C40" s="996"/>
      <c r="D40" s="996"/>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96"/>
      <c r="AT40" s="996"/>
    </row>
    <row r="41" spans="1:46" s="776" customFormat="1" ht="12.95" customHeight="1">
      <c r="A41" s="996"/>
      <c r="B41" s="996"/>
      <c r="C41" s="996"/>
      <c r="D41" s="996"/>
      <c r="E41" s="996"/>
      <c r="F41" s="996"/>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996"/>
    </row>
    <row r="42" spans="1:46" s="776" customFormat="1" ht="12.95" customHeight="1">
      <c r="A42" s="996"/>
      <c r="B42" s="996"/>
      <c r="C42" s="996"/>
      <c r="D42" s="996"/>
      <c r="E42" s="996"/>
      <c r="F42" s="996"/>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c r="AL42" s="996"/>
      <c r="AM42" s="996"/>
      <c r="AN42" s="996"/>
      <c r="AO42" s="996"/>
      <c r="AP42" s="996"/>
      <c r="AQ42" s="996"/>
      <c r="AR42" s="996"/>
      <c r="AS42" s="996"/>
      <c r="AT42" s="996"/>
    </row>
    <row r="43" spans="1:46" s="776" customFormat="1" ht="12.95" customHeight="1">
      <c r="A43" s="996"/>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6"/>
      <c r="AQ43" s="996"/>
      <c r="AR43" s="996"/>
      <c r="AS43" s="996"/>
      <c r="AT43" s="996"/>
    </row>
    <row r="44" spans="1:46" s="776" customFormat="1" ht="12.95" customHeight="1">
      <c r="A44" s="996"/>
      <c r="B44" s="996"/>
      <c r="C44" s="996"/>
      <c r="D44" s="996"/>
      <c r="E44" s="996"/>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c r="AL44" s="996"/>
      <c r="AM44" s="996"/>
      <c r="AN44" s="996"/>
      <c r="AO44" s="996"/>
      <c r="AP44" s="996"/>
      <c r="AQ44" s="996"/>
      <c r="AR44" s="996"/>
      <c r="AS44" s="996"/>
      <c r="AT44" s="996"/>
    </row>
    <row r="45" spans="1:46" s="776" customFormat="1" ht="12.95" customHeight="1">
      <c r="A45" s="996"/>
      <c r="B45" s="996"/>
      <c r="C45" s="996"/>
      <c r="D45" s="996"/>
      <c r="E45" s="996"/>
      <c r="F45" s="996"/>
      <c r="G45" s="996"/>
      <c r="H45" s="996"/>
      <c r="I45" s="996"/>
      <c r="J45" s="996"/>
      <c r="K45" s="996"/>
      <c r="L45" s="996"/>
      <c r="M45" s="996"/>
      <c r="N45" s="996"/>
      <c r="O45" s="996"/>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O45" s="996"/>
      <c r="AP45" s="996"/>
      <c r="AQ45" s="996"/>
      <c r="AR45" s="996"/>
      <c r="AS45" s="996"/>
      <c r="AT45" s="996"/>
    </row>
    <row r="46" spans="1:46" s="776" customFormat="1" ht="12.95" customHeight="1">
      <c r="A46" s="996"/>
      <c r="B46" s="996"/>
      <c r="C46" s="996"/>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6"/>
      <c r="AB46" s="996"/>
      <c r="AC46" s="996"/>
      <c r="AD46" s="996"/>
      <c r="AE46" s="996"/>
      <c r="AF46" s="996"/>
      <c r="AG46" s="996"/>
      <c r="AH46" s="996"/>
      <c r="AI46" s="996"/>
      <c r="AJ46" s="996"/>
      <c r="AK46" s="996"/>
      <c r="AL46" s="996"/>
      <c r="AM46" s="996"/>
      <c r="AN46" s="996"/>
      <c r="AO46" s="996"/>
      <c r="AP46" s="996"/>
      <c r="AQ46" s="996"/>
      <c r="AR46" s="996"/>
      <c r="AS46" s="996"/>
      <c r="AT46" s="996"/>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6" t="s">
        <v>2256</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6"/>
      <c r="AO48" s="996"/>
      <c r="AP48" s="996"/>
      <c r="AQ48" s="996"/>
      <c r="AR48" s="996"/>
      <c r="AS48" s="996"/>
      <c r="AT48" s="996"/>
    </row>
    <row r="49" spans="1:16384" s="776" customFormat="1" ht="12.95" customHeight="1">
      <c r="A49" s="996"/>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6"/>
      <c r="AO49" s="996"/>
      <c r="AP49" s="996"/>
      <c r="AQ49" s="996"/>
      <c r="AR49" s="996"/>
      <c r="AS49" s="996"/>
      <c r="AT49" s="996"/>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2257</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2259</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2262</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6" t="s">
        <v>2264</v>
      </c>
      <c r="B74" s="996"/>
      <c r="C74" s="996"/>
      <c r="D74" s="996"/>
      <c r="E74" s="996"/>
      <c r="F74" s="996"/>
      <c r="G74" s="996"/>
      <c r="H74" s="996"/>
      <c r="I74" s="996"/>
      <c r="J74" s="996"/>
      <c r="K74" s="996"/>
      <c r="L74" s="996"/>
      <c r="M74" s="996"/>
      <c r="N74" s="996"/>
      <c r="O74" s="996"/>
      <c r="P74" s="996"/>
      <c r="Q74" s="996"/>
      <c r="R74" s="996"/>
      <c r="S74" s="996"/>
      <c r="T74" s="996"/>
      <c r="U74" s="996"/>
      <c r="V74" s="996"/>
      <c r="W74" s="996"/>
      <c r="X74" s="996"/>
      <c r="Y74" s="996"/>
      <c r="Z74" s="996"/>
      <c r="AA74" s="996"/>
      <c r="AB74" s="996"/>
      <c r="AC74" s="996"/>
      <c r="AD74" s="996"/>
      <c r="AE74" s="996"/>
      <c r="AF74" s="996"/>
      <c r="AG74" s="996"/>
      <c r="AH74" s="996"/>
      <c r="AI74" s="996"/>
      <c r="AJ74" s="996"/>
      <c r="AK74" s="996"/>
      <c r="AL74" s="996"/>
      <c r="AM74" s="996"/>
      <c r="AN74" s="996"/>
      <c r="AO74" s="996"/>
      <c r="AP74" s="996"/>
      <c r="AQ74" s="996"/>
      <c r="AR74" s="996"/>
      <c r="AS74" s="996"/>
      <c r="AT74" s="996"/>
    </row>
    <row r="75" spans="1:46" s="776" customFormat="1" ht="12.95" customHeight="1">
      <c r="A75" s="996"/>
      <c r="B75" s="996"/>
      <c r="C75" s="996"/>
      <c r="D75" s="996"/>
      <c r="E75" s="996"/>
      <c r="F75" s="996"/>
      <c r="G75" s="996"/>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c r="AL75" s="996"/>
      <c r="AM75" s="996"/>
      <c r="AN75" s="996"/>
      <c r="AO75" s="996"/>
      <c r="AP75" s="996"/>
      <c r="AQ75" s="996"/>
      <c r="AR75" s="996"/>
      <c r="AS75" s="996"/>
      <c r="AT75" s="996"/>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2265</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2266</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6" t="s">
        <v>2267</v>
      </c>
      <c r="B85" s="996"/>
      <c r="C85" s="996"/>
      <c r="D85" s="99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996"/>
      <c r="AE85" s="996"/>
      <c r="AF85" s="996"/>
      <c r="AG85" s="996"/>
      <c r="AH85" s="996"/>
      <c r="AI85" s="996"/>
      <c r="AJ85" s="996"/>
      <c r="AK85" s="996"/>
      <c r="AL85" s="996"/>
      <c r="AM85" s="996"/>
      <c r="AN85" s="996"/>
      <c r="AO85" s="996"/>
      <c r="AP85" s="996"/>
      <c r="AQ85" s="996"/>
      <c r="AR85" s="996"/>
      <c r="AS85" s="996"/>
      <c r="AT85" s="996"/>
    </row>
    <row r="86" spans="1:16384" s="776" customFormat="1" ht="12.95" customHeight="1">
      <c r="A86" s="996"/>
      <c r="B86" s="996"/>
      <c r="C86" s="996"/>
      <c r="D86" s="996"/>
      <c r="E86" s="996"/>
      <c r="F86" s="996"/>
      <c r="G86" s="996"/>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c r="AL86" s="996"/>
      <c r="AM86" s="996"/>
      <c r="AN86" s="996"/>
      <c r="AO86" s="996"/>
      <c r="AP86" s="996"/>
      <c r="AQ86" s="996"/>
      <c r="AR86" s="996"/>
      <c r="AS86" s="996"/>
      <c r="AT86" s="996"/>
    </row>
    <row r="87" spans="1:16384" ht="12.95" customHeight="1">
      <c r="AM87" s="19"/>
    </row>
    <row r="88" spans="1:16384" s="210" customFormat="1" ht="12.95" customHeight="1">
      <c r="A88" s="996" t="s">
        <v>2268</v>
      </c>
      <c r="B88" s="996"/>
      <c r="C88" s="996"/>
      <c r="D88" s="996"/>
      <c r="E88" s="996"/>
      <c r="F88" s="996"/>
      <c r="G88" s="996"/>
      <c r="H88" s="996"/>
      <c r="I88" s="996"/>
      <c r="J88" s="996"/>
      <c r="K88" s="996"/>
      <c r="L88" s="996"/>
      <c r="M88" s="996"/>
      <c r="N88" s="996"/>
      <c r="O88" s="996"/>
      <c r="P88" s="996"/>
      <c r="Q88" s="996"/>
      <c r="R88" s="996"/>
      <c r="S88" s="996"/>
      <c r="T88" s="996"/>
      <c r="U88" s="996"/>
      <c r="V88" s="996"/>
      <c r="W88" s="996"/>
      <c r="X88" s="996"/>
      <c r="Y88" s="996"/>
      <c r="Z88" s="996"/>
      <c r="AA88" s="996"/>
      <c r="AB88" s="996"/>
      <c r="AC88" s="996"/>
      <c r="AD88" s="996"/>
      <c r="AE88" s="996"/>
      <c r="AF88" s="996"/>
      <c r="AG88" s="996"/>
      <c r="AH88" s="996"/>
      <c r="AI88" s="996"/>
      <c r="AJ88" s="996"/>
      <c r="AK88" s="996"/>
      <c r="AL88" s="996"/>
      <c r="AM88" s="996"/>
      <c r="AN88" s="996"/>
      <c r="AO88" s="996"/>
      <c r="AP88" s="996"/>
      <c r="AQ88" s="996"/>
      <c r="AR88" s="996"/>
      <c r="AS88" s="996"/>
      <c r="AT88" s="996"/>
      <c r="AU88" s="996"/>
      <c r="AV88" s="996"/>
      <c r="AW88" s="996"/>
      <c r="AX88" s="996"/>
      <c r="AY88" s="996"/>
      <c r="AZ88" s="996"/>
      <c r="BA88" s="996"/>
      <c r="BB88" s="996"/>
      <c r="BC88" s="996"/>
      <c r="BD88" s="996"/>
      <c r="BE88" s="996"/>
      <c r="BF88" s="996"/>
      <c r="BG88" s="996"/>
      <c r="BH88" s="996"/>
      <c r="BI88" s="996"/>
      <c r="BJ88" s="996"/>
      <c r="BK88" s="996"/>
      <c r="BL88" s="996"/>
      <c r="BM88" s="996"/>
      <c r="BN88" s="996"/>
      <c r="BO88" s="996"/>
      <c r="BP88" s="996"/>
      <c r="BQ88" s="996"/>
      <c r="BR88" s="996"/>
      <c r="BS88" s="996"/>
      <c r="BT88" s="996"/>
      <c r="BU88" s="996"/>
      <c r="BV88" s="996"/>
      <c r="BW88" s="996"/>
      <c r="BX88" s="996"/>
      <c r="BY88" s="996"/>
      <c r="BZ88" s="996"/>
      <c r="CA88" s="996"/>
      <c r="CB88" s="996"/>
      <c r="CC88" s="996"/>
      <c r="CD88" s="996"/>
      <c r="CE88" s="996"/>
      <c r="CF88" s="996"/>
      <c r="CG88" s="996"/>
      <c r="CH88" s="996"/>
      <c r="CI88" s="996"/>
      <c r="CJ88" s="996"/>
      <c r="CK88" s="996"/>
      <c r="CL88" s="996"/>
      <c r="CM88" s="996"/>
      <c r="CN88" s="996"/>
      <c r="CO88" s="996"/>
      <c r="CP88" s="996"/>
      <c r="CQ88" s="996"/>
      <c r="CR88" s="996"/>
      <c r="CS88" s="996"/>
      <c r="CT88" s="996"/>
      <c r="CU88" s="996"/>
      <c r="CV88" s="996"/>
      <c r="CW88" s="996"/>
      <c r="CX88" s="996"/>
      <c r="CY88" s="996"/>
      <c r="CZ88" s="996"/>
      <c r="DA88" s="996"/>
      <c r="DB88" s="996"/>
      <c r="DC88" s="996"/>
      <c r="DD88" s="996"/>
      <c r="DE88" s="996"/>
      <c r="DF88" s="996"/>
      <c r="DG88" s="996"/>
      <c r="DH88" s="996"/>
      <c r="DI88" s="996"/>
      <c r="DJ88" s="996"/>
      <c r="DK88" s="996"/>
      <c r="DL88" s="996"/>
      <c r="DM88" s="996"/>
      <c r="DN88" s="996"/>
      <c r="DO88" s="996"/>
      <c r="DP88" s="996"/>
      <c r="DQ88" s="996"/>
      <c r="DR88" s="996"/>
      <c r="DS88" s="996"/>
      <c r="DT88" s="996"/>
      <c r="DU88" s="996"/>
      <c r="DV88" s="996"/>
      <c r="DW88" s="996"/>
      <c r="DX88" s="996"/>
      <c r="DY88" s="996"/>
      <c r="DZ88" s="996"/>
      <c r="EA88" s="996"/>
      <c r="EB88" s="996"/>
      <c r="EC88" s="996"/>
      <c r="ED88" s="996"/>
      <c r="EE88" s="996"/>
      <c r="EF88" s="996"/>
      <c r="EG88" s="996"/>
      <c r="EH88" s="996"/>
      <c r="EI88" s="996"/>
      <c r="EJ88" s="996"/>
      <c r="EK88" s="996"/>
      <c r="EL88" s="996"/>
      <c r="EM88" s="996"/>
      <c r="EN88" s="996"/>
      <c r="EO88" s="996"/>
      <c r="EP88" s="996"/>
      <c r="EQ88" s="996"/>
      <c r="ER88" s="996"/>
      <c r="ES88" s="996"/>
      <c r="ET88" s="996"/>
      <c r="EU88" s="996"/>
      <c r="EV88" s="996"/>
      <c r="EW88" s="996"/>
      <c r="EX88" s="996"/>
      <c r="EY88" s="996"/>
      <c r="EZ88" s="996"/>
      <c r="FA88" s="996"/>
      <c r="FB88" s="996"/>
      <c r="FC88" s="996"/>
      <c r="FD88" s="996"/>
      <c r="FE88" s="996"/>
      <c r="FF88" s="996"/>
      <c r="FG88" s="996"/>
      <c r="FH88" s="996"/>
      <c r="FI88" s="996"/>
      <c r="FJ88" s="996"/>
      <c r="FK88" s="996"/>
      <c r="FL88" s="996"/>
      <c r="FM88" s="996"/>
      <c r="FN88" s="996"/>
      <c r="FO88" s="996"/>
      <c r="FP88" s="996"/>
      <c r="FQ88" s="996"/>
      <c r="FR88" s="996"/>
      <c r="FS88" s="996"/>
      <c r="FT88" s="996"/>
      <c r="FU88" s="996"/>
      <c r="FV88" s="996"/>
      <c r="FW88" s="996"/>
      <c r="FX88" s="996"/>
      <c r="FY88" s="996"/>
      <c r="FZ88" s="996"/>
      <c r="GA88" s="996"/>
      <c r="GB88" s="996"/>
      <c r="GC88" s="996"/>
      <c r="GD88" s="996"/>
      <c r="GE88" s="996"/>
      <c r="GF88" s="996"/>
      <c r="GG88" s="996"/>
      <c r="GH88" s="996"/>
      <c r="GI88" s="996"/>
      <c r="GJ88" s="996"/>
      <c r="GK88" s="996"/>
      <c r="GL88" s="996"/>
      <c r="GM88" s="996"/>
      <c r="GN88" s="996"/>
      <c r="GO88" s="996"/>
      <c r="GP88" s="996"/>
      <c r="GQ88" s="996"/>
      <c r="GR88" s="996"/>
      <c r="GS88" s="996"/>
      <c r="GT88" s="996"/>
      <c r="GU88" s="996"/>
      <c r="GV88" s="996"/>
      <c r="GW88" s="996"/>
      <c r="GX88" s="996"/>
      <c r="GY88" s="996"/>
      <c r="GZ88" s="996"/>
      <c r="HA88" s="996"/>
      <c r="HB88" s="996"/>
      <c r="HC88" s="996"/>
      <c r="HD88" s="996"/>
      <c r="HE88" s="996"/>
      <c r="HF88" s="996"/>
      <c r="HG88" s="996"/>
      <c r="HH88" s="996"/>
      <c r="HI88" s="996"/>
      <c r="HJ88" s="996"/>
      <c r="HK88" s="996"/>
      <c r="HL88" s="996"/>
      <c r="HM88" s="996"/>
      <c r="HN88" s="996"/>
      <c r="HO88" s="996"/>
      <c r="HP88" s="996"/>
      <c r="HQ88" s="996"/>
      <c r="HR88" s="996"/>
      <c r="HS88" s="996"/>
      <c r="HT88" s="996"/>
      <c r="HU88" s="996"/>
      <c r="HV88" s="996"/>
      <c r="HW88" s="996"/>
      <c r="HX88" s="996"/>
      <c r="HY88" s="996"/>
      <c r="HZ88" s="996"/>
      <c r="IA88" s="996"/>
      <c r="IB88" s="996"/>
      <c r="IC88" s="996"/>
      <c r="ID88" s="996"/>
      <c r="IE88" s="996"/>
      <c r="IF88" s="996"/>
      <c r="IG88" s="996"/>
      <c r="IH88" s="996"/>
      <c r="II88" s="996"/>
      <c r="IJ88" s="996"/>
      <c r="IK88" s="996"/>
      <c r="IL88" s="996"/>
      <c r="IM88" s="996"/>
      <c r="IN88" s="996"/>
      <c r="IO88" s="996"/>
      <c r="IP88" s="996"/>
      <c r="IQ88" s="996"/>
      <c r="IR88" s="996"/>
      <c r="IS88" s="996"/>
      <c r="IT88" s="996"/>
      <c r="IU88" s="996"/>
      <c r="IV88" s="996"/>
      <c r="IW88" s="996"/>
      <c r="IX88" s="996"/>
      <c r="IY88" s="996"/>
      <c r="IZ88" s="996"/>
      <c r="JA88" s="996"/>
      <c r="JB88" s="996"/>
      <c r="JC88" s="996"/>
      <c r="JD88" s="996"/>
      <c r="JE88" s="996"/>
      <c r="JF88" s="996"/>
      <c r="JG88" s="996"/>
      <c r="JH88" s="996"/>
      <c r="JI88" s="996"/>
      <c r="JJ88" s="996"/>
      <c r="JK88" s="996"/>
      <c r="JL88" s="996"/>
      <c r="JM88" s="996"/>
      <c r="JN88" s="996"/>
      <c r="JO88" s="996"/>
      <c r="JP88" s="996"/>
      <c r="JQ88" s="996"/>
      <c r="JR88" s="996"/>
      <c r="JS88" s="996"/>
      <c r="JT88" s="996"/>
      <c r="JU88" s="996"/>
      <c r="JV88" s="996"/>
      <c r="JW88" s="996"/>
      <c r="JX88" s="996"/>
      <c r="JY88" s="996"/>
      <c r="JZ88" s="996"/>
      <c r="KA88" s="996"/>
      <c r="KB88" s="996"/>
      <c r="KC88" s="996"/>
      <c r="KD88" s="996"/>
      <c r="KE88" s="996"/>
      <c r="KF88" s="996"/>
      <c r="KG88" s="996"/>
      <c r="KH88" s="996"/>
      <c r="KI88" s="996"/>
      <c r="KJ88" s="996"/>
      <c r="KK88" s="996"/>
      <c r="KL88" s="996"/>
      <c r="KM88" s="996"/>
      <c r="KN88" s="996"/>
      <c r="KO88" s="996"/>
      <c r="KP88" s="996"/>
      <c r="KQ88" s="996"/>
      <c r="KR88" s="996"/>
      <c r="KS88" s="996"/>
      <c r="KT88" s="996"/>
      <c r="KU88" s="996"/>
      <c r="KV88" s="996"/>
      <c r="KW88" s="996"/>
      <c r="KX88" s="996"/>
      <c r="KY88" s="996"/>
      <c r="KZ88" s="996"/>
      <c r="LA88" s="996"/>
      <c r="LB88" s="996"/>
      <c r="LC88" s="996"/>
      <c r="LD88" s="996"/>
      <c r="LE88" s="996"/>
      <c r="LF88" s="996"/>
      <c r="LG88" s="996"/>
      <c r="LH88" s="996"/>
      <c r="LI88" s="996"/>
      <c r="LJ88" s="996"/>
      <c r="LK88" s="996"/>
      <c r="LL88" s="996"/>
      <c r="LM88" s="996"/>
      <c r="LN88" s="996"/>
      <c r="LO88" s="996"/>
      <c r="LP88" s="996"/>
      <c r="LQ88" s="996"/>
      <c r="LR88" s="996"/>
      <c r="LS88" s="996"/>
      <c r="LT88" s="996"/>
      <c r="LU88" s="996"/>
      <c r="LV88" s="996"/>
      <c r="LW88" s="996"/>
      <c r="LX88" s="996"/>
      <c r="LY88" s="996"/>
      <c r="LZ88" s="996"/>
      <c r="MA88" s="996"/>
      <c r="MB88" s="996"/>
      <c r="MC88" s="996"/>
      <c r="MD88" s="996"/>
      <c r="ME88" s="996"/>
      <c r="MF88" s="996"/>
      <c r="MG88" s="996"/>
      <c r="MH88" s="996"/>
      <c r="MI88" s="996"/>
      <c r="MJ88" s="996"/>
      <c r="MK88" s="996"/>
      <c r="ML88" s="996"/>
      <c r="MM88" s="996"/>
      <c r="MN88" s="996"/>
      <c r="MO88" s="996"/>
      <c r="MP88" s="996"/>
      <c r="MQ88" s="996"/>
      <c r="MR88" s="996"/>
      <c r="MS88" s="996"/>
      <c r="MT88" s="996"/>
      <c r="MU88" s="996"/>
      <c r="MV88" s="996"/>
      <c r="MW88" s="996"/>
      <c r="MX88" s="996"/>
      <c r="MY88" s="996"/>
      <c r="MZ88" s="996"/>
      <c r="NA88" s="996"/>
      <c r="NB88" s="996"/>
      <c r="NC88" s="996"/>
      <c r="ND88" s="996"/>
      <c r="NE88" s="996"/>
      <c r="NF88" s="996"/>
      <c r="NG88" s="996"/>
      <c r="NH88" s="996"/>
      <c r="NI88" s="996"/>
      <c r="NJ88" s="996"/>
      <c r="NK88" s="996"/>
      <c r="NL88" s="996"/>
      <c r="NM88" s="996"/>
      <c r="NN88" s="996"/>
      <c r="NO88" s="996"/>
      <c r="NP88" s="996"/>
      <c r="NQ88" s="996"/>
      <c r="NR88" s="996"/>
      <c r="NS88" s="996"/>
      <c r="NT88" s="996"/>
      <c r="NU88" s="996"/>
      <c r="NV88" s="996"/>
      <c r="NW88" s="996"/>
      <c r="NX88" s="996"/>
      <c r="NY88" s="996"/>
      <c r="NZ88" s="996"/>
      <c r="OA88" s="996"/>
      <c r="OB88" s="996"/>
      <c r="OC88" s="996"/>
      <c r="OD88" s="996"/>
      <c r="OE88" s="996"/>
      <c r="OF88" s="996"/>
      <c r="OG88" s="996"/>
      <c r="OH88" s="996"/>
      <c r="OI88" s="996"/>
      <c r="OJ88" s="996"/>
      <c r="OK88" s="996"/>
      <c r="OL88" s="996"/>
      <c r="OM88" s="996"/>
      <c r="ON88" s="996"/>
      <c r="OO88" s="996"/>
      <c r="OP88" s="996"/>
      <c r="OQ88" s="996"/>
      <c r="OR88" s="996"/>
      <c r="OS88" s="996"/>
      <c r="OT88" s="996"/>
      <c r="OU88" s="996"/>
      <c r="OV88" s="996"/>
      <c r="OW88" s="996"/>
      <c r="OX88" s="996"/>
      <c r="OY88" s="996"/>
      <c r="OZ88" s="996"/>
      <c r="PA88" s="996"/>
      <c r="PB88" s="996"/>
      <c r="PC88" s="996"/>
      <c r="PD88" s="996"/>
      <c r="PE88" s="996"/>
      <c r="PF88" s="996"/>
      <c r="PG88" s="996"/>
      <c r="PH88" s="996"/>
      <c r="PI88" s="996"/>
      <c r="PJ88" s="996"/>
      <c r="PK88" s="996"/>
      <c r="PL88" s="996"/>
      <c r="PM88" s="996"/>
      <c r="PN88" s="996"/>
      <c r="PO88" s="996"/>
      <c r="PP88" s="996"/>
      <c r="PQ88" s="996"/>
      <c r="PR88" s="996"/>
      <c r="PS88" s="996"/>
      <c r="PT88" s="996"/>
      <c r="PU88" s="996"/>
      <c r="PV88" s="996"/>
      <c r="PW88" s="996"/>
      <c r="PX88" s="996"/>
      <c r="PY88" s="996"/>
      <c r="PZ88" s="996"/>
      <c r="QA88" s="996"/>
      <c r="QB88" s="996"/>
      <c r="QC88" s="996"/>
      <c r="QD88" s="996"/>
      <c r="QE88" s="996"/>
      <c r="QF88" s="996"/>
      <c r="QG88" s="996"/>
      <c r="QH88" s="996"/>
      <c r="QI88" s="996"/>
      <c r="QJ88" s="996"/>
      <c r="QK88" s="996"/>
      <c r="QL88" s="996"/>
      <c r="QM88" s="996"/>
      <c r="QN88" s="996"/>
      <c r="QO88" s="996"/>
      <c r="QP88" s="996"/>
      <c r="QQ88" s="996"/>
      <c r="QR88" s="996"/>
      <c r="QS88" s="996"/>
      <c r="QT88" s="996"/>
      <c r="QU88" s="996"/>
      <c r="QV88" s="996"/>
      <c r="QW88" s="996"/>
      <c r="QX88" s="996"/>
      <c r="QY88" s="996"/>
      <c r="QZ88" s="996"/>
      <c r="RA88" s="996"/>
      <c r="RB88" s="996"/>
      <c r="RC88" s="996"/>
      <c r="RD88" s="996"/>
      <c r="RE88" s="996"/>
      <c r="RF88" s="996"/>
      <c r="RG88" s="996"/>
      <c r="RH88" s="996"/>
      <c r="RI88" s="996"/>
      <c r="RJ88" s="996"/>
      <c r="RK88" s="996"/>
      <c r="RL88" s="996"/>
      <c r="RM88" s="996"/>
      <c r="RN88" s="996"/>
      <c r="RO88" s="996"/>
      <c r="RP88" s="996"/>
      <c r="RQ88" s="996"/>
      <c r="RR88" s="996"/>
      <c r="RS88" s="996"/>
      <c r="RT88" s="996"/>
      <c r="RU88" s="996"/>
      <c r="RV88" s="996"/>
      <c r="RW88" s="996"/>
      <c r="RX88" s="996"/>
      <c r="RY88" s="996"/>
      <c r="RZ88" s="996"/>
      <c r="SA88" s="996"/>
      <c r="SB88" s="996"/>
      <c r="SC88" s="996"/>
      <c r="SD88" s="996"/>
      <c r="SE88" s="996"/>
      <c r="SF88" s="996"/>
      <c r="SG88" s="996"/>
      <c r="SH88" s="996"/>
      <c r="SI88" s="996"/>
      <c r="SJ88" s="996"/>
      <c r="SK88" s="996"/>
      <c r="SL88" s="996"/>
      <c r="SM88" s="996"/>
      <c r="SN88" s="996"/>
      <c r="SO88" s="996"/>
      <c r="SP88" s="996"/>
      <c r="SQ88" s="996"/>
      <c r="SR88" s="996"/>
      <c r="SS88" s="996"/>
      <c r="ST88" s="996"/>
      <c r="SU88" s="996"/>
      <c r="SV88" s="996"/>
      <c r="SW88" s="996"/>
      <c r="SX88" s="996"/>
      <c r="SY88" s="996"/>
      <c r="SZ88" s="996"/>
      <c r="TA88" s="996"/>
      <c r="TB88" s="996"/>
      <c r="TC88" s="996"/>
      <c r="TD88" s="996"/>
      <c r="TE88" s="996"/>
      <c r="TF88" s="996"/>
      <c r="TG88" s="996"/>
      <c r="TH88" s="996"/>
      <c r="TI88" s="996"/>
      <c r="TJ88" s="996"/>
      <c r="TK88" s="996"/>
      <c r="TL88" s="996"/>
      <c r="TM88" s="996"/>
      <c r="TN88" s="996"/>
      <c r="TO88" s="996"/>
      <c r="TP88" s="996"/>
      <c r="TQ88" s="996"/>
      <c r="TR88" s="996"/>
      <c r="TS88" s="996"/>
      <c r="TT88" s="996"/>
      <c r="TU88" s="996"/>
      <c r="TV88" s="996"/>
      <c r="TW88" s="996"/>
      <c r="TX88" s="996"/>
      <c r="TY88" s="996"/>
      <c r="TZ88" s="996"/>
      <c r="UA88" s="996"/>
      <c r="UB88" s="996"/>
      <c r="UC88" s="996"/>
      <c r="UD88" s="996"/>
      <c r="UE88" s="996"/>
      <c r="UF88" s="996"/>
      <c r="UG88" s="996"/>
      <c r="UH88" s="996"/>
      <c r="UI88" s="996"/>
      <c r="UJ88" s="996"/>
      <c r="UK88" s="996"/>
      <c r="UL88" s="996"/>
      <c r="UM88" s="996"/>
      <c r="UN88" s="996"/>
      <c r="UO88" s="996"/>
      <c r="UP88" s="996"/>
      <c r="UQ88" s="996"/>
      <c r="UR88" s="996"/>
      <c r="US88" s="996"/>
      <c r="UT88" s="996"/>
      <c r="UU88" s="996"/>
      <c r="UV88" s="996"/>
      <c r="UW88" s="996"/>
      <c r="UX88" s="996"/>
      <c r="UY88" s="996"/>
      <c r="UZ88" s="996"/>
      <c r="VA88" s="996"/>
      <c r="VB88" s="996"/>
      <c r="VC88" s="996"/>
      <c r="VD88" s="996"/>
      <c r="VE88" s="996"/>
      <c r="VF88" s="996"/>
      <c r="VG88" s="996"/>
      <c r="VH88" s="996"/>
      <c r="VI88" s="996"/>
      <c r="VJ88" s="996"/>
      <c r="VK88" s="996"/>
      <c r="VL88" s="996"/>
      <c r="VM88" s="996"/>
      <c r="VN88" s="996"/>
      <c r="VO88" s="996"/>
      <c r="VP88" s="996"/>
      <c r="VQ88" s="996"/>
      <c r="VR88" s="996"/>
      <c r="VS88" s="996"/>
      <c r="VT88" s="996"/>
      <c r="VU88" s="996"/>
      <c r="VV88" s="996"/>
      <c r="VW88" s="996"/>
      <c r="VX88" s="996"/>
      <c r="VY88" s="996"/>
      <c r="VZ88" s="996"/>
      <c r="WA88" s="996"/>
      <c r="WB88" s="996"/>
      <c r="WC88" s="996"/>
      <c r="WD88" s="996"/>
      <c r="WE88" s="996"/>
      <c r="WF88" s="996"/>
      <c r="WG88" s="996"/>
      <c r="WH88" s="996"/>
      <c r="WI88" s="996"/>
      <c r="WJ88" s="996"/>
      <c r="WK88" s="996"/>
      <c r="WL88" s="996"/>
      <c r="WM88" s="996"/>
      <c r="WN88" s="996"/>
      <c r="WO88" s="996"/>
      <c r="WP88" s="996"/>
      <c r="WQ88" s="996"/>
      <c r="WR88" s="996"/>
      <c r="WS88" s="996"/>
      <c r="WT88" s="996"/>
      <c r="WU88" s="996"/>
      <c r="WV88" s="996"/>
      <c r="WW88" s="996"/>
      <c r="WX88" s="996"/>
      <c r="WY88" s="996"/>
      <c r="WZ88" s="996"/>
      <c r="XA88" s="996"/>
      <c r="XB88" s="996"/>
      <c r="XC88" s="996"/>
      <c r="XD88" s="996"/>
      <c r="XE88" s="996"/>
      <c r="XF88" s="996"/>
      <c r="XG88" s="996"/>
      <c r="XH88" s="996"/>
      <c r="XI88" s="996"/>
      <c r="XJ88" s="996"/>
      <c r="XK88" s="996"/>
      <c r="XL88" s="996"/>
      <c r="XM88" s="996"/>
      <c r="XN88" s="996"/>
      <c r="XO88" s="996"/>
      <c r="XP88" s="996"/>
      <c r="XQ88" s="996"/>
      <c r="XR88" s="996"/>
      <c r="XS88" s="996"/>
      <c r="XT88" s="996"/>
      <c r="XU88" s="996"/>
      <c r="XV88" s="996"/>
      <c r="XW88" s="996"/>
      <c r="XX88" s="996"/>
      <c r="XY88" s="996"/>
      <c r="XZ88" s="996"/>
      <c r="YA88" s="996"/>
      <c r="YB88" s="996"/>
      <c r="YC88" s="996"/>
      <c r="YD88" s="996"/>
      <c r="YE88" s="996"/>
      <c r="YF88" s="996"/>
      <c r="YG88" s="996"/>
      <c r="YH88" s="996"/>
      <c r="YI88" s="996"/>
      <c r="YJ88" s="996"/>
      <c r="YK88" s="996"/>
      <c r="YL88" s="996"/>
      <c r="YM88" s="996"/>
      <c r="YN88" s="996"/>
      <c r="YO88" s="996"/>
      <c r="YP88" s="996"/>
      <c r="YQ88" s="996"/>
      <c r="YR88" s="996"/>
      <c r="YS88" s="996"/>
      <c r="YT88" s="996"/>
      <c r="YU88" s="996"/>
      <c r="YV88" s="996"/>
      <c r="YW88" s="996"/>
      <c r="YX88" s="996"/>
      <c r="YY88" s="996"/>
      <c r="YZ88" s="996"/>
      <c r="ZA88" s="996"/>
      <c r="ZB88" s="996"/>
      <c r="ZC88" s="996"/>
      <c r="ZD88" s="996"/>
      <c r="ZE88" s="996"/>
      <c r="ZF88" s="996"/>
      <c r="ZG88" s="996"/>
      <c r="ZH88" s="996"/>
      <c r="ZI88" s="996"/>
      <c r="ZJ88" s="996"/>
      <c r="ZK88" s="996"/>
      <c r="ZL88" s="996"/>
      <c r="ZM88" s="996"/>
      <c r="ZN88" s="996"/>
      <c r="ZO88" s="996"/>
      <c r="ZP88" s="996"/>
      <c r="ZQ88" s="996"/>
      <c r="ZR88" s="996"/>
      <c r="ZS88" s="996"/>
      <c r="ZT88" s="996"/>
      <c r="ZU88" s="996"/>
      <c r="ZV88" s="996"/>
      <c r="ZW88" s="996"/>
      <c r="ZX88" s="996"/>
      <c r="ZY88" s="996"/>
      <c r="ZZ88" s="996"/>
      <c r="AAA88" s="996"/>
      <c r="AAB88" s="996"/>
      <c r="AAC88" s="996"/>
      <c r="AAD88" s="996"/>
      <c r="AAE88" s="996"/>
      <c r="AAF88" s="996"/>
      <c r="AAG88" s="996"/>
      <c r="AAH88" s="996"/>
      <c r="AAI88" s="996"/>
      <c r="AAJ88" s="996"/>
      <c r="AAK88" s="996"/>
      <c r="AAL88" s="996"/>
      <c r="AAM88" s="996"/>
      <c r="AAN88" s="996"/>
      <c r="AAO88" s="996"/>
      <c r="AAP88" s="996"/>
      <c r="AAQ88" s="996"/>
      <c r="AAR88" s="996"/>
      <c r="AAS88" s="996"/>
      <c r="AAT88" s="996"/>
      <c r="AAU88" s="996"/>
      <c r="AAV88" s="996"/>
      <c r="AAW88" s="996"/>
      <c r="AAX88" s="996"/>
      <c r="AAY88" s="996"/>
      <c r="AAZ88" s="996"/>
      <c r="ABA88" s="996"/>
      <c r="ABB88" s="996"/>
      <c r="ABC88" s="996"/>
      <c r="ABD88" s="996"/>
      <c r="ABE88" s="996"/>
      <c r="ABF88" s="996"/>
      <c r="ABG88" s="996"/>
      <c r="ABH88" s="996"/>
      <c r="ABI88" s="996"/>
      <c r="ABJ88" s="996"/>
      <c r="ABK88" s="996"/>
      <c r="ABL88" s="996"/>
      <c r="ABM88" s="996"/>
      <c r="ABN88" s="996"/>
      <c r="ABO88" s="996"/>
      <c r="ABP88" s="996"/>
      <c r="ABQ88" s="996"/>
      <c r="ABR88" s="996"/>
      <c r="ABS88" s="996"/>
      <c r="ABT88" s="996"/>
      <c r="ABU88" s="996"/>
      <c r="ABV88" s="996"/>
      <c r="ABW88" s="996"/>
      <c r="ABX88" s="996"/>
      <c r="ABY88" s="996"/>
      <c r="ABZ88" s="996"/>
      <c r="ACA88" s="996"/>
      <c r="ACB88" s="996"/>
      <c r="ACC88" s="996"/>
      <c r="ACD88" s="996"/>
      <c r="ACE88" s="996"/>
      <c r="ACF88" s="996"/>
      <c r="ACG88" s="996"/>
      <c r="ACH88" s="996"/>
      <c r="ACI88" s="996"/>
      <c r="ACJ88" s="996"/>
      <c r="ACK88" s="996"/>
      <c r="ACL88" s="996"/>
      <c r="ACM88" s="996"/>
      <c r="ACN88" s="996"/>
      <c r="ACO88" s="996"/>
      <c r="ACP88" s="996"/>
      <c r="ACQ88" s="996"/>
      <c r="ACR88" s="996"/>
      <c r="ACS88" s="996"/>
      <c r="ACT88" s="996"/>
      <c r="ACU88" s="996"/>
      <c r="ACV88" s="996"/>
      <c r="ACW88" s="996"/>
      <c r="ACX88" s="996"/>
      <c r="ACY88" s="996"/>
      <c r="ACZ88" s="996"/>
      <c r="ADA88" s="996"/>
      <c r="ADB88" s="996"/>
      <c r="ADC88" s="996"/>
      <c r="ADD88" s="996"/>
      <c r="ADE88" s="996"/>
      <c r="ADF88" s="996"/>
      <c r="ADG88" s="996"/>
      <c r="ADH88" s="996"/>
      <c r="ADI88" s="996"/>
      <c r="ADJ88" s="996"/>
      <c r="ADK88" s="996"/>
      <c r="ADL88" s="996"/>
      <c r="ADM88" s="996"/>
      <c r="ADN88" s="996"/>
      <c r="ADO88" s="996"/>
      <c r="ADP88" s="996"/>
      <c r="ADQ88" s="996"/>
      <c r="ADR88" s="996"/>
      <c r="ADS88" s="996"/>
      <c r="ADT88" s="996"/>
      <c r="ADU88" s="996"/>
      <c r="ADV88" s="996"/>
      <c r="ADW88" s="996"/>
      <c r="ADX88" s="996"/>
      <c r="ADY88" s="996"/>
      <c r="ADZ88" s="996"/>
      <c r="AEA88" s="996"/>
      <c r="AEB88" s="996"/>
      <c r="AEC88" s="996"/>
      <c r="AED88" s="996"/>
      <c r="AEE88" s="996"/>
      <c r="AEF88" s="996"/>
      <c r="AEG88" s="996"/>
      <c r="AEH88" s="996"/>
      <c r="AEI88" s="996"/>
      <c r="AEJ88" s="996"/>
      <c r="AEK88" s="996"/>
      <c r="AEL88" s="996"/>
      <c r="AEM88" s="996"/>
      <c r="AEN88" s="996"/>
      <c r="AEO88" s="996"/>
      <c r="AEP88" s="996"/>
      <c r="AEQ88" s="996"/>
      <c r="AER88" s="996"/>
      <c r="AES88" s="996"/>
      <c r="AET88" s="996"/>
      <c r="AEU88" s="996"/>
      <c r="AEV88" s="996"/>
      <c r="AEW88" s="996"/>
      <c r="AEX88" s="996"/>
      <c r="AEY88" s="996"/>
      <c r="AEZ88" s="996"/>
      <c r="AFA88" s="996"/>
      <c r="AFB88" s="996"/>
      <c r="AFC88" s="996"/>
      <c r="AFD88" s="996"/>
      <c r="AFE88" s="996"/>
      <c r="AFF88" s="996"/>
      <c r="AFG88" s="996"/>
      <c r="AFH88" s="996"/>
      <c r="AFI88" s="996"/>
      <c r="AFJ88" s="996"/>
      <c r="AFK88" s="996"/>
      <c r="AFL88" s="996"/>
      <c r="AFM88" s="996"/>
      <c r="AFN88" s="996"/>
      <c r="AFO88" s="996"/>
      <c r="AFP88" s="996"/>
      <c r="AFQ88" s="996"/>
      <c r="AFR88" s="996"/>
      <c r="AFS88" s="996"/>
      <c r="AFT88" s="996"/>
      <c r="AFU88" s="996"/>
      <c r="AFV88" s="996"/>
      <c r="AFW88" s="996"/>
      <c r="AFX88" s="996"/>
      <c r="AFY88" s="996"/>
      <c r="AFZ88" s="996"/>
      <c r="AGA88" s="996"/>
      <c r="AGB88" s="996"/>
      <c r="AGC88" s="996"/>
      <c r="AGD88" s="996"/>
      <c r="AGE88" s="996"/>
      <c r="AGF88" s="996"/>
      <c r="AGG88" s="996"/>
      <c r="AGH88" s="996"/>
      <c r="AGI88" s="996"/>
      <c r="AGJ88" s="996"/>
      <c r="AGK88" s="996"/>
      <c r="AGL88" s="996"/>
      <c r="AGM88" s="996"/>
      <c r="AGN88" s="996"/>
      <c r="AGO88" s="996"/>
      <c r="AGP88" s="996"/>
      <c r="AGQ88" s="996"/>
      <c r="AGR88" s="996"/>
      <c r="AGS88" s="996"/>
      <c r="AGT88" s="996"/>
      <c r="AGU88" s="996"/>
      <c r="AGV88" s="996"/>
      <c r="AGW88" s="996"/>
      <c r="AGX88" s="996"/>
      <c r="AGY88" s="996"/>
      <c r="AGZ88" s="996"/>
      <c r="AHA88" s="996"/>
      <c r="AHB88" s="996"/>
      <c r="AHC88" s="996"/>
      <c r="AHD88" s="996"/>
      <c r="AHE88" s="996"/>
      <c r="AHF88" s="996"/>
      <c r="AHG88" s="996"/>
      <c r="AHH88" s="996"/>
      <c r="AHI88" s="996"/>
      <c r="AHJ88" s="996"/>
      <c r="AHK88" s="996"/>
      <c r="AHL88" s="996"/>
      <c r="AHM88" s="996"/>
      <c r="AHN88" s="996"/>
      <c r="AHO88" s="996"/>
      <c r="AHP88" s="996"/>
      <c r="AHQ88" s="996"/>
      <c r="AHR88" s="996"/>
      <c r="AHS88" s="996"/>
      <c r="AHT88" s="996"/>
      <c r="AHU88" s="996"/>
      <c r="AHV88" s="996"/>
      <c r="AHW88" s="996"/>
      <c r="AHX88" s="996"/>
      <c r="AHY88" s="996"/>
      <c r="AHZ88" s="996"/>
      <c r="AIA88" s="996"/>
      <c r="AIB88" s="996"/>
      <c r="AIC88" s="996"/>
      <c r="AID88" s="996"/>
      <c r="AIE88" s="996"/>
      <c r="AIF88" s="996"/>
      <c r="AIG88" s="996"/>
      <c r="AIH88" s="996"/>
      <c r="AII88" s="996"/>
      <c r="AIJ88" s="996"/>
      <c r="AIK88" s="996"/>
      <c r="AIL88" s="996"/>
      <c r="AIM88" s="996"/>
      <c r="AIN88" s="996"/>
      <c r="AIO88" s="996"/>
      <c r="AIP88" s="996"/>
      <c r="AIQ88" s="996"/>
      <c r="AIR88" s="996"/>
      <c r="AIS88" s="996"/>
      <c r="AIT88" s="996"/>
      <c r="AIU88" s="996"/>
      <c r="AIV88" s="996"/>
      <c r="AIW88" s="996"/>
      <c r="AIX88" s="996"/>
      <c r="AIY88" s="996"/>
      <c r="AIZ88" s="996"/>
      <c r="AJA88" s="996"/>
      <c r="AJB88" s="996"/>
      <c r="AJC88" s="996"/>
      <c r="AJD88" s="996"/>
      <c r="AJE88" s="996"/>
      <c r="AJF88" s="996"/>
      <c r="AJG88" s="996"/>
      <c r="AJH88" s="996"/>
      <c r="AJI88" s="996"/>
      <c r="AJJ88" s="996"/>
      <c r="AJK88" s="996"/>
      <c r="AJL88" s="996"/>
      <c r="AJM88" s="996"/>
      <c r="AJN88" s="996"/>
      <c r="AJO88" s="996"/>
      <c r="AJP88" s="996"/>
      <c r="AJQ88" s="996"/>
      <c r="AJR88" s="996"/>
      <c r="AJS88" s="996"/>
      <c r="AJT88" s="996"/>
      <c r="AJU88" s="996"/>
      <c r="AJV88" s="996"/>
      <c r="AJW88" s="996"/>
      <c r="AJX88" s="996"/>
      <c r="AJY88" s="996"/>
      <c r="AJZ88" s="996"/>
      <c r="AKA88" s="996"/>
      <c r="AKB88" s="996"/>
      <c r="AKC88" s="996"/>
      <c r="AKD88" s="996"/>
      <c r="AKE88" s="996"/>
      <c r="AKF88" s="996"/>
      <c r="AKG88" s="996"/>
      <c r="AKH88" s="996"/>
      <c r="AKI88" s="996"/>
      <c r="AKJ88" s="996"/>
      <c r="AKK88" s="996"/>
      <c r="AKL88" s="996"/>
      <c r="AKM88" s="996"/>
      <c r="AKN88" s="996"/>
      <c r="AKO88" s="996"/>
      <c r="AKP88" s="996"/>
      <c r="AKQ88" s="996"/>
      <c r="AKR88" s="996"/>
      <c r="AKS88" s="996"/>
      <c r="AKT88" s="996"/>
      <c r="AKU88" s="996"/>
      <c r="AKV88" s="996"/>
      <c r="AKW88" s="996"/>
      <c r="AKX88" s="996"/>
      <c r="AKY88" s="996"/>
      <c r="AKZ88" s="996"/>
      <c r="ALA88" s="996"/>
      <c r="ALB88" s="996"/>
      <c r="ALC88" s="996"/>
      <c r="ALD88" s="996"/>
      <c r="ALE88" s="996"/>
      <c r="ALF88" s="996"/>
      <c r="ALG88" s="996"/>
      <c r="ALH88" s="996"/>
      <c r="ALI88" s="996"/>
      <c r="ALJ88" s="996"/>
      <c r="ALK88" s="996"/>
      <c r="ALL88" s="996"/>
      <c r="ALM88" s="996"/>
      <c r="ALN88" s="996"/>
      <c r="ALO88" s="996"/>
      <c r="ALP88" s="996"/>
      <c r="ALQ88" s="996"/>
      <c r="ALR88" s="996"/>
      <c r="ALS88" s="996"/>
      <c r="ALT88" s="996"/>
      <c r="ALU88" s="996"/>
      <c r="ALV88" s="996"/>
      <c r="ALW88" s="996"/>
      <c r="ALX88" s="996"/>
      <c r="ALY88" s="996"/>
      <c r="ALZ88" s="996"/>
      <c r="AMA88" s="996"/>
      <c r="AMB88" s="996"/>
      <c r="AMC88" s="996"/>
      <c r="AMD88" s="996"/>
      <c r="AME88" s="996"/>
      <c r="AMF88" s="996"/>
      <c r="AMG88" s="996"/>
      <c r="AMH88" s="996"/>
      <c r="AMI88" s="996"/>
      <c r="AMJ88" s="996"/>
      <c r="AMK88" s="996"/>
      <c r="AML88" s="996"/>
      <c r="AMM88" s="996"/>
      <c r="AMN88" s="996"/>
      <c r="AMO88" s="996"/>
      <c r="AMP88" s="996"/>
      <c r="AMQ88" s="996"/>
      <c r="AMR88" s="996"/>
      <c r="AMS88" s="996"/>
      <c r="AMT88" s="996"/>
      <c r="AMU88" s="996"/>
      <c r="AMV88" s="996"/>
      <c r="AMW88" s="996"/>
      <c r="AMX88" s="996"/>
      <c r="AMY88" s="996"/>
      <c r="AMZ88" s="996"/>
      <c r="ANA88" s="996"/>
      <c r="ANB88" s="996"/>
      <c r="ANC88" s="996"/>
      <c r="AND88" s="996"/>
      <c r="ANE88" s="996"/>
      <c r="ANF88" s="996"/>
      <c r="ANG88" s="996"/>
      <c r="ANH88" s="996"/>
      <c r="ANI88" s="996"/>
      <c r="ANJ88" s="996"/>
      <c r="ANK88" s="996"/>
      <c r="ANL88" s="996"/>
      <c r="ANM88" s="996"/>
      <c r="ANN88" s="996"/>
      <c r="ANO88" s="996"/>
      <c r="ANP88" s="996"/>
      <c r="ANQ88" s="996"/>
      <c r="ANR88" s="996"/>
      <c r="ANS88" s="996"/>
      <c r="ANT88" s="996"/>
      <c r="ANU88" s="996"/>
      <c r="ANV88" s="996"/>
      <c r="ANW88" s="996"/>
      <c r="ANX88" s="996"/>
      <c r="ANY88" s="996"/>
      <c r="ANZ88" s="996"/>
      <c r="AOA88" s="996"/>
      <c r="AOB88" s="996"/>
      <c r="AOC88" s="996"/>
      <c r="AOD88" s="996"/>
      <c r="AOE88" s="996"/>
      <c r="AOF88" s="996"/>
      <c r="AOG88" s="996"/>
      <c r="AOH88" s="996"/>
      <c r="AOI88" s="996"/>
      <c r="AOJ88" s="996"/>
      <c r="AOK88" s="996"/>
      <c r="AOL88" s="996"/>
      <c r="AOM88" s="996"/>
      <c r="AON88" s="996"/>
      <c r="AOO88" s="996"/>
      <c r="AOP88" s="996"/>
      <c r="AOQ88" s="996"/>
      <c r="AOR88" s="996"/>
      <c r="AOS88" s="996"/>
      <c r="AOT88" s="996"/>
      <c r="AOU88" s="996"/>
      <c r="AOV88" s="996"/>
      <c r="AOW88" s="996"/>
      <c r="AOX88" s="996"/>
      <c r="AOY88" s="996"/>
      <c r="AOZ88" s="996"/>
      <c r="APA88" s="996"/>
      <c r="APB88" s="996"/>
      <c r="APC88" s="996"/>
      <c r="APD88" s="996"/>
      <c r="APE88" s="996"/>
      <c r="APF88" s="996"/>
      <c r="APG88" s="996"/>
      <c r="APH88" s="996"/>
      <c r="API88" s="996"/>
      <c r="APJ88" s="996"/>
      <c r="APK88" s="996"/>
      <c r="APL88" s="996"/>
      <c r="APM88" s="996"/>
      <c r="APN88" s="996"/>
      <c r="APO88" s="996"/>
      <c r="APP88" s="996"/>
      <c r="APQ88" s="996"/>
      <c r="APR88" s="996"/>
      <c r="APS88" s="996"/>
      <c r="APT88" s="996"/>
      <c r="APU88" s="996"/>
      <c r="APV88" s="996"/>
      <c r="APW88" s="996"/>
      <c r="APX88" s="996"/>
      <c r="APY88" s="996"/>
      <c r="APZ88" s="996"/>
      <c r="AQA88" s="996"/>
      <c r="AQB88" s="996"/>
      <c r="AQC88" s="996"/>
      <c r="AQD88" s="996"/>
      <c r="AQE88" s="996"/>
      <c r="AQF88" s="996"/>
      <c r="AQG88" s="996"/>
      <c r="AQH88" s="996"/>
      <c r="AQI88" s="996"/>
      <c r="AQJ88" s="996"/>
      <c r="AQK88" s="996"/>
      <c r="AQL88" s="996"/>
      <c r="AQM88" s="996"/>
      <c r="AQN88" s="996"/>
      <c r="AQO88" s="996"/>
      <c r="AQP88" s="996"/>
      <c r="AQQ88" s="996"/>
      <c r="AQR88" s="996"/>
      <c r="AQS88" s="996"/>
      <c r="AQT88" s="996"/>
      <c r="AQU88" s="996"/>
      <c r="AQV88" s="996"/>
      <c r="AQW88" s="996"/>
      <c r="AQX88" s="996"/>
      <c r="AQY88" s="996"/>
      <c r="AQZ88" s="996"/>
      <c r="ARA88" s="996"/>
      <c r="ARB88" s="996"/>
      <c r="ARC88" s="996"/>
      <c r="ARD88" s="996"/>
      <c r="ARE88" s="996"/>
      <c r="ARF88" s="996"/>
      <c r="ARG88" s="996"/>
      <c r="ARH88" s="996"/>
      <c r="ARI88" s="996"/>
      <c r="ARJ88" s="996"/>
      <c r="ARK88" s="996"/>
      <c r="ARL88" s="996"/>
      <c r="ARM88" s="996"/>
      <c r="ARN88" s="996"/>
      <c r="ARO88" s="996"/>
      <c r="ARP88" s="996"/>
      <c r="ARQ88" s="996"/>
      <c r="ARR88" s="996"/>
      <c r="ARS88" s="996"/>
      <c r="ART88" s="996"/>
      <c r="ARU88" s="996"/>
      <c r="ARV88" s="996"/>
      <c r="ARW88" s="996"/>
      <c r="ARX88" s="996"/>
      <c r="ARY88" s="996"/>
      <c r="ARZ88" s="996"/>
      <c r="ASA88" s="996"/>
      <c r="ASB88" s="996"/>
      <c r="ASC88" s="996"/>
      <c r="ASD88" s="996"/>
      <c r="ASE88" s="996"/>
      <c r="ASF88" s="996"/>
      <c r="ASG88" s="996"/>
      <c r="ASH88" s="996"/>
      <c r="ASI88" s="996"/>
      <c r="ASJ88" s="996"/>
      <c r="ASK88" s="996"/>
      <c r="ASL88" s="996"/>
      <c r="ASM88" s="996"/>
      <c r="ASN88" s="996"/>
      <c r="ASO88" s="996"/>
      <c r="ASP88" s="996"/>
      <c r="ASQ88" s="996"/>
      <c r="ASR88" s="996"/>
      <c r="ASS88" s="996"/>
      <c r="AST88" s="996"/>
      <c r="ASU88" s="996"/>
      <c r="ASV88" s="996"/>
      <c r="ASW88" s="996"/>
      <c r="ASX88" s="996"/>
      <c r="ASY88" s="996"/>
      <c r="ASZ88" s="996"/>
      <c r="ATA88" s="996"/>
      <c r="ATB88" s="996"/>
      <c r="ATC88" s="996"/>
      <c r="ATD88" s="996"/>
      <c r="ATE88" s="996"/>
      <c r="ATF88" s="996"/>
      <c r="ATG88" s="996"/>
      <c r="ATH88" s="996"/>
      <c r="ATI88" s="996"/>
      <c r="ATJ88" s="996"/>
      <c r="ATK88" s="996"/>
      <c r="ATL88" s="996"/>
      <c r="ATM88" s="996"/>
      <c r="ATN88" s="996"/>
      <c r="ATO88" s="996"/>
      <c r="ATP88" s="996"/>
      <c r="ATQ88" s="996"/>
      <c r="ATR88" s="996"/>
      <c r="ATS88" s="996"/>
      <c r="ATT88" s="996"/>
      <c r="ATU88" s="996"/>
      <c r="ATV88" s="996"/>
      <c r="ATW88" s="996"/>
      <c r="ATX88" s="996"/>
      <c r="ATY88" s="996"/>
      <c r="ATZ88" s="996"/>
      <c r="AUA88" s="996"/>
      <c r="AUB88" s="996"/>
      <c r="AUC88" s="996"/>
      <c r="AUD88" s="996"/>
      <c r="AUE88" s="996"/>
      <c r="AUF88" s="996"/>
      <c r="AUG88" s="996"/>
      <c r="AUH88" s="996"/>
      <c r="AUI88" s="996"/>
      <c r="AUJ88" s="996"/>
      <c r="AUK88" s="996"/>
      <c r="AUL88" s="996"/>
      <c r="AUM88" s="996"/>
      <c r="AUN88" s="996"/>
      <c r="AUO88" s="996"/>
      <c r="AUP88" s="996"/>
      <c r="AUQ88" s="996"/>
      <c r="AUR88" s="996"/>
      <c r="AUS88" s="996"/>
      <c r="AUT88" s="996"/>
      <c r="AUU88" s="996"/>
      <c r="AUV88" s="996"/>
      <c r="AUW88" s="996"/>
      <c r="AUX88" s="996"/>
      <c r="AUY88" s="996"/>
      <c r="AUZ88" s="996"/>
      <c r="AVA88" s="996"/>
      <c r="AVB88" s="996"/>
      <c r="AVC88" s="996"/>
      <c r="AVD88" s="996"/>
      <c r="AVE88" s="996"/>
      <c r="AVF88" s="996"/>
      <c r="AVG88" s="996"/>
      <c r="AVH88" s="996"/>
      <c r="AVI88" s="996"/>
      <c r="AVJ88" s="996"/>
      <c r="AVK88" s="996"/>
      <c r="AVL88" s="996"/>
      <c r="AVM88" s="996"/>
      <c r="AVN88" s="996"/>
      <c r="AVO88" s="996"/>
      <c r="AVP88" s="996"/>
      <c r="AVQ88" s="996"/>
      <c r="AVR88" s="996"/>
      <c r="AVS88" s="996"/>
      <c r="AVT88" s="996"/>
      <c r="AVU88" s="996"/>
      <c r="AVV88" s="996"/>
      <c r="AVW88" s="996"/>
      <c r="AVX88" s="996"/>
      <c r="AVY88" s="996"/>
      <c r="AVZ88" s="996"/>
      <c r="AWA88" s="996"/>
      <c r="AWB88" s="996"/>
      <c r="AWC88" s="996"/>
      <c r="AWD88" s="996"/>
      <c r="AWE88" s="996"/>
      <c r="AWF88" s="996"/>
      <c r="AWG88" s="996"/>
      <c r="AWH88" s="996"/>
      <c r="AWI88" s="996"/>
      <c r="AWJ88" s="996"/>
      <c r="AWK88" s="996"/>
      <c r="AWL88" s="996"/>
      <c r="AWM88" s="996"/>
      <c r="AWN88" s="996"/>
      <c r="AWO88" s="996"/>
      <c r="AWP88" s="996"/>
      <c r="AWQ88" s="996"/>
      <c r="AWR88" s="996"/>
      <c r="AWS88" s="996"/>
      <c r="AWT88" s="996"/>
      <c r="AWU88" s="996"/>
      <c r="AWV88" s="996"/>
      <c r="AWW88" s="996"/>
      <c r="AWX88" s="996"/>
      <c r="AWY88" s="996"/>
      <c r="AWZ88" s="996"/>
      <c r="AXA88" s="996"/>
      <c r="AXB88" s="996"/>
      <c r="AXC88" s="996"/>
      <c r="AXD88" s="996"/>
      <c r="AXE88" s="996"/>
      <c r="AXF88" s="996"/>
      <c r="AXG88" s="996"/>
      <c r="AXH88" s="996"/>
      <c r="AXI88" s="996"/>
      <c r="AXJ88" s="996"/>
      <c r="AXK88" s="996"/>
      <c r="AXL88" s="996"/>
      <c r="AXM88" s="996"/>
      <c r="AXN88" s="996"/>
      <c r="AXO88" s="996"/>
      <c r="AXP88" s="996"/>
      <c r="AXQ88" s="996"/>
      <c r="AXR88" s="996"/>
      <c r="AXS88" s="996"/>
      <c r="AXT88" s="996"/>
      <c r="AXU88" s="996"/>
      <c r="AXV88" s="996"/>
      <c r="AXW88" s="996"/>
      <c r="AXX88" s="996"/>
      <c r="AXY88" s="996"/>
      <c r="AXZ88" s="996"/>
      <c r="AYA88" s="996"/>
      <c r="AYB88" s="996"/>
      <c r="AYC88" s="996"/>
      <c r="AYD88" s="996"/>
      <c r="AYE88" s="996"/>
      <c r="AYF88" s="996"/>
      <c r="AYG88" s="996"/>
      <c r="AYH88" s="996"/>
      <c r="AYI88" s="996"/>
      <c r="AYJ88" s="996"/>
      <c r="AYK88" s="996"/>
      <c r="AYL88" s="996"/>
      <c r="AYM88" s="996"/>
      <c r="AYN88" s="996"/>
      <c r="AYO88" s="996"/>
      <c r="AYP88" s="996"/>
      <c r="AYQ88" s="996"/>
      <c r="AYR88" s="996"/>
      <c r="AYS88" s="996"/>
      <c r="AYT88" s="996"/>
      <c r="AYU88" s="996"/>
      <c r="AYV88" s="996"/>
      <c r="AYW88" s="996"/>
      <c r="AYX88" s="996"/>
      <c r="AYY88" s="996"/>
      <c r="AYZ88" s="996"/>
      <c r="AZA88" s="996"/>
      <c r="AZB88" s="996"/>
      <c r="AZC88" s="996"/>
      <c r="AZD88" s="996"/>
      <c r="AZE88" s="996"/>
      <c r="AZF88" s="996"/>
      <c r="AZG88" s="996"/>
      <c r="AZH88" s="996"/>
      <c r="AZI88" s="996"/>
      <c r="AZJ88" s="996"/>
      <c r="AZK88" s="996"/>
      <c r="AZL88" s="996"/>
      <c r="AZM88" s="996"/>
      <c r="AZN88" s="996"/>
      <c r="AZO88" s="996"/>
      <c r="AZP88" s="996"/>
      <c r="AZQ88" s="996"/>
      <c r="AZR88" s="996"/>
      <c r="AZS88" s="996"/>
      <c r="AZT88" s="996"/>
      <c r="AZU88" s="996"/>
      <c r="AZV88" s="996"/>
      <c r="AZW88" s="996"/>
      <c r="AZX88" s="996"/>
      <c r="AZY88" s="996"/>
      <c r="AZZ88" s="996"/>
      <c r="BAA88" s="996"/>
      <c r="BAB88" s="996"/>
      <c r="BAC88" s="996"/>
      <c r="BAD88" s="996"/>
      <c r="BAE88" s="996"/>
      <c r="BAF88" s="996"/>
      <c r="BAG88" s="996"/>
      <c r="BAH88" s="996"/>
      <c r="BAI88" s="996"/>
      <c r="BAJ88" s="996"/>
      <c r="BAK88" s="996"/>
      <c r="BAL88" s="996"/>
      <c r="BAM88" s="996"/>
      <c r="BAN88" s="996"/>
      <c r="BAO88" s="996"/>
      <c r="BAP88" s="996"/>
      <c r="BAQ88" s="996"/>
      <c r="BAR88" s="996"/>
      <c r="BAS88" s="996"/>
      <c r="BAT88" s="996"/>
      <c r="BAU88" s="996"/>
      <c r="BAV88" s="996"/>
      <c r="BAW88" s="996"/>
      <c r="BAX88" s="996"/>
      <c r="BAY88" s="996"/>
      <c r="BAZ88" s="996"/>
      <c r="BBA88" s="996"/>
      <c r="BBB88" s="996"/>
      <c r="BBC88" s="996"/>
      <c r="BBD88" s="996"/>
      <c r="BBE88" s="996"/>
      <c r="BBF88" s="996"/>
      <c r="BBG88" s="996"/>
      <c r="BBH88" s="996"/>
      <c r="BBI88" s="996"/>
      <c r="BBJ88" s="996"/>
      <c r="BBK88" s="996"/>
      <c r="BBL88" s="996"/>
      <c r="BBM88" s="996"/>
      <c r="BBN88" s="996"/>
      <c r="BBO88" s="996"/>
      <c r="BBP88" s="996"/>
      <c r="BBQ88" s="996"/>
      <c r="BBR88" s="996"/>
      <c r="BBS88" s="996"/>
      <c r="BBT88" s="996"/>
      <c r="BBU88" s="996"/>
      <c r="BBV88" s="996"/>
      <c r="BBW88" s="996"/>
      <c r="BBX88" s="996"/>
      <c r="BBY88" s="996"/>
      <c r="BBZ88" s="996"/>
      <c r="BCA88" s="996"/>
      <c r="BCB88" s="996"/>
      <c r="BCC88" s="996"/>
      <c r="BCD88" s="996"/>
      <c r="BCE88" s="996"/>
      <c r="BCF88" s="996"/>
      <c r="BCG88" s="996"/>
      <c r="BCH88" s="996"/>
      <c r="BCI88" s="996"/>
      <c r="BCJ88" s="996"/>
      <c r="BCK88" s="996"/>
      <c r="BCL88" s="996"/>
      <c r="BCM88" s="996"/>
      <c r="BCN88" s="996"/>
      <c r="BCO88" s="996"/>
      <c r="BCP88" s="996"/>
      <c r="BCQ88" s="996"/>
      <c r="BCR88" s="996"/>
      <c r="BCS88" s="996"/>
      <c r="BCT88" s="996"/>
      <c r="BCU88" s="996"/>
      <c r="BCV88" s="996"/>
      <c r="BCW88" s="996"/>
      <c r="BCX88" s="996"/>
      <c r="BCY88" s="996"/>
      <c r="BCZ88" s="996"/>
      <c r="BDA88" s="996"/>
      <c r="BDB88" s="996"/>
      <c r="BDC88" s="996"/>
      <c r="BDD88" s="996"/>
      <c r="BDE88" s="996"/>
      <c r="BDF88" s="996"/>
      <c r="BDG88" s="996"/>
      <c r="BDH88" s="996"/>
      <c r="BDI88" s="996"/>
      <c r="BDJ88" s="996"/>
      <c r="BDK88" s="996"/>
      <c r="BDL88" s="996"/>
      <c r="BDM88" s="996"/>
      <c r="BDN88" s="996"/>
      <c r="BDO88" s="996"/>
      <c r="BDP88" s="996"/>
      <c r="BDQ88" s="996"/>
      <c r="BDR88" s="996"/>
      <c r="BDS88" s="996"/>
      <c r="BDT88" s="996"/>
      <c r="BDU88" s="996"/>
      <c r="BDV88" s="996"/>
      <c r="BDW88" s="996"/>
      <c r="BDX88" s="996"/>
      <c r="BDY88" s="996"/>
      <c r="BDZ88" s="996"/>
      <c r="BEA88" s="996"/>
      <c r="BEB88" s="996"/>
      <c r="BEC88" s="996"/>
      <c r="BED88" s="996"/>
      <c r="BEE88" s="996"/>
      <c r="BEF88" s="996"/>
      <c r="BEG88" s="996"/>
      <c r="BEH88" s="996"/>
      <c r="BEI88" s="996"/>
      <c r="BEJ88" s="996"/>
      <c r="BEK88" s="996"/>
      <c r="BEL88" s="996"/>
      <c r="BEM88" s="996"/>
      <c r="BEN88" s="996"/>
      <c r="BEO88" s="996"/>
      <c r="BEP88" s="996"/>
      <c r="BEQ88" s="996"/>
      <c r="BER88" s="996"/>
      <c r="BES88" s="996"/>
      <c r="BET88" s="996"/>
      <c r="BEU88" s="996"/>
      <c r="BEV88" s="996"/>
      <c r="BEW88" s="996"/>
      <c r="BEX88" s="996"/>
      <c r="BEY88" s="996"/>
      <c r="BEZ88" s="996"/>
      <c r="BFA88" s="996"/>
      <c r="BFB88" s="996"/>
      <c r="BFC88" s="996"/>
      <c r="BFD88" s="996"/>
      <c r="BFE88" s="996"/>
      <c r="BFF88" s="996"/>
      <c r="BFG88" s="996"/>
      <c r="BFH88" s="996"/>
      <c r="BFI88" s="996"/>
      <c r="BFJ88" s="996"/>
      <c r="BFK88" s="996"/>
      <c r="BFL88" s="996"/>
      <c r="BFM88" s="996"/>
      <c r="BFN88" s="996"/>
      <c r="BFO88" s="996"/>
      <c r="BFP88" s="996"/>
      <c r="BFQ88" s="996"/>
      <c r="BFR88" s="996"/>
      <c r="BFS88" s="996"/>
      <c r="BFT88" s="996"/>
      <c r="BFU88" s="996"/>
      <c r="BFV88" s="996"/>
      <c r="BFW88" s="996"/>
      <c r="BFX88" s="996"/>
      <c r="BFY88" s="996"/>
      <c r="BFZ88" s="996"/>
      <c r="BGA88" s="996"/>
      <c r="BGB88" s="996"/>
      <c r="BGC88" s="996"/>
      <c r="BGD88" s="996"/>
      <c r="BGE88" s="996"/>
      <c r="BGF88" s="996"/>
      <c r="BGG88" s="996"/>
      <c r="BGH88" s="996"/>
      <c r="BGI88" s="996"/>
      <c r="BGJ88" s="996"/>
      <c r="BGK88" s="996"/>
      <c r="BGL88" s="996"/>
      <c r="BGM88" s="996"/>
      <c r="BGN88" s="996"/>
      <c r="BGO88" s="996"/>
      <c r="BGP88" s="996"/>
      <c r="BGQ88" s="996"/>
      <c r="BGR88" s="996"/>
      <c r="BGS88" s="996"/>
      <c r="BGT88" s="996"/>
      <c r="BGU88" s="996"/>
      <c r="BGV88" s="996"/>
      <c r="BGW88" s="996"/>
      <c r="BGX88" s="996"/>
      <c r="BGY88" s="996"/>
      <c r="BGZ88" s="996"/>
      <c r="BHA88" s="996"/>
      <c r="BHB88" s="996"/>
      <c r="BHC88" s="996"/>
      <c r="BHD88" s="996"/>
      <c r="BHE88" s="996"/>
      <c r="BHF88" s="996"/>
      <c r="BHG88" s="996"/>
      <c r="BHH88" s="996"/>
      <c r="BHI88" s="996"/>
      <c r="BHJ88" s="996"/>
      <c r="BHK88" s="996"/>
      <c r="BHL88" s="996"/>
      <c r="BHM88" s="996"/>
      <c r="BHN88" s="996"/>
      <c r="BHO88" s="996"/>
      <c r="BHP88" s="996"/>
      <c r="BHQ88" s="996"/>
      <c r="BHR88" s="996"/>
      <c r="BHS88" s="996"/>
      <c r="BHT88" s="996"/>
      <c r="BHU88" s="996"/>
      <c r="BHV88" s="996"/>
      <c r="BHW88" s="996"/>
      <c r="BHX88" s="996"/>
      <c r="BHY88" s="996"/>
      <c r="BHZ88" s="996"/>
      <c r="BIA88" s="996"/>
      <c r="BIB88" s="996"/>
      <c r="BIC88" s="996"/>
      <c r="BID88" s="996"/>
      <c r="BIE88" s="996"/>
      <c r="BIF88" s="996"/>
      <c r="BIG88" s="996"/>
      <c r="BIH88" s="996"/>
      <c r="BII88" s="996"/>
      <c r="BIJ88" s="996"/>
      <c r="BIK88" s="996"/>
      <c r="BIL88" s="996"/>
      <c r="BIM88" s="996"/>
      <c r="BIN88" s="996"/>
      <c r="BIO88" s="996"/>
      <c r="BIP88" s="996"/>
      <c r="BIQ88" s="996"/>
      <c r="BIR88" s="996"/>
      <c r="BIS88" s="996"/>
      <c r="BIT88" s="996"/>
      <c r="BIU88" s="996"/>
      <c r="BIV88" s="996"/>
      <c r="BIW88" s="996"/>
      <c r="BIX88" s="996"/>
      <c r="BIY88" s="996"/>
      <c r="BIZ88" s="996"/>
      <c r="BJA88" s="996"/>
      <c r="BJB88" s="996"/>
      <c r="BJC88" s="996"/>
      <c r="BJD88" s="996"/>
      <c r="BJE88" s="996"/>
      <c r="BJF88" s="996"/>
      <c r="BJG88" s="996"/>
      <c r="BJH88" s="996"/>
      <c r="BJI88" s="996"/>
      <c r="BJJ88" s="996"/>
      <c r="BJK88" s="996"/>
      <c r="BJL88" s="996"/>
      <c r="BJM88" s="996"/>
      <c r="BJN88" s="996"/>
      <c r="BJO88" s="996"/>
      <c r="BJP88" s="996"/>
      <c r="BJQ88" s="996"/>
      <c r="BJR88" s="996"/>
      <c r="BJS88" s="996"/>
      <c r="BJT88" s="996"/>
      <c r="BJU88" s="996"/>
      <c r="BJV88" s="996"/>
      <c r="BJW88" s="996"/>
      <c r="BJX88" s="996"/>
      <c r="BJY88" s="996"/>
      <c r="BJZ88" s="996"/>
      <c r="BKA88" s="996"/>
      <c r="BKB88" s="996"/>
      <c r="BKC88" s="996"/>
      <c r="BKD88" s="996"/>
      <c r="BKE88" s="996"/>
      <c r="BKF88" s="996"/>
      <c r="BKG88" s="996"/>
      <c r="BKH88" s="996"/>
      <c r="BKI88" s="996"/>
      <c r="BKJ88" s="996"/>
      <c r="BKK88" s="996"/>
      <c r="BKL88" s="996"/>
      <c r="BKM88" s="996"/>
      <c r="BKN88" s="996"/>
      <c r="BKO88" s="996"/>
      <c r="BKP88" s="996"/>
      <c r="BKQ88" s="996"/>
      <c r="BKR88" s="996"/>
      <c r="BKS88" s="996"/>
      <c r="BKT88" s="996"/>
      <c r="BKU88" s="996"/>
      <c r="BKV88" s="996"/>
      <c r="BKW88" s="996"/>
      <c r="BKX88" s="996"/>
      <c r="BKY88" s="996"/>
      <c r="BKZ88" s="996"/>
      <c r="BLA88" s="996"/>
      <c r="BLB88" s="996"/>
      <c r="BLC88" s="996"/>
      <c r="BLD88" s="996"/>
      <c r="BLE88" s="996"/>
      <c r="BLF88" s="996"/>
      <c r="BLG88" s="996"/>
      <c r="BLH88" s="996"/>
      <c r="BLI88" s="996"/>
      <c r="BLJ88" s="996"/>
      <c r="BLK88" s="996"/>
      <c r="BLL88" s="996"/>
      <c r="BLM88" s="996"/>
      <c r="BLN88" s="996"/>
      <c r="BLO88" s="996"/>
      <c r="BLP88" s="996"/>
      <c r="BLQ88" s="996"/>
      <c r="BLR88" s="996"/>
      <c r="BLS88" s="996"/>
      <c r="BLT88" s="996"/>
      <c r="BLU88" s="996"/>
      <c r="BLV88" s="996"/>
      <c r="BLW88" s="996"/>
      <c r="BLX88" s="996"/>
      <c r="BLY88" s="996"/>
      <c r="BLZ88" s="996"/>
      <c r="BMA88" s="996"/>
      <c r="BMB88" s="996"/>
      <c r="BMC88" s="996"/>
      <c r="BMD88" s="996"/>
      <c r="BME88" s="996"/>
      <c r="BMF88" s="996"/>
      <c r="BMG88" s="996"/>
      <c r="BMH88" s="996"/>
      <c r="BMI88" s="996"/>
      <c r="BMJ88" s="996"/>
      <c r="BMK88" s="996"/>
      <c r="BML88" s="996"/>
      <c r="BMM88" s="996"/>
      <c r="BMN88" s="996"/>
      <c r="BMO88" s="996"/>
      <c r="BMP88" s="996"/>
      <c r="BMQ88" s="996"/>
      <c r="BMR88" s="996"/>
      <c r="BMS88" s="996"/>
      <c r="BMT88" s="996"/>
      <c r="BMU88" s="996"/>
      <c r="BMV88" s="996"/>
      <c r="BMW88" s="996"/>
      <c r="BMX88" s="996"/>
      <c r="BMY88" s="996"/>
      <c r="BMZ88" s="996"/>
      <c r="BNA88" s="996"/>
      <c r="BNB88" s="996"/>
      <c r="BNC88" s="996"/>
      <c r="BND88" s="996"/>
      <c r="BNE88" s="996"/>
      <c r="BNF88" s="996"/>
      <c r="BNG88" s="996"/>
      <c r="BNH88" s="996"/>
      <c r="BNI88" s="996"/>
      <c r="BNJ88" s="996"/>
      <c r="BNK88" s="996"/>
      <c r="BNL88" s="996"/>
      <c r="BNM88" s="996"/>
      <c r="BNN88" s="996"/>
      <c r="BNO88" s="996"/>
      <c r="BNP88" s="996"/>
      <c r="BNQ88" s="996"/>
      <c r="BNR88" s="996"/>
      <c r="BNS88" s="996"/>
      <c r="BNT88" s="996"/>
      <c r="BNU88" s="996"/>
      <c r="BNV88" s="996"/>
      <c r="BNW88" s="996"/>
      <c r="BNX88" s="996"/>
      <c r="BNY88" s="996"/>
      <c r="BNZ88" s="996"/>
      <c r="BOA88" s="996"/>
      <c r="BOB88" s="996"/>
      <c r="BOC88" s="996"/>
      <c r="BOD88" s="996"/>
      <c r="BOE88" s="996"/>
      <c r="BOF88" s="996"/>
      <c r="BOG88" s="996"/>
      <c r="BOH88" s="996"/>
      <c r="BOI88" s="996"/>
      <c r="BOJ88" s="996"/>
      <c r="BOK88" s="996"/>
      <c r="BOL88" s="996"/>
      <c r="BOM88" s="996"/>
      <c r="BON88" s="996"/>
      <c r="BOO88" s="996"/>
      <c r="BOP88" s="996"/>
      <c r="BOQ88" s="996"/>
      <c r="BOR88" s="996"/>
      <c r="BOS88" s="996"/>
      <c r="BOT88" s="996"/>
      <c r="BOU88" s="996"/>
      <c r="BOV88" s="996"/>
      <c r="BOW88" s="996"/>
      <c r="BOX88" s="996"/>
      <c r="BOY88" s="996"/>
      <c r="BOZ88" s="996"/>
      <c r="BPA88" s="996"/>
      <c r="BPB88" s="996"/>
      <c r="BPC88" s="996"/>
      <c r="BPD88" s="996"/>
      <c r="BPE88" s="996"/>
      <c r="BPF88" s="996"/>
      <c r="BPG88" s="996"/>
      <c r="BPH88" s="996"/>
      <c r="BPI88" s="996"/>
      <c r="BPJ88" s="996"/>
      <c r="BPK88" s="996"/>
      <c r="BPL88" s="996"/>
      <c r="BPM88" s="996"/>
      <c r="BPN88" s="996"/>
      <c r="BPO88" s="996"/>
      <c r="BPP88" s="996"/>
      <c r="BPQ88" s="996"/>
      <c r="BPR88" s="996"/>
      <c r="BPS88" s="996"/>
      <c r="BPT88" s="996"/>
      <c r="BPU88" s="996"/>
      <c r="BPV88" s="996"/>
      <c r="BPW88" s="996"/>
      <c r="BPX88" s="996"/>
      <c r="BPY88" s="996"/>
      <c r="BPZ88" s="996"/>
      <c r="BQA88" s="996"/>
      <c r="BQB88" s="996"/>
      <c r="BQC88" s="996"/>
      <c r="BQD88" s="996"/>
      <c r="BQE88" s="996"/>
      <c r="BQF88" s="996"/>
      <c r="BQG88" s="996"/>
      <c r="BQH88" s="996"/>
      <c r="BQI88" s="996"/>
      <c r="BQJ88" s="996"/>
      <c r="BQK88" s="996"/>
      <c r="BQL88" s="996"/>
      <c r="BQM88" s="996"/>
      <c r="BQN88" s="996"/>
      <c r="BQO88" s="996"/>
      <c r="BQP88" s="996"/>
      <c r="BQQ88" s="996"/>
      <c r="BQR88" s="996"/>
      <c r="BQS88" s="996"/>
      <c r="BQT88" s="996"/>
      <c r="BQU88" s="996"/>
      <c r="BQV88" s="996"/>
      <c r="BQW88" s="996"/>
      <c r="BQX88" s="996"/>
      <c r="BQY88" s="996"/>
      <c r="BQZ88" s="996"/>
      <c r="BRA88" s="996"/>
      <c r="BRB88" s="996"/>
      <c r="BRC88" s="996"/>
      <c r="BRD88" s="996"/>
      <c r="BRE88" s="996"/>
      <c r="BRF88" s="996"/>
      <c r="BRG88" s="996"/>
      <c r="BRH88" s="996"/>
      <c r="BRI88" s="996"/>
      <c r="BRJ88" s="996"/>
      <c r="BRK88" s="996"/>
      <c r="BRL88" s="996"/>
      <c r="BRM88" s="996"/>
      <c r="BRN88" s="996"/>
      <c r="BRO88" s="996"/>
      <c r="BRP88" s="996"/>
      <c r="BRQ88" s="996"/>
      <c r="BRR88" s="996"/>
      <c r="BRS88" s="996"/>
      <c r="BRT88" s="996"/>
      <c r="BRU88" s="996"/>
      <c r="BRV88" s="996"/>
      <c r="BRW88" s="996"/>
      <c r="BRX88" s="996"/>
      <c r="BRY88" s="996"/>
      <c r="BRZ88" s="996"/>
      <c r="BSA88" s="996"/>
      <c r="BSB88" s="996"/>
      <c r="BSC88" s="996"/>
      <c r="BSD88" s="996"/>
      <c r="BSE88" s="996"/>
      <c r="BSF88" s="996"/>
      <c r="BSG88" s="996"/>
      <c r="BSH88" s="996"/>
      <c r="BSI88" s="996"/>
      <c r="BSJ88" s="996"/>
      <c r="BSK88" s="996"/>
      <c r="BSL88" s="996"/>
      <c r="BSM88" s="996"/>
      <c r="BSN88" s="996"/>
      <c r="BSO88" s="996"/>
      <c r="BSP88" s="996"/>
      <c r="BSQ88" s="996"/>
      <c r="BSR88" s="996"/>
      <c r="BSS88" s="996"/>
      <c r="BST88" s="996"/>
      <c r="BSU88" s="996"/>
      <c r="BSV88" s="996"/>
      <c r="BSW88" s="996"/>
      <c r="BSX88" s="996"/>
      <c r="BSY88" s="996"/>
      <c r="BSZ88" s="996"/>
      <c r="BTA88" s="996"/>
      <c r="BTB88" s="996"/>
      <c r="BTC88" s="996"/>
      <c r="BTD88" s="996"/>
      <c r="BTE88" s="996"/>
      <c r="BTF88" s="996"/>
      <c r="BTG88" s="996"/>
      <c r="BTH88" s="996"/>
      <c r="BTI88" s="996"/>
      <c r="BTJ88" s="996"/>
      <c r="BTK88" s="996"/>
      <c r="BTL88" s="996"/>
      <c r="BTM88" s="996"/>
      <c r="BTN88" s="996"/>
      <c r="BTO88" s="996"/>
      <c r="BTP88" s="996"/>
      <c r="BTQ88" s="996"/>
      <c r="BTR88" s="996"/>
      <c r="BTS88" s="996"/>
      <c r="BTT88" s="996"/>
      <c r="BTU88" s="996"/>
      <c r="BTV88" s="996"/>
      <c r="BTW88" s="996"/>
      <c r="BTX88" s="996"/>
      <c r="BTY88" s="996"/>
      <c r="BTZ88" s="996"/>
      <c r="BUA88" s="996"/>
      <c r="BUB88" s="996"/>
      <c r="BUC88" s="996"/>
      <c r="BUD88" s="996"/>
      <c r="BUE88" s="996"/>
      <c r="BUF88" s="996"/>
      <c r="BUG88" s="996"/>
      <c r="BUH88" s="996"/>
      <c r="BUI88" s="996"/>
      <c r="BUJ88" s="996"/>
      <c r="BUK88" s="996"/>
      <c r="BUL88" s="996"/>
      <c r="BUM88" s="996"/>
      <c r="BUN88" s="996"/>
      <c r="BUO88" s="996"/>
      <c r="BUP88" s="996"/>
      <c r="BUQ88" s="996"/>
      <c r="BUR88" s="996"/>
      <c r="BUS88" s="996"/>
      <c r="BUT88" s="996"/>
      <c r="BUU88" s="996"/>
      <c r="BUV88" s="996"/>
      <c r="BUW88" s="996"/>
      <c r="BUX88" s="996"/>
      <c r="BUY88" s="996"/>
      <c r="BUZ88" s="996"/>
      <c r="BVA88" s="996"/>
      <c r="BVB88" s="996"/>
      <c r="BVC88" s="996"/>
      <c r="BVD88" s="996"/>
      <c r="BVE88" s="996"/>
      <c r="BVF88" s="996"/>
      <c r="BVG88" s="996"/>
      <c r="BVH88" s="996"/>
      <c r="BVI88" s="996"/>
      <c r="BVJ88" s="996"/>
      <c r="BVK88" s="996"/>
      <c r="BVL88" s="996"/>
      <c r="BVM88" s="996"/>
      <c r="BVN88" s="996"/>
      <c r="BVO88" s="996"/>
      <c r="BVP88" s="996"/>
      <c r="BVQ88" s="996"/>
      <c r="BVR88" s="996"/>
      <c r="BVS88" s="996"/>
      <c r="BVT88" s="996"/>
      <c r="BVU88" s="996"/>
      <c r="BVV88" s="996"/>
      <c r="BVW88" s="996"/>
      <c r="BVX88" s="996"/>
      <c r="BVY88" s="996"/>
      <c r="BVZ88" s="996"/>
      <c r="BWA88" s="996"/>
      <c r="BWB88" s="996"/>
      <c r="BWC88" s="996"/>
      <c r="BWD88" s="996"/>
      <c r="BWE88" s="996"/>
      <c r="BWF88" s="996"/>
      <c r="BWG88" s="996"/>
      <c r="BWH88" s="996"/>
      <c r="BWI88" s="996"/>
      <c r="BWJ88" s="996"/>
      <c r="BWK88" s="996"/>
      <c r="BWL88" s="996"/>
      <c r="BWM88" s="996"/>
      <c r="BWN88" s="996"/>
      <c r="BWO88" s="996"/>
      <c r="BWP88" s="996"/>
      <c r="BWQ88" s="996"/>
      <c r="BWR88" s="996"/>
      <c r="BWS88" s="996"/>
      <c r="BWT88" s="996"/>
      <c r="BWU88" s="996"/>
      <c r="BWV88" s="996"/>
      <c r="BWW88" s="996"/>
      <c r="BWX88" s="996"/>
      <c r="BWY88" s="996"/>
      <c r="BWZ88" s="996"/>
      <c r="BXA88" s="996"/>
      <c r="BXB88" s="996"/>
      <c r="BXC88" s="996"/>
      <c r="BXD88" s="996"/>
      <c r="BXE88" s="996"/>
      <c r="BXF88" s="996"/>
      <c r="BXG88" s="996"/>
      <c r="BXH88" s="996"/>
      <c r="BXI88" s="996"/>
      <c r="BXJ88" s="996"/>
      <c r="BXK88" s="996"/>
      <c r="BXL88" s="996"/>
      <c r="BXM88" s="996"/>
      <c r="BXN88" s="996"/>
      <c r="BXO88" s="996"/>
      <c r="BXP88" s="996"/>
      <c r="BXQ88" s="996"/>
      <c r="BXR88" s="996"/>
      <c r="BXS88" s="996"/>
      <c r="BXT88" s="996"/>
      <c r="BXU88" s="996"/>
      <c r="BXV88" s="996"/>
      <c r="BXW88" s="996"/>
      <c r="BXX88" s="996"/>
      <c r="BXY88" s="996"/>
      <c r="BXZ88" s="996"/>
      <c r="BYA88" s="996"/>
      <c r="BYB88" s="996"/>
      <c r="BYC88" s="996"/>
      <c r="BYD88" s="996"/>
      <c r="BYE88" s="996"/>
      <c r="BYF88" s="996"/>
      <c r="BYG88" s="996"/>
      <c r="BYH88" s="996"/>
      <c r="BYI88" s="996"/>
      <c r="BYJ88" s="996"/>
      <c r="BYK88" s="996"/>
      <c r="BYL88" s="996"/>
      <c r="BYM88" s="996"/>
      <c r="BYN88" s="996"/>
      <c r="BYO88" s="996"/>
      <c r="BYP88" s="996"/>
      <c r="BYQ88" s="996"/>
      <c r="BYR88" s="996"/>
      <c r="BYS88" s="996"/>
      <c r="BYT88" s="996"/>
      <c r="BYU88" s="996"/>
      <c r="BYV88" s="996"/>
      <c r="BYW88" s="996"/>
      <c r="BYX88" s="996"/>
      <c r="BYY88" s="996"/>
      <c r="BYZ88" s="996"/>
      <c r="BZA88" s="996"/>
      <c r="BZB88" s="996"/>
      <c r="BZC88" s="996"/>
      <c r="BZD88" s="996"/>
      <c r="BZE88" s="996"/>
      <c r="BZF88" s="996"/>
      <c r="BZG88" s="996"/>
      <c r="BZH88" s="996"/>
      <c r="BZI88" s="996"/>
      <c r="BZJ88" s="996"/>
      <c r="BZK88" s="996"/>
      <c r="BZL88" s="996"/>
      <c r="BZM88" s="996"/>
      <c r="BZN88" s="996"/>
      <c r="BZO88" s="996"/>
      <c r="BZP88" s="996"/>
      <c r="BZQ88" s="996"/>
      <c r="BZR88" s="996"/>
      <c r="BZS88" s="996"/>
      <c r="BZT88" s="996"/>
      <c r="BZU88" s="996"/>
      <c r="BZV88" s="996"/>
      <c r="BZW88" s="996"/>
      <c r="BZX88" s="996"/>
      <c r="BZY88" s="996"/>
      <c r="BZZ88" s="996"/>
      <c r="CAA88" s="996"/>
      <c r="CAB88" s="996"/>
      <c r="CAC88" s="996"/>
      <c r="CAD88" s="996"/>
      <c r="CAE88" s="996"/>
      <c r="CAF88" s="996"/>
      <c r="CAG88" s="996"/>
      <c r="CAH88" s="996"/>
      <c r="CAI88" s="996"/>
      <c r="CAJ88" s="996"/>
      <c r="CAK88" s="996"/>
      <c r="CAL88" s="996"/>
      <c r="CAM88" s="996"/>
      <c r="CAN88" s="996"/>
      <c r="CAO88" s="996"/>
      <c r="CAP88" s="996"/>
      <c r="CAQ88" s="996"/>
      <c r="CAR88" s="996"/>
      <c r="CAS88" s="996"/>
      <c r="CAT88" s="996"/>
      <c r="CAU88" s="996"/>
      <c r="CAV88" s="996"/>
      <c r="CAW88" s="996"/>
      <c r="CAX88" s="996"/>
      <c r="CAY88" s="996"/>
      <c r="CAZ88" s="996"/>
      <c r="CBA88" s="996"/>
      <c r="CBB88" s="996"/>
      <c r="CBC88" s="996"/>
      <c r="CBD88" s="996"/>
      <c r="CBE88" s="996"/>
      <c r="CBF88" s="996"/>
      <c r="CBG88" s="996"/>
      <c r="CBH88" s="996"/>
      <c r="CBI88" s="996"/>
      <c r="CBJ88" s="996"/>
      <c r="CBK88" s="996"/>
      <c r="CBL88" s="996"/>
      <c r="CBM88" s="996"/>
      <c r="CBN88" s="996"/>
      <c r="CBO88" s="996"/>
      <c r="CBP88" s="996"/>
      <c r="CBQ88" s="996"/>
      <c r="CBR88" s="996"/>
      <c r="CBS88" s="996"/>
      <c r="CBT88" s="996"/>
      <c r="CBU88" s="996"/>
      <c r="CBV88" s="996"/>
      <c r="CBW88" s="996"/>
      <c r="CBX88" s="996"/>
      <c r="CBY88" s="996"/>
      <c r="CBZ88" s="996"/>
      <c r="CCA88" s="996"/>
      <c r="CCB88" s="996"/>
      <c r="CCC88" s="996"/>
      <c r="CCD88" s="996"/>
      <c r="CCE88" s="996"/>
      <c r="CCF88" s="996"/>
      <c r="CCG88" s="996"/>
      <c r="CCH88" s="996"/>
      <c r="CCI88" s="996"/>
      <c r="CCJ88" s="996"/>
      <c r="CCK88" s="996"/>
      <c r="CCL88" s="996"/>
      <c r="CCM88" s="996"/>
      <c r="CCN88" s="996"/>
      <c r="CCO88" s="996"/>
      <c r="CCP88" s="996"/>
      <c r="CCQ88" s="996"/>
      <c r="CCR88" s="996"/>
      <c r="CCS88" s="996"/>
      <c r="CCT88" s="996"/>
      <c r="CCU88" s="996"/>
      <c r="CCV88" s="996"/>
      <c r="CCW88" s="996"/>
      <c r="CCX88" s="996"/>
      <c r="CCY88" s="996"/>
      <c r="CCZ88" s="996"/>
      <c r="CDA88" s="996"/>
      <c r="CDB88" s="996"/>
      <c r="CDC88" s="996"/>
      <c r="CDD88" s="996"/>
      <c r="CDE88" s="996"/>
      <c r="CDF88" s="996"/>
      <c r="CDG88" s="996"/>
      <c r="CDH88" s="996"/>
      <c r="CDI88" s="996"/>
      <c r="CDJ88" s="996"/>
      <c r="CDK88" s="996"/>
      <c r="CDL88" s="996"/>
      <c r="CDM88" s="996"/>
      <c r="CDN88" s="996"/>
      <c r="CDO88" s="996"/>
      <c r="CDP88" s="996"/>
      <c r="CDQ88" s="996"/>
      <c r="CDR88" s="996"/>
      <c r="CDS88" s="996"/>
      <c r="CDT88" s="996"/>
      <c r="CDU88" s="996"/>
      <c r="CDV88" s="996"/>
      <c r="CDW88" s="996"/>
      <c r="CDX88" s="996"/>
      <c r="CDY88" s="996"/>
      <c r="CDZ88" s="996"/>
      <c r="CEA88" s="996"/>
      <c r="CEB88" s="996"/>
      <c r="CEC88" s="996"/>
      <c r="CED88" s="996"/>
      <c r="CEE88" s="996"/>
      <c r="CEF88" s="996"/>
      <c r="CEG88" s="996"/>
      <c r="CEH88" s="996"/>
      <c r="CEI88" s="996"/>
      <c r="CEJ88" s="996"/>
      <c r="CEK88" s="996"/>
      <c r="CEL88" s="996"/>
      <c r="CEM88" s="996"/>
      <c r="CEN88" s="996"/>
      <c r="CEO88" s="996"/>
      <c r="CEP88" s="996"/>
      <c r="CEQ88" s="996"/>
      <c r="CER88" s="996"/>
      <c r="CES88" s="996"/>
      <c r="CET88" s="996"/>
      <c r="CEU88" s="996"/>
      <c r="CEV88" s="996"/>
      <c r="CEW88" s="996"/>
      <c r="CEX88" s="996"/>
      <c r="CEY88" s="996"/>
      <c r="CEZ88" s="996"/>
      <c r="CFA88" s="996"/>
      <c r="CFB88" s="996"/>
      <c r="CFC88" s="996"/>
      <c r="CFD88" s="996"/>
      <c r="CFE88" s="996"/>
      <c r="CFF88" s="996"/>
      <c r="CFG88" s="996"/>
      <c r="CFH88" s="996"/>
      <c r="CFI88" s="996"/>
      <c r="CFJ88" s="996"/>
      <c r="CFK88" s="996"/>
      <c r="CFL88" s="996"/>
      <c r="CFM88" s="996"/>
      <c r="CFN88" s="996"/>
      <c r="CFO88" s="996"/>
      <c r="CFP88" s="996"/>
      <c r="CFQ88" s="996"/>
      <c r="CFR88" s="996"/>
      <c r="CFS88" s="996"/>
      <c r="CFT88" s="996"/>
      <c r="CFU88" s="996"/>
      <c r="CFV88" s="996"/>
      <c r="CFW88" s="996"/>
      <c r="CFX88" s="996"/>
      <c r="CFY88" s="996"/>
      <c r="CFZ88" s="996"/>
      <c r="CGA88" s="996"/>
      <c r="CGB88" s="996"/>
      <c r="CGC88" s="996"/>
      <c r="CGD88" s="996"/>
      <c r="CGE88" s="996"/>
      <c r="CGF88" s="996"/>
      <c r="CGG88" s="996"/>
      <c r="CGH88" s="996"/>
      <c r="CGI88" s="996"/>
      <c r="CGJ88" s="996"/>
      <c r="CGK88" s="996"/>
      <c r="CGL88" s="996"/>
      <c r="CGM88" s="996"/>
      <c r="CGN88" s="996"/>
      <c r="CGO88" s="996"/>
      <c r="CGP88" s="996"/>
      <c r="CGQ88" s="996"/>
      <c r="CGR88" s="996"/>
      <c r="CGS88" s="996"/>
      <c r="CGT88" s="996"/>
      <c r="CGU88" s="996"/>
      <c r="CGV88" s="996"/>
      <c r="CGW88" s="996"/>
      <c r="CGX88" s="996"/>
      <c r="CGY88" s="996"/>
      <c r="CGZ88" s="996"/>
      <c r="CHA88" s="996"/>
      <c r="CHB88" s="996"/>
      <c r="CHC88" s="996"/>
      <c r="CHD88" s="996"/>
      <c r="CHE88" s="996"/>
      <c r="CHF88" s="996"/>
      <c r="CHG88" s="996"/>
      <c r="CHH88" s="996"/>
      <c r="CHI88" s="996"/>
      <c r="CHJ88" s="996"/>
      <c r="CHK88" s="996"/>
      <c r="CHL88" s="996"/>
      <c r="CHM88" s="996"/>
      <c r="CHN88" s="996"/>
      <c r="CHO88" s="996"/>
      <c r="CHP88" s="996"/>
      <c r="CHQ88" s="996"/>
      <c r="CHR88" s="996"/>
      <c r="CHS88" s="996"/>
      <c r="CHT88" s="996"/>
      <c r="CHU88" s="996"/>
      <c r="CHV88" s="996"/>
      <c r="CHW88" s="996"/>
      <c r="CHX88" s="996"/>
      <c r="CHY88" s="996"/>
      <c r="CHZ88" s="996"/>
      <c r="CIA88" s="996"/>
      <c r="CIB88" s="996"/>
      <c r="CIC88" s="996"/>
      <c r="CID88" s="996"/>
      <c r="CIE88" s="996"/>
      <c r="CIF88" s="996"/>
      <c r="CIG88" s="996"/>
      <c r="CIH88" s="996"/>
      <c r="CII88" s="996"/>
      <c r="CIJ88" s="996"/>
      <c r="CIK88" s="996"/>
      <c r="CIL88" s="996"/>
      <c r="CIM88" s="996"/>
      <c r="CIN88" s="996"/>
      <c r="CIO88" s="996"/>
      <c r="CIP88" s="996"/>
      <c r="CIQ88" s="996"/>
      <c r="CIR88" s="996"/>
      <c r="CIS88" s="996"/>
      <c r="CIT88" s="996"/>
      <c r="CIU88" s="996"/>
      <c r="CIV88" s="996"/>
      <c r="CIW88" s="996"/>
      <c r="CIX88" s="996"/>
      <c r="CIY88" s="996"/>
      <c r="CIZ88" s="996"/>
      <c r="CJA88" s="996"/>
      <c r="CJB88" s="996"/>
      <c r="CJC88" s="996"/>
      <c r="CJD88" s="996"/>
      <c r="CJE88" s="996"/>
      <c r="CJF88" s="996"/>
      <c r="CJG88" s="996"/>
      <c r="CJH88" s="996"/>
      <c r="CJI88" s="996"/>
      <c r="CJJ88" s="996"/>
      <c r="CJK88" s="996"/>
      <c r="CJL88" s="996"/>
      <c r="CJM88" s="996"/>
      <c r="CJN88" s="996"/>
      <c r="CJO88" s="996"/>
      <c r="CJP88" s="996"/>
      <c r="CJQ88" s="996"/>
      <c r="CJR88" s="996"/>
      <c r="CJS88" s="996"/>
      <c r="CJT88" s="996"/>
      <c r="CJU88" s="996"/>
      <c r="CJV88" s="996"/>
      <c r="CJW88" s="996"/>
      <c r="CJX88" s="996"/>
      <c r="CJY88" s="996"/>
      <c r="CJZ88" s="996"/>
      <c r="CKA88" s="996"/>
      <c r="CKB88" s="996"/>
      <c r="CKC88" s="996"/>
      <c r="CKD88" s="996"/>
      <c r="CKE88" s="996"/>
      <c r="CKF88" s="996"/>
      <c r="CKG88" s="996"/>
      <c r="CKH88" s="996"/>
      <c r="CKI88" s="996"/>
      <c r="CKJ88" s="996"/>
      <c r="CKK88" s="996"/>
      <c r="CKL88" s="996"/>
      <c r="CKM88" s="996"/>
      <c r="CKN88" s="996"/>
      <c r="CKO88" s="996"/>
      <c r="CKP88" s="996"/>
      <c r="CKQ88" s="996"/>
      <c r="CKR88" s="996"/>
      <c r="CKS88" s="996"/>
      <c r="CKT88" s="996"/>
      <c r="CKU88" s="996"/>
      <c r="CKV88" s="996"/>
      <c r="CKW88" s="996"/>
      <c r="CKX88" s="996"/>
      <c r="CKY88" s="996"/>
      <c r="CKZ88" s="996"/>
      <c r="CLA88" s="996"/>
      <c r="CLB88" s="996"/>
      <c r="CLC88" s="996"/>
      <c r="CLD88" s="996"/>
      <c r="CLE88" s="996"/>
      <c r="CLF88" s="996"/>
      <c r="CLG88" s="996"/>
      <c r="CLH88" s="996"/>
      <c r="CLI88" s="996"/>
      <c r="CLJ88" s="996"/>
      <c r="CLK88" s="996"/>
      <c r="CLL88" s="996"/>
      <c r="CLM88" s="996"/>
      <c r="CLN88" s="996"/>
      <c r="CLO88" s="996"/>
      <c r="CLP88" s="996"/>
      <c r="CLQ88" s="996"/>
      <c r="CLR88" s="996"/>
      <c r="CLS88" s="996"/>
      <c r="CLT88" s="996"/>
      <c r="CLU88" s="996"/>
      <c r="CLV88" s="996"/>
      <c r="CLW88" s="996"/>
      <c r="CLX88" s="996"/>
      <c r="CLY88" s="996"/>
      <c r="CLZ88" s="996"/>
      <c r="CMA88" s="996"/>
      <c r="CMB88" s="996"/>
      <c r="CMC88" s="996"/>
      <c r="CMD88" s="996"/>
      <c r="CME88" s="996"/>
      <c r="CMF88" s="996"/>
      <c r="CMG88" s="996"/>
      <c r="CMH88" s="996"/>
      <c r="CMI88" s="996"/>
      <c r="CMJ88" s="996"/>
      <c r="CMK88" s="996"/>
      <c r="CML88" s="996"/>
      <c r="CMM88" s="996"/>
      <c r="CMN88" s="996"/>
      <c r="CMO88" s="996"/>
      <c r="CMP88" s="996"/>
      <c r="CMQ88" s="996"/>
      <c r="CMR88" s="996"/>
      <c r="CMS88" s="996"/>
      <c r="CMT88" s="996"/>
      <c r="CMU88" s="996"/>
      <c r="CMV88" s="996"/>
      <c r="CMW88" s="996"/>
      <c r="CMX88" s="996"/>
      <c r="CMY88" s="996"/>
      <c r="CMZ88" s="996"/>
      <c r="CNA88" s="996"/>
      <c r="CNB88" s="996"/>
      <c r="CNC88" s="996"/>
      <c r="CND88" s="996"/>
      <c r="CNE88" s="996"/>
      <c r="CNF88" s="996"/>
      <c r="CNG88" s="996"/>
      <c r="CNH88" s="996"/>
      <c r="CNI88" s="996"/>
      <c r="CNJ88" s="996"/>
      <c r="CNK88" s="996"/>
      <c r="CNL88" s="996"/>
      <c r="CNM88" s="996"/>
      <c r="CNN88" s="996"/>
      <c r="CNO88" s="996"/>
      <c r="CNP88" s="996"/>
      <c r="CNQ88" s="996"/>
      <c r="CNR88" s="996"/>
      <c r="CNS88" s="996"/>
      <c r="CNT88" s="996"/>
      <c r="CNU88" s="996"/>
      <c r="CNV88" s="996"/>
      <c r="CNW88" s="996"/>
      <c r="CNX88" s="996"/>
      <c r="CNY88" s="996"/>
      <c r="CNZ88" s="996"/>
      <c r="COA88" s="996"/>
      <c r="COB88" s="996"/>
      <c r="COC88" s="996"/>
      <c r="COD88" s="996"/>
      <c r="COE88" s="996"/>
      <c r="COF88" s="996"/>
      <c r="COG88" s="996"/>
      <c r="COH88" s="996"/>
      <c r="COI88" s="996"/>
      <c r="COJ88" s="996"/>
      <c r="COK88" s="996"/>
      <c r="COL88" s="996"/>
      <c r="COM88" s="996"/>
      <c r="CON88" s="996"/>
      <c r="COO88" s="996"/>
      <c r="COP88" s="996"/>
      <c r="COQ88" s="996"/>
      <c r="COR88" s="996"/>
      <c r="COS88" s="996"/>
      <c r="COT88" s="996"/>
      <c r="COU88" s="996"/>
      <c r="COV88" s="996"/>
      <c r="COW88" s="996"/>
      <c r="COX88" s="996"/>
      <c r="COY88" s="996"/>
      <c r="COZ88" s="996"/>
      <c r="CPA88" s="996"/>
      <c r="CPB88" s="996"/>
      <c r="CPC88" s="996"/>
      <c r="CPD88" s="996"/>
      <c r="CPE88" s="996"/>
      <c r="CPF88" s="996"/>
      <c r="CPG88" s="996"/>
      <c r="CPH88" s="996"/>
      <c r="CPI88" s="996"/>
      <c r="CPJ88" s="996"/>
      <c r="CPK88" s="996"/>
      <c r="CPL88" s="996"/>
      <c r="CPM88" s="996"/>
      <c r="CPN88" s="996"/>
      <c r="CPO88" s="996"/>
      <c r="CPP88" s="996"/>
      <c r="CPQ88" s="996"/>
      <c r="CPR88" s="996"/>
      <c r="CPS88" s="996"/>
      <c r="CPT88" s="996"/>
      <c r="CPU88" s="996"/>
      <c r="CPV88" s="996"/>
      <c r="CPW88" s="996"/>
      <c r="CPX88" s="996"/>
      <c r="CPY88" s="996"/>
      <c r="CPZ88" s="996"/>
      <c r="CQA88" s="996"/>
      <c r="CQB88" s="996"/>
      <c r="CQC88" s="996"/>
      <c r="CQD88" s="996"/>
      <c r="CQE88" s="996"/>
      <c r="CQF88" s="996"/>
      <c r="CQG88" s="996"/>
      <c r="CQH88" s="996"/>
      <c r="CQI88" s="996"/>
      <c r="CQJ88" s="996"/>
      <c r="CQK88" s="996"/>
      <c r="CQL88" s="996"/>
      <c r="CQM88" s="996"/>
      <c r="CQN88" s="996"/>
      <c r="CQO88" s="996"/>
      <c r="CQP88" s="996"/>
      <c r="CQQ88" s="996"/>
      <c r="CQR88" s="996"/>
      <c r="CQS88" s="996"/>
      <c r="CQT88" s="996"/>
      <c r="CQU88" s="996"/>
      <c r="CQV88" s="996"/>
      <c r="CQW88" s="996"/>
      <c r="CQX88" s="996"/>
      <c r="CQY88" s="996"/>
      <c r="CQZ88" s="996"/>
      <c r="CRA88" s="996"/>
      <c r="CRB88" s="996"/>
      <c r="CRC88" s="996"/>
      <c r="CRD88" s="996"/>
      <c r="CRE88" s="996"/>
      <c r="CRF88" s="996"/>
      <c r="CRG88" s="996"/>
      <c r="CRH88" s="996"/>
      <c r="CRI88" s="996"/>
      <c r="CRJ88" s="996"/>
      <c r="CRK88" s="996"/>
      <c r="CRL88" s="996"/>
      <c r="CRM88" s="996"/>
      <c r="CRN88" s="996"/>
      <c r="CRO88" s="996"/>
      <c r="CRP88" s="996"/>
      <c r="CRQ88" s="996"/>
      <c r="CRR88" s="996"/>
      <c r="CRS88" s="996"/>
      <c r="CRT88" s="996"/>
      <c r="CRU88" s="996"/>
      <c r="CRV88" s="996"/>
      <c r="CRW88" s="996"/>
      <c r="CRX88" s="996"/>
      <c r="CRY88" s="996"/>
      <c r="CRZ88" s="996"/>
      <c r="CSA88" s="996"/>
      <c r="CSB88" s="996"/>
      <c r="CSC88" s="996"/>
      <c r="CSD88" s="996"/>
      <c r="CSE88" s="996"/>
      <c r="CSF88" s="996"/>
      <c r="CSG88" s="996"/>
      <c r="CSH88" s="996"/>
      <c r="CSI88" s="996"/>
      <c r="CSJ88" s="996"/>
      <c r="CSK88" s="996"/>
      <c r="CSL88" s="996"/>
      <c r="CSM88" s="996"/>
      <c r="CSN88" s="996"/>
      <c r="CSO88" s="996"/>
      <c r="CSP88" s="996"/>
      <c r="CSQ88" s="996"/>
      <c r="CSR88" s="996"/>
      <c r="CSS88" s="996"/>
      <c r="CST88" s="996"/>
      <c r="CSU88" s="996"/>
      <c r="CSV88" s="996"/>
      <c r="CSW88" s="996"/>
      <c r="CSX88" s="996"/>
      <c r="CSY88" s="996"/>
      <c r="CSZ88" s="996"/>
      <c r="CTA88" s="996"/>
      <c r="CTB88" s="996"/>
      <c r="CTC88" s="996"/>
      <c r="CTD88" s="996"/>
      <c r="CTE88" s="996"/>
      <c r="CTF88" s="996"/>
      <c r="CTG88" s="996"/>
      <c r="CTH88" s="996"/>
      <c r="CTI88" s="996"/>
      <c r="CTJ88" s="996"/>
      <c r="CTK88" s="996"/>
      <c r="CTL88" s="996"/>
      <c r="CTM88" s="996"/>
      <c r="CTN88" s="996"/>
      <c r="CTO88" s="996"/>
      <c r="CTP88" s="996"/>
      <c r="CTQ88" s="996"/>
      <c r="CTR88" s="996"/>
      <c r="CTS88" s="996"/>
      <c r="CTT88" s="996"/>
      <c r="CTU88" s="996"/>
      <c r="CTV88" s="996"/>
      <c r="CTW88" s="996"/>
      <c r="CTX88" s="996"/>
      <c r="CTY88" s="996"/>
      <c r="CTZ88" s="996"/>
      <c r="CUA88" s="996"/>
      <c r="CUB88" s="996"/>
      <c r="CUC88" s="996"/>
      <c r="CUD88" s="996"/>
      <c r="CUE88" s="996"/>
      <c r="CUF88" s="996"/>
      <c r="CUG88" s="996"/>
      <c r="CUH88" s="996"/>
      <c r="CUI88" s="996"/>
      <c r="CUJ88" s="996"/>
      <c r="CUK88" s="996"/>
      <c r="CUL88" s="996"/>
      <c r="CUM88" s="996"/>
      <c r="CUN88" s="996"/>
      <c r="CUO88" s="996"/>
      <c r="CUP88" s="996"/>
      <c r="CUQ88" s="996"/>
      <c r="CUR88" s="996"/>
      <c r="CUS88" s="996"/>
      <c r="CUT88" s="996"/>
      <c r="CUU88" s="996"/>
      <c r="CUV88" s="996"/>
      <c r="CUW88" s="996"/>
      <c r="CUX88" s="996"/>
      <c r="CUY88" s="996"/>
      <c r="CUZ88" s="996"/>
      <c r="CVA88" s="996"/>
      <c r="CVB88" s="996"/>
      <c r="CVC88" s="996"/>
      <c r="CVD88" s="996"/>
      <c r="CVE88" s="996"/>
      <c r="CVF88" s="996"/>
      <c r="CVG88" s="996"/>
      <c r="CVH88" s="996"/>
      <c r="CVI88" s="996"/>
      <c r="CVJ88" s="996"/>
      <c r="CVK88" s="996"/>
      <c r="CVL88" s="996"/>
      <c r="CVM88" s="996"/>
      <c r="CVN88" s="996"/>
      <c r="CVO88" s="996"/>
      <c r="CVP88" s="996"/>
      <c r="CVQ88" s="996"/>
      <c r="CVR88" s="996"/>
      <c r="CVS88" s="996"/>
      <c r="CVT88" s="996"/>
      <c r="CVU88" s="996"/>
      <c r="CVV88" s="996"/>
      <c r="CVW88" s="996"/>
      <c r="CVX88" s="996"/>
      <c r="CVY88" s="996"/>
      <c r="CVZ88" s="996"/>
      <c r="CWA88" s="996"/>
      <c r="CWB88" s="996"/>
      <c r="CWC88" s="996"/>
      <c r="CWD88" s="996"/>
      <c r="CWE88" s="996"/>
      <c r="CWF88" s="996"/>
      <c r="CWG88" s="996"/>
      <c r="CWH88" s="996"/>
      <c r="CWI88" s="996"/>
      <c r="CWJ88" s="996"/>
      <c r="CWK88" s="996"/>
      <c r="CWL88" s="996"/>
      <c r="CWM88" s="996"/>
      <c r="CWN88" s="996"/>
      <c r="CWO88" s="996"/>
      <c r="CWP88" s="996"/>
      <c r="CWQ88" s="996"/>
      <c r="CWR88" s="996"/>
      <c r="CWS88" s="996"/>
      <c r="CWT88" s="996"/>
      <c r="CWU88" s="996"/>
      <c r="CWV88" s="996"/>
      <c r="CWW88" s="996"/>
      <c r="CWX88" s="996"/>
      <c r="CWY88" s="996"/>
      <c r="CWZ88" s="996"/>
      <c r="CXA88" s="996"/>
      <c r="CXB88" s="996"/>
      <c r="CXC88" s="996"/>
      <c r="CXD88" s="996"/>
      <c r="CXE88" s="996"/>
      <c r="CXF88" s="996"/>
      <c r="CXG88" s="996"/>
      <c r="CXH88" s="996"/>
      <c r="CXI88" s="996"/>
      <c r="CXJ88" s="996"/>
      <c r="CXK88" s="996"/>
      <c r="CXL88" s="996"/>
      <c r="CXM88" s="996"/>
      <c r="CXN88" s="996"/>
      <c r="CXO88" s="996"/>
      <c r="CXP88" s="996"/>
      <c r="CXQ88" s="996"/>
      <c r="CXR88" s="996"/>
      <c r="CXS88" s="996"/>
      <c r="CXT88" s="996"/>
      <c r="CXU88" s="996"/>
      <c r="CXV88" s="996"/>
      <c r="CXW88" s="996"/>
      <c r="CXX88" s="996"/>
      <c r="CXY88" s="996"/>
      <c r="CXZ88" s="996"/>
      <c r="CYA88" s="996"/>
      <c r="CYB88" s="996"/>
      <c r="CYC88" s="996"/>
      <c r="CYD88" s="996"/>
      <c r="CYE88" s="996"/>
      <c r="CYF88" s="996"/>
      <c r="CYG88" s="996"/>
      <c r="CYH88" s="996"/>
      <c r="CYI88" s="996"/>
      <c r="CYJ88" s="996"/>
      <c r="CYK88" s="996"/>
      <c r="CYL88" s="996"/>
      <c r="CYM88" s="996"/>
      <c r="CYN88" s="996"/>
      <c r="CYO88" s="996"/>
      <c r="CYP88" s="996"/>
      <c r="CYQ88" s="996"/>
      <c r="CYR88" s="996"/>
      <c r="CYS88" s="996"/>
      <c r="CYT88" s="996"/>
      <c r="CYU88" s="996"/>
      <c r="CYV88" s="996"/>
      <c r="CYW88" s="996"/>
      <c r="CYX88" s="996"/>
      <c r="CYY88" s="996"/>
      <c r="CYZ88" s="996"/>
      <c r="CZA88" s="996"/>
      <c r="CZB88" s="996"/>
      <c r="CZC88" s="996"/>
      <c r="CZD88" s="996"/>
      <c r="CZE88" s="996"/>
      <c r="CZF88" s="996"/>
      <c r="CZG88" s="996"/>
      <c r="CZH88" s="996"/>
      <c r="CZI88" s="996"/>
      <c r="CZJ88" s="996"/>
      <c r="CZK88" s="996"/>
      <c r="CZL88" s="996"/>
      <c r="CZM88" s="996"/>
      <c r="CZN88" s="996"/>
      <c r="CZO88" s="996"/>
      <c r="CZP88" s="996"/>
      <c r="CZQ88" s="996"/>
      <c r="CZR88" s="996"/>
      <c r="CZS88" s="996"/>
      <c r="CZT88" s="996"/>
      <c r="CZU88" s="996"/>
      <c r="CZV88" s="996"/>
      <c r="CZW88" s="996"/>
      <c r="CZX88" s="996"/>
      <c r="CZY88" s="996"/>
      <c r="CZZ88" s="996"/>
      <c r="DAA88" s="996"/>
      <c r="DAB88" s="996"/>
      <c r="DAC88" s="996"/>
      <c r="DAD88" s="996"/>
      <c r="DAE88" s="996"/>
      <c r="DAF88" s="996"/>
      <c r="DAG88" s="996"/>
      <c r="DAH88" s="996"/>
      <c r="DAI88" s="996"/>
      <c r="DAJ88" s="996"/>
      <c r="DAK88" s="996"/>
      <c r="DAL88" s="996"/>
      <c r="DAM88" s="996"/>
      <c r="DAN88" s="996"/>
      <c r="DAO88" s="996"/>
      <c r="DAP88" s="996"/>
      <c r="DAQ88" s="996"/>
      <c r="DAR88" s="996"/>
      <c r="DAS88" s="996"/>
      <c r="DAT88" s="996"/>
      <c r="DAU88" s="996"/>
      <c r="DAV88" s="996"/>
      <c r="DAW88" s="996"/>
      <c r="DAX88" s="996"/>
      <c r="DAY88" s="996"/>
      <c r="DAZ88" s="996"/>
      <c r="DBA88" s="996"/>
      <c r="DBB88" s="996"/>
      <c r="DBC88" s="996"/>
      <c r="DBD88" s="996"/>
      <c r="DBE88" s="996"/>
      <c r="DBF88" s="996"/>
      <c r="DBG88" s="996"/>
      <c r="DBH88" s="996"/>
      <c r="DBI88" s="996"/>
      <c r="DBJ88" s="996"/>
      <c r="DBK88" s="996"/>
      <c r="DBL88" s="996"/>
      <c r="DBM88" s="996"/>
      <c r="DBN88" s="996"/>
      <c r="DBO88" s="996"/>
      <c r="DBP88" s="996"/>
      <c r="DBQ88" s="996"/>
      <c r="DBR88" s="996"/>
      <c r="DBS88" s="996"/>
      <c r="DBT88" s="996"/>
      <c r="DBU88" s="996"/>
      <c r="DBV88" s="996"/>
      <c r="DBW88" s="996"/>
      <c r="DBX88" s="996"/>
      <c r="DBY88" s="996"/>
      <c r="DBZ88" s="996"/>
      <c r="DCA88" s="996"/>
      <c r="DCB88" s="996"/>
      <c r="DCC88" s="996"/>
      <c r="DCD88" s="996"/>
      <c r="DCE88" s="996"/>
      <c r="DCF88" s="996"/>
      <c r="DCG88" s="996"/>
      <c r="DCH88" s="996"/>
      <c r="DCI88" s="996"/>
      <c r="DCJ88" s="996"/>
      <c r="DCK88" s="996"/>
      <c r="DCL88" s="996"/>
      <c r="DCM88" s="996"/>
      <c r="DCN88" s="996"/>
      <c r="DCO88" s="996"/>
      <c r="DCP88" s="996"/>
      <c r="DCQ88" s="996"/>
      <c r="DCR88" s="996"/>
      <c r="DCS88" s="996"/>
      <c r="DCT88" s="996"/>
      <c r="DCU88" s="996"/>
      <c r="DCV88" s="996"/>
      <c r="DCW88" s="996"/>
      <c r="DCX88" s="996"/>
      <c r="DCY88" s="996"/>
      <c r="DCZ88" s="996"/>
      <c r="DDA88" s="996"/>
      <c r="DDB88" s="996"/>
      <c r="DDC88" s="996"/>
      <c r="DDD88" s="996"/>
      <c r="DDE88" s="996"/>
      <c r="DDF88" s="996"/>
      <c r="DDG88" s="996"/>
      <c r="DDH88" s="996"/>
      <c r="DDI88" s="996"/>
      <c r="DDJ88" s="996"/>
      <c r="DDK88" s="996"/>
      <c r="DDL88" s="996"/>
      <c r="DDM88" s="996"/>
      <c r="DDN88" s="996"/>
      <c r="DDO88" s="996"/>
      <c r="DDP88" s="996"/>
      <c r="DDQ88" s="996"/>
      <c r="DDR88" s="996"/>
      <c r="DDS88" s="996"/>
      <c r="DDT88" s="996"/>
      <c r="DDU88" s="996"/>
      <c r="DDV88" s="996"/>
      <c r="DDW88" s="996"/>
      <c r="DDX88" s="996"/>
      <c r="DDY88" s="996"/>
      <c r="DDZ88" s="996"/>
      <c r="DEA88" s="996"/>
      <c r="DEB88" s="996"/>
      <c r="DEC88" s="996"/>
      <c r="DED88" s="996"/>
      <c r="DEE88" s="996"/>
      <c r="DEF88" s="996"/>
      <c r="DEG88" s="996"/>
      <c r="DEH88" s="996"/>
      <c r="DEI88" s="996"/>
      <c r="DEJ88" s="996"/>
      <c r="DEK88" s="996"/>
      <c r="DEL88" s="996"/>
      <c r="DEM88" s="996"/>
      <c r="DEN88" s="996"/>
      <c r="DEO88" s="996"/>
      <c r="DEP88" s="996"/>
      <c r="DEQ88" s="996"/>
      <c r="DER88" s="996"/>
      <c r="DES88" s="996"/>
      <c r="DET88" s="996"/>
      <c r="DEU88" s="996"/>
      <c r="DEV88" s="996"/>
      <c r="DEW88" s="996"/>
      <c r="DEX88" s="996"/>
      <c r="DEY88" s="996"/>
      <c r="DEZ88" s="996"/>
      <c r="DFA88" s="996"/>
      <c r="DFB88" s="996"/>
      <c r="DFC88" s="996"/>
      <c r="DFD88" s="996"/>
      <c r="DFE88" s="996"/>
      <c r="DFF88" s="996"/>
      <c r="DFG88" s="996"/>
      <c r="DFH88" s="996"/>
      <c r="DFI88" s="996"/>
      <c r="DFJ88" s="996"/>
      <c r="DFK88" s="996"/>
      <c r="DFL88" s="996"/>
      <c r="DFM88" s="996"/>
      <c r="DFN88" s="996"/>
      <c r="DFO88" s="996"/>
      <c r="DFP88" s="996"/>
      <c r="DFQ88" s="996"/>
      <c r="DFR88" s="996"/>
      <c r="DFS88" s="996"/>
      <c r="DFT88" s="996"/>
      <c r="DFU88" s="996"/>
      <c r="DFV88" s="996"/>
      <c r="DFW88" s="996"/>
      <c r="DFX88" s="996"/>
      <c r="DFY88" s="996"/>
      <c r="DFZ88" s="996"/>
      <c r="DGA88" s="996"/>
      <c r="DGB88" s="996"/>
      <c r="DGC88" s="996"/>
      <c r="DGD88" s="996"/>
      <c r="DGE88" s="996"/>
      <c r="DGF88" s="996"/>
      <c r="DGG88" s="996"/>
      <c r="DGH88" s="996"/>
      <c r="DGI88" s="996"/>
      <c r="DGJ88" s="996"/>
      <c r="DGK88" s="996"/>
      <c r="DGL88" s="996"/>
      <c r="DGM88" s="996"/>
      <c r="DGN88" s="996"/>
      <c r="DGO88" s="996"/>
      <c r="DGP88" s="996"/>
      <c r="DGQ88" s="996"/>
      <c r="DGR88" s="996"/>
      <c r="DGS88" s="996"/>
      <c r="DGT88" s="996"/>
      <c r="DGU88" s="996"/>
      <c r="DGV88" s="996"/>
      <c r="DGW88" s="996"/>
      <c r="DGX88" s="996"/>
      <c r="DGY88" s="996"/>
      <c r="DGZ88" s="996"/>
      <c r="DHA88" s="996"/>
      <c r="DHB88" s="996"/>
      <c r="DHC88" s="996"/>
      <c r="DHD88" s="996"/>
      <c r="DHE88" s="996"/>
      <c r="DHF88" s="996"/>
      <c r="DHG88" s="996"/>
      <c r="DHH88" s="996"/>
      <c r="DHI88" s="996"/>
      <c r="DHJ88" s="996"/>
      <c r="DHK88" s="996"/>
      <c r="DHL88" s="996"/>
      <c r="DHM88" s="996"/>
      <c r="DHN88" s="996"/>
      <c r="DHO88" s="996"/>
      <c r="DHP88" s="996"/>
      <c r="DHQ88" s="996"/>
      <c r="DHR88" s="996"/>
      <c r="DHS88" s="996"/>
      <c r="DHT88" s="996"/>
      <c r="DHU88" s="996"/>
      <c r="DHV88" s="996"/>
      <c r="DHW88" s="996"/>
      <c r="DHX88" s="996"/>
      <c r="DHY88" s="996"/>
      <c r="DHZ88" s="996"/>
      <c r="DIA88" s="996"/>
      <c r="DIB88" s="996"/>
      <c r="DIC88" s="996"/>
      <c r="DID88" s="996"/>
      <c r="DIE88" s="996"/>
      <c r="DIF88" s="996"/>
      <c r="DIG88" s="996"/>
      <c r="DIH88" s="996"/>
      <c r="DII88" s="996"/>
      <c r="DIJ88" s="996"/>
      <c r="DIK88" s="996"/>
      <c r="DIL88" s="996"/>
      <c r="DIM88" s="996"/>
      <c r="DIN88" s="996"/>
      <c r="DIO88" s="996"/>
      <c r="DIP88" s="996"/>
      <c r="DIQ88" s="996"/>
      <c r="DIR88" s="996"/>
      <c r="DIS88" s="996"/>
      <c r="DIT88" s="996"/>
      <c r="DIU88" s="996"/>
      <c r="DIV88" s="996"/>
      <c r="DIW88" s="996"/>
      <c r="DIX88" s="996"/>
      <c r="DIY88" s="996"/>
      <c r="DIZ88" s="996"/>
      <c r="DJA88" s="996"/>
      <c r="DJB88" s="996"/>
      <c r="DJC88" s="996"/>
      <c r="DJD88" s="996"/>
      <c r="DJE88" s="996"/>
      <c r="DJF88" s="996"/>
      <c r="DJG88" s="996"/>
      <c r="DJH88" s="996"/>
      <c r="DJI88" s="996"/>
      <c r="DJJ88" s="996"/>
      <c r="DJK88" s="996"/>
      <c r="DJL88" s="996"/>
      <c r="DJM88" s="996"/>
      <c r="DJN88" s="996"/>
      <c r="DJO88" s="996"/>
      <c r="DJP88" s="996"/>
      <c r="DJQ88" s="996"/>
      <c r="DJR88" s="996"/>
      <c r="DJS88" s="996"/>
      <c r="DJT88" s="996"/>
      <c r="DJU88" s="996"/>
      <c r="DJV88" s="996"/>
      <c r="DJW88" s="996"/>
      <c r="DJX88" s="996"/>
      <c r="DJY88" s="996"/>
      <c r="DJZ88" s="996"/>
      <c r="DKA88" s="996"/>
      <c r="DKB88" s="996"/>
      <c r="DKC88" s="996"/>
      <c r="DKD88" s="996"/>
      <c r="DKE88" s="996"/>
      <c r="DKF88" s="996"/>
      <c r="DKG88" s="996"/>
      <c r="DKH88" s="996"/>
      <c r="DKI88" s="996"/>
      <c r="DKJ88" s="996"/>
      <c r="DKK88" s="996"/>
      <c r="DKL88" s="996"/>
      <c r="DKM88" s="996"/>
      <c r="DKN88" s="996"/>
      <c r="DKO88" s="996"/>
      <c r="DKP88" s="996"/>
      <c r="DKQ88" s="996"/>
      <c r="DKR88" s="996"/>
      <c r="DKS88" s="996"/>
      <c r="DKT88" s="996"/>
      <c r="DKU88" s="996"/>
      <c r="DKV88" s="996"/>
      <c r="DKW88" s="996"/>
      <c r="DKX88" s="996"/>
      <c r="DKY88" s="996"/>
      <c r="DKZ88" s="996"/>
      <c r="DLA88" s="996"/>
      <c r="DLB88" s="996"/>
      <c r="DLC88" s="996"/>
      <c r="DLD88" s="996"/>
      <c r="DLE88" s="996"/>
      <c r="DLF88" s="996"/>
      <c r="DLG88" s="996"/>
      <c r="DLH88" s="996"/>
      <c r="DLI88" s="996"/>
      <c r="DLJ88" s="996"/>
      <c r="DLK88" s="996"/>
      <c r="DLL88" s="996"/>
      <c r="DLM88" s="996"/>
      <c r="DLN88" s="996"/>
      <c r="DLO88" s="996"/>
      <c r="DLP88" s="996"/>
      <c r="DLQ88" s="996"/>
      <c r="DLR88" s="996"/>
      <c r="DLS88" s="996"/>
      <c r="DLT88" s="996"/>
      <c r="DLU88" s="996"/>
      <c r="DLV88" s="996"/>
      <c r="DLW88" s="996"/>
      <c r="DLX88" s="996"/>
      <c r="DLY88" s="996"/>
      <c r="DLZ88" s="996"/>
      <c r="DMA88" s="996"/>
      <c r="DMB88" s="996"/>
      <c r="DMC88" s="996"/>
      <c r="DMD88" s="996"/>
      <c r="DME88" s="996"/>
      <c r="DMF88" s="996"/>
      <c r="DMG88" s="996"/>
      <c r="DMH88" s="996"/>
      <c r="DMI88" s="996"/>
      <c r="DMJ88" s="996"/>
      <c r="DMK88" s="996"/>
      <c r="DML88" s="996"/>
      <c r="DMM88" s="996"/>
      <c r="DMN88" s="996"/>
      <c r="DMO88" s="996"/>
      <c r="DMP88" s="996"/>
      <c r="DMQ88" s="996"/>
      <c r="DMR88" s="996"/>
      <c r="DMS88" s="996"/>
      <c r="DMT88" s="996"/>
      <c r="DMU88" s="996"/>
      <c r="DMV88" s="996"/>
      <c r="DMW88" s="996"/>
      <c r="DMX88" s="996"/>
      <c r="DMY88" s="996"/>
      <c r="DMZ88" s="996"/>
      <c r="DNA88" s="996"/>
      <c r="DNB88" s="996"/>
      <c r="DNC88" s="996"/>
      <c r="DND88" s="996"/>
      <c r="DNE88" s="996"/>
      <c r="DNF88" s="996"/>
      <c r="DNG88" s="996"/>
      <c r="DNH88" s="996"/>
      <c r="DNI88" s="996"/>
      <c r="DNJ88" s="996"/>
      <c r="DNK88" s="996"/>
      <c r="DNL88" s="996"/>
      <c r="DNM88" s="996"/>
      <c r="DNN88" s="996"/>
      <c r="DNO88" s="996"/>
      <c r="DNP88" s="996"/>
      <c r="DNQ88" s="996"/>
      <c r="DNR88" s="996"/>
      <c r="DNS88" s="996"/>
      <c r="DNT88" s="996"/>
      <c r="DNU88" s="996"/>
      <c r="DNV88" s="996"/>
      <c r="DNW88" s="996"/>
      <c r="DNX88" s="996"/>
      <c r="DNY88" s="996"/>
      <c r="DNZ88" s="996"/>
      <c r="DOA88" s="996"/>
      <c r="DOB88" s="996"/>
      <c r="DOC88" s="996"/>
      <c r="DOD88" s="996"/>
      <c r="DOE88" s="996"/>
      <c r="DOF88" s="996"/>
      <c r="DOG88" s="996"/>
      <c r="DOH88" s="996"/>
      <c r="DOI88" s="996"/>
      <c r="DOJ88" s="996"/>
      <c r="DOK88" s="996"/>
      <c r="DOL88" s="996"/>
      <c r="DOM88" s="996"/>
      <c r="DON88" s="996"/>
      <c r="DOO88" s="996"/>
      <c r="DOP88" s="996"/>
      <c r="DOQ88" s="996"/>
      <c r="DOR88" s="996"/>
      <c r="DOS88" s="996"/>
      <c r="DOT88" s="996"/>
      <c r="DOU88" s="996"/>
      <c r="DOV88" s="996"/>
      <c r="DOW88" s="996"/>
      <c r="DOX88" s="996"/>
      <c r="DOY88" s="996"/>
      <c r="DOZ88" s="996"/>
      <c r="DPA88" s="996"/>
      <c r="DPB88" s="996"/>
      <c r="DPC88" s="996"/>
      <c r="DPD88" s="996"/>
      <c r="DPE88" s="996"/>
      <c r="DPF88" s="996"/>
      <c r="DPG88" s="996"/>
      <c r="DPH88" s="996"/>
      <c r="DPI88" s="996"/>
      <c r="DPJ88" s="996"/>
      <c r="DPK88" s="996"/>
      <c r="DPL88" s="996"/>
      <c r="DPM88" s="996"/>
      <c r="DPN88" s="996"/>
      <c r="DPO88" s="996"/>
      <c r="DPP88" s="996"/>
      <c r="DPQ88" s="996"/>
      <c r="DPR88" s="996"/>
      <c r="DPS88" s="996"/>
      <c r="DPT88" s="996"/>
      <c r="DPU88" s="996"/>
      <c r="DPV88" s="996"/>
      <c r="DPW88" s="996"/>
      <c r="DPX88" s="996"/>
      <c r="DPY88" s="996"/>
      <c r="DPZ88" s="996"/>
      <c r="DQA88" s="996"/>
      <c r="DQB88" s="996"/>
      <c r="DQC88" s="996"/>
      <c r="DQD88" s="996"/>
      <c r="DQE88" s="996"/>
      <c r="DQF88" s="996"/>
      <c r="DQG88" s="996"/>
      <c r="DQH88" s="996"/>
      <c r="DQI88" s="996"/>
      <c r="DQJ88" s="996"/>
      <c r="DQK88" s="996"/>
      <c r="DQL88" s="996"/>
      <c r="DQM88" s="996"/>
      <c r="DQN88" s="996"/>
      <c r="DQO88" s="996"/>
      <c r="DQP88" s="996"/>
      <c r="DQQ88" s="996"/>
      <c r="DQR88" s="996"/>
      <c r="DQS88" s="996"/>
      <c r="DQT88" s="996"/>
      <c r="DQU88" s="996"/>
      <c r="DQV88" s="996"/>
      <c r="DQW88" s="996"/>
      <c r="DQX88" s="996"/>
      <c r="DQY88" s="996"/>
      <c r="DQZ88" s="996"/>
      <c r="DRA88" s="996"/>
      <c r="DRB88" s="996"/>
      <c r="DRC88" s="996"/>
      <c r="DRD88" s="996"/>
      <c r="DRE88" s="996"/>
      <c r="DRF88" s="996"/>
      <c r="DRG88" s="996"/>
      <c r="DRH88" s="996"/>
      <c r="DRI88" s="996"/>
      <c r="DRJ88" s="996"/>
      <c r="DRK88" s="996"/>
      <c r="DRL88" s="996"/>
      <c r="DRM88" s="996"/>
      <c r="DRN88" s="996"/>
      <c r="DRO88" s="996"/>
      <c r="DRP88" s="996"/>
      <c r="DRQ88" s="996"/>
      <c r="DRR88" s="996"/>
      <c r="DRS88" s="996"/>
      <c r="DRT88" s="996"/>
      <c r="DRU88" s="996"/>
      <c r="DRV88" s="996"/>
      <c r="DRW88" s="996"/>
      <c r="DRX88" s="996"/>
      <c r="DRY88" s="996"/>
      <c r="DRZ88" s="996"/>
      <c r="DSA88" s="996"/>
      <c r="DSB88" s="996"/>
      <c r="DSC88" s="996"/>
      <c r="DSD88" s="996"/>
      <c r="DSE88" s="996"/>
      <c r="DSF88" s="996"/>
      <c r="DSG88" s="996"/>
      <c r="DSH88" s="996"/>
      <c r="DSI88" s="996"/>
      <c r="DSJ88" s="996"/>
      <c r="DSK88" s="996"/>
      <c r="DSL88" s="996"/>
      <c r="DSM88" s="996"/>
      <c r="DSN88" s="996"/>
      <c r="DSO88" s="996"/>
      <c r="DSP88" s="996"/>
      <c r="DSQ88" s="996"/>
      <c r="DSR88" s="996"/>
      <c r="DSS88" s="996"/>
      <c r="DST88" s="996"/>
      <c r="DSU88" s="996"/>
      <c r="DSV88" s="996"/>
      <c r="DSW88" s="996"/>
      <c r="DSX88" s="996"/>
      <c r="DSY88" s="996"/>
      <c r="DSZ88" s="996"/>
      <c r="DTA88" s="996"/>
      <c r="DTB88" s="996"/>
      <c r="DTC88" s="996"/>
      <c r="DTD88" s="996"/>
      <c r="DTE88" s="996"/>
      <c r="DTF88" s="996"/>
      <c r="DTG88" s="996"/>
      <c r="DTH88" s="996"/>
      <c r="DTI88" s="996"/>
      <c r="DTJ88" s="996"/>
      <c r="DTK88" s="996"/>
      <c r="DTL88" s="996"/>
      <c r="DTM88" s="996"/>
      <c r="DTN88" s="996"/>
      <c r="DTO88" s="996"/>
      <c r="DTP88" s="996"/>
      <c r="DTQ88" s="996"/>
      <c r="DTR88" s="996"/>
      <c r="DTS88" s="996"/>
      <c r="DTT88" s="996"/>
      <c r="DTU88" s="996"/>
      <c r="DTV88" s="996"/>
      <c r="DTW88" s="996"/>
      <c r="DTX88" s="996"/>
      <c r="DTY88" s="996"/>
      <c r="DTZ88" s="996"/>
      <c r="DUA88" s="996"/>
      <c r="DUB88" s="996"/>
      <c r="DUC88" s="996"/>
      <c r="DUD88" s="996"/>
      <c r="DUE88" s="996"/>
      <c r="DUF88" s="996"/>
      <c r="DUG88" s="996"/>
      <c r="DUH88" s="996"/>
      <c r="DUI88" s="996"/>
      <c r="DUJ88" s="996"/>
      <c r="DUK88" s="996"/>
      <c r="DUL88" s="996"/>
      <c r="DUM88" s="996"/>
      <c r="DUN88" s="996"/>
      <c r="DUO88" s="996"/>
      <c r="DUP88" s="996"/>
      <c r="DUQ88" s="996"/>
      <c r="DUR88" s="996"/>
      <c r="DUS88" s="996"/>
      <c r="DUT88" s="996"/>
      <c r="DUU88" s="996"/>
      <c r="DUV88" s="996"/>
      <c r="DUW88" s="996"/>
      <c r="DUX88" s="996"/>
      <c r="DUY88" s="996"/>
      <c r="DUZ88" s="996"/>
      <c r="DVA88" s="996"/>
      <c r="DVB88" s="996"/>
      <c r="DVC88" s="996"/>
      <c r="DVD88" s="996"/>
      <c r="DVE88" s="996"/>
      <c r="DVF88" s="996"/>
      <c r="DVG88" s="996"/>
      <c r="DVH88" s="996"/>
      <c r="DVI88" s="996"/>
      <c r="DVJ88" s="996"/>
      <c r="DVK88" s="996"/>
      <c r="DVL88" s="996"/>
      <c r="DVM88" s="996"/>
      <c r="DVN88" s="996"/>
      <c r="DVO88" s="996"/>
      <c r="DVP88" s="996"/>
      <c r="DVQ88" s="996"/>
      <c r="DVR88" s="996"/>
      <c r="DVS88" s="996"/>
      <c r="DVT88" s="996"/>
      <c r="DVU88" s="996"/>
      <c r="DVV88" s="996"/>
      <c r="DVW88" s="996"/>
      <c r="DVX88" s="996"/>
      <c r="DVY88" s="996"/>
      <c r="DVZ88" s="996"/>
      <c r="DWA88" s="996"/>
      <c r="DWB88" s="996"/>
      <c r="DWC88" s="996"/>
      <c r="DWD88" s="996"/>
      <c r="DWE88" s="996"/>
      <c r="DWF88" s="996"/>
      <c r="DWG88" s="996"/>
      <c r="DWH88" s="996"/>
      <c r="DWI88" s="996"/>
      <c r="DWJ88" s="996"/>
      <c r="DWK88" s="996"/>
      <c r="DWL88" s="996"/>
      <c r="DWM88" s="996"/>
      <c r="DWN88" s="996"/>
      <c r="DWO88" s="996"/>
      <c r="DWP88" s="996"/>
      <c r="DWQ88" s="996"/>
      <c r="DWR88" s="996"/>
      <c r="DWS88" s="996"/>
      <c r="DWT88" s="996"/>
      <c r="DWU88" s="996"/>
      <c r="DWV88" s="996"/>
      <c r="DWW88" s="996"/>
      <c r="DWX88" s="996"/>
      <c r="DWY88" s="996"/>
      <c r="DWZ88" s="996"/>
      <c r="DXA88" s="996"/>
      <c r="DXB88" s="996"/>
      <c r="DXC88" s="996"/>
      <c r="DXD88" s="996"/>
      <c r="DXE88" s="996"/>
      <c r="DXF88" s="996"/>
      <c r="DXG88" s="996"/>
      <c r="DXH88" s="996"/>
      <c r="DXI88" s="996"/>
      <c r="DXJ88" s="996"/>
      <c r="DXK88" s="996"/>
      <c r="DXL88" s="996"/>
      <c r="DXM88" s="996"/>
      <c r="DXN88" s="996"/>
      <c r="DXO88" s="996"/>
      <c r="DXP88" s="996"/>
      <c r="DXQ88" s="996"/>
      <c r="DXR88" s="996"/>
      <c r="DXS88" s="996"/>
      <c r="DXT88" s="996"/>
      <c r="DXU88" s="996"/>
      <c r="DXV88" s="996"/>
      <c r="DXW88" s="996"/>
      <c r="DXX88" s="996"/>
      <c r="DXY88" s="996"/>
      <c r="DXZ88" s="996"/>
      <c r="DYA88" s="996"/>
      <c r="DYB88" s="996"/>
      <c r="DYC88" s="996"/>
      <c r="DYD88" s="996"/>
      <c r="DYE88" s="996"/>
      <c r="DYF88" s="996"/>
      <c r="DYG88" s="996"/>
      <c r="DYH88" s="996"/>
      <c r="DYI88" s="996"/>
      <c r="DYJ88" s="996"/>
      <c r="DYK88" s="996"/>
      <c r="DYL88" s="996"/>
      <c r="DYM88" s="996"/>
      <c r="DYN88" s="996"/>
      <c r="DYO88" s="996"/>
      <c r="DYP88" s="996"/>
      <c r="DYQ88" s="996"/>
      <c r="DYR88" s="996"/>
      <c r="DYS88" s="996"/>
      <c r="DYT88" s="996"/>
      <c r="DYU88" s="996"/>
      <c r="DYV88" s="996"/>
      <c r="DYW88" s="996"/>
      <c r="DYX88" s="996"/>
      <c r="DYY88" s="996"/>
      <c r="DYZ88" s="996"/>
      <c r="DZA88" s="996"/>
      <c r="DZB88" s="996"/>
      <c r="DZC88" s="996"/>
      <c r="DZD88" s="996"/>
      <c r="DZE88" s="996"/>
      <c r="DZF88" s="996"/>
      <c r="DZG88" s="996"/>
      <c r="DZH88" s="996"/>
      <c r="DZI88" s="996"/>
      <c r="DZJ88" s="996"/>
      <c r="DZK88" s="996"/>
      <c r="DZL88" s="996"/>
      <c r="DZM88" s="996"/>
      <c r="DZN88" s="996"/>
      <c r="DZO88" s="996"/>
      <c r="DZP88" s="996"/>
      <c r="DZQ88" s="996"/>
      <c r="DZR88" s="996"/>
      <c r="DZS88" s="996"/>
      <c r="DZT88" s="996"/>
      <c r="DZU88" s="996"/>
      <c r="DZV88" s="996"/>
      <c r="DZW88" s="996"/>
      <c r="DZX88" s="996"/>
      <c r="DZY88" s="996"/>
      <c r="DZZ88" s="996"/>
      <c r="EAA88" s="996"/>
      <c r="EAB88" s="996"/>
      <c r="EAC88" s="996"/>
      <c r="EAD88" s="996"/>
      <c r="EAE88" s="996"/>
      <c r="EAF88" s="996"/>
      <c r="EAG88" s="996"/>
      <c r="EAH88" s="996"/>
      <c r="EAI88" s="996"/>
      <c r="EAJ88" s="996"/>
      <c r="EAK88" s="996"/>
      <c r="EAL88" s="996"/>
      <c r="EAM88" s="996"/>
      <c r="EAN88" s="996"/>
      <c r="EAO88" s="996"/>
      <c r="EAP88" s="996"/>
      <c r="EAQ88" s="996"/>
      <c r="EAR88" s="996"/>
      <c r="EAS88" s="996"/>
      <c r="EAT88" s="996"/>
      <c r="EAU88" s="996"/>
      <c r="EAV88" s="996"/>
      <c r="EAW88" s="996"/>
      <c r="EAX88" s="996"/>
      <c r="EAY88" s="996"/>
      <c r="EAZ88" s="996"/>
      <c r="EBA88" s="996"/>
      <c r="EBB88" s="996"/>
      <c r="EBC88" s="996"/>
      <c r="EBD88" s="996"/>
      <c r="EBE88" s="996"/>
      <c r="EBF88" s="996"/>
      <c r="EBG88" s="996"/>
      <c r="EBH88" s="996"/>
      <c r="EBI88" s="996"/>
      <c r="EBJ88" s="996"/>
      <c r="EBK88" s="996"/>
      <c r="EBL88" s="996"/>
      <c r="EBM88" s="996"/>
      <c r="EBN88" s="996"/>
      <c r="EBO88" s="996"/>
      <c r="EBP88" s="996"/>
      <c r="EBQ88" s="996"/>
      <c r="EBR88" s="996"/>
      <c r="EBS88" s="996"/>
      <c r="EBT88" s="996"/>
      <c r="EBU88" s="996"/>
      <c r="EBV88" s="996"/>
      <c r="EBW88" s="996"/>
      <c r="EBX88" s="996"/>
      <c r="EBY88" s="996"/>
      <c r="EBZ88" s="996"/>
      <c r="ECA88" s="996"/>
      <c r="ECB88" s="996"/>
      <c r="ECC88" s="996"/>
      <c r="ECD88" s="996"/>
      <c r="ECE88" s="996"/>
      <c r="ECF88" s="996"/>
      <c r="ECG88" s="996"/>
      <c r="ECH88" s="996"/>
      <c r="ECI88" s="996"/>
      <c r="ECJ88" s="996"/>
      <c r="ECK88" s="996"/>
      <c r="ECL88" s="996"/>
      <c r="ECM88" s="996"/>
      <c r="ECN88" s="996"/>
      <c r="ECO88" s="996"/>
      <c r="ECP88" s="996"/>
      <c r="ECQ88" s="996"/>
      <c r="ECR88" s="996"/>
      <c r="ECS88" s="996"/>
      <c r="ECT88" s="996"/>
      <c r="ECU88" s="996"/>
      <c r="ECV88" s="996"/>
      <c r="ECW88" s="996"/>
      <c r="ECX88" s="996"/>
      <c r="ECY88" s="996"/>
      <c r="ECZ88" s="996"/>
      <c r="EDA88" s="996"/>
      <c r="EDB88" s="996"/>
      <c r="EDC88" s="996"/>
      <c r="EDD88" s="996"/>
      <c r="EDE88" s="996"/>
      <c r="EDF88" s="996"/>
      <c r="EDG88" s="996"/>
      <c r="EDH88" s="996"/>
      <c r="EDI88" s="996"/>
      <c r="EDJ88" s="996"/>
      <c r="EDK88" s="996"/>
      <c r="EDL88" s="996"/>
      <c r="EDM88" s="996"/>
      <c r="EDN88" s="996"/>
      <c r="EDO88" s="996"/>
      <c r="EDP88" s="996"/>
      <c r="EDQ88" s="996"/>
      <c r="EDR88" s="996"/>
      <c r="EDS88" s="996"/>
      <c r="EDT88" s="996"/>
      <c r="EDU88" s="996"/>
      <c r="EDV88" s="996"/>
      <c r="EDW88" s="996"/>
      <c r="EDX88" s="996"/>
      <c r="EDY88" s="996"/>
      <c r="EDZ88" s="996"/>
      <c r="EEA88" s="996"/>
      <c r="EEB88" s="996"/>
      <c r="EEC88" s="996"/>
      <c r="EED88" s="996"/>
      <c r="EEE88" s="996"/>
      <c r="EEF88" s="996"/>
      <c r="EEG88" s="996"/>
      <c r="EEH88" s="996"/>
      <c r="EEI88" s="996"/>
      <c r="EEJ88" s="996"/>
      <c r="EEK88" s="996"/>
      <c r="EEL88" s="996"/>
      <c r="EEM88" s="996"/>
      <c r="EEN88" s="996"/>
      <c r="EEO88" s="996"/>
      <c r="EEP88" s="996"/>
      <c r="EEQ88" s="996"/>
      <c r="EER88" s="996"/>
      <c r="EES88" s="996"/>
      <c r="EET88" s="996"/>
      <c r="EEU88" s="996"/>
      <c r="EEV88" s="996"/>
      <c r="EEW88" s="996"/>
      <c r="EEX88" s="996"/>
      <c r="EEY88" s="996"/>
      <c r="EEZ88" s="996"/>
      <c r="EFA88" s="996"/>
      <c r="EFB88" s="996"/>
      <c r="EFC88" s="996"/>
      <c r="EFD88" s="996"/>
      <c r="EFE88" s="996"/>
      <c r="EFF88" s="996"/>
      <c r="EFG88" s="996"/>
      <c r="EFH88" s="996"/>
      <c r="EFI88" s="996"/>
      <c r="EFJ88" s="996"/>
      <c r="EFK88" s="996"/>
      <c r="EFL88" s="996"/>
      <c r="EFM88" s="996"/>
      <c r="EFN88" s="996"/>
      <c r="EFO88" s="996"/>
      <c r="EFP88" s="996"/>
      <c r="EFQ88" s="996"/>
      <c r="EFR88" s="996"/>
      <c r="EFS88" s="996"/>
      <c r="EFT88" s="996"/>
      <c r="EFU88" s="996"/>
      <c r="EFV88" s="996"/>
      <c r="EFW88" s="996"/>
      <c r="EFX88" s="996"/>
      <c r="EFY88" s="996"/>
      <c r="EFZ88" s="996"/>
      <c r="EGA88" s="996"/>
      <c r="EGB88" s="996"/>
      <c r="EGC88" s="996"/>
      <c r="EGD88" s="996"/>
      <c r="EGE88" s="996"/>
      <c r="EGF88" s="996"/>
      <c r="EGG88" s="996"/>
      <c r="EGH88" s="996"/>
      <c r="EGI88" s="996"/>
      <c r="EGJ88" s="996"/>
      <c r="EGK88" s="996"/>
      <c r="EGL88" s="996"/>
      <c r="EGM88" s="996"/>
      <c r="EGN88" s="996"/>
      <c r="EGO88" s="996"/>
      <c r="EGP88" s="996"/>
      <c r="EGQ88" s="996"/>
      <c r="EGR88" s="996"/>
      <c r="EGS88" s="996"/>
      <c r="EGT88" s="996"/>
      <c r="EGU88" s="996"/>
      <c r="EGV88" s="996"/>
      <c r="EGW88" s="996"/>
      <c r="EGX88" s="996"/>
      <c r="EGY88" s="996"/>
      <c r="EGZ88" s="996"/>
      <c r="EHA88" s="996"/>
      <c r="EHB88" s="996"/>
      <c r="EHC88" s="996"/>
      <c r="EHD88" s="996"/>
      <c r="EHE88" s="996"/>
      <c r="EHF88" s="996"/>
      <c r="EHG88" s="996"/>
      <c r="EHH88" s="996"/>
      <c r="EHI88" s="996"/>
      <c r="EHJ88" s="996"/>
      <c r="EHK88" s="996"/>
      <c r="EHL88" s="996"/>
      <c r="EHM88" s="996"/>
      <c r="EHN88" s="996"/>
      <c r="EHO88" s="996"/>
      <c r="EHP88" s="996"/>
      <c r="EHQ88" s="996"/>
      <c r="EHR88" s="996"/>
      <c r="EHS88" s="996"/>
      <c r="EHT88" s="996"/>
      <c r="EHU88" s="996"/>
      <c r="EHV88" s="996"/>
      <c r="EHW88" s="996"/>
      <c r="EHX88" s="996"/>
      <c r="EHY88" s="996"/>
      <c r="EHZ88" s="996"/>
      <c r="EIA88" s="996"/>
      <c r="EIB88" s="996"/>
      <c r="EIC88" s="996"/>
      <c r="EID88" s="996"/>
      <c r="EIE88" s="996"/>
      <c r="EIF88" s="996"/>
      <c r="EIG88" s="996"/>
      <c r="EIH88" s="996"/>
      <c r="EII88" s="996"/>
      <c r="EIJ88" s="996"/>
      <c r="EIK88" s="996"/>
      <c r="EIL88" s="996"/>
      <c r="EIM88" s="996"/>
      <c r="EIN88" s="996"/>
      <c r="EIO88" s="996"/>
      <c r="EIP88" s="996"/>
      <c r="EIQ88" s="996"/>
      <c r="EIR88" s="996"/>
      <c r="EIS88" s="996"/>
      <c r="EIT88" s="996"/>
      <c r="EIU88" s="996"/>
      <c r="EIV88" s="996"/>
      <c r="EIW88" s="996"/>
      <c r="EIX88" s="996"/>
      <c r="EIY88" s="996"/>
      <c r="EIZ88" s="996"/>
      <c r="EJA88" s="996"/>
      <c r="EJB88" s="996"/>
      <c r="EJC88" s="996"/>
      <c r="EJD88" s="996"/>
      <c r="EJE88" s="996"/>
      <c r="EJF88" s="996"/>
      <c r="EJG88" s="996"/>
      <c r="EJH88" s="996"/>
      <c r="EJI88" s="996"/>
      <c r="EJJ88" s="996"/>
      <c r="EJK88" s="996"/>
      <c r="EJL88" s="996"/>
      <c r="EJM88" s="996"/>
      <c r="EJN88" s="996"/>
      <c r="EJO88" s="996"/>
      <c r="EJP88" s="996"/>
      <c r="EJQ88" s="996"/>
      <c r="EJR88" s="996"/>
      <c r="EJS88" s="996"/>
      <c r="EJT88" s="996"/>
      <c r="EJU88" s="996"/>
      <c r="EJV88" s="996"/>
      <c r="EJW88" s="996"/>
      <c r="EJX88" s="996"/>
      <c r="EJY88" s="996"/>
      <c r="EJZ88" s="996"/>
      <c r="EKA88" s="996"/>
      <c r="EKB88" s="996"/>
      <c r="EKC88" s="996"/>
      <c r="EKD88" s="996"/>
      <c r="EKE88" s="996"/>
      <c r="EKF88" s="996"/>
      <c r="EKG88" s="996"/>
      <c r="EKH88" s="996"/>
      <c r="EKI88" s="996"/>
      <c r="EKJ88" s="996"/>
      <c r="EKK88" s="996"/>
      <c r="EKL88" s="996"/>
      <c r="EKM88" s="996"/>
      <c r="EKN88" s="996"/>
      <c r="EKO88" s="996"/>
      <c r="EKP88" s="996"/>
      <c r="EKQ88" s="996"/>
      <c r="EKR88" s="996"/>
      <c r="EKS88" s="996"/>
      <c r="EKT88" s="996"/>
      <c r="EKU88" s="996"/>
      <c r="EKV88" s="996"/>
      <c r="EKW88" s="996"/>
      <c r="EKX88" s="996"/>
      <c r="EKY88" s="996"/>
      <c r="EKZ88" s="996"/>
      <c r="ELA88" s="996"/>
      <c r="ELB88" s="996"/>
      <c r="ELC88" s="996"/>
      <c r="ELD88" s="996"/>
      <c r="ELE88" s="996"/>
      <c r="ELF88" s="996"/>
      <c r="ELG88" s="996"/>
      <c r="ELH88" s="996"/>
      <c r="ELI88" s="996"/>
      <c r="ELJ88" s="996"/>
      <c r="ELK88" s="996"/>
      <c r="ELL88" s="996"/>
      <c r="ELM88" s="996"/>
      <c r="ELN88" s="996"/>
      <c r="ELO88" s="996"/>
      <c r="ELP88" s="996"/>
      <c r="ELQ88" s="996"/>
      <c r="ELR88" s="996"/>
      <c r="ELS88" s="996"/>
      <c r="ELT88" s="996"/>
      <c r="ELU88" s="996"/>
      <c r="ELV88" s="996"/>
      <c r="ELW88" s="996"/>
      <c r="ELX88" s="996"/>
      <c r="ELY88" s="996"/>
      <c r="ELZ88" s="996"/>
      <c r="EMA88" s="996"/>
      <c r="EMB88" s="996"/>
      <c r="EMC88" s="996"/>
      <c r="EMD88" s="996"/>
      <c r="EME88" s="996"/>
      <c r="EMF88" s="996"/>
      <c r="EMG88" s="996"/>
      <c r="EMH88" s="996"/>
      <c r="EMI88" s="996"/>
      <c r="EMJ88" s="996"/>
      <c r="EMK88" s="996"/>
      <c r="EML88" s="996"/>
      <c r="EMM88" s="996"/>
      <c r="EMN88" s="996"/>
      <c r="EMO88" s="996"/>
      <c r="EMP88" s="996"/>
      <c r="EMQ88" s="996"/>
      <c r="EMR88" s="996"/>
      <c r="EMS88" s="996"/>
      <c r="EMT88" s="996"/>
      <c r="EMU88" s="996"/>
      <c r="EMV88" s="996"/>
      <c r="EMW88" s="996"/>
      <c r="EMX88" s="996"/>
      <c r="EMY88" s="996"/>
      <c r="EMZ88" s="996"/>
      <c r="ENA88" s="996"/>
      <c r="ENB88" s="996"/>
      <c r="ENC88" s="996"/>
      <c r="END88" s="996"/>
      <c r="ENE88" s="996"/>
      <c r="ENF88" s="996"/>
      <c r="ENG88" s="996"/>
      <c r="ENH88" s="996"/>
      <c r="ENI88" s="996"/>
      <c r="ENJ88" s="996"/>
      <c r="ENK88" s="996"/>
      <c r="ENL88" s="996"/>
      <c r="ENM88" s="996"/>
      <c r="ENN88" s="996"/>
      <c r="ENO88" s="996"/>
      <c r="ENP88" s="996"/>
      <c r="ENQ88" s="996"/>
      <c r="ENR88" s="996"/>
      <c r="ENS88" s="996"/>
      <c r="ENT88" s="996"/>
      <c r="ENU88" s="996"/>
      <c r="ENV88" s="996"/>
      <c r="ENW88" s="996"/>
      <c r="ENX88" s="996"/>
      <c r="ENY88" s="996"/>
      <c r="ENZ88" s="996"/>
      <c r="EOA88" s="996"/>
      <c r="EOB88" s="996"/>
      <c r="EOC88" s="996"/>
      <c r="EOD88" s="996"/>
      <c r="EOE88" s="996"/>
      <c r="EOF88" s="996"/>
      <c r="EOG88" s="996"/>
      <c r="EOH88" s="996"/>
      <c r="EOI88" s="996"/>
      <c r="EOJ88" s="996"/>
      <c r="EOK88" s="996"/>
      <c r="EOL88" s="996"/>
      <c r="EOM88" s="996"/>
      <c r="EON88" s="996"/>
      <c r="EOO88" s="996"/>
      <c r="EOP88" s="996"/>
      <c r="EOQ88" s="996"/>
      <c r="EOR88" s="996"/>
      <c r="EOS88" s="996"/>
      <c r="EOT88" s="996"/>
      <c r="EOU88" s="996"/>
      <c r="EOV88" s="996"/>
      <c r="EOW88" s="996"/>
      <c r="EOX88" s="996"/>
      <c r="EOY88" s="996"/>
      <c r="EOZ88" s="996"/>
      <c r="EPA88" s="996"/>
      <c r="EPB88" s="996"/>
      <c r="EPC88" s="996"/>
      <c r="EPD88" s="996"/>
      <c r="EPE88" s="996"/>
      <c r="EPF88" s="996"/>
      <c r="EPG88" s="996"/>
      <c r="EPH88" s="996"/>
      <c r="EPI88" s="996"/>
      <c r="EPJ88" s="996"/>
      <c r="EPK88" s="996"/>
      <c r="EPL88" s="996"/>
      <c r="EPM88" s="996"/>
      <c r="EPN88" s="996"/>
      <c r="EPO88" s="996"/>
      <c r="EPP88" s="996"/>
      <c r="EPQ88" s="996"/>
      <c r="EPR88" s="996"/>
      <c r="EPS88" s="996"/>
      <c r="EPT88" s="996"/>
      <c r="EPU88" s="996"/>
      <c r="EPV88" s="996"/>
      <c r="EPW88" s="996"/>
      <c r="EPX88" s="996"/>
      <c r="EPY88" s="996"/>
      <c r="EPZ88" s="996"/>
      <c r="EQA88" s="996"/>
      <c r="EQB88" s="996"/>
      <c r="EQC88" s="996"/>
      <c r="EQD88" s="996"/>
      <c r="EQE88" s="996"/>
      <c r="EQF88" s="996"/>
      <c r="EQG88" s="996"/>
      <c r="EQH88" s="996"/>
      <c r="EQI88" s="996"/>
      <c r="EQJ88" s="996"/>
      <c r="EQK88" s="996"/>
      <c r="EQL88" s="996"/>
      <c r="EQM88" s="996"/>
      <c r="EQN88" s="996"/>
      <c r="EQO88" s="996"/>
      <c r="EQP88" s="996"/>
      <c r="EQQ88" s="996"/>
      <c r="EQR88" s="996"/>
      <c r="EQS88" s="996"/>
      <c r="EQT88" s="996"/>
      <c r="EQU88" s="996"/>
      <c r="EQV88" s="996"/>
      <c r="EQW88" s="996"/>
      <c r="EQX88" s="996"/>
      <c r="EQY88" s="996"/>
      <c r="EQZ88" s="996"/>
      <c r="ERA88" s="996"/>
      <c r="ERB88" s="996"/>
      <c r="ERC88" s="996"/>
      <c r="ERD88" s="996"/>
      <c r="ERE88" s="996"/>
      <c r="ERF88" s="996"/>
      <c r="ERG88" s="996"/>
      <c r="ERH88" s="996"/>
      <c r="ERI88" s="996"/>
      <c r="ERJ88" s="996"/>
      <c r="ERK88" s="996"/>
      <c r="ERL88" s="996"/>
      <c r="ERM88" s="996"/>
      <c r="ERN88" s="996"/>
      <c r="ERO88" s="996"/>
      <c r="ERP88" s="996"/>
      <c r="ERQ88" s="996"/>
      <c r="ERR88" s="996"/>
      <c r="ERS88" s="996"/>
      <c r="ERT88" s="996"/>
      <c r="ERU88" s="996"/>
      <c r="ERV88" s="996"/>
      <c r="ERW88" s="996"/>
      <c r="ERX88" s="996"/>
      <c r="ERY88" s="996"/>
      <c r="ERZ88" s="996"/>
      <c r="ESA88" s="996"/>
      <c r="ESB88" s="996"/>
      <c r="ESC88" s="996"/>
      <c r="ESD88" s="996"/>
      <c r="ESE88" s="996"/>
      <c r="ESF88" s="996"/>
      <c r="ESG88" s="996"/>
      <c r="ESH88" s="996"/>
      <c r="ESI88" s="996"/>
      <c r="ESJ88" s="996"/>
      <c r="ESK88" s="996"/>
      <c r="ESL88" s="996"/>
      <c r="ESM88" s="996"/>
      <c r="ESN88" s="996"/>
      <c r="ESO88" s="996"/>
      <c r="ESP88" s="996"/>
      <c r="ESQ88" s="996"/>
      <c r="ESR88" s="996"/>
      <c r="ESS88" s="996"/>
      <c r="EST88" s="996"/>
      <c r="ESU88" s="996"/>
      <c r="ESV88" s="996"/>
      <c r="ESW88" s="996"/>
      <c r="ESX88" s="996"/>
      <c r="ESY88" s="996"/>
      <c r="ESZ88" s="996"/>
      <c r="ETA88" s="996"/>
      <c r="ETB88" s="996"/>
      <c r="ETC88" s="996"/>
      <c r="ETD88" s="996"/>
      <c r="ETE88" s="996"/>
      <c r="ETF88" s="996"/>
      <c r="ETG88" s="996"/>
      <c r="ETH88" s="996"/>
      <c r="ETI88" s="996"/>
      <c r="ETJ88" s="996"/>
      <c r="ETK88" s="996"/>
      <c r="ETL88" s="996"/>
      <c r="ETM88" s="996"/>
      <c r="ETN88" s="996"/>
      <c r="ETO88" s="996"/>
      <c r="ETP88" s="996"/>
      <c r="ETQ88" s="996"/>
      <c r="ETR88" s="996"/>
      <c r="ETS88" s="996"/>
      <c r="ETT88" s="996"/>
      <c r="ETU88" s="996"/>
      <c r="ETV88" s="996"/>
      <c r="ETW88" s="996"/>
      <c r="ETX88" s="996"/>
      <c r="ETY88" s="996"/>
      <c r="ETZ88" s="996"/>
      <c r="EUA88" s="996"/>
      <c r="EUB88" s="996"/>
      <c r="EUC88" s="996"/>
      <c r="EUD88" s="996"/>
      <c r="EUE88" s="996"/>
      <c r="EUF88" s="996"/>
      <c r="EUG88" s="996"/>
      <c r="EUH88" s="996"/>
      <c r="EUI88" s="996"/>
      <c r="EUJ88" s="996"/>
      <c r="EUK88" s="996"/>
      <c r="EUL88" s="996"/>
      <c r="EUM88" s="996"/>
      <c r="EUN88" s="996"/>
      <c r="EUO88" s="996"/>
      <c r="EUP88" s="996"/>
      <c r="EUQ88" s="996"/>
      <c r="EUR88" s="996"/>
      <c r="EUS88" s="996"/>
      <c r="EUT88" s="996"/>
      <c r="EUU88" s="996"/>
      <c r="EUV88" s="996"/>
      <c r="EUW88" s="996"/>
      <c r="EUX88" s="996"/>
      <c r="EUY88" s="996"/>
      <c r="EUZ88" s="996"/>
      <c r="EVA88" s="996"/>
      <c r="EVB88" s="996"/>
      <c r="EVC88" s="996"/>
      <c r="EVD88" s="996"/>
      <c r="EVE88" s="996"/>
      <c r="EVF88" s="996"/>
      <c r="EVG88" s="996"/>
      <c r="EVH88" s="996"/>
      <c r="EVI88" s="996"/>
      <c r="EVJ88" s="996"/>
      <c r="EVK88" s="996"/>
      <c r="EVL88" s="996"/>
      <c r="EVM88" s="996"/>
      <c r="EVN88" s="996"/>
      <c r="EVO88" s="996"/>
      <c r="EVP88" s="996"/>
      <c r="EVQ88" s="996"/>
      <c r="EVR88" s="996"/>
      <c r="EVS88" s="996"/>
      <c r="EVT88" s="996"/>
      <c r="EVU88" s="996"/>
      <c r="EVV88" s="996"/>
      <c r="EVW88" s="996"/>
      <c r="EVX88" s="996"/>
      <c r="EVY88" s="996"/>
      <c r="EVZ88" s="996"/>
      <c r="EWA88" s="996"/>
      <c r="EWB88" s="996"/>
      <c r="EWC88" s="996"/>
      <c r="EWD88" s="996"/>
      <c r="EWE88" s="996"/>
      <c r="EWF88" s="996"/>
      <c r="EWG88" s="996"/>
      <c r="EWH88" s="996"/>
      <c r="EWI88" s="996"/>
      <c r="EWJ88" s="996"/>
      <c r="EWK88" s="996"/>
      <c r="EWL88" s="996"/>
      <c r="EWM88" s="996"/>
      <c r="EWN88" s="996"/>
      <c r="EWO88" s="996"/>
      <c r="EWP88" s="996"/>
      <c r="EWQ88" s="996"/>
      <c r="EWR88" s="996"/>
      <c r="EWS88" s="996"/>
      <c r="EWT88" s="996"/>
      <c r="EWU88" s="996"/>
      <c r="EWV88" s="996"/>
      <c r="EWW88" s="996"/>
      <c r="EWX88" s="996"/>
      <c r="EWY88" s="996"/>
      <c r="EWZ88" s="996"/>
      <c r="EXA88" s="996"/>
      <c r="EXB88" s="996"/>
      <c r="EXC88" s="996"/>
      <c r="EXD88" s="996"/>
      <c r="EXE88" s="996"/>
      <c r="EXF88" s="996"/>
      <c r="EXG88" s="996"/>
      <c r="EXH88" s="996"/>
      <c r="EXI88" s="996"/>
      <c r="EXJ88" s="996"/>
      <c r="EXK88" s="996"/>
      <c r="EXL88" s="996"/>
      <c r="EXM88" s="996"/>
      <c r="EXN88" s="996"/>
      <c r="EXO88" s="996"/>
      <c r="EXP88" s="996"/>
      <c r="EXQ88" s="996"/>
      <c r="EXR88" s="996"/>
      <c r="EXS88" s="996"/>
      <c r="EXT88" s="996"/>
      <c r="EXU88" s="996"/>
      <c r="EXV88" s="996"/>
      <c r="EXW88" s="996"/>
      <c r="EXX88" s="996"/>
      <c r="EXY88" s="996"/>
      <c r="EXZ88" s="996"/>
      <c r="EYA88" s="996"/>
      <c r="EYB88" s="996"/>
      <c r="EYC88" s="996"/>
      <c r="EYD88" s="996"/>
      <c r="EYE88" s="996"/>
      <c r="EYF88" s="996"/>
      <c r="EYG88" s="996"/>
      <c r="EYH88" s="996"/>
      <c r="EYI88" s="996"/>
      <c r="EYJ88" s="996"/>
      <c r="EYK88" s="996"/>
      <c r="EYL88" s="996"/>
      <c r="EYM88" s="996"/>
      <c r="EYN88" s="996"/>
      <c r="EYO88" s="996"/>
      <c r="EYP88" s="996"/>
      <c r="EYQ88" s="996"/>
      <c r="EYR88" s="996"/>
      <c r="EYS88" s="996"/>
      <c r="EYT88" s="996"/>
      <c r="EYU88" s="996"/>
      <c r="EYV88" s="996"/>
      <c r="EYW88" s="996"/>
      <c r="EYX88" s="996"/>
      <c r="EYY88" s="996"/>
      <c r="EYZ88" s="996"/>
      <c r="EZA88" s="996"/>
      <c r="EZB88" s="996"/>
      <c r="EZC88" s="996"/>
      <c r="EZD88" s="996"/>
      <c r="EZE88" s="996"/>
      <c r="EZF88" s="996"/>
      <c r="EZG88" s="996"/>
      <c r="EZH88" s="996"/>
      <c r="EZI88" s="996"/>
      <c r="EZJ88" s="996"/>
      <c r="EZK88" s="996"/>
      <c r="EZL88" s="996"/>
      <c r="EZM88" s="996"/>
      <c r="EZN88" s="996"/>
      <c r="EZO88" s="996"/>
      <c r="EZP88" s="996"/>
      <c r="EZQ88" s="996"/>
      <c r="EZR88" s="996"/>
      <c r="EZS88" s="996"/>
      <c r="EZT88" s="996"/>
      <c r="EZU88" s="996"/>
      <c r="EZV88" s="996"/>
      <c r="EZW88" s="996"/>
      <c r="EZX88" s="996"/>
      <c r="EZY88" s="996"/>
      <c r="EZZ88" s="996"/>
      <c r="FAA88" s="996"/>
      <c r="FAB88" s="996"/>
      <c r="FAC88" s="996"/>
      <c r="FAD88" s="996"/>
      <c r="FAE88" s="996"/>
      <c r="FAF88" s="996"/>
      <c r="FAG88" s="996"/>
      <c r="FAH88" s="996"/>
      <c r="FAI88" s="996"/>
      <c r="FAJ88" s="996"/>
      <c r="FAK88" s="996"/>
      <c r="FAL88" s="996"/>
      <c r="FAM88" s="996"/>
      <c r="FAN88" s="996"/>
      <c r="FAO88" s="996"/>
      <c r="FAP88" s="996"/>
      <c r="FAQ88" s="996"/>
      <c r="FAR88" s="996"/>
      <c r="FAS88" s="996"/>
      <c r="FAT88" s="996"/>
      <c r="FAU88" s="996"/>
      <c r="FAV88" s="996"/>
      <c r="FAW88" s="996"/>
      <c r="FAX88" s="996"/>
      <c r="FAY88" s="996"/>
      <c r="FAZ88" s="996"/>
      <c r="FBA88" s="996"/>
      <c r="FBB88" s="996"/>
      <c r="FBC88" s="996"/>
      <c r="FBD88" s="996"/>
      <c r="FBE88" s="996"/>
      <c r="FBF88" s="996"/>
      <c r="FBG88" s="996"/>
      <c r="FBH88" s="996"/>
      <c r="FBI88" s="996"/>
      <c r="FBJ88" s="996"/>
      <c r="FBK88" s="996"/>
      <c r="FBL88" s="996"/>
      <c r="FBM88" s="996"/>
      <c r="FBN88" s="996"/>
      <c r="FBO88" s="996"/>
      <c r="FBP88" s="996"/>
      <c r="FBQ88" s="996"/>
      <c r="FBR88" s="996"/>
      <c r="FBS88" s="996"/>
      <c r="FBT88" s="996"/>
      <c r="FBU88" s="996"/>
      <c r="FBV88" s="996"/>
      <c r="FBW88" s="996"/>
      <c r="FBX88" s="996"/>
      <c r="FBY88" s="996"/>
      <c r="FBZ88" s="996"/>
      <c r="FCA88" s="996"/>
      <c r="FCB88" s="996"/>
      <c r="FCC88" s="996"/>
      <c r="FCD88" s="996"/>
      <c r="FCE88" s="996"/>
      <c r="FCF88" s="996"/>
      <c r="FCG88" s="996"/>
      <c r="FCH88" s="996"/>
      <c r="FCI88" s="996"/>
      <c r="FCJ88" s="996"/>
      <c r="FCK88" s="996"/>
      <c r="FCL88" s="996"/>
      <c r="FCM88" s="996"/>
      <c r="FCN88" s="996"/>
      <c r="FCO88" s="996"/>
      <c r="FCP88" s="996"/>
      <c r="FCQ88" s="996"/>
      <c r="FCR88" s="996"/>
      <c r="FCS88" s="996"/>
      <c r="FCT88" s="996"/>
      <c r="FCU88" s="996"/>
      <c r="FCV88" s="996"/>
      <c r="FCW88" s="996"/>
      <c r="FCX88" s="996"/>
      <c r="FCY88" s="996"/>
      <c r="FCZ88" s="996"/>
      <c r="FDA88" s="996"/>
      <c r="FDB88" s="996"/>
      <c r="FDC88" s="996"/>
      <c r="FDD88" s="996"/>
      <c r="FDE88" s="996"/>
      <c r="FDF88" s="996"/>
      <c r="FDG88" s="996"/>
      <c r="FDH88" s="996"/>
      <c r="FDI88" s="996"/>
      <c r="FDJ88" s="996"/>
      <c r="FDK88" s="996"/>
      <c r="FDL88" s="996"/>
      <c r="FDM88" s="996"/>
      <c r="FDN88" s="996"/>
      <c r="FDO88" s="996"/>
      <c r="FDP88" s="996"/>
      <c r="FDQ88" s="996"/>
      <c r="FDR88" s="996"/>
      <c r="FDS88" s="996"/>
      <c r="FDT88" s="996"/>
      <c r="FDU88" s="996"/>
      <c r="FDV88" s="996"/>
      <c r="FDW88" s="996"/>
      <c r="FDX88" s="996"/>
      <c r="FDY88" s="996"/>
      <c r="FDZ88" s="996"/>
      <c r="FEA88" s="996"/>
      <c r="FEB88" s="996"/>
      <c r="FEC88" s="996"/>
      <c r="FED88" s="996"/>
      <c r="FEE88" s="996"/>
      <c r="FEF88" s="996"/>
      <c r="FEG88" s="996"/>
      <c r="FEH88" s="996"/>
      <c r="FEI88" s="996"/>
      <c r="FEJ88" s="996"/>
      <c r="FEK88" s="996"/>
      <c r="FEL88" s="996"/>
      <c r="FEM88" s="996"/>
      <c r="FEN88" s="996"/>
      <c r="FEO88" s="996"/>
      <c r="FEP88" s="996"/>
      <c r="FEQ88" s="996"/>
      <c r="FER88" s="996"/>
      <c r="FES88" s="996"/>
      <c r="FET88" s="996"/>
      <c r="FEU88" s="996"/>
      <c r="FEV88" s="996"/>
      <c r="FEW88" s="996"/>
      <c r="FEX88" s="996"/>
      <c r="FEY88" s="996"/>
      <c r="FEZ88" s="996"/>
      <c r="FFA88" s="996"/>
      <c r="FFB88" s="996"/>
      <c r="FFC88" s="996"/>
      <c r="FFD88" s="996"/>
      <c r="FFE88" s="996"/>
      <c r="FFF88" s="996"/>
      <c r="FFG88" s="996"/>
      <c r="FFH88" s="996"/>
      <c r="FFI88" s="996"/>
      <c r="FFJ88" s="996"/>
      <c r="FFK88" s="996"/>
      <c r="FFL88" s="996"/>
      <c r="FFM88" s="996"/>
      <c r="FFN88" s="996"/>
      <c r="FFO88" s="996"/>
      <c r="FFP88" s="996"/>
      <c r="FFQ88" s="996"/>
      <c r="FFR88" s="996"/>
      <c r="FFS88" s="996"/>
      <c r="FFT88" s="996"/>
      <c r="FFU88" s="996"/>
      <c r="FFV88" s="996"/>
      <c r="FFW88" s="996"/>
      <c r="FFX88" s="996"/>
      <c r="FFY88" s="996"/>
      <c r="FFZ88" s="996"/>
      <c r="FGA88" s="996"/>
      <c r="FGB88" s="996"/>
      <c r="FGC88" s="996"/>
      <c r="FGD88" s="996"/>
      <c r="FGE88" s="996"/>
      <c r="FGF88" s="996"/>
      <c r="FGG88" s="996"/>
      <c r="FGH88" s="996"/>
      <c r="FGI88" s="996"/>
      <c r="FGJ88" s="996"/>
      <c r="FGK88" s="996"/>
      <c r="FGL88" s="996"/>
      <c r="FGM88" s="996"/>
      <c r="FGN88" s="996"/>
      <c r="FGO88" s="996"/>
      <c r="FGP88" s="996"/>
      <c r="FGQ88" s="996"/>
      <c r="FGR88" s="996"/>
      <c r="FGS88" s="996"/>
      <c r="FGT88" s="996"/>
      <c r="FGU88" s="996"/>
      <c r="FGV88" s="996"/>
      <c r="FGW88" s="996"/>
      <c r="FGX88" s="996"/>
      <c r="FGY88" s="996"/>
      <c r="FGZ88" s="996"/>
      <c r="FHA88" s="996"/>
      <c r="FHB88" s="996"/>
      <c r="FHC88" s="996"/>
      <c r="FHD88" s="996"/>
      <c r="FHE88" s="996"/>
      <c r="FHF88" s="996"/>
      <c r="FHG88" s="996"/>
      <c r="FHH88" s="996"/>
      <c r="FHI88" s="996"/>
      <c r="FHJ88" s="996"/>
      <c r="FHK88" s="996"/>
      <c r="FHL88" s="996"/>
      <c r="FHM88" s="996"/>
      <c r="FHN88" s="996"/>
      <c r="FHO88" s="996"/>
      <c r="FHP88" s="996"/>
      <c r="FHQ88" s="996"/>
      <c r="FHR88" s="996"/>
      <c r="FHS88" s="996"/>
      <c r="FHT88" s="996"/>
      <c r="FHU88" s="996"/>
      <c r="FHV88" s="996"/>
      <c r="FHW88" s="996"/>
      <c r="FHX88" s="996"/>
      <c r="FHY88" s="996"/>
      <c r="FHZ88" s="996"/>
      <c r="FIA88" s="996"/>
      <c r="FIB88" s="996"/>
      <c r="FIC88" s="996"/>
      <c r="FID88" s="996"/>
      <c r="FIE88" s="996"/>
      <c r="FIF88" s="996"/>
      <c r="FIG88" s="996"/>
      <c r="FIH88" s="996"/>
      <c r="FII88" s="996"/>
      <c r="FIJ88" s="996"/>
      <c r="FIK88" s="996"/>
      <c r="FIL88" s="996"/>
      <c r="FIM88" s="996"/>
      <c r="FIN88" s="996"/>
      <c r="FIO88" s="996"/>
      <c r="FIP88" s="996"/>
      <c r="FIQ88" s="996"/>
      <c r="FIR88" s="996"/>
      <c r="FIS88" s="996"/>
      <c r="FIT88" s="996"/>
      <c r="FIU88" s="996"/>
      <c r="FIV88" s="996"/>
      <c r="FIW88" s="996"/>
      <c r="FIX88" s="996"/>
      <c r="FIY88" s="996"/>
      <c r="FIZ88" s="996"/>
      <c r="FJA88" s="996"/>
      <c r="FJB88" s="996"/>
      <c r="FJC88" s="996"/>
      <c r="FJD88" s="996"/>
      <c r="FJE88" s="996"/>
      <c r="FJF88" s="996"/>
      <c r="FJG88" s="996"/>
      <c r="FJH88" s="996"/>
      <c r="FJI88" s="996"/>
      <c r="FJJ88" s="996"/>
      <c r="FJK88" s="996"/>
      <c r="FJL88" s="996"/>
      <c r="FJM88" s="996"/>
      <c r="FJN88" s="996"/>
      <c r="FJO88" s="996"/>
      <c r="FJP88" s="996"/>
      <c r="FJQ88" s="996"/>
      <c r="FJR88" s="996"/>
      <c r="FJS88" s="996"/>
      <c r="FJT88" s="996"/>
      <c r="FJU88" s="996"/>
      <c r="FJV88" s="996"/>
      <c r="FJW88" s="996"/>
      <c r="FJX88" s="996"/>
      <c r="FJY88" s="996"/>
      <c r="FJZ88" s="996"/>
      <c r="FKA88" s="996"/>
      <c r="FKB88" s="996"/>
      <c r="FKC88" s="996"/>
      <c r="FKD88" s="996"/>
      <c r="FKE88" s="996"/>
      <c r="FKF88" s="996"/>
      <c r="FKG88" s="996"/>
      <c r="FKH88" s="996"/>
      <c r="FKI88" s="996"/>
      <c r="FKJ88" s="996"/>
      <c r="FKK88" s="996"/>
      <c r="FKL88" s="996"/>
      <c r="FKM88" s="996"/>
      <c r="FKN88" s="996"/>
      <c r="FKO88" s="996"/>
      <c r="FKP88" s="996"/>
      <c r="FKQ88" s="996"/>
      <c r="FKR88" s="996"/>
      <c r="FKS88" s="996"/>
      <c r="FKT88" s="996"/>
      <c r="FKU88" s="996"/>
      <c r="FKV88" s="996"/>
      <c r="FKW88" s="996"/>
      <c r="FKX88" s="996"/>
      <c r="FKY88" s="996"/>
      <c r="FKZ88" s="996"/>
      <c r="FLA88" s="996"/>
      <c r="FLB88" s="996"/>
      <c r="FLC88" s="996"/>
      <c r="FLD88" s="996"/>
      <c r="FLE88" s="996"/>
      <c r="FLF88" s="996"/>
      <c r="FLG88" s="996"/>
      <c r="FLH88" s="996"/>
      <c r="FLI88" s="996"/>
      <c r="FLJ88" s="996"/>
      <c r="FLK88" s="996"/>
      <c r="FLL88" s="996"/>
      <c r="FLM88" s="996"/>
      <c r="FLN88" s="996"/>
      <c r="FLO88" s="996"/>
      <c r="FLP88" s="996"/>
      <c r="FLQ88" s="996"/>
      <c r="FLR88" s="996"/>
      <c r="FLS88" s="996"/>
      <c r="FLT88" s="996"/>
      <c r="FLU88" s="996"/>
      <c r="FLV88" s="996"/>
      <c r="FLW88" s="996"/>
      <c r="FLX88" s="996"/>
      <c r="FLY88" s="996"/>
      <c r="FLZ88" s="996"/>
      <c r="FMA88" s="996"/>
      <c r="FMB88" s="996"/>
      <c r="FMC88" s="996"/>
      <c r="FMD88" s="996"/>
      <c r="FME88" s="996"/>
      <c r="FMF88" s="996"/>
      <c r="FMG88" s="996"/>
      <c r="FMH88" s="996"/>
      <c r="FMI88" s="996"/>
      <c r="FMJ88" s="996"/>
      <c r="FMK88" s="996"/>
      <c r="FML88" s="996"/>
      <c r="FMM88" s="996"/>
      <c r="FMN88" s="996"/>
      <c r="FMO88" s="996"/>
      <c r="FMP88" s="996"/>
      <c r="FMQ88" s="996"/>
      <c r="FMR88" s="996"/>
      <c r="FMS88" s="996"/>
      <c r="FMT88" s="996"/>
      <c r="FMU88" s="996"/>
      <c r="FMV88" s="996"/>
      <c r="FMW88" s="996"/>
      <c r="FMX88" s="996"/>
      <c r="FMY88" s="996"/>
      <c r="FMZ88" s="996"/>
      <c r="FNA88" s="996"/>
      <c r="FNB88" s="996"/>
      <c r="FNC88" s="996"/>
      <c r="FND88" s="996"/>
      <c r="FNE88" s="996"/>
      <c r="FNF88" s="996"/>
      <c r="FNG88" s="996"/>
      <c r="FNH88" s="996"/>
      <c r="FNI88" s="996"/>
      <c r="FNJ88" s="996"/>
      <c r="FNK88" s="996"/>
      <c r="FNL88" s="996"/>
      <c r="FNM88" s="996"/>
      <c r="FNN88" s="996"/>
      <c r="FNO88" s="996"/>
      <c r="FNP88" s="996"/>
      <c r="FNQ88" s="996"/>
      <c r="FNR88" s="996"/>
      <c r="FNS88" s="996"/>
      <c r="FNT88" s="996"/>
      <c r="FNU88" s="996"/>
      <c r="FNV88" s="996"/>
      <c r="FNW88" s="996"/>
      <c r="FNX88" s="996"/>
      <c r="FNY88" s="996"/>
      <c r="FNZ88" s="996"/>
      <c r="FOA88" s="996"/>
      <c r="FOB88" s="996"/>
      <c r="FOC88" s="996"/>
      <c r="FOD88" s="996"/>
      <c r="FOE88" s="996"/>
      <c r="FOF88" s="996"/>
      <c r="FOG88" s="996"/>
      <c r="FOH88" s="996"/>
      <c r="FOI88" s="996"/>
      <c r="FOJ88" s="996"/>
      <c r="FOK88" s="996"/>
      <c r="FOL88" s="996"/>
      <c r="FOM88" s="996"/>
      <c r="FON88" s="996"/>
      <c r="FOO88" s="996"/>
      <c r="FOP88" s="996"/>
      <c r="FOQ88" s="996"/>
      <c r="FOR88" s="996"/>
      <c r="FOS88" s="996"/>
      <c r="FOT88" s="996"/>
      <c r="FOU88" s="996"/>
      <c r="FOV88" s="996"/>
      <c r="FOW88" s="996"/>
      <c r="FOX88" s="996"/>
      <c r="FOY88" s="996"/>
      <c r="FOZ88" s="996"/>
      <c r="FPA88" s="996"/>
      <c r="FPB88" s="996"/>
      <c r="FPC88" s="996"/>
      <c r="FPD88" s="996"/>
      <c r="FPE88" s="996"/>
      <c r="FPF88" s="996"/>
      <c r="FPG88" s="996"/>
      <c r="FPH88" s="996"/>
      <c r="FPI88" s="996"/>
      <c r="FPJ88" s="996"/>
      <c r="FPK88" s="996"/>
      <c r="FPL88" s="996"/>
      <c r="FPM88" s="996"/>
      <c r="FPN88" s="996"/>
      <c r="FPO88" s="996"/>
      <c r="FPP88" s="996"/>
      <c r="FPQ88" s="996"/>
      <c r="FPR88" s="996"/>
      <c r="FPS88" s="996"/>
      <c r="FPT88" s="996"/>
      <c r="FPU88" s="996"/>
      <c r="FPV88" s="996"/>
      <c r="FPW88" s="996"/>
      <c r="FPX88" s="996"/>
      <c r="FPY88" s="996"/>
      <c r="FPZ88" s="996"/>
      <c r="FQA88" s="996"/>
      <c r="FQB88" s="996"/>
      <c r="FQC88" s="996"/>
      <c r="FQD88" s="996"/>
      <c r="FQE88" s="996"/>
      <c r="FQF88" s="996"/>
      <c r="FQG88" s="996"/>
      <c r="FQH88" s="996"/>
      <c r="FQI88" s="996"/>
      <c r="FQJ88" s="996"/>
      <c r="FQK88" s="996"/>
      <c r="FQL88" s="996"/>
      <c r="FQM88" s="996"/>
      <c r="FQN88" s="996"/>
      <c r="FQO88" s="996"/>
      <c r="FQP88" s="996"/>
      <c r="FQQ88" s="996"/>
      <c r="FQR88" s="996"/>
      <c r="FQS88" s="996"/>
      <c r="FQT88" s="996"/>
      <c r="FQU88" s="996"/>
      <c r="FQV88" s="996"/>
      <c r="FQW88" s="996"/>
      <c r="FQX88" s="996"/>
      <c r="FQY88" s="996"/>
      <c r="FQZ88" s="996"/>
      <c r="FRA88" s="996"/>
      <c r="FRB88" s="996"/>
      <c r="FRC88" s="996"/>
      <c r="FRD88" s="996"/>
      <c r="FRE88" s="996"/>
      <c r="FRF88" s="996"/>
      <c r="FRG88" s="996"/>
      <c r="FRH88" s="996"/>
      <c r="FRI88" s="996"/>
      <c r="FRJ88" s="996"/>
      <c r="FRK88" s="996"/>
      <c r="FRL88" s="996"/>
      <c r="FRM88" s="996"/>
      <c r="FRN88" s="996"/>
      <c r="FRO88" s="996"/>
      <c r="FRP88" s="996"/>
      <c r="FRQ88" s="996"/>
      <c r="FRR88" s="996"/>
      <c r="FRS88" s="996"/>
      <c r="FRT88" s="996"/>
      <c r="FRU88" s="996"/>
      <c r="FRV88" s="996"/>
      <c r="FRW88" s="996"/>
      <c r="FRX88" s="996"/>
      <c r="FRY88" s="996"/>
      <c r="FRZ88" s="996"/>
      <c r="FSA88" s="996"/>
      <c r="FSB88" s="996"/>
      <c r="FSC88" s="996"/>
      <c r="FSD88" s="996"/>
      <c r="FSE88" s="996"/>
      <c r="FSF88" s="996"/>
      <c r="FSG88" s="996"/>
      <c r="FSH88" s="996"/>
      <c r="FSI88" s="996"/>
      <c r="FSJ88" s="996"/>
      <c r="FSK88" s="996"/>
      <c r="FSL88" s="996"/>
      <c r="FSM88" s="996"/>
      <c r="FSN88" s="996"/>
      <c r="FSO88" s="996"/>
      <c r="FSP88" s="996"/>
      <c r="FSQ88" s="996"/>
      <c r="FSR88" s="996"/>
      <c r="FSS88" s="996"/>
      <c r="FST88" s="996"/>
      <c r="FSU88" s="996"/>
      <c r="FSV88" s="996"/>
      <c r="FSW88" s="996"/>
      <c r="FSX88" s="996"/>
      <c r="FSY88" s="996"/>
      <c r="FSZ88" s="996"/>
      <c r="FTA88" s="996"/>
      <c r="FTB88" s="996"/>
      <c r="FTC88" s="996"/>
      <c r="FTD88" s="996"/>
      <c r="FTE88" s="996"/>
      <c r="FTF88" s="996"/>
      <c r="FTG88" s="996"/>
      <c r="FTH88" s="996"/>
      <c r="FTI88" s="996"/>
      <c r="FTJ88" s="996"/>
      <c r="FTK88" s="996"/>
      <c r="FTL88" s="996"/>
      <c r="FTM88" s="996"/>
      <c r="FTN88" s="996"/>
      <c r="FTO88" s="996"/>
      <c r="FTP88" s="996"/>
      <c r="FTQ88" s="996"/>
      <c r="FTR88" s="996"/>
      <c r="FTS88" s="996"/>
      <c r="FTT88" s="996"/>
      <c r="FTU88" s="996"/>
      <c r="FTV88" s="996"/>
      <c r="FTW88" s="996"/>
      <c r="FTX88" s="996"/>
      <c r="FTY88" s="996"/>
      <c r="FTZ88" s="996"/>
      <c r="FUA88" s="996"/>
      <c r="FUB88" s="996"/>
      <c r="FUC88" s="996"/>
      <c r="FUD88" s="996"/>
      <c r="FUE88" s="996"/>
      <c r="FUF88" s="996"/>
      <c r="FUG88" s="996"/>
      <c r="FUH88" s="996"/>
      <c r="FUI88" s="996"/>
      <c r="FUJ88" s="996"/>
      <c r="FUK88" s="996"/>
      <c r="FUL88" s="996"/>
      <c r="FUM88" s="996"/>
      <c r="FUN88" s="996"/>
      <c r="FUO88" s="996"/>
      <c r="FUP88" s="996"/>
      <c r="FUQ88" s="996"/>
      <c r="FUR88" s="996"/>
      <c r="FUS88" s="996"/>
      <c r="FUT88" s="996"/>
      <c r="FUU88" s="996"/>
      <c r="FUV88" s="996"/>
      <c r="FUW88" s="996"/>
      <c r="FUX88" s="996"/>
      <c r="FUY88" s="996"/>
      <c r="FUZ88" s="996"/>
      <c r="FVA88" s="996"/>
      <c r="FVB88" s="996"/>
      <c r="FVC88" s="996"/>
      <c r="FVD88" s="996"/>
      <c r="FVE88" s="996"/>
      <c r="FVF88" s="996"/>
      <c r="FVG88" s="996"/>
      <c r="FVH88" s="996"/>
      <c r="FVI88" s="996"/>
      <c r="FVJ88" s="996"/>
      <c r="FVK88" s="996"/>
      <c r="FVL88" s="996"/>
      <c r="FVM88" s="996"/>
      <c r="FVN88" s="996"/>
      <c r="FVO88" s="996"/>
      <c r="FVP88" s="996"/>
      <c r="FVQ88" s="996"/>
      <c r="FVR88" s="996"/>
      <c r="FVS88" s="996"/>
      <c r="FVT88" s="996"/>
      <c r="FVU88" s="996"/>
      <c r="FVV88" s="996"/>
      <c r="FVW88" s="996"/>
      <c r="FVX88" s="996"/>
      <c r="FVY88" s="996"/>
      <c r="FVZ88" s="996"/>
      <c r="FWA88" s="996"/>
      <c r="FWB88" s="996"/>
      <c r="FWC88" s="996"/>
      <c r="FWD88" s="996"/>
      <c r="FWE88" s="996"/>
      <c r="FWF88" s="996"/>
      <c r="FWG88" s="996"/>
      <c r="FWH88" s="996"/>
      <c r="FWI88" s="996"/>
      <c r="FWJ88" s="996"/>
      <c r="FWK88" s="996"/>
      <c r="FWL88" s="996"/>
      <c r="FWM88" s="996"/>
      <c r="FWN88" s="996"/>
      <c r="FWO88" s="996"/>
      <c r="FWP88" s="996"/>
      <c r="FWQ88" s="996"/>
      <c r="FWR88" s="996"/>
      <c r="FWS88" s="996"/>
      <c r="FWT88" s="996"/>
      <c r="FWU88" s="996"/>
      <c r="FWV88" s="996"/>
      <c r="FWW88" s="996"/>
      <c r="FWX88" s="996"/>
      <c r="FWY88" s="996"/>
      <c r="FWZ88" s="996"/>
      <c r="FXA88" s="996"/>
      <c r="FXB88" s="996"/>
      <c r="FXC88" s="996"/>
      <c r="FXD88" s="996"/>
      <c r="FXE88" s="996"/>
      <c r="FXF88" s="996"/>
      <c r="FXG88" s="996"/>
      <c r="FXH88" s="996"/>
      <c r="FXI88" s="996"/>
      <c r="FXJ88" s="996"/>
      <c r="FXK88" s="996"/>
      <c r="FXL88" s="996"/>
      <c r="FXM88" s="996"/>
      <c r="FXN88" s="996"/>
      <c r="FXO88" s="996"/>
      <c r="FXP88" s="996"/>
      <c r="FXQ88" s="996"/>
      <c r="FXR88" s="996"/>
      <c r="FXS88" s="996"/>
      <c r="FXT88" s="996"/>
      <c r="FXU88" s="996"/>
      <c r="FXV88" s="996"/>
      <c r="FXW88" s="996"/>
      <c r="FXX88" s="996"/>
      <c r="FXY88" s="996"/>
      <c r="FXZ88" s="996"/>
      <c r="FYA88" s="996"/>
      <c r="FYB88" s="996"/>
      <c r="FYC88" s="996"/>
      <c r="FYD88" s="996"/>
      <c r="FYE88" s="996"/>
      <c r="FYF88" s="996"/>
      <c r="FYG88" s="996"/>
      <c r="FYH88" s="996"/>
      <c r="FYI88" s="996"/>
      <c r="FYJ88" s="996"/>
      <c r="FYK88" s="996"/>
      <c r="FYL88" s="996"/>
      <c r="FYM88" s="996"/>
      <c r="FYN88" s="996"/>
      <c r="FYO88" s="996"/>
      <c r="FYP88" s="996"/>
      <c r="FYQ88" s="996"/>
      <c r="FYR88" s="996"/>
      <c r="FYS88" s="996"/>
      <c r="FYT88" s="996"/>
      <c r="FYU88" s="996"/>
      <c r="FYV88" s="996"/>
      <c r="FYW88" s="996"/>
      <c r="FYX88" s="996"/>
      <c r="FYY88" s="996"/>
      <c r="FYZ88" s="996"/>
      <c r="FZA88" s="996"/>
      <c r="FZB88" s="996"/>
      <c r="FZC88" s="996"/>
      <c r="FZD88" s="996"/>
      <c r="FZE88" s="996"/>
      <c r="FZF88" s="996"/>
      <c r="FZG88" s="996"/>
      <c r="FZH88" s="996"/>
      <c r="FZI88" s="996"/>
      <c r="FZJ88" s="996"/>
      <c r="FZK88" s="996"/>
      <c r="FZL88" s="996"/>
      <c r="FZM88" s="996"/>
      <c r="FZN88" s="996"/>
      <c r="FZO88" s="996"/>
      <c r="FZP88" s="996"/>
      <c r="FZQ88" s="996"/>
      <c r="FZR88" s="996"/>
      <c r="FZS88" s="996"/>
      <c r="FZT88" s="996"/>
      <c r="FZU88" s="996"/>
      <c r="FZV88" s="996"/>
      <c r="FZW88" s="996"/>
      <c r="FZX88" s="996"/>
      <c r="FZY88" s="996"/>
      <c r="FZZ88" s="996"/>
      <c r="GAA88" s="996"/>
      <c r="GAB88" s="996"/>
      <c r="GAC88" s="996"/>
      <c r="GAD88" s="996"/>
      <c r="GAE88" s="996"/>
      <c r="GAF88" s="996"/>
      <c r="GAG88" s="996"/>
      <c r="GAH88" s="996"/>
      <c r="GAI88" s="996"/>
      <c r="GAJ88" s="996"/>
      <c r="GAK88" s="996"/>
      <c r="GAL88" s="996"/>
      <c r="GAM88" s="996"/>
      <c r="GAN88" s="996"/>
      <c r="GAO88" s="996"/>
      <c r="GAP88" s="996"/>
      <c r="GAQ88" s="996"/>
      <c r="GAR88" s="996"/>
      <c r="GAS88" s="996"/>
      <c r="GAT88" s="996"/>
      <c r="GAU88" s="996"/>
      <c r="GAV88" s="996"/>
      <c r="GAW88" s="996"/>
      <c r="GAX88" s="996"/>
      <c r="GAY88" s="996"/>
      <c r="GAZ88" s="996"/>
      <c r="GBA88" s="996"/>
      <c r="GBB88" s="996"/>
      <c r="GBC88" s="996"/>
      <c r="GBD88" s="996"/>
      <c r="GBE88" s="996"/>
      <c r="GBF88" s="996"/>
      <c r="GBG88" s="996"/>
      <c r="GBH88" s="996"/>
      <c r="GBI88" s="996"/>
      <c r="GBJ88" s="996"/>
      <c r="GBK88" s="996"/>
      <c r="GBL88" s="996"/>
      <c r="GBM88" s="996"/>
      <c r="GBN88" s="996"/>
      <c r="GBO88" s="996"/>
      <c r="GBP88" s="996"/>
      <c r="GBQ88" s="996"/>
      <c r="GBR88" s="996"/>
      <c r="GBS88" s="996"/>
      <c r="GBT88" s="996"/>
      <c r="GBU88" s="996"/>
      <c r="GBV88" s="996"/>
      <c r="GBW88" s="996"/>
      <c r="GBX88" s="996"/>
      <c r="GBY88" s="996"/>
      <c r="GBZ88" s="996"/>
      <c r="GCA88" s="996"/>
      <c r="GCB88" s="996"/>
      <c r="GCC88" s="996"/>
      <c r="GCD88" s="996"/>
      <c r="GCE88" s="996"/>
      <c r="GCF88" s="996"/>
      <c r="GCG88" s="996"/>
      <c r="GCH88" s="996"/>
      <c r="GCI88" s="996"/>
      <c r="GCJ88" s="996"/>
      <c r="GCK88" s="996"/>
      <c r="GCL88" s="996"/>
      <c r="GCM88" s="996"/>
      <c r="GCN88" s="996"/>
      <c r="GCO88" s="996"/>
      <c r="GCP88" s="996"/>
      <c r="GCQ88" s="996"/>
      <c r="GCR88" s="996"/>
      <c r="GCS88" s="996"/>
      <c r="GCT88" s="996"/>
      <c r="GCU88" s="996"/>
      <c r="GCV88" s="996"/>
      <c r="GCW88" s="996"/>
      <c r="GCX88" s="996"/>
      <c r="GCY88" s="996"/>
      <c r="GCZ88" s="996"/>
      <c r="GDA88" s="996"/>
      <c r="GDB88" s="996"/>
      <c r="GDC88" s="996"/>
      <c r="GDD88" s="996"/>
      <c r="GDE88" s="996"/>
      <c r="GDF88" s="996"/>
      <c r="GDG88" s="996"/>
      <c r="GDH88" s="996"/>
      <c r="GDI88" s="996"/>
      <c r="GDJ88" s="996"/>
      <c r="GDK88" s="996"/>
      <c r="GDL88" s="996"/>
      <c r="GDM88" s="996"/>
      <c r="GDN88" s="996"/>
      <c r="GDO88" s="996"/>
      <c r="GDP88" s="996"/>
      <c r="GDQ88" s="996"/>
      <c r="GDR88" s="996"/>
      <c r="GDS88" s="996"/>
      <c r="GDT88" s="996"/>
      <c r="GDU88" s="996"/>
      <c r="GDV88" s="996"/>
      <c r="GDW88" s="996"/>
      <c r="GDX88" s="996"/>
      <c r="GDY88" s="996"/>
      <c r="GDZ88" s="996"/>
      <c r="GEA88" s="996"/>
      <c r="GEB88" s="996"/>
      <c r="GEC88" s="996"/>
      <c r="GED88" s="996"/>
      <c r="GEE88" s="996"/>
      <c r="GEF88" s="996"/>
      <c r="GEG88" s="996"/>
      <c r="GEH88" s="996"/>
      <c r="GEI88" s="996"/>
      <c r="GEJ88" s="996"/>
      <c r="GEK88" s="996"/>
      <c r="GEL88" s="996"/>
      <c r="GEM88" s="996"/>
      <c r="GEN88" s="996"/>
      <c r="GEO88" s="996"/>
      <c r="GEP88" s="996"/>
      <c r="GEQ88" s="996"/>
      <c r="GER88" s="996"/>
      <c r="GES88" s="996"/>
      <c r="GET88" s="996"/>
      <c r="GEU88" s="996"/>
      <c r="GEV88" s="996"/>
      <c r="GEW88" s="996"/>
      <c r="GEX88" s="996"/>
      <c r="GEY88" s="996"/>
      <c r="GEZ88" s="996"/>
      <c r="GFA88" s="996"/>
      <c r="GFB88" s="996"/>
      <c r="GFC88" s="996"/>
      <c r="GFD88" s="996"/>
      <c r="GFE88" s="996"/>
      <c r="GFF88" s="996"/>
      <c r="GFG88" s="996"/>
      <c r="GFH88" s="996"/>
      <c r="GFI88" s="996"/>
      <c r="GFJ88" s="996"/>
      <c r="GFK88" s="996"/>
      <c r="GFL88" s="996"/>
      <c r="GFM88" s="996"/>
      <c r="GFN88" s="996"/>
      <c r="GFO88" s="996"/>
      <c r="GFP88" s="996"/>
      <c r="GFQ88" s="996"/>
      <c r="GFR88" s="996"/>
      <c r="GFS88" s="996"/>
      <c r="GFT88" s="996"/>
      <c r="GFU88" s="996"/>
      <c r="GFV88" s="996"/>
      <c r="GFW88" s="996"/>
      <c r="GFX88" s="996"/>
      <c r="GFY88" s="996"/>
      <c r="GFZ88" s="996"/>
      <c r="GGA88" s="996"/>
      <c r="GGB88" s="996"/>
      <c r="GGC88" s="996"/>
      <c r="GGD88" s="996"/>
      <c r="GGE88" s="996"/>
      <c r="GGF88" s="996"/>
      <c r="GGG88" s="996"/>
      <c r="GGH88" s="996"/>
      <c r="GGI88" s="996"/>
      <c r="GGJ88" s="996"/>
      <c r="GGK88" s="996"/>
      <c r="GGL88" s="996"/>
      <c r="GGM88" s="996"/>
      <c r="GGN88" s="996"/>
      <c r="GGO88" s="996"/>
      <c r="GGP88" s="996"/>
      <c r="GGQ88" s="996"/>
      <c r="GGR88" s="996"/>
      <c r="GGS88" s="996"/>
      <c r="GGT88" s="996"/>
      <c r="GGU88" s="996"/>
      <c r="GGV88" s="996"/>
      <c r="GGW88" s="996"/>
      <c r="GGX88" s="996"/>
      <c r="GGY88" s="996"/>
      <c r="GGZ88" s="996"/>
      <c r="GHA88" s="996"/>
      <c r="GHB88" s="996"/>
      <c r="GHC88" s="996"/>
      <c r="GHD88" s="996"/>
      <c r="GHE88" s="996"/>
      <c r="GHF88" s="996"/>
      <c r="GHG88" s="996"/>
      <c r="GHH88" s="996"/>
      <c r="GHI88" s="996"/>
      <c r="GHJ88" s="996"/>
      <c r="GHK88" s="996"/>
      <c r="GHL88" s="996"/>
      <c r="GHM88" s="996"/>
      <c r="GHN88" s="996"/>
      <c r="GHO88" s="996"/>
      <c r="GHP88" s="996"/>
      <c r="GHQ88" s="996"/>
      <c r="GHR88" s="996"/>
      <c r="GHS88" s="996"/>
      <c r="GHT88" s="996"/>
      <c r="GHU88" s="996"/>
      <c r="GHV88" s="996"/>
      <c r="GHW88" s="996"/>
      <c r="GHX88" s="996"/>
      <c r="GHY88" s="996"/>
      <c r="GHZ88" s="996"/>
      <c r="GIA88" s="996"/>
      <c r="GIB88" s="996"/>
      <c r="GIC88" s="996"/>
      <c r="GID88" s="996"/>
      <c r="GIE88" s="996"/>
      <c r="GIF88" s="996"/>
      <c r="GIG88" s="996"/>
      <c r="GIH88" s="996"/>
      <c r="GII88" s="996"/>
      <c r="GIJ88" s="996"/>
      <c r="GIK88" s="996"/>
      <c r="GIL88" s="996"/>
      <c r="GIM88" s="996"/>
      <c r="GIN88" s="996"/>
      <c r="GIO88" s="996"/>
      <c r="GIP88" s="996"/>
      <c r="GIQ88" s="996"/>
      <c r="GIR88" s="996"/>
      <c r="GIS88" s="996"/>
      <c r="GIT88" s="996"/>
      <c r="GIU88" s="996"/>
      <c r="GIV88" s="996"/>
      <c r="GIW88" s="996"/>
      <c r="GIX88" s="996"/>
      <c r="GIY88" s="996"/>
      <c r="GIZ88" s="996"/>
      <c r="GJA88" s="996"/>
      <c r="GJB88" s="996"/>
      <c r="GJC88" s="996"/>
      <c r="GJD88" s="996"/>
      <c r="GJE88" s="996"/>
      <c r="GJF88" s="996"/>
      <c r="GJG88" s="996"/>
      <c r="GJH88" s="996"/>
      <c r="GJI88" s="996"/>
      <c r="GJJ88" s="996"/>
      <c r="GJK88" s="996"/>
      <c r="GJL88" s="996"/>
      <c r="GJM88" s="996"/>
      <c r="GJN88" s="996"/>
      <c r="GJO88" s="996"/>
      <c r="GJP88" s="996"/>
      <c r="GJQ88" s="996"/>
      <c r="GJR88" s="996"/>
      <c r="GJS88" s="996"/>
      <c r="GJT88" s="996"/>
      <c r="GJU88" s="996"/>
      <c r="GJV88" s="996"/>
      <c r="GJW88" s="996"/>
      <c r="GJX88" s="996"/>
      <c r="GJY88" s="996"/>
      <c r="GJZ88" s="996"/>
      <c r="GKA88" s="996"/>
      <c r="GKB88" s="996"/>
      <c r="GKC88" s="996"/>
      <c r="GKD88" s="996"/>
      <c r="GKE88" s="996"/>
      <c r="GKF88" s="996"/>
      <c r="GKG88" s="996"/>
      <c r="GKH88" s="996"/>
      <c r="GKI88" s="996"/>
      <c r="GKJ88" s="996"/>
      <c r="GKK88" s="996"/>
      <c r="GKL88" s="996"/>
      <c r="GKM88" s="996"/>
      <c r="GKN88" s="996"/>
      <c r="GKO88" s="996"/>
      <c r="GKP88" s="996"/>
      <c r="GKQ88" s="996"/>
      <c r="GKR88" s="996"/>
      <c r="GKS88" s="996"/>
      <c r="GKT88" s="996"/>
      <c r="GKU88" s="996"/>
      <c r="GKV88" s="996"/>
      <c r="GKW88" s="996"/>
      <c r="GKX88" s="996"/>
      <c r="GKY88" s="996"/>
      <c r="GKZ88" s="996"/>
      <c r="GLA88" s="996"/>
      <c r="GLB88" s="996"/>
      <c r="GLC88" s="996"/>
      <c r="GLD88" s="996"/>
      <c r="GLE88" s="996"/>
      <c r="GLF88" s="996"/>
      <c r="GLG88" s="996"/>
      <c r="GLH88" s="996"/>
      <c r="GLI88" s="996"/>
      <c r="GLJ88" s="996"/>
      <c r="GLK88" s="996"/>
      <c r="GLL88" s="996"/>
      <c r="GLM88" s="996"/>
      <c r="GLN88" s="996"/>
      <c r="GLO88" s="996"/>
      <c r="GLP88" s="996"/>
      <c r="GLQ88" s="996"/>
      <c r="GLR88" s="996"/>
      <c r="GLS88" s="996"/>
      <c r="GLT88" s="996"/>
      <c r="GLU88" s="996"/>
      <c r="GLV88" s="996"/>
      <c r="GLW88" s="996"/>
      <c r="GLX88" s="996"/>
      <c r="GLY88" s="996"/>
      <c r="GLZ88" s="996"/>
      <c r="GMA88" s="996"/>
      <c r="GMB88" s="996"/>
      <c r="GMC88" s="996"/>
      <c r="GMD88" s="996"/>
      <c r="GME88" s="996"/>
      <c r="GMF88" s="996"/>
      <c r="GMG88" s="996"/>
      <c r="GMH88" s="996"/>
      <c r="GMI88" s="996"/>
      <c r="GMJ88" s="996"/>
      <c r="GMK88" s="996"/>
      <c r="GML88" s="996"/>
      <c r="GMM88" s="996"/>
      <c r="GMN88" s="996"/>
      <c r="GMO88" s="996"/>
      <c r="GMP88" s="996"/>
      <c r="GMQ88" s="996"/>
      <c r="GMR88" s="996"/>
      <c r="GMS88" s="996"/>
      <c r="GMT88" s="996"/>
      <c r="GMU88" s="996"/>
      <c r="GMV88" s="996"/>
      <c r="GMW88" s="996"/>
      <c r="GMX88" s="996"/>
      <c r="GMY88" s="996"/>
      <c r="GMZ88" s="996"/>
      <c r="GNA88" s="996"/>
      <c r="GNB88" s="996"/>
      <c r="GNC88" s="996"/>
      <c r="GND88" s="996"/>
      <c r="GNE88" s="996"/>
      <c r="GNF88" s="996"/>
      <c r="GNG88" s="996"/>
      <c r="GNH88" s="996"/>
      <c r="GNI88" s="996"/>
      <c r="GNJ88" s="996"/>
      <c r="GNK88" s="996"/>
      <c r="GNL88" s="996"/>
      <c r="GNM88" s="996"/>
      <c r="GNN88" s="996"/>
      <c r="GNO88" s="996"/>
      <c r="GNP88" s="996"/>
      <c r="GNQ88" s="996"/>
      <c r="GNR88" s="996"/>
      <c r="GNS88" s="996"/>
      <c r="GNT88" s="996"/>
      <c r="GNU88" s="996"/>
      <c r="GNV88" s="996"/>
      <c r="GNW88" s="996"/>
      <c r="GNX88" s="996"/>
      <c r="GNY88" s="996"/>
      <c r="GNZ88" s="996"/>
      <c r="GOA88" s="996"/>
      <c r="GOB88" s="996"/>
      <c r="GOC88" s="996"/>
      <c r="GOD88" s="996"/>
      <c r="GOE88" s="996"/>
      <c r="GOF88" s="996"/>
      <c r="GOG88" s="996"/>
      <c r="GOH88" s="996"/>
      <c r="GOI88" s="996"/>
      <c r="GOJ88" s="996"/>
      <c r="GOK88" s="996"/>
      <c r="GOL88" s="996"/>
      <c r="GOM88" s="996"/>
      <c r="GON88" s="996"/>
      <c r="GOO88" s="996"/>
      <c r="GOP88" s="996"/>
      <c r="GOQ88" s="996"/>
      <c r="GOR88" s="996"/>
      <c r="GOS88" s="996"/>
      <c r="GOT88" s="996"/>
      <c r="GOU88" s="996"/>
      <c r="GOV88" s="996"/>
      <c r="GOW88" s="996"/>
      <c r="GOX88" s="996"/>
      <c r="GOY88" s="996"/>
      <c r="GOZ88" s="996"/>
      <c r="GPA88" s="996"/>
      <c r="GPB88" s="996"/>
      <c r="GPC88" s="996"/>
      <c r="GPD88" s="996"/>
      <c r="GPE88" s="996"/>
      <c r="GPF88" s="996"/>
      <c r="GPG88" s="996"/>
      <c r="GPH88" s="996"/>
      <c r="GPI88" s="996"/>
      <c r="GPJ88" s="996"/>
      <c r="GPK88" s="996"/>
      <c r="GPL88" s="996"/>
      <c r="GPM88" s="996"/>
      <c r="GPN88" s="996"/>
      <c r="GPO88" s="996"/>
      <c r="GPP88" s="996"/>
      <c r="GPQ88" s="996"/>
      <c r="GPR88" s="996"/>
      <c r="GPS88" s="996"/>
      <c r="GPT88" s="996"/>
      <c r="GPU88" s="996"/>
      <c r="GPV88" s="996"/>
      <c r="GPW88" s="996"/>
      <c r="GPX88" s="996"/>
      <c r="GPY88" s="996"/>
      <c r="GPZ88" s="996"/>
      <c r="GQA88" s="996"/>
      <c r="GQB88" s="996"/>
      <c r="GQC88" s="996"/>
      <c r="GQD88" s="996"/>
      <c r="GQE88" s="996"/>
      <c r="GQF88" s="996"/>
      <c r="GQG88" s="996"/>
      <c r="GQH88" s="996"/>
      <c r="GQI88" s="996"/>
      <c r="GQJ88" s="996"/>
      <c r="GQK88" s="996"/>
      <c r="GQL88" s="996"/>
      <c r="GQM88" s="996"/>
      <c r="GQN88" s="996"/>
      <c r="GQO88" s="996"/>
      <c r="GQP88" s="996"/>
      <c r="GQQ88" s="996"/>
      <c r="GQR88" s="996"/>
      <c r="GQS88" s="996"/>
      <c r="GQT88" s="996"/>
      <c r="GQU88" s="996"/>
      <c r="GQV88" s="996"/>
      <c r="GQW88" s="996"/>
      <c r="GQX88" s="996"/>
      <c r="GQY88" s="996"/>
      <c r="GQZ88" s="996"/>
      <c r="GRA88" s="996"/>
      <c r="GRB88" s="996"/>
      <c r="GRC88" s="996"/>
      <c r="GRD88" s="996"/>
      <c r="GRE88" s="996"/>
      <c r="GRF88" s="996"/>
      <c r="GRG88" s="996"/>
      <c r="GRH88" s="996"/>
      <c r="GRI88" s="996"/>
      <c r="GRJ88" s="996"/>
      <c r="GRK88" s="996"/>
      <c r="GRL88" s="996"/>
      <c r="GRM88" s="996"/>
      <c r="GRN88" s="996"/>
      <c r="GRO88" s="996"/>
      <c r="GRP88" s="996"/>
      <c r="GRQ88" s="996"/>
      <c r="GRR88" s="996"/>
      <c r="GRS88" s="996"/>
      <c r="GRT88" s="996"/>
      <c r="GRU88" s="996"/>
      <c r="GRV88" s="996"/>
      <c r="GRW88" s="996"/>
      <c r="GRX88" s="996"/>
      <c r="GRY88" s="996"/>
      <c r="GRZ88" s="996"/>
      <c r="GSA88" s="996"/>
      <c r="GSB88" s="996"/>
      <c r="GSC88" s="996"/>
      <c r="GSD88" s="996"/>
      <c r="GSE88" s="996"/>
      <c r="GSF88" s="996"/>
      <c r="GSG88" s="996"/>
      <c r="GSH88" s="996"/>
      <c r="GSI88" s="996"/>
      <c r="GSJ88" s="996"/>
      <c r="GSK88" s="996"/>
      <c r="GSL88" s="996"/>
      <c r="GSM88" s="996"/>
      <c r="GSN88" s="996"/>
      <c r="GSO88" s="996"/>
      <c r="GSP88" s="996"/>
      <c r="GSQ88" s="996"/>
      <c r="GSR88" s="996"/>
      <c r="GSS88" s="996"/>
      <c r="GST88" s="996"/>
      <c r="GSU88" s="996"/>
      <c r="GSV88" s="996"/>
      <c r="GSW88" s="996"/>
      <c r="GSX88" s="996"/>
      <c r="GSY88" s="996"/>
      <c r="GSZ88" s="996"/>
      <c r="GTA88" s="996"/>
      <c r="GTB88" s="996"/>
      <c r="GTC88" s="996"/>
      <c r="GTD88" s="996"/>
      <c r="GTE88" s="996"/>
      <c r="GTF88" s="996"/>
      <c r="GTG88" s="996"/>
      <c r="GTH88" s="996"/>
      <c r="GTI88" s="996"/>
      <c r="GTJ88" s="996"/>
      <c r="GTK88" s="996"/>
      <c r="GTL88" s="996"/>
      <c r="GTM88" s="996"/>
      <c r="GTN88" s="996"/>
      <c r="GTO88" s="996"/>
      <c r="GTP88" s="996"/>
      <c r="GTQ88" s="996"/>
      <c r="GTR88" s="996"/>
      <c r="GTS88" s="996"/>
      <c r="GTT88" s="996"/>
      <c r="GTU88" s="996"/>
      <c r="GTV88" s="996"/>
      <c r="GTW88" s="996"/>
      <c r="GTX88" s="996"/>
      <c r="GTY88" s="996"/>
      <c r="GTZ88" s="996"/>
      <c r="GUA88" s="996"/>
      <c r="GUB88" s="996"/>
      <c r="GUC88" s="996"/>
      <c r="GUD88" s="996"/>
      <c r="GUE88" s="996"/>
      <c r="GUF88" s="996"/>
      <c r="GUG88" s="996"/>
      <c r="GUH88" s="996"/>
      <c r="GUI88" s="996"/>
      <c r="GUJ88" s="996"/>
      <c r="GUK88" s="996"/>
      <c r="GUL88" s="996"/>
      <c r="GUM88" s="996"/>
      <c r="GUN88" s="996"/>
      <c r="GUO88" s="996"/>
      <c r="GUP88" s="996"/>
      <c r="GUQ88" s="996"/>
      <c r="GUR88" s="996"/>
      <c r="GUS88" s="996"/>
      <c r="GUT88" s="996"/>
      <c r="GUU88" s="996"/>
      <c r="GUV88" s="996"/>
      <c r="GUW88" s="996"/>
      <c r="GUX88" s="996"/>
      <c r="GUY88" s="996"/>
      <c r="GUZ88" s="996"/>
      <c r="GVA88" s="996"/>
      <c r="GVB88" s="996"/>
      <c r="GVC88" s="996"/>
      <c r="GVD88" s="996"/>
      <c r="GVE88" s="996"/>
      <c r="GVF88" s="996"/>
      <c r="GVG88" s="996"/>
      <c r="GVH88" s="996"/>
      <c r="GVI88" s="996"/>
      <c r="GVJ88" s="996"/>
      <c r="GVK88" s="996"/>
      <c r="GVL88" s="996"/>
      <c r="GVM88" s="996"/>
      <c r="GVN88" s="996"/>
      <c r="GVO88" s="996"/>
      <c r="GVP88" s="996"/>
      <c r="GVQ88" s="996"/>
      <c r="GVR88" s="996"/>
      <c r="GVS88" s="996"/>
      <c r="GVT88" s="996"/>
      <c r="GVU88" s="996"/>
      <c r="GVV88" s="996"/>
      <c r="GVW88" s="996"/>
      <c r="GVX88" s="996"/>
      <c r="GVY88" s="996"/>
      <c r="GVZ88" s="996"/>
      <c r="GWA88" s="996"/>
      <c r="GWB88" s="996"/>
      <c r="GWC88" s="996"/>
      <c r="GWD88" s="996"/>
      <c r="GWE88" s="996"/>
      <c r="GWF88" s="996"/>
      <c r="GWG88" s="996"/>
      <c r="GWH88" s="996"/>
      <c r="GWI88" s="996"/>
      <c r="GWJ88" s="996"/>
      <c r="GWK88" s="996"/>
      <c r="GWL88" s="996"/>
      <c r="GWM88" s="996"/>
      <c r="GWN88" s="996"/>
      <c r="GWO88" s="996"/>
      <c r="GWP88" s="996"/>
      <c r="GWQ88" s="996"/>
      <c r="GWR88" s="996"/>
      <c r="GWS88" s="996"/>
      <c r="GWT88" s="996"/>
      <c r="GWU88" s="996"/>
      <c r="GWV88" s="996"/>
      <c r="GWW88" s="996"/>
      <c r="GWX88" s="996"/>
      <c r="GWY88" s="996"/>
      <c r="GWZ88" s="996"/>
      <c r="GXA88" s="996"/>
      <c r="GXB88" s="996"/>
      <c r="GXC88" s="996"/>
      <c r="GXD88" s="996"/>
      <c r="GXE88" s="996"/>
      <c r="GXF88" s="996"/>
      <c r="GXG88" s="996"/>
      <c r="GXH88" s="996"/>
      <c r="GXI88" s="996"/>
      <c r="GXJ88" s="996"/>
      <c r="GXK88" s="996"/>
      <c r="GXL88" s="996"/>
      <c r="GXM88" s="996"/>
      <c r="GXN88" s="996"/>
      <c r="GXO88" s="996"/>
      <c r="GXP88" s="996"/>
      <c r="GXQ88" s="996"/>
      <c r="GXR88" s="996"/>
      <c r="GXS88" s="996"/>
      <c r="GXT88" s="996"/>
      <c r="GXU88" s="996"/>
      <c r="GXV88" s="996"/>
      <c r="GXW88" s="996"/>
      <c r="GXX88" s="996"/>
      <c r="GXY88" s="996"/>
      <c r="GXZ88" s="996"/>
      <c r="GYA88" s="996"/>
      <c r="GYB88" s="996"/>
      <c r="GYC88" s="996"/>
      <c r="GYD88" s="996"/>
      <c r="GYE88" s="996"/>
      <c r="GYF88" s="996"/>
      <c r="GYG88" s="996"/>
      <c r="GYH88" s="996"/>
      <c r="GYI88" s="996"/>
      <c r="GYJ88" s="996"/>
      <c r="GYK88" s="996"/>
      <c r="GYL88" s="996"/>
      <c r="GYM88" s="996"/>
      <c r="GYN88" s="996"/>
      <c r="GYO88" s="996"/>
      <c r="GYP88" s="996"/>
      <c r="GYQ88" s="996"/>
      <c r="GYR88" s="996"/>
      <c r="GYS88" s="996"/>
      <c r="GYT88" s="996"/>
      <c r="GYU88" s="996"/>
      <c r="GYV88" s="996"/>
      <c r="GYW88" s="996"/>
      <c r="GYX88" s="996"/>
      <c r="GYY88" s="996"/>
      <c r="GYZ88" s="996"/>
      <c r="GZA88" s="996"/>
      <c r="GZB88" s="996"/>
      <c r="GZC88" s="996"/>
      <c r="GZD88" s="996"/>
      <c r="GZE88" s="996"/>
      <c r="GZF88" s="996"/>
      <c r="GZG88" s="996"/>
      <c r="GZH88" s="996"/>
      <c r="GZI88" s="996"/>
      <c r="GZJ88" s="996"/>
      <c r="GZK88" s="996"/>
      <c r="GZL88" s="996"/>
      <c r="GZM88" s="996"/>
      <c r="GZN88" s="996"/>
      <c r="GZO88" s="996"/>
      <c r="GZP88" s="996"/>
      <c r="GZQ88" s="996"/>
      <c r="GZR88" s="996"/>
      <c r="GZS88" s="996"/>
      <c r="GZT88" s="996"/>
      <c r="GZU88" s="996"/>
      <c r="GZV88" s="996"/>
      <c r="GZW88" s="996"/>
      <c r="GZX88" s="996"/>
      <c r="GZY88" s="996"/>
      <c r="GZZ88" s="996"/>
      <c r="HAA88" s="996"/>
      <c r="HAB88" s="996"/>
      <c r="HAC88" s="996"/>
      <c r="HAD88" s="996"/>
      <c r="HAE88" s="996"/>
      <c r="HAF88" s="996"/>
      <c r="HAG88" s="996"/>
      <c r="HAH88" s="996"/>
      <c r="HAI88" s="996"/>
      <c r="HAJ88" s="996"/>
      <c r="HAK88" s="996"/>
      <c r="HAL88" s="996"/>
      <c r="HAM88" s="996"/>
      <c r="HAN88" s="996"/>
      <c r="HAO88" s="996"/>
      <c r="HAP88" s="996"/>
      <c r="HAQ88" s="996"/>
      <c r="HAR88" s="996"/>
      <c r="HAS88" s="996"/>
      <c r="HAT88" s="996"/>
      <c r="HAU88" s="996"/>
      <c r="HAV88" s="996"/>
      <c r="HAW88" s="996"/>
      <c r="HAX88" s="996"/>
      <c r="HAY88" s="996"/>
      <c r="HAZ88" s="996"/>
      <c r="HBA88" s="996"/>
      <c r="HBB88" s="996"/>
      <c r="HBC88" s="996"/>
      <c r="HBD88" s="996"/>
      <c r="HBE88" s="996"/>
      <c r="HBF88" s="996"/>
      <c r="HBG88" s="996"/>
      <c r="HBH88" s="996"/>
      <c r="HBI88" s="996"/>
      <c r="HBJ88" s="996"/>
      <c r="HBK88" s="996"/>
      <c r="HBL88" s="996"/>
      <c r="HBM88" s="996"/>
      <c r="HBN88" s="996"/>
      <c r="HBO88" s="996"/>
      <c r="HBP88" s="996"/>
      <c r="HBQ88" s="996"/>
      <c r="HBR88" s="996"/>
      <c r="HBS88" s="996"/>
      <c r="HBT88" s="996"/>
      <c r="HBU88" s="996"/>
      <c r="HBV88" s="996"/>
      <c r="HBW88" s="996"/>
      <c r="HBX88" s="996"/>
      <c r="HBY88" s="996"/>
      <c r="HBZ88" s="996"/>
      <c r="HCA88" s="996"/>
      <c r="HCB88" s="996"/>
      <c r="HCC88" s="996"/>
      <c r="HCD88" s="996"/>
      <c r="HCE88" s="996"/>
      <c r="HCF88" s="996"/>
      <c r="HCG88" s="996"/>
      <c r="HCH88" s="996"/>
      <c r="HCI88" s="996"/>
      <c r="HCJ88" s="996"/>
      <c r="HCK88" s="996"/>
      <c r="HCL88" s="996"/>
      <c r="HCM88" s="996"/>
      <c r="HCN88" s="996"/>
      <c r="HCO88" s="996"/>
      <c r="HCP88" s="996"/>
      <c r="HCQ88" s="996"/>
      <c r="HCR88" s="996"/>
      <c r="HCS88" s="996"/>
      <c r="HCT88" s="996"/>
      <c r="HCU88" s="996"/>
      <c r="HCV88" s="996"/>
      <c r="HCW88" s="996"/>
      <c r="HCX88" s="996"/>
      <c r="HCY88" s="996"/>
      <c r="HCZ88" s="996"/>
      <c r="HDA88" s="996"/>
      <c r="HDB88" s="996"/>
      <c r="HDC88" s="996"/>
      <c r="HDD88" s="996"/>
      <c r="HDE88" s="996"/>
      <c r="HDF88" s="996"/>
      <c r="HDG88" s="996"/>
      <c r="HDH88" s="996"/>
      <c r="HDI88" s="996"/>
      <c r="HDJ88" s="996"/>
      <c r="HDK88" s="996"/>
      <c r="HDL88" s="996"/>
      <c r="HDM88" s="996"/>
      <c r="HDN88" s="996"/>
      <c r="HDO88" s="996"/>
      <c r="HDP88" s="996"/>
      <c r="HDQ88" s="996"/>
      <c r="HDR88" s="996"/>
      <c r="HDS88" s="996"/>
      <c r="HDT88" s="996"/>
      <c r="HDU88" s="996"/>
      <c r="HDV88" s="996"/>
      <c r="HDW88" s="996"/>
      <c r="HDX88" s="996"/>
      <c r="HDY88" s="996"/>
      <c r="HDZ88" s="996"/>
      <c r="HEA88" s="996"/>
      <c r="HEB88" s="996"/>
      <c r="HEC88" s="996"/>
      <c r="HED88" s="996"/>
      <c r="HEE88" s="996"/>
      <c r="HEF88" s="996"/>
      <c r="HEG88" s="996"/>
      <c r="HEH88" s="996"/>
      <c r="HEI88" s="996"/>
      <c r="HEJ88" s="996"/>
      <c r="HEK88" s="996"/>
      <c r="HEL88" s="996"/>
      <c r="HEM88" s="996"/>
      <c r="HEN88" s="996"/>
      <c r="HEO88" s="996"/>
      <c r="HEP88" s="996"/>
      <c r="HEQ88" s="996"/>
      <c r="HER88" s="996"/>
      <c r="HES88" s="996"/>
      <c r="HET88" s="996"/>
      <c r="HEU88" s="996"/>
      <c r="HEV88" s="996"/>
      <c r="HEW88" s="996"/>
      <c r="HEX88" s="996"/>
      <c r="HEY88" s="996"/>
      <c r="HEZ88" s="996"/>
      <c r="HFA88" s="996"/>
      <c r="HFB88" s="996"/>
      <c r="HFC88" s="996"/>
      <c r="HFD88" s="996"/>
      <c r="HFE88" s="996"/>
      <c r="HFF88" s="996"/>
      <c r="HFG88" s="996"/>
      <c r="HFH88" s="996"/>
      <c r="HFI88" s="996"/>
      <c r="HFJ88" s="996"/>
      <c r="HFK88" s="996"/>
      <c r="HFL88" s="996"/>
      <c r="HFM88" s="996"/>
      <c r="HFN88" s="996"/>
      <c r="HFO88" s="996"/>
      <c r="HFP88" s="996"/>
      <c r="HFQ88" s="996"/>
      <c r="HFR88" s="996"/>
      <c r="HFS88" s="996"/>
      <c r="HFT88" s="996"/>
      <c r="HFU88" s="996"/>
      <c r="HFV88" s="996"/>
      <c r="HFW88" s="996"/>
      <c r="HFX88" s="996"/>
      <c r="HFY88" s="996"/>
      <c r="HFZ88" s="996"/>
      <c r="HGA88" s="996"/>
      <c r="HGB88" s="996"/>
      <c r="HGC88" s="996"/>
      <c r="HGD88" s="996"/>
      <c r="HGE88" s="996"/>
      <c r="HGF88" s="996"/>
      <c r="HGG88" s="996"/>
      <c r="HGH88" s="996"/>
      <c r="HGI88" s="996"/>
      <c r="HGJ88" s="996"/>
      <c r="HGK88" s="996"/>
      <c r="HGL88" s="996"/>
      <c r="HGM88" s="996"/>
      <c r="HGN88" s="996"/>
      <c r="HGO88" s="996"/>
      <c r="HGP88" s="996"/>
      <c r="HGQ88" s="996"/>
      <c r="HGR88" s="996"/>
      <c r="HGS88" s="996"/>
      <c r="HGT88" s="996"/>
      <c r="HGU88" s="996"/>
      <c r="HGV88" s="996"/>
      <c r="HGW88" s="996"/>
      <c r="HGX88" s="996"/>
      <c r="HGY88" s="996"/>
      <c r="HGZ88" s="996"/>
      <c r="HHA88" s="996"/>
      <c r="HHB88" s="996"/>
      <c r="HHC88" s="996"/>
      <c r="HHD88" s="996"/>
      <c r="HHE88" s="996"/>
      <c r="HHF88" s="996"/>
      <c r="HHG88" s="996"/>
      <c r="HHH88" s="996"/>
      <c r="HHI88" s="996"/>
      <c r="HHJ88" s="996"/>
      <c r="HHK88" s="996"/>
      <c r="HHL88" s="996"/>
      <c r="HHM88" s="996"/>
      <c r="HHN88" s="996"/>
      <c r="HHO88" s="996"/>
      <c r="HHP88" s="996"/>
      <c r="HHQ88" s="996"/>
      <c r="HHR88" s="996"/>
      <c r="HHS88" s="996"/>
      <c r="HHT88" s="996"/>
      <c r="HHU88" s="996"/>
      <c r="HHV88" s="996"/>
      <c r="HHW88" s="996"/>
      <c r="HHX88" s="996"/>
      <c r="HHY88" s="996"/>
      <c r="HHZ88" s="996"/>
      <c r="HIA88" s="996"/>
      <c r="HIB88" s="996"/>
      <c r="HIC88" s="996"/>
      <c r="HID88" s="996"/>
      <c r="HIE88" s="996"/>
      <c r="HIF88" s="996"/>
      <c r="HIG88" s="996"/>
      <c r="HIH88" s="996"/>
      <c r="HII88" s="996"/>
      <c r="HIJ88" s="996"/>
      <c r="HIK88" s="996"/>
      <c r="HIL88" s="996"/>
      <c r="HIM88" s="996"/>
      <c r="HIN88" s="996"/>
      <c r="HIO88" s="996"/>
      <c r="HIP88" s="996"/>
      <c r="HIQ88" s="996"/>
      <c r="HIR88" s="996"/>
      <c r="HIS88" s="996"/>
      <c r="HIT88" s="996"/>
      <c r="HIU88" s="996"/>
      <c r="HIV88" s="996"/>
      <c r="HIW88" s="996"/>
      <c r="HIX88" s="996"/>
      <c r="HIY88" s="996"/>
      <c r="HIZ88" s="996"/>
      <c r="HJA88" s="996"/>
      <c r="HJB88" s="996"/>
      <c r="HJC88" s="996"/>
      <c r="HJD88" s="996"/>
      <c r="HJE88" s="996"/>
      <c r="HJF88" s="996"/>
      <c r="HJG88" s="996"/>
      <c r="HJH88" s="996"/>
      <c r="HJI88" s="996"/>
      <c r="HJJ88" s="996"/>
      <c r="HJK88" s="996"/>
      <c r="HJL88" s="996"/>
      <c r="HJM88" s="996"/>
      <c r="HJN88" s="996"/>
      <c r="HJO88" s="996"/>
      <c r="HJP88" s="996"/>
      <c r="HJQ88" s="996"/>
      <c r="HJR88" s="996"/>
      <c r="HJS88" s="996"/>
      <c r="HJT88" s="996"/>
      <c r="HJU88" s="996"/>
      <c r="HJV88" s="996"/>
      <c r="HJW88" s="996"/>
      <c r="HJX88" s="996"/>
      <c r="HJY88" s="996"/>
      <c r="HJZ88" s="996"/>
      <c r="HKA88" s="996"/>
      <c r="HKB88" s="996"/>
      <c r="HKC88" s="996"/>
      <c r="HKD88" s="996"/>
      <c r="HKE88" s="996"/>
      <c r="HKF88" s="996"/>
      <c r="HKG88" s="996"/>
      <c r="HKH88" s="996"/>
      <c r="HKI88" s="996"/>
      <c r="HKJ88" s="996"/>
      <c r="HKK88" s="996"/>
      <c r="HKL88" s="996"/>
      <c r="HKM88" s="996"/>
      <c r="HKN88" s="996"/>
      <c r="HKO88" s="996"/>
      <c r="HKP88" s="996"/>
      <c r="HKQ88" s="996"/>
      <c r="HKR88" s="996"/>
      <c r="HKS88" s="996"/>
      <c r="HKT88" s="996"/>
      <c r="HKU88" s="996"/>
      <c r="HKV88" s="996"/>
      <c r="HKW88" s="996"/>
      <c r="HKX88" s="996"/>
      <c r="HKY88" s="996"/>
      <c r="HKZ88" s="996"/>
      <c r="HLA88" s="996"/>
      <c r="HLB88" s="996"/>
      <c r="HLC88" s="996"/>
      <c r="HLD88" s="996"/>
      <c r="HLE88" s="996"/>
      <c r="HLF88" s="996"/>
      <c r="HLG88" s="996"/>
      <c r="HLH88" s="996"/>
      <c r="HLI88" s="996"/>
      <c r="HLJ88" s="996"/>
      <c r="HLK88" s="996"/>
      <c r="HLL88" s="996"/>
      <c r="HLM88" s="996"/>
      <c r="HLN88" s="996"/>
      <c r="HLO88" s="996"/>
      <c r="HLP88" s="996"/>
      <c r="HLQ88" s="996"/>
      <c r="HLR88" s="996"/>
      <c r="HLS88" s="996"/>
      <c r="HLT88" s="996"/>
      <c r="HLU88" s="996"/>
      <c r="HLV88" s="996"/>
      <c r="HLW88" s="996"/>
      <c r="HLX88" s="996"/>
      <c r="HLY88" s="996"/>
      <c r="HLZ88" s="996"/>
      <c r="HMA88" s="996"/>
      <c r="HMB88" s="996"/>
      <c r="HMC88" s="996"/>
      <c r="HMD88" s="996"/>
      <c r="HME88" s="996"/>
      <c r="HMF88" s="996"/>
      <c r="HMG88" s="996"/>
      <c r="HMH88" s="996"/>
      <c r="HMI88" s="996"/>
      <c r="HMJ88" s="996"/>
      <c r="HMK88" s="996"/>
      <c r="HML88" s="996"/>
      <c r="HMM88" s="996"/>
      <c r="HMN88" s="996"/>
      <c r="HMO88" s="996"/>
      <c r="HMP88" s="996"/>
      <c r="HMQ88" s="996"/>
      <c r="HMR88" s="996"/>
      <c r="HMS88" s="996"/>
      <c r="HMT88" s="996"/>
      <c r="HMU88" s="996"/>
      <c r="HMV88" s="996"/>
      <c r="HMW88" s="996"/>
      <c r="HMX88" s="996"/>
      <c r="HMY88" s="996"/>
      <c r="HMZ88" s="996"/>
      <c r="HNA88" s="996"/>
      <c r="HNB88" s="996"/>
      <c r="HNC88" s="996"/>
      <c r="HND88" s="996"/>
      <c r="HNE88" s="996"/>
      <c r="HNF88" s="996"/>
      <c r="HNG88" s="996"/>
      <c r="HNH88" s="996"/>
      <c r="HNI88" s="996"/>
      <c r="HNJ88" s="996"/>
      <c r="HNK88" s="996"/>
      <c r="HNL88" s="996"/>
      <c r="HNM88" s="996"/>
      <c r="HNN88" s="996"/>
      <c r="HNO88" s="996"/>
      <c r="HNP88" s="996"/>
      <c r="HNQ88" s="996"/>
      <c r="HNR88" s="996"/>
      <c r="HNS88" s="996"/>
      <c r="HNT88" s="996"/>
      <c r="HNU88" s="996"/>
      <c r="HNV88" s="996"/>
      <c r="HNW88" s="996"/>
      <c r="HNX88" s="996"/>
      <c r="HNY88" s="996"/>
      <c r="HNZ88" s="996"/>
      <c r="HOA88" s="996"/>
      <c r="HOB88" s="996"/>
      <c r="HOC88" s="996"/>
      <c r="HOD88" s="996"/>
      <c r="HOE88" s="996"/>
      <c r="HOF88" s="996"/>
      <c r="HOG88" s="996"/>
      <c r="HOH88" s="996"/>
      <c r="HOI88" s="996"/>
      <c r="HOJ88" s="996"/>
      <c r="HOK88" s="996"/>
      <c r="HOL88" s="996"/>
      <c r="HOM88" s="996"/>
      <c r="HON88" s="996"/>
      <c r="HOO88" s="996"/>
      <c r="HOP88" s="996"/>
      <c r="HOQ88" s="996"/>
      <c r="HOR88" s="996"/>
      <c r="HOS88" s="996"/>
      <c r="HOT88" s="996"/>
      <c r="HOU88" s="996"/>
      <c r="HOV88" s="996"/>
      <c r="HOW88" s="996"/>
      <c r="HOX88" s="996"/>
      <c r="HOY88" s="996"/>
      <c r="HOZ88" s="996"/>
      <c r="HPA88" s="996"/>
      <c r="HPB88" s="996"/>
      <c r="HPC88" s="996"/>
      <c r="HPD88" s="996"/>
      <c r="HPE88" s="996"/>
      <c r="HPF88" s="996"/>
      <c r="HPG88" s="996"/>
      <c r="HPH88" s="996"/>
      <c r="HPI88" s="996"/>
      <c r="HPJ88" s="996"/>
      <c r="HPK88" s="996"/>
      <c r="HPL88" s="996"/>
      <c r="HPM88" s="996"/>
      <c r="HPN88" s="996"/>
      <c r="HPO88" s="996"/>
      <c r="HPP88" s="996"/>
      <c r="HPQ88" s="996"/>
      <c r="HPR88" s="996"/>
      <c r="HPS88" s="996"/>
      <c r="HPT88" s="996"/>
      <c r="HPU88" s="996"/>
      <c r="HPV88" s="996"/>
      <c r="HPW88" s="996"/>
      <c r="HPX88" s="996"/>
      <c r="HPY88" s="996"/>
      <c r="HPZ88" s="996"/>
      <c r="HQA88" s="996"/>
      <c r="HQB88" s="996"/>
      <c r="HQC88" s="996"/>
      <c r="HQD88" s="996"/>
      <c r="HQE88" s="996"/>
      <c r="HQF88" s="996"/>
      <c r="HQG88" s="996"/>
      <c r="HQH88" s="996"/>
      <c r="HQI88" s="996"/>
      <c r="HQJ88" s="996"/>
      <c r="HQK88" s="996"/>
      <c r="HQL88" s="996"/>
      <c r="HQM88" s="996"/>
      <c r="HQN88" s="996"/>
      <c r="HQO88" s="996"/>
      <c r="HQP88" s="996"/>
      <c r="HQQ88" s="996"/>
      <c r="HQR88" s="996"/>
      <c r="HQS88" s="996"/>
      <c r="HQT88" s="996"/>
      <c r="HQU88" s="996"/>
      <c r="HQV88" s="996"/>
      <c r="HQW88" s="996"/>
      <c r="HQX88" s="996"/>
      <c r="HQY88" s="996"/>
      <c r="HQZ88" s="996"/>
      <c r="HRA88" s="996"/>
      <c r="HRB88" s="996"/>
      <c r="HRC88" s="996"/>
      <c r="HRD88" s="996"/>
      <c r="HRE88" s="996"/>
      <c r="HRF88" s="996"/>
      <c r="HRG88" s="996"/>
      <c r="HRH88" s="996"/>
      <c r="HRI88" s="996"/>
      <c r="HRJ88" s="996"/>
      <c r="HRK88" s="996"/>
      <c r="HRL88" s="996"/>
      <c r="HRM88" s="996"/>
      <c r="HRN88" s="996"/>
      <c r="HRO88" s="996"/>
      <c r="HRP88" s="996"/>
      <c r="HRQ88" s="996"/>
      <c r="HRR88" s="996"/>
      <c r="HRS88" s="996"/>
      <c r="HRT88" s="996"/>
      <c r="HRU88" s="996"/>
      <c r="HRV88" s="996"/>
      <c r="HRW88" s="996"/>
      <c r="HRX88" s="996"/>
      <c r="HRY88" s="996"/>
      <c r="HRZ88" s="996"/>
      <c r="HSA88" s="996"/>
      <c r="HSB88" s="996"/>
      <c r="HSC88" s="996"/>
      <c r="HSD88" s="996"/>
      <c r="HSE88" s="996"/>
      <c r="HSF88" s="996"/>
      <c r="HSG88" s="996"/>
      <c r="HSH88" s="996"/>
      <c r="HSI88" s="996"/>
      <c r="HSJ88" s="996"/>
      <c r="HSK88" s="996"/>
      <c r="HSL88" s="996"/>
      <c r="HSM88" s="996"/>
      <c r="HSN88" s="996"/>
      <c r="HSO88" s="996"/>
      <c r="HSP88" s="996"/>
      <c r="HSQ88" s="996"/>
      <c r="HSR88" s="996"/>
      <c r="HSS88" s="996"/>
      <c r="HST88" s="996"/>
      <c r="HSU88" s="996"/>
      <c r="HSV88" s="996"/>
      <c r="HSW88" s="996"/>
      <c r="HSX88" s="996"/>
      <c r="HSY88" s="996"/>
      <c r="HSZ88" s="996"/>
      <c r="HTA88" s="996"/>
      <c r="HTB88" s="996"/>
      <c r="HTC88" s="996"/>
      <c r="HTD88" s="996"/>
      <c r="HTE88" s="996"/>
      <c r="HTF88" s="996"/>
      <c r="HTG88" s="996"/>
      <c r="HTH88" s="996"/>
      <c r="HTI88" s="996"/>
      <c r="HTJ88" s="996"/>
      <c r="HTK88" s="996"/>
      <c r="HTL88" s="996"/>
      <c r="HTM88" s="996"/>
      <c r="HTN88" s="996"/>
      <c r="HTO88" s="996"/>
      <c r="HTP88" s="996"/>
      <c r="HTQ88" s="996"/>
      <c r="HTR88" s="996"/>
      <c r="HTS88" s="996"/>
      <c r="HTT88" s="996"/>
      <c r="HTU88" s="996"/>
      <c r="HTV88" s="996"/>
      <c r="HTW88" s="996"/>
      <c r="HTX88" s="996"/>
      <c r="HTY88" s="996"/>
      <c r="HTZ88" s="996"/>
      <c r="HUA88" s="996"/>
      <c r="HUB88" s="996"/>
      <c r="HUC88" s="996"/>
      <c r="HUD88" s="996"/>
      <c r="HUE88" s="996"/>
      <c r="HUF88" s="996"/>
      <c r="HUG88" s="996"/>
      <c r="HUH88" s="996"/>
      <c r="HUI88" s="996"/>
      <c r="HUJ88" s="996"/>
      <c r="HUK88" s="996"/>
      <c r="HUL88" s="996"/>
      <c r="HUM88" s="996"/>
      <c r="HUN88" s="996"/>
      <c r="HUO88" s="996"/>
      <c r="HUP88" s="996"/>
      <c r="HUQ88" s="996"/>
      <c r="HUR88" s="996"/>
      <c r="HUS88" s="996"/>
      <c r="HUT88" s="996"/>
      <c r="HUU88" s="996"/>
      <c r="HUV88" s="996"/>
      <c r="HUW88" s="996"/>
      <c r="HUX88" s="996"/>
      <c r="HUY88" s="996"/>
      <c r="HUZ88" s="996"/>
      <c r="HVA88" s="996"/>
      <c r="HVB88" s="996"/>
      <c r="HVC88" s="996"/>
      <c r="HVD88" s="996"/>
      <c r="HVE88" s="996"/>
      <c r="HVF88" s="996"/>
      <c r="HVG88" s="996"/>
      <c r="HVH88" s="996"/>
      <c r="HVI88" s="996"/>
      <c r="HVJ88" s="996"/>
      <c r="HVK88" s="996"/>
      <c r="HVL88" s="996"/>
      <c r="HVM88" s="996"/>
      <c r="HVN88" s="996"/>
      <c r="HVO88" s="996"/>
      <c r="HVP88" s="996"/>
      <c r="HVQ88" s="996"/>
      <c r="HVR88" s="996"/>
      <c r="HVS88" s="996"/>
      <c r="HVT88" s="996"/>
      <c r="HVU88" s="996"/>
      <c r="HVV88" s="996"/>
      <c r="HVW88" s="996"/>
      <c r="HVX88" s="996"/>
      <c r="HVY88" s="996"/>
      <c r="HVZ88" s="996"/>
      <c r="HWA88" s="996"/>
      <c r="HWB88" s="996"/>
      <c r="HWC88" s="996"/>
      <c r="HWD88" s="996"/>
      <c r="HWE88" s="996"/>
      <c r="HWF88" s="996"/>
      <c r="HWG88" s="996"/>
      <c r="HWH88" s="996"/>
      <c r="HWI88" s="996"/>
      <c r="HWJ88" s="996"/>
      <c r="HWK88" s="996"/>
      <c r="HWL88" s="996"/>
      <c r="HWM88" s="996"/>
      <c r="HWN88" s="996"/>
      <c r="HWO88" s="996"/>
      <c r="HWP88" s="996"/>
      <c r="HWQ88" s="996"/>
      <c r="HWR88" s="996"/>
      <c r="HWS88" s="996"/>
      <c r="HWT88" s="996"/>
      <c r="HWU88" s="996"/>
      <c r="HWV88" s="996"/>
      <c r="HWW88" s="996"/>
      <c r="HWX88" s="996"/>
      <c r="HWY88" s="996"/>
      <c r="HWZ88" s="996"/>
      <c r="HXA88" s="996"/>
      <c r="HXB88" s="996"/>
      <c r="HXC88" s="996"/>
      <c r="HXD88" s="996"/>
      <c r="HXE88" s="996"/>
      <c r="HXF88" s="996"/>
      <c r="HXG88" s="996"/>
      <c r="HXH88" s="996"/>
      <c r="HXI88" s="996"/>
      <c r="HXJ88" s="996"/>
      <c r="HXK88" s="996"/>
      <c r="HXL88" s="996"/>
      <c r="HXM88" s="996"/>
      <c r="HXN88" s="996"/>
      <c r="HXO88" s="996"/>
      <c r="HXP88" s="996"/>
      <c r="HXQ88" s="996"/>
      <c r="HXR88" s="996"/>
      <c r="HXS88" s="996"/>
      <c r="HXT88" s="996"/>
      <c r="HXU88" s="996"/>
      <c r="HXV88" s="996"/>
      <c r="HXW88" s="996"/>
      <c r="HXX88" s="996"/>
      <c r="HXY88" s="996"/>
      <c r="HXZ88" s="996"/>
      <c r="HYA88" s="996"/>
      <c r="HYB88" s="996"/>
      <c r="HYC88" s="996"/>
      <c r="HYD88" s="996"/>
      <c r="HYE88" s="996"/>
      <c r="HYF88" s="996"/>
      <c r="HYG88" s="996"/>
      <c r="HYH88" s="996"/>
      <c r="HYI88" s="996"/>
      <c r="HYJ88" s="996"/>
      <c r="HYK88" s="996"/>
      <c r="HYL88" s="996"/>
      <c r="HYM88" s="996"/>
      <c r="HYN88" s="996"/>
      <c r="HYO88" s="996"/>
      <c r="HYP88" s="996"/>
      <c r="HYQ88" s="996"/>
      <c r="HYR88" s="996"/>
      <c r="HYS88" s="996"/>
      <c r="HYT88" s="996"/>
      <c r="HYU88" s="996"/>
      <c r="HYV88" s="996"/>
      <c r="HYW88" s="996"/>
      <c r="HYX88" s="996"/>
      <c r="HYY88" s="996"/>
      <c r="HYZ88" s="996"/>
      <c r="HZA88" s="996"/>
      <c r="HZB88" s="996"/>
      <c r="HZC88" s="996"/>
      <c r="HZD88" s="996"/>
      <c r="HZE88" s="996"/>
      <c r="HZF88" s="996"/>
      <c r="HZG88" s="996"/>
      <c r="HZH88" s="996"/>
      <c r="HZI88" s="996"/>
      <c r="HZJ88" s="996"/>
      <c r="HZK88" s="996"/>
      <c r="HZL88" s="996"/>
      <c r="HZM88" s="996"/>
      <c r="HZN88" s="996"/>
      <c r="HZO88" s="996"/>
      <c r="HZP88" s="996"/>
      <c r="HZQ88" s="996"/>
      <c r="HZR88" s="996"/>
      <c r="HZS88" s="996"/>
      <c r="HZT88" s="996"/>
      <c r="HZU88" s="996"/>
      <c r="HZV88" s="996"/>
      <c r="HZW88" s="996"/>
      <c r="HZX88" s="996"/>
      <c r="HZY88" s="996"/>
      <c r="HZZ88" s="996"/>
      <c r="IAA88" s="996"/>
      <c r="IAB88" s="996"/>
      <c r="IAC88" s="996"/>
      <c r="IAD88" s="996"/>
      <c r="IAE88" s="996"/>
      <c r="IAF88" s="996"/>
      <c r="IAG88" s="996"/>
      <c r="IAH88" s="996"/>
      <c r="IAI88" s="996"/>
      <c r="IAJ88" s="996"/>
      <c r="IAK88" s="996"/>
      <c r="IAL88" s="996"/>
      <c r="IAM88" s="996"/>
      <c r="IAN88" s="996"/>
      <c r="IAO88" s="996"/>
      <c r="IAP88" s="996"/>
      <c r="IAQ88" s="996"/>
      <c r="IAR88" s="996"/>
      <c r="IAS88" s="996"/>
      <c r="IAT88" s="996"/>
      <c r="IAU88" s="996"/>
      <c r="IAV88" s="996"/>
      <c r="IAW88" s="996"/>
      <c r="IAX88" s="996"/>
      <c r="IAY88" s="996"/>
      <c r="IAZ88" s="996"/>
      <c r="IBA88" s="996"/>
      <c r="IBB88" s="996"/>
      <c r="IBC88" s="996"/>
      <c r="IBD88" s="996"/>
      <c r="IBE88" s="996"/>
      <c r="IBF88" s="996"/>
      <c r="IBG88" s="996"/>
      <c r="IBH88" s="996"/>
      <c r="IBI88" s="996"/>
      <c r="IBJ88" s="996"/>
      <c r="IBK88" s="996"/>
      <c r="IBL88" s="996"/>
      <c r="IBM88" s="996"/>
      <c r="IBN88" s="996"/>
      <c r="IBO88" s="996"/>
      <c r="IBP88" s="996"/>
      <c r="IBQ88" s="996"/>
      <c r="IBR88" s="996"/>
      <c r="IBS88" s="996"/>
      <c r="IBT88" s="996"/>
      <c r="IBU88" s="996"/>
      <c r="IBV88" s="996"/>
      <c r="IBW88" s="996"/>
      <c r="IBX88" s="996"/>
      <c r="IBY88" s="996"/>
      <c r="IBZ88" s="996"/>
      <c r="ICA88" s="996"/>
      <c r="ICB88" s="996"/>
      <c r="ICC88" s="996"/>
      <c r="ICD88" s="996"/>
      <c r="ICE88" s="996"/>
      <c r="ICF88" s="996"/>
      <c r="ICG88" s="996"/>
      <c r="ICH88" s="996"/>
      <c r="ICI88" s="996"/>
      <c r="ICJ88" s="996"/>
      <c r="ICK88" s="996"/>
      <c r="ICL88" s="996"/>
      <c r="ICM88" s="996"/>
      <c r="ICN88" s="996"/>
      <c r="ICO88" s="996"/>
      <c r="ICP88" s="996"/>
      <c r="ICQ88" s="996"/>
      <c r="ICR88" s="996"/>
      <c r="ICS88" s="996"/>
      <c r="ICT88" s="996"/>
      <c r="ICU88" s="996"/>
      <c r="ICV88" s="996"/>
      <c r="ICW88" s="996"/>
      <c r="ICX88" s="996"/>
      <c r="ICY88" s="996"/>
      <c r="ICZ88" s="996"/>
      <c r="IDA88" s="996"/>
      <c r="IDB88" s="996"/>
      <c r="IDC88" s="996"/>
      <c r="IDD88" s="996"/>
      <c r="IDE88" s="996"/>
      <c r="IDF88" s="996"/>
      <c r="IDG88" s="996"/>
      <c r="IDH88" s="996"/>
      <c r="IDI88" s="996"/>
      <c r="IDJ88" s="996"/>
      <c r="IDK88" s="996"/>
      <c r="IDL88" s="996"/>
      <c r="IDM88" s="996"/>
      <c r="IDN88" s="996"/>
      <c r="IDO88" s="996"/>
      <c r="IDP88" s="996"/>
      <c r="IDQ88" s="996"/>
      <c r="IDR88" s="996"/>
      <c r="IDS88" s="996"/>
      <c r="IDT88" s="996"/>
      <c r="IDU88" s="996"/>
      <c r="IDV88" s="996"/>
      <c r="IDW88" s="996"/>
      <c r="IDX88" s="996"/>
      <c r="IDY88" s="996"/>
      <c r="IDZ88" s="996"/>
      <c r="IEA88" s="996"/>
      <c r="IEB88" s="996"/>
      <c r="IEC88" s="996"/>
      <c r="IED88" s="996"/>
      <c r="IEE88" s="996"/>
      <c r="IEF88" s="996"/>
      <c r="IEG88" s="996"/>
      <c r="IEH88" s="996"/>
      <c r="IEI88" s="996"/>
      <c r="IEJ88" s="996"/>
      <c r="IEK88" s="996"/>
      <c r="IEL88" s="996"/>
      <c r="IEM88" s="996"/>
      <c r="IEN88" s="996"/>
      <c r="IEO88" s="996"/>
      <c r="IEP88" s="996"/>
      <c r="IEQ88" s="996"/>
      <c r="IER88" s="996"/>
      <c r="IES88" s="996"/>
      <c r="IET88" s="996"/>
      <c r="IEU88" s="996"/>
      <c r="IEV88" s="996"/>
      <c r="IEW88" s="996"/>
      <c r="IEX88" s="996"/>
      <c r="IEY88" s="996"/>
      <c r="IEZ88" s="996"/>
      <c r="IFA88" s="996"/>
      <c r="IFB88" s="996"/>
      <c r="IFC88" s="996"/>
      <c r="IFD88" s="996"/>
      <c r="IFE88" s="996"/>
      <c r="IFF88" s="996"/>
      <c r="IFG88" s="996"/>
      <c r="IFH88" s="996"/>
      <c r="IFI88" s="996"/>
      <c r="IFJ88" s="996"/>
      <c r="IFK88" s="996"/>
      <c r="IFL88" s="996"/>
      <c r="IFM88" s="996"/>
      <c r="IFN88" s="996"/>
      <c r="IFO88" s="996"/>
      <c r="IFP88" s="996"/>
      <c r="IFQ88" s="996"/>
      <c r="IFR88" s="996"/>
      <c r="IFS88" s="996"/>
      <c r="IFT88" s="996"/>
      <c r="IFU88" s="996"/>
      <c r="IFV88" s="996"/>
      <c r="IFW88" s="996"/>
      <c r="IFX88" s="996"/>
      <c r="IFY88" s="996"/>
      <c r="IFZ88" s="996"/>
      <c r="IGA88" s="996"/>
      <c r="IGB88" s="996"/>
      <c r="IGC88" s="996"/>
      <c r="IGD88" s="996"/>
      <c r="IGE88" s="996"/>
      <c r="IGF88" s="996"/>
      <c r="IGG88" s="996"/>
      <c r="IGH88" s="996"/>
      <c r="IGI88" s="996"/>
      <c r="IGJ88" s="996"/>
      <c r="IGK88" s="996"/>
      <c r="IGL88" s="996"/>
      <c r="IGM88" s="996"/>
      <c r="IGN88" s="996"/>
      <c r="IGO88" s="996"/>
      <c r="IGP88" s="996"/>
      <c r="IGQ88" s="996"/>
      <c r="IGR88" s="996"/>
      <c r="IGS88" s="996"/>
      <c r="IGT88" s="996"/>
      <c r="IGU88" s="996"/>
      <c r="IGV88" s="996"/>
      <c r="IGW88" s="996"/>
      <c r="IGX88" s="996"/>
      <c r="IGY88" s="996"/>
      <c r="IGZ88" s="996"/>
      <c r="IHA88" s="996"/>
      <c r="IHB88" s="996"/>
      <c r="IHC88" s="996"/>
      <c r="IHD88" s="996"/>
      <c r="IHE88" s="996"/>
      <c r="IHF88" s="996"/>
      <c r="IHG88" s="996"/>
      <c r="IHH88" s="996"/>
      <c r="IHI88" s="996"/>
      <c r="IHJ88" s="996"/>
      <c r="IHK88" s="996"/>
      <c r="IHL88" s="996"/>
      <c r="IHM88" s="996"/>
      <c r="IHN88" s="996"/>
      <c r="IHO88" s="996"/>
      <c r="IHP88" s="996"/>
      <c r="IHQ88" s="996"/>
      <c r="IHR88" s="996"/>
      <c r="IHS88" s="996"/>
      <c r="IHT88" s="996"/>
      <c r="IHU88" s="996"/>
      <c r="IHV88" s="996"/>
      <c r="IHW88" s="996"/>
      <c r="IHX88" s="996"/>
      <c r="IHY88" s="996"/>
      <c r="IHZ88" s="996"/>
      <c r="IIA88" s="996"/>
      <c r="IIB88" s="996"/>
      <c r="IIC88" s="996"/>
      <c r="IID88" s="996"/>
      <c r="IIE88" s="996"/>
      <c r="IIF88" s="996"/>
      <c r="IIG88" s="996"/>
      <c r="IIH88" s="996"/>
      <c r="III88" s="996"/>
      <c r="IIJ88" s="996"/>
      <c r="IIK88" s="996"/>
      <c r="IIL88" s="996"/>
      <c r="IIM88" s="996"/>
      <c r="IIN88" s="996"/>
      <c r="IIO88" s="996"/>
      <c r="IIP88" s="996"/>
      <c r="IIQ88" s="996"/>
      <c r="IIR88" s="996"/>
      <c r="IIS88" s="996"/>
      <c r="IIT88" s="996"/>
      <c r="IIU88" s="996"/>
      <c r="IIV88" s="996"/>
      <c r="IIW88" s="996"/>
      <c r="IIX88" s="996"/>
      <c r="IIY88" s="996"/>
      <c r="IIZ88" s="996"/>
      <c r="IJA88" s="996"/>
      <c r="IJB88" s="996"/>
      <c r="IJC88" s="996"/>
      <c r="IJD88" s="996"/>
      <c r="IJE88" s="996"/>
      <c r="IJF88" s="996"/>
      <c r="IJG88" s="996"/>
      <c r="IJH88" s="996"/>
      <c r="IJI88" s="996"/>
      <c r="IJJ88" s="996"/>
      <c r="IJK88" s="996"/>
      <c r="IJL88" s="996"/>
      <c r="IJM88" s="996"/>
      <c r="IJN88" s="996"/>
      <c r="IJO88" s="996"/>
      <c r="IJP88" s="996"/>
      <c r="IJQ88" s="996"/>
      <c r="IJR88" s="996"/>
      <c r="IJS88" s="996"/>
      <c r="IJT88" s="996"/>
      <c r="IJU88" s="996"/>
      <c r="IJV88" s="996"/>
      <c r="IJW88" s="996"/>
      <c r="IJX88" s="996"/>
      <c r="IJY88" s="996"/>
      <c r="IJZ88" s="996"/>
      <c r="IKA88" s="996"/>
      <c r="IKB88" s="996"/>
      <c r="IKC88" s="996"/>
      <c r="IKD88" s="996"/>
      <c r="IKE88" s="996"/>
      <c r="IKF88" s="996"/>
      <c r="IKG88" s="996"/>
      <c r="IKH88" s="996"/>
      <c r="IKI88" s="996"/>
      <c r="IKJ88" s="996"/>
      <c r="IKK88" s="996"/>
      <c r="IKL88" s="996"/>
      <c r="IKM88" s="996"/>
      <c r="IKN88" s="996"/>
      <c r="IKO88" s="996"/>
      <c r="IKP88" s="996"/>
      <c r="IKQ88" s="996"/>
      <c r="IKR88" s="996"/>
      <c r="IKS88" s="996"/>
      <c r="IKT88" s="996"/>
      <c r="IKU88" s="996"/>
      <c r="IKV88" s="996"/>
      <c r="IKW88" s="996"/>
      <c r="IKX88" s="996"/>
      <c r="IKY88" s="996"/>
      <c r="IKZ88" s="996"/>
      <c r="ILA88" s="996"/>
      <c r="ILB88" s="996"/>
      <c r="ILC88" s="996"/>
      <c r="ILD88" s="996"/>
      <c r="ILE88" s="996"/>
      <c r="ILF88" s="996"/>
      <c r="ILG88" s="996"/>
      <c r="ILH88" s="996"/>
      <c r="ILI88" s="996"/>
      <c r="ILJ88" s="996"/>
      <c r="ILK88" s="996"/>
      <c r="ILL88" s="996"/>
      <c r="ILM88" s="996"/>
      <c r="ILN88" s="996"/>
      <c r="ILO88" s="996"/>
      <c r="ILP88" s="996"/>
      <c r="ILQ88" s="996"/>
      <c r="ILR88" s="996"/>
      <c r="ILS88" s="996"/>
      <c r="ILT88" s="996"/>
      <c r="ILU88" s="996"/>
      <c r="ILV88" s="996"/>
      <c r="ILW88" s="996"/>
      <c r="ILX88" s="996"/>
      <c r="ILY88" s="996"/>
      <c r="ILZ88" s="996"/>
      <c r="IMA88" s="996"/>
      <c r="IMB88" s="996"/>
      <c r="IMC88" s="996"/>
      <c r="IMD88" s="996"/>
      <c r="IME88" s="996"/>
      <c r="IMF88" s="996"/>
      <c r="IMG88" s="996"/>
      <c r="IMH88" s="996"/>
      <c r="IMI88" s="996"/>
      <c r="IMJ88" s="996"/>
      <c r="IMK88" s="996"/>
      <c r="IML88" s="996"/>
      <c r="IMM88" s="996"/>
      <c r="IMN88" s="996"/>
      <c r="IMO88" s="996"/>
      <c r="IMP88" s="996"/>
      <c r="IMQ88" s="996"/>
      <c r="IMR88" s="996"/>
      <c r="IMS88" s="996"/>
      <c r="IMT88" s="996"/>
      <c r="IMU88" s="996"/>
      <c r="IMV88" s="996"/>
      <c r="IMW88" s="996"/>
      <c r="IMX88" s="996"/>
      <c r="IMY88" s="996"/>
      <c r="IMZ88" s="996"/>
      <c r="INA88" s="996"/>
      <c r="INB88" s="996"/>
      <c r="INC88" s="996"/>
      <c r="IND88" s="996"/>
      <c r="INE88" s="996"/>
      <c r="INF88" s="996"/>
      <c r="ING88" s="996"/>
      <c r="INH88" s="996"/>
      <c r="INI88" s="996"/>
      <c r="INJ88" s="996"/>
      <c r="INK88" s="996"/>
      <c r="INL88" s="996"/>
      <c r="INM88" s="996"/>
      <c r="INN88" s="996"/>
      <c r="INO88" s="996"/>
      <c r="INP88" s="996"/>
      <c r="INQ88" s="996"/>
      <c r="INR88" s="996"/>
      <c r="INS88" s="996"/>
      <c r="INT88" s="996"/>
      <c r="INU88" s="996"/>
      <c r="INV88" s="996"/>
      <c r="INW88" s="996"/>
      <c r="INX88" s="996"/>
      <c r="INY88" s="996"/>
      <c r="INZ88" s="996"/>
      <c r="IOA88" s="996"/>
      <c r="IOB88" s="996"/>
      <c r="IOC88" s="996"/>
      <c r="IOD88" s="996"/>
      <c r="IOE88" s="996"/>
      <c r="IOF88" s="996"/>
      <c r="IOG88" s="996"/>
      <c r="IOH88" s="996"/>
      <c r="IOI88" s="996"/>
      <c r="IOJ88" s="996"/>
      <c r="IOK88" s="996"/>
      <c r="IOL88" s="996"/>
      <c r="IOM88" s="996"/>
      <c r="ION88" s="996"/>
      <c r="IOO88" s="996"/>
      <c r="IOP88" s="996"/>
      <c r="IOQ88" s="996"/>
      <c r="IOR88" s="996"/>
      <c r="IOS88" s="996"/>
      <c r="IOT88" s="996"/>
      <c r="IOU88" s="996"/>
      <c r="IOV88" s="996"/>
      <c r="IOW88" s="996"/>
      <c r="IOX88" s="996"/>
      <c r="IOY88" s="996"/>
      <c r="IOZ88" s="996"/>
      <c r="IPA88" s="996"/>
      <c r="IPB88" s="996"/>
      <c r="IPC88" s="996"/>
      <c r="IPD88" s="996"/>
      <c r="IPE88" s="996"/>
      <c r="IPF88" s="996"/>
      <c r="IPG88" s="996"/>
      <c r="IPH88" s="996"/>
      <c r="IPI88" s="996"/>
      <c r="IPJ88" s="996"/>
      <c r="IPK88" s="996"/>
      <c r="IPL88" s="996"/>
      <c r="IPM88" s="996"/>
      <c r="IPN88" s="996"/>
      <c r="IPO88" s="996"/>
      <c r="IPP88" s="996"/>
      <c r="IPQ88" s="996"/>
      <c r="IPR88" s="996"/>
      <c r="IPS88" s="996"/>
      <c r="IPT88" s="996"/>
      <c r="IPU88" s="996"/>
      <c r="IPV88" s="996"/>
      <c r="IPW88" s="996"/>
      <c r="IPX88" s="996"/>
      <c r="IPY88" s="996"/>
      <c r="IPZ88" s="996"/>
      <c r="IQA88" s="996"/>
      <c r="IQB88" s="996"/>
      <c r="IQC88" s="996"/>
      <c r="IQD88" s="996"/>
      <c r="IQE88" s="996"/>
      <c r="IQF88" s="996"/>
      <c r="IQG88" s="996"/>
      <c r="IQH88" s="996"/>
      <c r="IQI88" s="996"/>
      <c r="IQJ88" s="996"/>
      <c r="IQK88" s="996"/>
      <c r="IQL88" s="996"/>
      <c r="IQM88" s="996"/>
      <c r="IQN88" s="996"/>
      <c r="IQO88" s="996"/>
      <c r="IQP88" s="996"/>
      <c r="IQQ88" s="996"/>
      <c r="IQR88" s="996"/>
      <c r="IQS88" s="996"/>
      <c r="IQT88" s="996"/>
      <c r="IQU88" s="996"/>
      <c r="IQV88" s="996"/>
      <c r="IQW88" s="996"/>
      <c r="IQX88" s="996"/>
      <c r="IQY88" s="996"/>
      <c r="IQZ88" s="996"/>
      <c r="IRA88" s="996"/>
      <c r="IRB88" s="996"/>
      <c r="IRC88" s="996"/>
      <c r="IRD88" s="996"/>
      <c r="IRE88" s="996"/>
      <c r="IRF88" s="996"/>
      <c r="IRG88" s="996"/>
      <c r="IRH88" s="996"/>
      <c r="IRI88" s="996"/>
      <c r="IRJ88" s="996"/>
      <c r="IRK88" s="996"/>
      <c r="IRL88" s="996"/>
      <c r="IRM88" s="996"/>
      <c r="IRN88" s="996"/>
      <c r="IRO88" s="996"/>
      <c r="IRP88" s="996"/>
      <c r="IRQ88" s="996"/>
      <c r="IRR88" s="996"/>
      <c r="IRS88" s="996"/>
      <c r="IRT88" s="996"/>
      <c r="IRU88" s="996"/>
      <c r="IRV88" s="996"/>
      <c r="IRW88" s="996"/>
      <c r="IRX88" s="996"/>
      <c r="IRY88" s="996"/>
      <c r="IRZ88" s="996"/>
      <c r="ISA88" s="996"/>
      <c r="ISB88" s="996"/>
      <c r="ISC88" s="996"/>
      <c r="ISD88" s="996"/>
      <c r="ISE88" s="996"/>
      <c r="ISF88" s="996"/>
      <c r="ISG88" s="996"/>
      <c r="ISH88" s="996"/>
      <c r="ISI88" s="996"/>
      <c r="ISJ88" s="996"/>
      <c r="ISK88" s="996"/>
      <c r="ISL88" s="996"/>
      <c r="ISM88" s="996"/>
      <c r="ISN88" s="996"/>
      <c r="ISO88" s="996"/>
      <c r="ISP88" s="996"/>
      <c r="ISQ88" s="996"/>
      <c r="ISR88" s="996"/>
      <c r="ISS88" s="996"/>
      <c r="IST88" s="996"/>
      <c r="ISU88" s="996"/>
      <c r="ISV88" s="996"/>
      <c r="ISW88" s="996"/>
      <c r="ISX88" s="996"/>
      <c r="ISY88" s="996"/>
      <c r="ISZ88" s="996"/>
      <c r="ITA88" s="996"/>
      <c r="ITB88" s="996"/>
      <c r="ITC88" s="996"/>
      <c r="ITD88" s="996"/>
      <c r="ITE88" s="996"/>
      <c r="ITF88" s="996"/>
      <c r="ITG88" s="996"/>
      <c r="ITH88" s="996"/>
      <c r="ITI88" s="996"/>
      <c r="ITJ88" s="996"/>
      <c r="ITK88" s="996"/>
      <c r="ITL88" s="996"/>
      <c r="ITM88" s="996"/>
      <c r="ITN88" s="996"/>
      <c r="ITO88" s="996"/>
      <c r="ITP88" s="996"/>
      <c r="ITQ88" s="996"/>
      <c r="ITR88" s="996"/>
      <c r="ITS88" s="996"/>
      <c r="ITT88" s="996"/>
      <c r="ITU88" s="996"/>
      <c r="ITV88" s="996"/>
      <c r="ITW88" s="996"/>
      <c r="ITX88" s="996"/>
      <c r="ITY88" s="996"/>
      <c r="ITZ88" s="996"/>
      <c r="IUA88" s="996"/>
      <c r="IUB88" s="996"/>
      <c r="IUC88" s="996"/>
      <c r="IUD88" s="996"/>
      <c r="IUE88" s="996"/>
      <c r="IUF88" s="996"/>
      <c r="IUG88" s="996"/>
      <c r="IUH88" s="996"/>
      <c r="IUI88" s="996"/>
      <c r="IUJ88" s="996"/>
      <c r="IUK88" s="996"/>
      <c r="IUL88" s="996"/>
      <c r="IUM88" s="996"/>
      <c r="IUN88" s="996"/>
      <c r="IUO88" s="996"/>
      <c r="IUP88" s="996"/>
      <c r="IUQ88" s="996"/>
      <c r="IUR88" s="996"/>
      <c r="IUS88" s="996"/>
      <c r="IUT88" s="996"/>
      <c r="IUU88" s="996"/>
      <c r="IUV88" s="996"/>
      <c r="IUW88" s="996"/>
      <c r="IUX88" s="996"/>
      <c r="IUY88" s="996"/>
      <c r="IUZ88" s="996"/>
      <c r="IVA88" s="996"/>
      <c r="IVB88" s="996"/>
      <c r="IVC88" s="996"/>
      <c r="IVD88" s="996"/>
      <c r="IVE88" s="996"/>
      <c r="IVF88" s="996"/>
      <c r="IVG88" s="996"/>
      <c r="IVH88" s="996"/>
      <c r="IVI88" s="996"/>
      <c r="IVJ88" s="996"/>
      <c r="IVK88" s="996"/>
      <c r="IVL88" s="996"/>
      <c r="IVM88" s="996"/>
      <c r="IVN88" s="996"/>
      <c r="IVO88" s="996"/>
      <c r="IVP88" s="996"/>
      <c r="IVQ88" s="996"/>
      <c r="IVR88" s="996"/>
      <c r="IVS88" s="996"/>
      <c r="IVT88" s="996"/>
      <c r="IVU88" s="996"/>
      <c r="IVV88" s="996"/>
      <c r="IVW88" s="996"/>
      <c r="IVX88" s="996"/>
      <c r="IVY88" s="996"/>
      <c r="IVZ88" s="996"/>
      <c r="IWA88" s="996"/>
      <c r="IWB88" s="996"/>
      <c r="IWC88" s="996"/>
      <c r="IWD88" s="996"/>
      <c r="IWE88" s="996"/>
      <c r="IWF88" s="996"/>
      <c r="IWG88" s="996"/>
      <c r="IWH88" s="996"/>
      <c r="IWI88" s="996"/>
      <c r="IWJ88" s="996"/>
      <c r="IWK88" s="996"/>
      <c r="IWL88" s="996"/>
      <c r="IWM88" s="996"/>
      <c r="IWN88" s="996"/>
      <c r="IWO88" s="996"/>
      <c r="IWP88" s="996"/>
      <c r="IWQ88" s="996"/>
      <c r="IWR88" s="996"/>
      <c r="IWS88" s="996"/>
      <c r="IWT88" s="996"/>
      <c r="IWU88" s="996"/>
      <c r="IWV88" s="996"/>
      <c r="IWW88" s="996"/>
      <c r="IWX88" s="996"/>
      <c r="IWY88" s="996"/>
      <c r="IWZ88" s="996"/>
      <c r="IXA88" s="996"/>
      <c r="IXB88" s="996"/>
      <c r="IXC88" s="996"/>
      <c r="IXD88" s="996"/>
      <c r="IXE88" s="996"/>
      <c r="IXF88" s="996"/>
      <c r="IXG88" s="996"/>
      <c r="IXH88" s="996"/>
      <c r="IXI88" s="996"/>
      <c r="IXJ88" s="996"/>
      <c r="IXK88" s="996"/>
      <c r="IXL88" s="996"/>
      <c r="IXM88" s="996"/>
      <c r="IXN88" s="996"/>
      <c r="IXO88" s="996"/>
      <c r="IXP88" s="996"/>
      <c r="IXQ88" s="996"/>
      <c r="IXR88" s="996"/>
      <c r="IXS88" s="996"/>
      <c r="IXT88" s="996"/>
      <c r="IXU88" s="996"/>
      <c r="IXV88" s="996"/>
      <c r="IXW88" s="996"/>
      <c r="IXX88" s="996"/>
      <c r="IXY88" s="996"/>
      <c r="IXZ88" s="996"/>
      <c r="IYA88" s="996"/>
      <c r="IYB88" s="996"/>
      <c r="IYC88" s="996"/>
      <c r="IYD88" s="996"/>
      <c r="IYE88" s="996"/>
      <c r="IYF88" s="996"/>
      <c r="IYG88" s="996"/>
      <c r="IYH88" s="996"/>
      <c r="IYI88" s="996"/>
      <c r="IYJ88" s="996"/>
      <c r="IYK88" s="996"/>
      <c r="IYL88" s="996"/>
      <c r="IYM88" s="996"/>
      <c r="IYN88" s="996"/>
      <c r="IYO88" s="996"/>
      <c r="IYP88" s="996"/>
      <c r="IYQ88" s="996"/>
      <c r="IYR88" s="996"/>
      <c r="IYS88" s="996"/>
      <c r="IYT88" s="996"/>
      <c r="IYU88" s="996"/>
      <c r="IYV88" s="996"/>
      <c r="IYW88" s="996"/>
      <c r="IYX88" s="996"/>
      <c r="IYY88" s="996"/>
      <c r="IYZ88" s="996"/>
      <c r="IZA88" s="996"/>
      <c r="IZB88" s="996"/>
      <c r="IZC88" s="996"/>
      <c r="IZD88" s="996"/>
      <c r="IZE88" s="996"/>
      <c r="IZF88" s="996"/>
      <c r="IZG88" s="996"/>
      <c r="IZH88" s="996"/>
      <c r="IZI88" s="996"/>
      <c r="IZJ88" s="996"/>
      <c r="IZK88" s="996"/>
      <c r="IZL88" s="996"/>
      <c r="IZM88" s="996"/>
      <c r="IZN88" s="996"/>
      <c r="IZO88" s="996"/>
      <c r="IZP88" s="996"/>
      <c r="IZQ88" s="996"/>
      <c r="IZR88" s="996"/>
      <c r="IZS88" s="996"/>
      <c r="IZT88" s="996"/>
      <c r="IZU88" s="996"/>
      <c r="IZV88" s="996"/>
      <c r="IZW88" s="996"/>
      <c r="IZX88" s="996"/>
      <c r="IZY88" s="996"/>
      <c r="IZZ88" s="996"/>
      <c r="JAA88" s="996"/>
      <c r="JAB88" s="996"/>
      <c r="JAC88" s="996"/>
      <c r="JAD88" s="996"/>
      <c r="JAE88" s="996"/>
      <c r="JAF88" s="996"/>
      <c r="JAG88" s="996"/>
      <c r="JAH88" s="996"/>
      <c r="JAI88" s="996"/>
      <c r="JAJ88" s="996"/>
      <c r="JAK88" s="996"/>
      <c r="JAL88" s="996"/>
      <c r="JAM88" s="996"/>
      <c r="JAN88" s="996"/>
      <c r="JAO88" s="996"/>
      <c r="JAP88" s="996"/>
      <c r="JAQ88" s="996"/>
      <c r="JAR88" s="996"/>
      <c r="JAS88" s="996"/>
      <c r="JAT88" s="996"/>
      <c r="JAU88" s="996"/>
      <c r="JAV88" s="996"/>
      <c r="JAW88" s="996"/>
      <c r="JAX88" s="996"/>
      <c r="JAY88" s="996"/>
      <c r="JAZ88" s="996"/>
      <c r="JBA88" s="996"/>
      <c r="JBB88" s="996"/>
      <c r="JBC88" s="996"/>
      <c r="JBD88" s="996"/>
      <c r="JBE88" s="996"/>
      <c r="JBF88" s="996"/>
      <c r="JBG88" s="996"/>
      <c r="JBH88" s="996"/>
      <c r="JBI88" s="996"/>
      <c r="JBJ88" s="996"/>
      <c r="JBK88" s="996"/>
      <c r="JBL88" s="996"/>
      <c r="JBM88" s="996"/>
      <c r="JBN88" s="996"/>
      <c r="JBO88" s="996"/>
      <c r="JBP88" s="996"/>
      <c r="JBQ88" s="996"/>
      <c r="JBR88" s="996"/>
      <c r="JBS88" s="996"/>
      <c r="JBT88" s="996"/>
      <c r="JBU88" s="996"/>
      <c r="JBV88" s="996"/>
      <c r="JBW88" s="996"/>
      <c r="JBX88" s="996"/>
      <c r="JBY88" s="996"/>
      <c r="JBZ88" s="996"/>
      <c r="JCA88" s="996"/>
      <c r="JCB88" s="996"/>
      <c r="JCC88" s="996"/>
      <c r="JCD88" s="996"/>
      <c r="JCE88" s="996"/>
      <c r="JCF88" s="996"/>
      <c r="JCG88" s="996"/>
      <c r="JCH88" s="996"/>
      <c r="JCI88" s="996"/>
      <c r="JCJ88" s="996"/>
      <c r="JCK88" s="996"/>
      <c r="JCL88" s="996"/>
      <c r="JCM88" s="996"/>
      <c r="JCN88" s="996"/>
      <c r="JCO88" s="996"/>
      <c r="JCP88" s="996"/>
      <c r="JCQ88" s="996"/>
      <c r="JCR88" s="996"/>
      <c r="JCS88" s="996"/>
      <c r="JCT88" s="996"/>
      <c r="JCU88" s="996"/>
      <c r="JCV88" s="996"/>
      <c r="JCW88" s="996"/>
      <c r="JCX88" s="996"/>
      <c r="JCY88" s="996"/>
      <c r="JCZ88" s="996"/>
      <c r="JDA88" s="996"/>
      <c r="JDB88" s="996"/>
      <c r="JDC88" s="996"/>
      <c r="JDD88" s="996"/>
      <c r="JDE88" s="996"/>
      <c r="JDF88" s="996"/>
      <c r="JDG88" s="996"/>
      <c r="JDH88" s="996"/>
      <c r="JDI88" s="996"/>
      <c r="JDJ88" s="996"/>
      <c r="JDK88" s="996"/>
      <c r="JDL88" s="996"/>
      <c r="JDM88" s="996"/>
      <c r="JDN88" s="996"/>
      <c r="JDO88" s="996"/>
      <c r="JDP88" s="996"/>
      <c r="JDQ88" s="996"/>
      <c r="JDR88" s="996"/>
      <c r="JDS88" s="996"/>
      <c r="JDT88" s="996"/>
      <c r="JDU88" s="996"/>
      <c r="JDV88" s="996"/>
      <c r="JDW88" s="996"/>
      <c r="JDX88" s="996"/>
      <c r="JDY88" s="996"/>
      <c r="JDZ88" s="996"/>
      <c r="JEA88" s="996"/>
      <c r="JEB88" s="996"/>
      <c r="JEC88" s="996"/>
      <c r="JED88" s="996"/>
      <c r="JEE88" s="996"/>
      <c r="JEF88" s="996"/>
      <c r="JEG88" s="996"/>
      <c r="JEH88" s="996"/>
      <c r="JEI88" s="996"/>
      <c r="JEJ88" s="996"/>
      <c r="JEK88" s="996"/>
      <c r="JEL88" s="996"/>
      <c r="JEM88" s="996"/>
      <c r="JEN88" s="996"/>
      <c r="JEO88" s="996"/>
      <c r="JEP88" s="996"/>
      <c r="JEQ88" s="996"/>
      <c r="JER88" s="996"/>
      <c r="JES88" s="996"/>
      <c r="JET88" s="996"/>
      <c r="JEU88" s="996"/>
      <c r="JEV88" s="996"/>
      <c r="JEW88" s="996"/>
      <c r="JEX88" s="996"/>
      <c r="JEY88" s="996"/>
      <c r="JEZ88" s="996"/>
      <c r="JFA88" s="996"/>
      <c r="JFB88" s="996"/>
      <c r="JFC88" s="996"/>
      <c r="JFD88" s="996"/>
      <c r="JFE88" s="996"/>
      <c r="JFF88" s="996"/>
      <c r="JFG88" s="996"/>
      <c r="JFH88" s="996"/>
      <c r="JFI88" s="996"/>
      <c r="JFJ88" s="996"/>
      <c r="JFK88" s="996"/>
      <c r="JFL88" s="996"/>
      <c r="JFM88" s="996"/>
      <c r="JFN88" s="996"/>
      <c r="JFO88" s="996"/>
      <c r="JFP88" s="996"/>
      <c r="JFQ88" s="996"/>
      <c r="JFR88" s="996"/>
      <c r="JFS88" s="996"/>
      <c r="JFT88" s="996"/>
      <c r="JFU88" s="996"/>
      <c r="JFV88" s="996"/>
      <c r="JFW88" s="996"/>
      <c r="JFX88" s="996"/>
      <c r="JFY88" s="996"/>
      <c r="JFZ88" s="996"/>
      <c r="JGA88" s="996"/>
      <c r="JGB88" s="996"/>
      <c r="JGC88" s="996"/>
      <c r="JGD88" s="996"/>
      <c r="JGE88" s="996"/>
      <c r="JGF88" s="996"/>
      <c r="JGG88" s="996"/>
      <c r="JGH88" s="996"/>
      <c r="JGI88" s="996"/>
      <c r="JGJ88" s="996"/>
      <c r="JGK88" s="996"/>
      <c r="JGL88" s="996"/>
      <c r="JGM88" s="996"/>
      <c r="JGN88" s="996"/>
      <c r="JGO88" s="996"/>
      <c r="JGP88" s="996"/>
      <c r="JGQ88" s="996"/>
      <c r="JGR88" s="996"/>
      <c r="JGS88" s="996"/>
      <c r="JGT88" s="996"/>
      <c r="JGU88" s="996"/>
      <c r="JGV88" s="996"/>
      <c r="JGW88" s="996"/>
      <c r="JGX88" s="996"/>
      <c r="JGY88" s="996"/>
      <c r="JGZ88" s="996"/>
      <c r="JHA88" s="996"/>
      <c r="JHB88" s="996"/>
      <c r="JHC88" s="996"/>
      <c r="JHD88" s="996"/>
      <c r="JHE88" s="996"/>
      <c r="JHF88" s="996"/>
      <c r="JHG88" s="996"/>
      <c r="JHH88" s="996"/>
      <c r="JHI88" s="996"/>
      <c r="JHJ88" s="996"/>
      <c r="JHK88" s="996"/>
      <c r="JHL88" s="996"/>
      <c r="JHM88" s="996"/>
      <c r="JHN88" s="996"/>
      <c r="JHO88" s="996"/>
      <c r="JHP88" s="996"/>
      <c r="JHQ88" s="996"/>
      <c r="JHR88" s="996"/>
      <c r="JHS88" s="996"/>
      <c r="JHT88" s="996"/>
      <c r="JHU88" s="996"/>
      <c r="JHV88" s="996"/>
      <c r="JHW88" s="996"/>
      <c r="JHX88" s="996"/>
      <c r="JHY88" s="996"/>
      <c r="JHZ88" s="996"/>
      <c r="JIA88" s="996"/>
      <c r="JIB88" s="996"/>
      <c r="JIC88" s="996"/>
      <c r="JID88" s="996"/>
      <c r="JIE88" s="996"/>
      <c r="JIF88" s="996"/>
      <c r="JIG88" s="996"/>
      <c r="JIH88" s="996"/>
      <c r="JII88" s="996"/>
      <c r="JIJ88" s="996"/>
      <c r="JIK88" s="996"/>
      <c r="JIL88" s="996"/>
      <c r="JIM88" s="996"/>
      <c r="JIN88" s="996"/>
      <c r="JIO88" s="996"/>
      <c r="JIP88" s="996"/>
      <c r="JIQ88" s="996"/>
      <c r="JIR88" s="996"/>
      <c r="JIS88" s="996"/>
      <c r="JIT88" s="996"/>
      <c r="JIU88" s="996"/>
      <c r="JIV88" s="996"/>
      <c r="JIW88" s="996"/>
      <c r="JIX88" s="996"/>
      <c r="JIY88" s="996"/>
      <c r="JIZ88" s="996"/>
      <c r="JJA88" s="996"/>
      <c r="JJB88" s="996"/>
      <c r="JJC88" s="996"/>
      <c r="JJD88" s="996"/>
      <c r="JJE88" s="996"/>
      <c r="JJF88" s="996"/>
      <c r="JJG88" s="996"/>
      <c r="JJH88" s="996"/>
      <c r="JJI88" s="996"/>
      <c r="JJJ88" s="996"/>
      <c r="JJK88" s="996"/>
      <c r="JJL88" s="996"/>
      <c r="JJM88" s="996"/>
      <c r="JJN88" s="996"/>
      <c r="JJO88" s="996"/>
      <c r="JJP88" s="996"/>
      <c r="JJQ88" s="996"/>
      <c r="JJR88" s="996"/>
      <c r="JJS88" s="996"/>
      <c r="JJT88" s="996"/>
      <c r="JJU88" s="996"/>
      <c r="JJV88" s="996"/>
      <c r="JJW88" s="996"/>
      <c r="JJX88" s="996"/>
      <c r="JJY88" s="996"/>
      <c r="JJZ88" s="996"/>
      <c r="JKA88" s="996"/>
      <c r="JKB88" s="996"/>
      <c r="JKC88" s="996"/>
      <c r="JKD88" s="996"/>
      <c r="JKE88" s="996"/>
      <c r="JKF88" s="996"/>
      <c r="JKG88" s="996"/>
      <c r="JKH88" s="996"/>
      <c r="JKI88" s="996"/>
      <c r="JKJ88" s="996"/>
      <c r="JKK88" s="996"/>
      <c r="JKL88" s="996"/>
      <c r="JKM88" s="996"/>
      <c r="JKN88" s="996"/>
      <c r="JKO88" s="996"/>
      <c r="JKP88" s="996"/>
      <c r="JKQ88" s="996"/>
      <c r="JKR88" s="996"/>
      <c r="JKS88" s="996"/>
      <c r="JKT88" s="996"/>
      <c r="JKU88" s="996"/>
      <c r="JKV88" s="996"/>
      <c r="JKW88" s="996"/>
      <c r="JKX88" s="996"/>
      <c r="JKY88" s="996"/>
      <c r="JKZ88" s="996"/>
      <c r="JLA88" s="996"/>
      <c r="JLB88" s="996"/>
      <c r="JLC88" s="996"/>
      <c r="JLD88" s="996"/>
      <c r="JLE88" s="996"/>
      <c r="JLF88" s="996"/>
      <c r="JLG88" s="996"/>
      <c r="JLH88" s="996"/>
      <c r="JLI88" s="996"/>
      <c r="JLJ88" s="996"/>
      <c r="JLK88" s="996"/>
      <c r="JLL88" s="996"/>
      <c r="JLM88" s="996"/>
      <c r="JLN88" s="996"/>
      <c r="JLO88" s="996"/>
      <c r="JLP88" s="996"/>
      <c r="JLQ88" s="996"/>
      <c r="JLR88" s="996"/>
      <c r="JLS88" s="996"/>
      <c r="JLT88" s="996"/>
      <c r="JLU88" s="996"/>
      <c r="JLV88" s="996"/>
      <c r="JLW88" s="996"/>
      <c r="JLX88" s="996"/>
      <c r="JLY88" s="996"/>
      <c r="JLZ88" s="996"/>
      <c r="JMA88" s="996"/>
      <c r="JMB88" s="996"/>
      <c r="JMC88" s="996"/>
      <c r="JMD88" s="996"/>
      <c r="JME88" s="996"/>
      <c r="JMF88" s="996"/>
      <c r="JMG88" s="996"/>
      <c r="JMH88" s="996"/>
      <c r="JMI88" s="996"/>
      <c r="JMJ88" s="996"/>
      <c r="JMK88" s="996"/>
      <c r="JML88" s="996"/>
      <c r="JMM88" s="996"/>
      <c r="JMN88" s="996"/>
      <c r="JMO88" s="996"/>
      <c r="JMP88" s="996"/>
      <c r="JMQ88" s="996"/>
      <c r="JMR88" s="996"/>
      <c r="JMS88" s="996"/>
      <c r="JMT88" s="996"/>
      <c r="JMU88" s="996"/>
      <c r="JMV88" s="996"/>
      <c r="JMW88" s="996"/>
      <c r="JMX88" s="996"/>
      <c r="JMY88" s="996"/>
      <c r="JMZ88" s="996"/>
      <c r="JNA88" s="996"/>
      <c r="JNB88" s="996"/>
      <c r="JNC88" s="996"/>
      <c r="JND88" s="996"/>
      <c r="JNE88" s="996"/>
      <c r="JNF88" s="996"/>
      <c r="JNG88" s="996"/>
      <c r="JNH88" s="996"/>
      <c r="JNI88" s="996"/>
      <c r="JNJ88" s="996"/>
      <c r="JNK88" s="996"/>
      <c r="JNL88" s="996"/>
      <c r="JNM88" s="996"/>
      <c r="JNN88" s="996"/>
      <c r="JNO88" s="996"/>
      <c r="JNP88" s="996"/>
      <c r="JNQ88" s="996"/>
      <c r="JNR88" s="996"/>
      <c r="JNS88" s="996"/>
      <c r="JNT88" s="996"/>
      <c r="JNU88" s="996"/>
      <c r="JNV88" s="996"/>
      <c r="JNW88" s="996"/>
      <c r="JNX88" s="996"/>
      <c r="JNY88" s="996"/>
      <c r="JNZ88" s="996"/>
      <c r="JOA88" s="996"/>
      <c r="JOB88" s="996"/>
      <c r="JOC88" s="996"/>
      <c r="JOD88" s="996"/>
      <c r="JOE88" s="996"/>
      <c r="JOF88" s="996"/>
      <c r="JOG88" s="996"/>
      <c r="JOH88" s="996"/>
      <c r="JOI88" s="996"/>
      <c r="JOJ88" s="996"/>
      <c r="JOK88" s="996"/>
      <c r="JOL88" s="996"/>
      <c r="JOM88" s="996"/>
      <c r="JON88" s="996"/>
      <c r="JOO88" s="996"/>
      <c r="JOP88" s="996"/>
      <c r="JOQ88" s="996"/>
      <c r="JOR88" s="996"/>
      <c r="JOS88" s="996"/>
      <c r="JOT88" s="996"/>
      <c r="JOU88" s="996"/>
      <c r="JOV88" s="996"/>
      <c r="JOW88" s="996"/>
      <c r="JOX88" s="996"/>
      <c r="JOY88" s="996"/>
      <c r="JOZ88" s="996"/>
      <c r="JPA88" s="996"/>
      <c r="JPB88" s="996"/>
      <c r="JPC88" s="996"/>
      <c r="JPD88" s="996"/>
      <c r="JPE88" s="996"/>
      <c r="JPF88" s="996"/>
      <c r="JPG88" s="996"/>
      <c r="JPH88" s="996"/>
      <c r="JPI88" s="996"/>
      <c r="JPJ88" s="996"/>
      <c r="JPK88" s="996"/>
      <c r="JPL88" s="996"/>
      <c r="JPM88" s="996"/>
      <c r="JPN88" s="996"/>
      <c r="JPO88" s="996"/>
      <c r="JPP88" s="996"/>
      <c r="JPQ88" s="996"/>
      <c r="JPR88" s="996"/>
      <c r="JPS88" s="996"/>
      <c r="JPT88" s="996"/>
      <c r="JPU88" s="996"/>
      <c r="JPV88" s="996"/>
      <c r="JPW88" s="996"/>
      <c r="JPX88" s="996"/>
      <c r="JPY88" s="996"/>
      <c r="JPZ88" s="996"/>
      <c r="JQA88" s="996"/>
      <c r="JQB88" s="996"/>
      <c r="JQC88" s="996"/>
      <c r="JQD88" s="996"/>
      <c r="JQE88" s="996"/>
      <c r="JQF88" s="996"/>
      <c r="JQG88" s="996"/>
      <c r="JQH88" s="996"/>
      <c r="JQI88" s="996"/>
      <c r="JQJ88" s="996"/>
      <c r="JQK88" s="996"/>
      <c r="JQL88" s="996"/>
      <c r="JQM88" s="996"/>
      <c r="JQN88" s="996"/>
      <c r="JQO88" s="996"/>
      <c r="JQP88" s="996"/>
      <c r="JQQ88" s="996"/>
      <c r="JQR88" s="996"/>
      <c r="JQS88" s="996"/>
      <c r="JQT88" s="996"/>
      <c r="JQU88" s="996"/>
      <c r="JQV88" s="996"/>
      <c r="JQW88" s="996"/>
      <c r="JQX88" s="996"/>
      <c r="JQY88" s="996"/>
      <c r="JQZ88" s="996"/>
      <c r="JRA88" s="996"/>
      <c r="JRB88" s="996"/>
      <c r="JRC88" s="996"/>
      <c r="JRD88" s="996"/>
      <c r="JRE88" s="996"/>
      <c r="JRF88" s="996"/>
      <c r="JRG88" s="996"/>
      <c r="JRH88" s="996"/>
      <c r="JRI88" s="996"/>
      <c r="JRJ88" s="996"/>
      <c r="JRK88" s="996"/>
      <c r="JRL88" s="996"/>
      <c r="JRM88" s="996"/>
      <c r="JRN88" s="996"/>
      <c r="JRO88" s="996"/>
      <c r="JRP88" s="996"/>
      <c r="JRQ88" s="996"/>
      <c r="JRR88" s="996"/>
      <c r="JRS88" s="996"/>
      <c r="JRT88" s="996"/>
      <c r="JRU88" s="996"/>
      <c r="JRV88" s="996"/>
      <c r="JRW88" s="996"/>
      <c r="JRX88" s="996"/>
      <c r="JRY88" s="996"/>
      <c r="JRZ88" s="996"/>
      <c r="JSA88" s="996"/>
      <c r="JSB88" s="996"/>
      <c r="JSC88" s="996"/>
      <c r="JSD88" s="996"/>
      <c r="JSE88" s="996"/>
      <c r="JSF88" s="996"/>
      <c r="JSG88" s="996"/>
      <c r="JSH88" s="996"/>
      <c r="JSI88" s="996"/>
      <c r="JSJ88" s="996"/>
      <c r="JSK88" s="996"/>
      <c r="JSL88" s="996"/>
      <c r="JSM88" s="996"/>
      <c r="JSN88" s="996"/>
      <c r="JSO88" s="996"/>
      <c r="JSP88" s="996"/>
      <c r="JSQ88" s="996"/>
      <c r="JSR88" s="996"/>
      <c r="JSS88" s="996"/>
      <c r="JST88" s="996"/>
      <c r="JSU88" s="996"/>
      <c r="JSV88" s="996"/>
      <c r="JSW88" s="996"/>
      <c r="JSX88" s="996"/>
      <c r="JSY88" s="996"/>
      <c r="JSZ88" s="996"/>
      <c r="JTA88" s="996"/>
      <c r="JTB88" s="996"/>
      <c r="JTC88" s="996"/>
      <c r="JTD88" s="996"/>
      <c r="JTE88" s="996"/>
      <c r="JTF88" s="996"/>
      <c r="JTG88" s="996"/>
      <c r="JTH88" s="996"/>
      <c r="JTI88" s="996"/>
      <c r="JTJ88" s="996"/>
      <c r="JTK88" s="996"/>
      <c r="JTL88" s="996"/>
      <c r="JTM88" s="996"/>
      <c r="JTN88" s="996"/>
      <c r="JTO88" s="996"/>
      <c r="JTP88" s="996"/>
      <c r="JTQ88" s="996"/>
      <c r="JTR88" s="996"/>
      <c r="JTS88" s="996"/>
      <c r="JTT88" s="996"/>
      <c r="JTU88" s="996"/>
      <c r="JTV88" s="996"/>
      <c r="JTW88" s="996"/>
      <c r="JTX88" s="996"/>
      <c r="JTY88" s="996"/>
      <c r="JTZ88" s="996"/>
      <c r="JUA88" s="996"/>
      <c r="JUB88" s="996"/>
      <c r="JUC88" s="996"/>
      <c r="JUD88" s="996"/>
      <c r="JUE88" s="996"/>
      <c r="JUF88" s="996"/>
      <c r="JUG88" s="996"/>
      <c r="JUH88" s="996"/>
      <c r="JUI88" s="996"/>
      <c r="JUJ88" s="996"/>
      <c r="JUK88" s="996"/>
      <c r="JUL88" s="996"/>
      <c r="JUM88" s="996"/>
      <c r="JUN88" s="996"/>
      <c r="JUO88" s="996"/>
      <c r="JUP88" s="996"/>
      <c r="JUQ88" s="996"/>
      <c r="JUR88" s="996"/>
      <c r="JUS88" s="996"/>
      <c r="JUT88" s="996"/>
      <c r="JUU88" s="996"/>
      <c r="JUV88" s="996"/>
      <c r="JUW88" s="996"/>
      <c r="JUX88" s="996"/>
      <c r="JUY88" s="996"/>
      <c r="JUZ88" s="996"/>
      <c r="JVA88" s="996"/>
      <c r="JVB88" s="996"/>
      <c r="JVC88" s="996"/>
      <c r="JVD88" s="996"/>
      <c r="JVE88" s="996"/>
      <c r="JVF88" s="996"/>
      <c r="JVG88" s="996"/>
      <c r="JVH88" s="996"/>
      <c r="JVI88" s="996"/>
      <c r="JVJ88" s="996"/>
      <c r="JVK88" s="996"/>
      <c r="JVL88" s="996"/>
      <c r="JVM88" s="996"/>
      <c r="JVN88" s="996"/>
      <c r="JVO88" s="996"/>
      <c r="JVP88" s="996"/>
      <c r="JVQ88" s="996"/>
      <c r="JVR88" s="996"/>
      <c r="JVS88" s="996"/>
      <c r="JVT88" s="996"/>
      <c r="JVU88" s="996"/>
      <c r="JVV88" s="996"/>
      <c r="JVW88" s="996"/>
      <c r="JVX88" s="996"/>
      <c r="JVY88" s="996"/>
      <c r="JVZ88" s="996"/>
      <c r="JWA88" s="996"/>
      <c r="JWB88" s="996"/>
      <c r="JWC88" s="996"/>
      <c r="JWD88" s="996"/>
      <c r="JWE88" s="996"/>
      <c r="JWF88" s="996"/>
      <c r="JWG88" s="996"/>
      <c r="JWH88" s="996"/>
      <c r="JWI88" s="996"/>
      <c r="JWJ88" s="996"/>
      <c r="JWK88" s="996"/>
      <c r="JWL88" s="996"/>
      <c r="JWM88" s="996"/>
      <c r="JWN88" s="996"/>
      <c r="JWO88" s="996"/>
      <c r="JWP88" s="996"/>
      <c r="JWQ88" s="996"/>
      <c r="JWR88" s="996"/>
      <c r="JWS88" s="996"/>
      <c r="JWT88" s="996"/>
      <c r="JWU88" s="996"/>
      <c r="JWV88" s="996"/>
      <c r="JWW88" s="996"/>
      <c r="JWX88" s="996"/>
      <c r="JWY88" s="996"/>
      <c r="JWZ88" s="996"/>
      <c r="JXA88" s="996"/>
      <c r="JXB88" s="996"/>
      <c r="JXC88" s="996"/>
      <c r="JXD88" s="996"/>
      <c r="JXE88" s="996"/>
      <c r="JXF88" s="996"/>
      <c r="JXG88" s="996"/>
      <c r="JXH88" s="996"/>
      <c r="JXI88" s="996"/>
      <c r="JXJ88" s="996"/>
      <c r="JXK88" s="996"/>
      <c r="JXL88" s="996"/>
      <c r="JXM88" s="996"/>
      <c r="JXN88" s="996"/>
      <c r="JXO88" s="996"/>
      <c r="JXP88" s="996"/>
      <c r="JXQ88" s="996"/>
      <c r="JXR88" s="996"/>
      <c r="JXS88" s="996"/>
      <c r="JXT88" s="996"/>
      <c r="JXU88" s="996"/>
      <c r="JXV88" s="996"/>
      <c r="JXW88" s="996"/>
      <c r="JXX88" s="996"/>
      <c r="JXY88" s="996"/>
      <c r="JXZ88" s="996"/>
      <c r="JYA88" s="996"/>
      <c r="JYB88" s="996"/>
      <c r="JYC88" s="996"/>
      <c r="JYD88" s="996"/>
      <c r="JYE88" s="996"/>
      <c r="JYF88" s="996"/>
      <c r="JYG88" s="996"/>
      <c r="JYH88" s="996"/>
      <c r="JYI88" s="996"/>
      <c r="JYJ88" s="996"/>
      <c r="JYK88" s="996"/>
      <c r="JYL88" s="996"/>
      <c r="JYM88" s="996"/>
      <c r="JYN88" s="996"/>
      <c r="JYO88" s="996"/>
      <c r="JYP88" s="996"/>
      <c r="JYQ88" s="996"/>
      <c r="JYR88" s="996"/>
      <c r="JYS88" s="996"/>
      <c r="JYT88" s="996"/>
      <c r="JYU88" s="996"/>
      <c r="JYV88" s="996"/>
      <c r="JYW88" s="996"/>
      <c r="JYX88" s="996"/>
      <c r="JYY88" s="996"/>
      <c r="JYZ88" s="996"/>
      <c r="JZA88" s="996"/>
      <c r="JZB88" s="996"/>
      <c r="JZC88" s="996"/>
      <c r="JZD88" s="996"/>
      <c r="JZE88" s="996"/>
      <c r="JZF88" s="996"/>
      <c r="JZG88" s="996"/>
      <c r="JZH88" s="996"/>
      <c r="JZI88" s="996"/>
      <c r="JZJ88" s="996"/>
      <c r="JZK88" s="996"/>
      <c r="JZL88" s="996"/>
      <c r="JZM88" s="996"/>
      <c r="JZN88" s="996"/>
      <c r="JZO88" s="996"/>
      <c r="JZP88" s="996"/>
      <c r="JZQ88" s="996"/>
      <c r="JZR88" s="996"/>
      <c r="JZS88" s="996"/>
      <c r="JZT88" s="996"/>
      <c r="JZU88" s="996"/>
      <c r="JZV88" s="996"/>
      <c r="JZW88" s="996"/>
      <c r="JZX88" s="996"/>
      <c r="JZY88" s="996"/>
      <c r="JZZ88" s="996"/>
      <c r="KAA88" s="996"/>
      <c r="KAB88" s="996"/>
      <c r="KAC88" s="996"/>
      <c r="KAD88" s="996"/>
      <c r="KAE88" s="996"/>
      <c r="KAF88" s="996"/>
      <c r="KAG88" s="996"/>
      <c r="KAH88" s="996"/>
      <c r="KAI88" s="996"/>
      <c r="KAJ88" s="996"/>
      <c r="KAK88" s="996"/>
      <c r="KAL88" s="996"/>
      <c r="KAM88" s="996"/>
      <c r="KAN88" s="996"/>
      <c r="KAO88" s="996"/>
      <c r="KAP88" s="996"/>
      <c r="KAQ88" s="996"/>
      <c r="KAR88" s="996"/>
      <c r="KAS88" s="996"/>
      <c r="KAT88" s="996"/>
      <c r="KAU88" s="996"/>
      <c r="KAV88" s="996"/>
      <c r="KAW88" s="996"/>
      <c r="KAX88" s="996"/>
      <c r="KAY88" s="996"/>
      <c r="KAZ88" s="996"/>
      <c r="KBA88" s="996"/>
      <c r="KBB88" s="996"/>
      <c r="KBC88" s="996"/>
      <c r="KBD88" s="996"/>
      <c r="KBE88" s="996"/>
      <c r="KBF88" s="996"/>
      <c r="KBG88" s="996"/>
      <c r="KBH88" s="996"/>
      <c r="KBI88" s="996"/>
      <c r="KBJ88" s="996"/>
      <c r="KBK88" s="996"/>
      <c r="KBL88" s="996"/>
      <c r="KBM88" s="996"/>
      <c r="KBN88" s="996"/>
      <c r="KBO88" s="996"/>
      <c r="KBP88" s="996"/>
      <c r="KBQ88" s="996"/>
      <c r="KBR88" s="996"/>
      <c r="KBS88" s="996"/>
      <c r="KBT88" s="996"/>
      <c r="KBU88" s="996"/>
      <c r="KBV88" s="996"/>
      <c r="KBW88" s="996"/>
      <c r="KBX88" s="996"/>
      <c r="KBY88" s="996"/>
      <c r="KBZ88" s="996"/>
      <c r="KCA88" s="996"/>
      <c r="KCB88" s="996"/>
      <c r="KCC88" s="996"/>
      <c r="KCD88" s="996"/>
      <c r="KCE88" s="996"/>
      <c r="KCF88" s="996"/>
      <c r="KCG88" s="996"/>
      <c r="KCH88" s="996"/>
      <c r="KCI88" s="996"/>
      <c r="KCJ88" s="996"/>
      <c r="KCK88" s="996"/>
      <c r="KCL88" s="996"/>
      <c r="KCM88" s="996"/>
      <c r="KCN88" s="996"/>
      <c r="KCO88" s="996"/>
      <c r="KCP88" s="996"/>
      <c r="KCQ88" s="996"/>
      <c r="KCR88" s="996"/>
      <c r="KCS88" s="996"/>
      <c r="KCT88" s="996"/>
      <c r="KCU88" s="996"/>
      <c r="KCV88" s="996"/>
      <c r="KCW88" s="996"/>
      <c r="KCX88" s="996"/>
      <c r="KCY88" s="996"/>
      <c r="KCZ88" s="996"/>
      <c r="KDA88" s="996"/>
      <c r="KDB88" s="996"/>
      <c r="KDC88" s="996"/>
      <c r="KDD88" s="996"/>
      <c r="KDE88" s="996"/>
      <c r="KDF88" s="996"/>
      <c r="KDG88" s="996"/>
      <c r="KDH88" s="996"/>
      <c r="KDI88" s="996"/>
      <c r="KDJ88" s="996"/>
      <c r="KDK88" s="996"/>
      <c r="KDL88" s="996"/>
      <c r="KDM88" s="996"/>
      <c r="KDN88" s="996"/>
      <c r="KDO88" s="996"/>
      <c r="KDP88" s="996"/>
      <c r="KDQ88" s="996"/>
      <c r="KDR88" s="996"/>
      <c r="KDS88" s="996"/>
      <c r="KDT88" s="996"/>
      <c r="KDU88" s="996"/>
      <c r="KDV88" s="996"/>
      <c r="KDW88" s="996"/>
      <c r="KDX88" s="996"/>
      <c r="KDY88" s="996"/>
      <c r="KDZ88" s="996"/>
      <c r="KEA88" s="996"/>
      <c r="KEB88" s="996"/>
      <c r="KEC88" s="996"/>
      <c r="KED88" s="996"/>
      <c r="KEE88" s="996"/>
      <c r="KEF88" s="996"/>
      <c r="KEG88" s="996"/>
      <c r="KEH88" s="996"/>
      <c r="KEI88" s="996"/>
      <c r="KEJ88" s="996"/>
      <c r="KEK88" s="996"/>
      <c r="KEL88" s="996"/>
      <c r="KEM88" s="996"/>
      <c r="KEN88" s="996"/>
      <c r="KEO88" s="996"/>
      <c r="KEP88" s="996"/>
      <c r="KEQ88" s="996"/>
      <c r="KER88" s="996"/>
      <c r="KES88" s="996"/>
      <c r="KET88" s="996"/>
      <c r="KEU88" s="996"/>
      <c r="KEV88" s="996"/>
      <c r="KEW88" s="996"/>
      <c r="KEX88" s="996"/>
      <c r="KEY88" s="996"/>
      <c r="KEZ88" s="996"/>
      <c r="KFA88" s="996"/>
      <c r="KFB88" s="996"/>
      <c r="KFC88" s="996"/>
      <c r="KFD88" s="996"/>
      <c r="KFE88" s="996"/>
      <c r="KFF88" s="996"/>
      <c r="KFG88" s="996"/>
      <c r="KFH88" s="996"/>
      <c r="KFI88" s="996"/>
      <c r="KFJ88" s="996"/>
      <c r="KFK88" s="996"/>
      <c r="KFL88" s="996"/>
      <c r="KFM88" s="996"/>
      <c r="KFN88" s="996"/>
      <c r="KFO88" s="996"/>
      <c r="KFP88" s="996"/>
      <c r="KFQ88" s="996"/>
      <c r="KFR88" s="996"/>
      <c r="KFS88" s="996"/>
      <c r="KFT88" s="996"/>
      <c r="KFU88" s="996"/>
      <c r="KFV88" s="996"/>
      <c r="KFW88" s="996"/>
      <c r="KFX88" s="996"/>
      <c r="KFY88" s="996"/>
      <c r="KFZ88" s="996"/>
      <c r="KGA88" s="996"/>
      <c r="KGB88" s="996"/>
      <c r="KGC88" s="996"/>
      <c r="KGD88" s="996"/>
      <c r="KGE88" s="996"/>
      <c r="KGF88" s="996"/>
      <c r="KGG88" s="996"/>
      <c r="KGH88" s="996"/>
      <c r="KGI88" s="996"/>
      <c r="KGJ88" s="996"/>
      <c r="KGK88" s="996"/>
      <c r="KGL88" s="996"/>
      <c r="KGM88" s="996"/>
      <c r="KGN88" s="996"/>
      <c r="KGO88" s="996"/>
      <c r="KGP88" s="996"/>
      <c r="KGQ88" s="996"/>
      <c r="KGR88" s="996"/>
      <c r="KGS88" s="996"/>
      <c r="KGT88" s="996"/>
      <c r="KGU88" s="996"/>
      <c r="KGV88" s="996"/>
      <c r="KGW88" s="996"/>
      <c r="KGX88" s="996"/>
      <c r="KGY88" s="996"/>
      <c r="KGZ88" s="996"/>
      <c r="KHA88" s="996"/>
      <c r="KHB88" s="996"/>
      <c r="KHC88" s="996"/>
      <c r="KHD88" s="996"/>
      <c r="KHE88" s="996"/>
      <c r="KHF88" s="996"/>
      <c r="KHG88" s="996"/>
      <c r="KHH88" s="996"/>
      <c r="KHI88" s="996"/>
      <c r="KHJ88" s="996"/>
      <c r="KHK88" s="996"/>
      <c r="KHL88" s="996"/>
      <c r="KHM88" s="996"/>
      <c r="KHN88" s="996"/>
      <c r="KHO88" s="996"/>
      <c r="KHP88" s="996"/>
      <c r="KHQ88" s="996"/>
      <c r="KHR88" s="996"/>
      <c r="KHS88" s="996"/>
      <c r="KHT88" s="996"/>
      <c r="KHU88" s="996"/>
      <c r="KHV88" s="996"/>
      <c r="KHW88" s="996"/>
      <c r="KHX88" s="996"/>
      <c r="KHY88" s="996"/>
      <c r="KHZ88" s="996"/>
      <c r="KIA88" s="996"/>
      <c r="KIB88" s="996"/>
      <c r="KIC88" s="996"/>
      <c r="KID88" s="996"/>
      <c r="KIE88" s="996"/>
      <c r="KIF88" s="996"/>
      <c r="KIG88" s="996"/>
      <c r="KIH88" s="996"/>
      <c r="KII88" s="996"/>
      <c r="KIJ88" s="996"/>
      <c r="KIK88" s="996"/>
      <c r="KIL88" s="996"/>
      <c r="KIM88" s="996"/>
      <c r="KIN88" s="996"/>
      <c r="KIO88" s="996"/>
      <c r="KIP88" s="996"/>
      <c r="KIQ88" s="996"/>
      <c r="KIR88" s="996"/>
      <c r="KIS88" s="996"/>
      <c r="KIT88" s="996"/>
      <c r="KIU88" s="996"/>
      <c r="KIV88" s="996"/>
      <c r="KIW88" s="996"/>
      <c r="KIX88" s="996"/>
      <c r="KIY88" s="996"/>
      <c r="KIZ88" s="996"/>
      <c r="KJA88" s="996"/>
      <c r="KJB88" s="996"/>
      <c r="KJC88" s="996"/>
      <c r="KJD88" s="996"/>
      <c r="KJE88" s="996"/>
      <c r="KJF88" s="996"/>
      <c r="KJG88" s="996"/>
      <c r="KJH88" s="996"/>
      <c r="KJI88" s="996"/>
      <c r="KJJ88" s="996"/>
      <c r="KJK88" s="996"/>
      <c r="KJL88" s="996"/>
      <c r="KJM88" s="996"/>
      <c r="KJN88" s="996"/>
      <c r="KJO88" s="996"/>
      <c r="KJP88" s="996"/>
      <c r="KJQ88" s="996"/>
      <c r="KJR88" s="996"/>
      <c r="KJS88" s="996"/>
      <c r="KJT88" s="996"/>
      <c r="KJU88" s="996"/>
      <c r="KJV88" s="996"/>
      <c r="KJW88" s="996"/>
      <c r="KJX88" s="996"/>
      <c r="KJY88" s="996"/>
      <c r="KJZ88" s="996"/>
      <c r="KKA88" s="996"/>
      <c r="KKB88" s="996"/>
      <c r="KKC88" s="996"/>
      <c r="KKD88" s="996"/>
      <c r="KKE88" s="996"/>
      <c r="KKF88" s="996"/>
      <c r="KKG88" s="996"/>
      <c r="KKH88" s="996"/>
      <c r="KKI88" s="996"/>
      <c r="KKJ88" s="996"/>
      <c r="KKK88" s="996"/>
      <c r="KKL88" s="996"/>
      <c r="KKM88" s="996"/>
      <c r="KKN88" s="996"/>
      <c r="KKO88" s="996"/>
      <c r="KKP88" s="996"/>
      <c r="KKQ88" s="996"/>
      <c r="KKR88" s="996"/>
      <c r="KKS88" s="996"/>
      <c r="KKT88" s="996"/>
      <c r="KKU88" s="996"/>
      <c r="KKV88" s="996"/>
      <c r="KKW88" s="996"/>
      <c r="KKX88" s="996"/>
      <c r="KKY88" s="996"/>
      <c r="KKZ88" s="996"/>
      <c r="KLA88" s="996"/>
      <c r="KLB88" s="996"/>
      <c r="KLC88" s="996"/>
      <c r="KLD88" s="996"/>
      <c r="KLE88" s="996"/>
      <c r="KLF88" s="996"/>
      <c r="KLG88" s="996"/>
      <c r="KLH88" s="996"/>
      <c r="KLI88" s="996"/>
      <c r="KLJ88" s="996"/>
      <c r="KLK88" s="996"/>
      <c r="KLL88" s="996"/>
      <c r="KLM88" s="996"/>
      <c r="KLN88" s="996"/>
      <c r="KLO88" s="996"/>
      <c r="KLP88" s="996"/>
      <c r="KLQ88" s="996"/>
      <c r="KLR88" s="996"/>
      <c r="KLS88" s="996"/>
      <c r="KLT88" s="996"/>
      <c r="KLU88" s="996"/>
      <c r="KLV88" s="996"/>
      <c r="KLW88" s="996"/>
      <c r="KLX88" s="996"/>
      <c r="KLY88" s="996"/>
      <c r="KLZ88" s="996"/>
      <c r="KMA88" s="996"/>
      <c r="KMB88" s="996"/>
      <c r="KMC88" s="996"/>
      <c r="KMD88" s="996"/>
      <c r="KME88" s="996"/>
      <c r="KMF88" s="996"/>
      <c r="KMG88" s="996"/>
      <c r="KMH88" s="996"/>
      <c r="KMI88" s="996"/>
      <c r="KMJ88" s="996"/>
      <c r="KMK88" s="996"/>
      <c r="KML88" s="996"/>
      <c r="KMM88" s="996"/>
      <c r="KMN88" s="996"/>
      <c r="KMO88" s="996"/>
      <c r="KMP88" s="996"/>
      <c r="KMQ88" s="996"/>
      <c r="KMR88" s="996"/>
      <c r="KMS88" s="996"/>
      <c r="KMT88" s="996"/>
      <c r="KMU88" s="996"/>
      <c r="KMV88" s="996"/>
      <c r="KMW88" s="996"/>
      <c r="KMX88" s="996"/>
      <c r="KMY88" s="996"/>
      <c r="KMZ88" s="996"/>
      <c r="KNA88" s="996"/>
      <c r="KNB88" s="996"/>
      <c r="KNC88" s="996"/>
      <c r="KND88" s="996"/>
      <c r="KNE88" s="996"/>
      <c r="KNF88" s="996"/>
      <c r="KNG88" s="996"/>
      <c r="KNH88" s="996"/>
      <c r="KNI88" s="996"/>
      <c r="KNJ88" s="996"/>
      <c r="KNK88" s="996"/>
      <c r="KNL88" s="996"/>
      <c r="KNM88" s="996"/>
      <c r="KNN88" s="996"/>
      <c r="KNO88" s="996"/>
      <c r="KNP88" s="996"/>
      <c r="KNQ88" s="996"/>
      <c r="KNR88" s="996"/>
      <c r="KNS88" s="996"/>
      <c r="KNT88" s="996"/>
      <c r="KNU88" s="996"/>
      <c r="KNV88" s="996"/>
      <c r="KNW88" s="996"/>
      <c r="KNX88" s="996"/>
      <c r="KNY88" s="996"/>
      <c r="KNZ88" s="996"/>
      <c r="KOA88" s="996"/>
      <c r="KOB88" s="996"/>
      <c r="KOC88" s="996"/>
      <c r="KOD88" s="996"/>
      <c r="KOE88" s="996"/>
      <c r="KOF88" s="996"/>
      <c r="KOG88" s="996"/>
      <c r="KOH88" s="996"/>
      <c r="KOI88" s="996"/>
      <c r="KOJ88" s="996"/>
      <c r="KOK88" s="996"/>
      <c r="KOL88" s="996"/>
      <c r="KOM88" s="996"/>
      <c r="KON88" s="996"/>
      <c r="KOO88" s="996"/>
      <c r="KOP88" s="996"/>
      <c r="KOQ88" s="996"/>
      <c r="KOR88" s="996"/>
      <c r="KOS88" s="996"/>
      <c r="KOT88" s="996"/>
      <c r="KOU88" s="996"/>
      <c r="KOV88" s="996"/>
      <c r="KOW88" s="996"/>
      <c r="KOX88" s="996"/>
      <c r="KOY88" s="996"/>
      <c r="KOZ88" s="996"/>
      <c r="KPA88" s="996"/>
      <c r="KPB88" s="996"/>
      <c r="KPC88" s="996"/>
      <c r="KPD88" s="996"/>
      <c r="KPE88" s="996"/>
      <c r="KPF88" s="996"/>
      <c r="KPG88" s="996"/>
      <c r="KPH88" s="996"/>
      <c r="KPI88" s="996"/>
      <c r="KPJ88" s="996"/>
      <c r="KPK88" s="996"/>
      <c r="KPL88" s="996"/>
      <c r="KPM88" s="996"/>
      <c r="KPN88" s="996"/>
      <c r="KPO88" s="996"/>
      <c r="KPP88" s="996"/>
      <c r="KPQ88" s="996"/>
      <c r="KPR88" s="996"/>
      <c r="KPS88" s="996"/>
      <c r="KPT88" s="996"/>
      <c r="KPU88" s="996"/>
      <c r="KPV88" s="996"/>
      <c r="KPW88" s="996"/>
      <c r="KPX88" s="996"/>
      <c r="KPY88" s="996"/>
      <c r="KPZ88" s="996"/>
      <c r="KQA88" s="996"/>
      <c r="KQB88" s="996"/>
      <c r="KQC88" s="996"/>
      <c r="KQD88" s="996"/>
      <c r="KQE88" s="996"/>
      <c r="KQF88" s="996"/>
      <c r="KQG88" s="996"/>
      <c r="KQH88" s="996"/>
      <c r="KQI88" s="996"/>
      <c r="KQJ88" s="996"/>
      <c r="KQK88" s="996"/>
      <c r="KQL88" s="996"/>
      <c r="KQM88" s="996"/>
      <c r="KQN88" s="996"/>
      <c r="KQO88" s="996"/>
      <c r="KQP88" s="996"/>
      <c r="KQQ88" s="996"/>
      <c r="KQR88" s="996"/>
      <c r="KQS88" s="996"/>
      <c r="KQT88" s="996"/>
      <c r="KQU88" s="996"/>
      <c r="KQV88" s="996"/>
      <c r="KQW88" s="996"/>
      <c r="KQX88" s="996"/>
      <c r="KQY88" s="996"/>
      <c r="KQZ88" s="996"/>
      <c r="KRA88" s="996"/>
      <c r="KRB88" s="996"/>
      <c r="KRC88" s="996"/>
      <c r="KRD88" s="996"/>
      <c r="KRE88" s="996"/>
      <c r="KRF88" s="996"/>
      <c r="KRG88" s="996"/>
      <c r="KRH88" s="996"/>
      <c r="KRI88" s="996"/>
      <c r="KRJ88" s="996"/>
      <c r="KRK88" s="996"/>
      <c r="KRL88" s="996"/>
      <c r="KRM88" s="996"/>
      <c r="KRN88" s="996"/>
      <c r="KRO88" s="996"/>
      <c r="KRP88" s="996"/>
      <c r="KRQ88" s="996"/>
      <c r="KRR88" s="996"/>
      <c r="KRS88" s="996"/>
      <c r="KRT88" s="996"/>
      <c r="KRU88" s="996"/>
      <c r="KRV88" s="996"/>
      <c r="KRW88" s="996"/>
      <c r="KRX88" s="996"/>
      <c r="KRY88" s="996"/>
      <c r="KRZ88" s="996"/>
      <c r="KSA88" s="996"/>
      <c r="KSB88" s="996"/>
      <c r="KSC88" s="996"/>
      <c r="KSD88" s="996"/>
      <c r="KSE88" s="996"/>
      <c r="KSF88" s="996"/>
      <c r="KSG88" s="996"/>
      <c r="KSH88" s="996"/>
      <c r="KSI88" s="996"/>
      <c r="KSJ88" s="996"/>
      <c r="KSK88" s="996"/>
      <c r="KSL88" s="996"/>
      <c r="KSM88" s="996"/>
      <c r="KSN88" s="996"/>
      <c r="KSO88" s="996"/>
      <c r="KSP88" s="996"/>
      <c r="KSQ88" s="996"/>
      <c r="KSR88" s="996"/>
      <c r="KSS88" s="996"/>
      <c r="KST88" s="996"/>
      <c r="KSU88" s="996"/>
      <c r="KSV88" s="996"/>
      <c r="KSW88" s="996"/>
      <c r="KSX88" s="996"/>
      <c r="KSY88" s="996"/>
      <c r="KSZ88" s="996"/>
      <c r="KTA88" s="996"/>
      <c r="KTB88" s="996"/>
      <c r="KTC88" s="996"/>
      <c r="KTD88" s="996"/>
      <c r="KTE88" s="996"/>
      <c r="KTF88" s="996"/>
      <c r="KTG88" s="996"/>
      <c r="KTH88" s="996"/>
      <c r="KTI88" s="996"/>
      <c r="KTJ88" s="996"/>
      <c r="KTK88" s="996"/>
      <c r="KTL88" s="996"/>
      <c r="KTM88" s="996"/>
      <c r="KTN88" s="996"/>
      <c r="KTO88" s="996"/>
      <c r="KTP88" s="996"/>
      <c r="KTQ88" s="996"/>
      <c r="KTR88" s="996"/>
      <c r="KTS88" s="996"/>
      <c r="KTT88" s="996"/>
      <c r="KTU88" s="996"/>
      <c r="KTV88" s="996"/>
      <c r="KTW88" s="996"/>
      <c r="KTX88" s="996"/>
      <c r="KTY88" s="996"/>
      <c r="KTZ88" s="996"/>
      <c r="KUA88" s="996"/>
      <c r="KUB88" s="996"/>
      <c r="KUC88" s="996"/>
      <c r="KUD88" s="996"/>
      <c r="KUE88" s="996"/>
      <c r="KUF88" s="996"/>
      <c r="KUG88" s="996"/>
      <c r="KUH88" s="996"/>
      <c r="KUI88" s="996"/>
      <c r="KUJ88" s="996"/>
      <c r="KUK88" s="996"/>
      <c r="KUL88" s="996"/>
      <c r="KUM88" s="996"/>
      <c r="KUN88" s="996"/>
      <c r="KUO88" s="996"/>
      <c r="KUP88" s="996"/>
      <c r="KUQ88" s="996"/>
      <c r="KUR88" s="996"/>
      <c r="KUS88" s="996"/>
      <c r="KUT88" s="996"/>
      <c r="KUU88" s="996"/>
      <c r="KUV88" s="996"/>
      <c r="KUW88" s="996"/>
      <c r="KUX88" s="996"/>
      <c r="KUY88" s="996"/>
      <c r="KUZ88" s="996"/>
      <c r="KVA88" s="996"/>
      <c r="KVB88" s="996"/>
      <c r="KVC88" s="996"/>
      <c r="KVD88" s="996"/>
      <c r="KVE88" s="996"/>
      <c r="KVF88" s="996"/>
      <c r="KVG88" s="996"/>
      <c r="KVH88" s="996"/>
      <c r="KVI88" s="996"/>
      <c r="KVJ88" s="996"/>
      <c r="KVK88" s="996"/>
      <c r="KVL88" s="996"/>
      <c r="KVM88" s="996"/>
      <c r="KVN88" s="996"/>
      <c r="KVO88" s="996"/>
      <c r="KVP88" s="996"/>
      <c r="KVQ88" s="996"/>
      <c r="KVR88" s="996"/>
      <c r="KVS88" s="996"/>
      <c r="KVT88" s="996"/>
      <c r="KVU88" s="996"/>
      <c r="KVV88" s="996"/>
      <c r="KVW88" s="996"/>
      <c r="KVX88" s="996"/>
      <c r="KVY88" s="996"/>
      <c r="KVZ88" s="996"/>
      <c r="KWA88" s="996"/>
      <c r="KWB88" s="996"/>
      <c r="KWC88" s="996"/>
      <c r="KWD88" s="996"/>
      <c r="KWE88" s="996"/>
      <c r="KWF88" s="996"/>
      <c r="KWG88" s="996"/>
      <c r="KWH88" s="996"/>
      <c r="KWI88" s="996"/>
      <c r="KWJ88" s="996"/>
      <c r="KWK88" s="996"/>
      <c r="KWL88" s="996"/>
      <c r="KWM88" s="996"/>
      <c r="KWN88" s="996"/>
      <c r="KWO88" s="996"/>
      <c r="KWP88" s="996"/>
      <c r="KWQ88" s="996"/>
      <c r="KWR88" s="996"/>
      <c r="KWS88" s="996"/>
      <c r="KWT88" s="996"/>
      <c r="KWU88" s="996"/>
      <c r="KWV88" s="996"/>
      <c r="KWW88" s="996"/>
      <c r="KWX88" s="996"/>
      <c r="KWY88" s="996"/>
      <c r="KWZ88" s="996"/>
      <c r="KXA88" s="996"/>
      <c r="KXB88" s="996"/>
      <c r="KXC88" s="996"/>
      <c r="KXD88" s="996"/>
      <c r="KXE88" s="996"/>
      <c r="KXF88" s="996"/>
      <c r="KXG88" s="996"/>
      <c r="KXH88" s="996"/>
      <c r="KXI88" s="996"/>
      <c r="KXJ88" s="996"/>
      <c r="KXK88" s="996"/>
      <c r="KXL88" s="996"/>
      <c r="KXM88" s="996"/>
      <c r="KXN88" s="996"/>
      <c r="KXO88" s="996"/>
      <c r="KXP88" s="996"/>
      <c r="KXQ88" s="996"/>
      <c r="KXR88" s="996"/>
      <c r="KXS88" s="996"/>
      <c r="KXT88" s="996"/>
      <c r="KXU88" s="996"/>
      <c r="KXV88" s="996"/>
      <c r="KXW88" s="996"/>
      <c r="KXX88" s="996"/>
      <c r="KXY88" s="996"/>
      <c r="KXZ88" s="996"/>
      <c r="KYA88" s="996"/>
      <c r="KYB88" s="996"/>
      <c r="KYC88" s="996"/>
      <c r="KYD88" s="996"/>
      <c r="KYE88" s="996"/>
      <c r="KYF88" s="996"/>
      <c r="KYG88" s="996"/>
      <c r="KYH88" s="996"/>
      <c r="KYI88" s="996"/>
      <c r="KYJ88" s="996"/>
      <c r="KYK88" s="996"/>
      <c r="KYL88" s="996"/>
      <c r="KYM88" s="996"/>
      <c r="KYN88" s="996"/>
      <c r="KYO88" s="996"/>
      <c r="KYP88" s="996"/>
      <c r="KYQ88" s="996"/>
      <c r="KYR88" s="996"/>
      <c r="KYS88" s="996"/>
      <c r="KYT88" s="996"/>
      <c r="KYU88" s="996"/>
      <c r="KYV88" s="996"/>
      <c r="KYW88" s="996"/>
      <c r="KYX88" s="996"/>
      <c r="KYY88" s="996"/>
      <c r="KYZ88" s="996"/>
      <c r="KZA88" s="996"/>
      <c r="KZB88" s="996"/>
      <c r="KZC88" s="996"/>
      <c r="KZD88" s="996"/>
      <c r="KZE88" s="996"/>
      <c r="KZF88" s="996"/>
      <c r="KZG88" s="996"/>
      <c r="KZH88" s="996"/>
      <c r="KZI88" s="996"/>
      <c r="KZJ88" s="996"/>
      <c r="KZK88" s="996"/>
      <c r="KZL88" s="996"/>
      <c r="KZM88" s="996"/>
      <c r="KZN88" s="996"/>
      <c r="KZO88" s="996"/>
      <c r="KZP88" s="996"/>
      <c r="KZQ88" s="996"/>
      <c r="KZR88" s="996"/>
      <c r="KZS88" s="996"/>
      <c r="KZT88" s="996"/>
      <c r="KZU88" s="996"/>
      <c r="KZV88" s="996"/>
      <c r="KZW88" s="996"/>
      <c r="KZX88" s="996"/>
      <c r="KZY88" s="996"/>
      <c r="KZZ88" s="996"/>
      <c r="LAA88" s="996"/>
      <c r="LAB88" s="996"/>
      <c r="LAC88" s="996"/>
      <c r="LAD88" s="996"/>
      <c r="LAE88" s="996"/>
      <c r="LAF88" s="996"/>
      <c r="LAG88" s="996"/>
      <c r="LAH88" s="996"/>
      <c r="LAI88" s="996"/>
      <c r="LAJ88" s="996"/>
      <c r="LAK88" s="996"/>
      <c r="LAL88" s="996"/>
      <c r="LAM88" s="996"/>
      <c r="LAN88" s="996"/>
      <c r="LAO88" s="996"/>
      <c r="LAP88" s="996"/>
      <c r="LAQ88" s="996"/>
      <c r="LAR88" s="996"/>
      <c r="LAS88" s="996"/>
      <c r="LAT88" s="996"/>
      <c r="LAU88" s="996"/>
      <c r="LAV88" s="996"/>
      <c r="LAW88" s="996"/>
      <c r="LAX88" s="996"/>
      <c r="LAY88" s="996"/>
      <c r="LAZ88" s="996"/>
      <c r="LBA88" s="996"/>
      <c r="LBB88" s="996"/>
      <c r="LBC88" s="996"/>
      <c r="LBD88" s="996"/>
      <c r="LBE88" s="996"/>
      <c r="LBF88" s="996"/>
      <c r="LBG88" s="996"/>
      <c r="LBH88" s="996"/>
      <c r="LBI88" s="996"/>
      <c r="LBJ88" s="996"/>
      <c r="LBK88" s="996"/>
      <c r="LBL88" s="996"/>
      <c r="LBM88" s="996"/>
      <c r="LBN88" s="996"/>
      <c r="LBO88" s="996"/>
      <c r="LBP88" s="996"/>
      <c r="LBQ88" s="996"/>
      <c r="LBR88" s="996"/>
      <c r="LBS88" s="996"/>
      <c r="LBT88" s="996"/>
      <c r="LBU88" s="996"/>
      <c r="LBV88" s="996"/>
      <c r="LBW88" s="996"/>
      <c r="LBX88" s="996"/>
      <c r="LBY88" s="996"/>
      <c r="LBZ88" s="996"/>
      <c r="LCA88" s="996"/>
      <c r="LCB88" s="996"/>
      <c r="LCC88" s="996"/>
      <c r="LCD88" s="996"/>
      <c r="LCE88" s="996"/>
      <c r="LCF88" s="996"/>
      <c r="LCG88" s="996"/>
      <c r="LCH88" s="996"/>
      <c r="LCI88" s="996"/>
      <c r="LCJ88" s="996"/>
      <c r="LCK88" s="996"/>
      <c r="LCL88" s="996"/>
      <c r="LCM88" s="996"/>
      <c r="LCN88" s="996"/>
      <c r="LCO88" s="996"/>
      <c r="LCP88" s="996"/>
      <c r="LCQ88" s="996"/>
      <c r="LCR88" s="996"/>
      <c r="LCS88" s="996"/>
      <c r="LCT88" s="996"/>
      <c r="LCU88" s="996"/>
      <c r="LCV88" s="996"/>
      <c r="LCW88" s="996"/>
      <c r="LCX88" s="996"/>
      <c r="LCY88" s="996"/>
      <c r="LCZ88" s="996"/>
      <c r="LDA88" s="996"/>
      <c r="LDB88" s="996"/>
      <c r="LDC88" s="996"/>
      <c r="LDD88" s="996"/>
      <c r="LDE88" s="996"/>
      <c r="LDF88" s="996"/>
      <c r="LDG88" s="996"/>
      <c r="LDH88" s="996"/>
      <c r="LDI88" s="996"/>
      <c r="LDJ88" s="996"/>
      <c r="LDK88" s="996"/>
      <c r="LDL88" s="996"/>
      <c r="LDM88" s="996"/>
      <c r="LDN88" s="996"/>
      <c r="LDO88" s="996"/>
      <c r="LDP88" s="996"/>
      <c r="LDQ88" s="996"/>
      <c r="LDR88" s="996"/>
      <c r="LDS88" s="996"/>
      <c r="LDT88" s="996"/>
      <c r="LDU88" s="996"/>
      <c r="LDV88" s="996"/>
      <c r="LDW88" s="996"/>
      <c r="LDX88" s="996"/>
      <c r="LDY88" s="996"/>
      <c r="LDZ88" s="996"/>
      <c r="LEA88" s="996"/>
      <c r="LEB88" s="996"/>
      <c r="LEC88" s="996"/>
      <c r="LED88" s="996"/>
      <c r="LEE88" s="996"/>
      <c r="LEF88" s="996"/>
      <c r="LEG88" s="996"/>
      <c r="LEH88" s="996"/>
      <c r="LEI88" s="996"/>
      <c r="LEJ88" s="996"/>
      <c r="LEK88" s="996"/>
      <c r="LEL88" s="996"/>
      <c r="LEM88" s="996"/>
      <c r="LEN88" s="996"/>
      <c r="LEO88" s="996"/>
      <c r="LEP88" s="996"/>
      <c r="LEQ88" s="996"/>
      <c r="LER88" s="996"/>
      <c r="LES88" s="996"/>
      <c r="LET88" s="996"/>
      <c r="LEU88" s="996"/>
      <c r="LEV88" s="996"/>
      <c r="LEW88" s="996"/>
      <c r="LEX88" s="996"/>
      <c r="LEY88" s="996"/>
      <c r="LEZ88" s="996"/>
      <c r="LFA88" s="996"/>
      <c r="LFB88" s="996"/>
      <c r="LFC88" s="996"/>
      <c r="LFD88" s="996"/>
      <c r="LFE88" s="996"/>
      <c r="LFF88" s="996"/>
      <c r="LFG88" s="996"/>
      <c r="LFH88" s="996"/>
      <c r="LFI88" s="996"/>
      <c r="LFJ88" s="996"/>
      <c r="LFK88" s="996"/>
      <c r="LFL88" s="996"/>
      <c r="LFM88" s="996"/>
      <c r="LFN88" s="996"/>
      <c r="LFO88" s="996"/>
      <c r="LFP88" s="996"/>
      <c r="LFQ88" s="996"/>
      <c r="LFR88" s="996"/>
      <c r="LFS88" s="996"/>
      <c r="LFT88" s="996"/>
      <c r="LFU88" s="996"/>
      <c r="LFV88" s="996"/>
      <c r="LFW88" s="996"/>
      <c r="LFX88" s="996"/>
      <c r="LFY88" s="996"/>
      <c r="LFZ88" s="996"/>
      <c r="LGA88" s="996"/>
      <c r="LGB88" s="996"/>
      <c r="LGC88" s="996"/>
      <c r="LGD88" s="996"/>
      <c r="LGE88" s="996"/>
      <c r="LGF88" s="996"/>
      <c r="LGG88" s="996"/>
      <c r="LGH88" s="996"/>
      <c r="LGI88" s="996"/>
      <c r="LGJ88" s="996"/>
      <c r="LGK88" s="996"/>
      <c r="LGL88" s="996"/>
      <c r="LGM88" s="996"/>
      <c r="LGN88" s="996"/>
      <c r="LGO88" s="996"/>
      <c r="LGP88" s="996"/>
      <c r="LGQ88" s="996"/>
      <c r="LGR88" s="996"/>
      <c r="LGS88" s="996"/>
      <c r="LGT88" s="996"/>
      <c r="LGU88" s="996"/>
      <c r="LGV88" s="996"/>
      <c r="LGW88" s="996"/>
      <c r="LGX88" s="996"/>
      <c r="LGY88" s="996"/>
      <c r="LGZ88" s="996"/>
      <c r="LHA88" s="996"/>
      <c r="LHB88" s="996"/>
      <c r="LHC88" s="996"/>
      <c r="LHD88" s="996"/>
      <c r="LHE88" s="996"/>
      <c r="LHF88" s="996"/>
      <c r="LHG88" s="996"/>
      <c r="LHH88" s="996"/>
      <c r="LHI88" s="996"/>
      <c r="LHJ88" s="996"/>
      <c r="LHK88" s="996"/>
      <c r="LHL88" s="996"/>
      <c r="LHM88" s="996"/>
      <c r="LHN88" s="996"/>
      <c r="LHO88" s="996"/>
      <c r="LHP88" s="996"/>
      <c r="LHQ88" s="996"/>
      <c r="LHR88" s="996"/>
      <c r="LHS88" s="996"/>
      <c r="LHT88" s="996"/>
      <c r="LHU88" s="996"/>
      <c r="LHV88" s="996"/>
      <c r="LHW88" s="996"/>
      <c r="LHX88" s="996"/>
      <c r="LHY88" s="996"/>
      <c r="LHZ88" s="996"/>
      <c r="LIA88" s="996"/>
      <c r="LIB88" s="996"/>
      <c r="LIC88" s="996"/>
      <c r="LID88" s="996"/>
      <c r="LIE88" s="996"/>
      <c r="LIF88" s="996"/>
      <c r="LIG88" s="996"/>
      <c r="LIH88" s="996"/>
      <c r="LII88" s="996"/>
      <c r="LIJ88" s="996"/>
      <c r="LIK88" s="996"/>
      <c r="LIL88" s="996"/>
      <c r="LIM88" s="996"/>
      <c r="LIN88" s="996"/>
      <c r="LIO88" s="996"/>
      <c r="LIP88" s="996"/>
      <c r="LIQ88" s="996"/>
      <c r="LIR88" s="996"/>
      <c r="LIS88" s="996"/>
      <c r="LIT88" s="996"/>
      <c r="LIU88" s="996"/>
      <c r="LIV88" s="996"/>
      <c r="LIW88" s="996"/>
      <c r="LIX88" s="996"/>
      <c r="LIY88" s="996"/>
      <c r="LIZ88" s="996"/>
      <c r="LJA88" s="996"/>
      <c r="LJB88" s="996"/>
      <c r="LJC88" s="996"/>
      <c r="LJD88" s="996"/>
      <c r="LJE88" s="996"/>
      <c r="LJF88" s="996"/>
      <c r="LJG88" s="996"/>
      <c r="LJH88" s="996"/>
      <c r="LJI88" s="996"/>
      <c r="LJJ88" s="996"/>
      <c r="LJK88" s="996"/>
      <c r="LJL88" s="996"/>
      <c r="LJM88" s="996"/>
      <c r="LJN88" s="996"/>
      <c r="LJO88" s="996"/>
      <c r="LJP88" s="996"/>
      <c r="LJQ88" s="996"/>
      <c r="LJR88" s="996"/>
      <c r="LJS88" s="996"/>
      <c r="LJT88" s="996"/>
      <c r="LJU88" s="996"/>
      <c r="LJV88" s="996"/>
      <c r="LJW88" s="996"/>
      <c r="LJX88" s="996"/>
      <c r="LJY88" s="996"/>
      <c r="LJZ88" s="996"/>
      <c r="LKA88" s="996"/>
      <c r="LKB88" s="996"/>
      <c r="LKC88" s="996"/>
      <c r="LKD88" s="996"/>
      <c r="LKE88" s="996"/>
      <c r="LKF88" s="996"/>
      <c r="LKG88" s="996"/>
      <c r="LKH88" s="996"/>
      <c r="LKI88" s="996"/>
      <c r="LKJ88" s="996"/>
      <c r="LKK88" s="996"/>
      <c r="LKL88" s="996"/>
      <c r="LKM88" s="996"/>
      <c r="LKN88" s="996"/>
      <c r="LKO88" s="996"/>
      <c r="LKP88" s="996"/>
      <c r="LKQ88" s="996"/>
      <c r="LKR88" s="996"/>
      <c r="LKS88" s="996"/>
      <c r="LKT88" s="996"/>
      <c r="LKU88" s="996"/>
      <c r="LKV88" s="996"/>
      <c r="LKW88" s="996"/>
      <c r="LKX88" s="996"/>
      <c r="LKY88" s="996"/>
      <c r="LKZ88" s="996"/>
      <c r="LLA88" s="996"/>
      <c r="LLB88" s="996"/>
      <c r="LLC88" s="996"/>
      <c r="LLD88" s="996"/>
      <c r="LLE88" s="996"/>
      <c r="LLF88" s="996"/>
      <c r="LLG88" s="996"/>
      <c r="LLH88" s="996"/>
      <c r="LLI88" s="996"/>
      <c r="LLJ88" s="996"/>
      <c r="LLK88" s="996"/>
      <c r="LLL88" s="996"/>
      <c r="LLM88" s="996"/>
      <c r="LLN88" s="996"/>
      <c r="LLO88" s="996"/>
      <c r="LLP88" s="996"/>
      <c r="LLQ88" s="996"/>
      <c r="LLR88" s="996"/>
      <c r="LLS88" s="996"/>
      <c r="LLT88" s="996"/>
      <c r="LLU88" s="996"/>
      <c r="LLV88" s="996"/>
      <c r="LLW88" s="996"/>
      <c r="LLX88" s="996"/>
      <c r="LLY88" s="996"/>
      <c r="LLZ88" s="996"/>
      <c r="LMA88" s="996"/>
      <c r="LMB88" s="996"/>
      <c r="LMC88" s="996"/>
      <c r="LMD88" s="996"/>
      <c r="LME88" s="996"/>
      <c r="LMF88" s="996"/>
      <c r="LMG88" s="996"/>
      <c r="LMH88" s="996"/>
      <c r="LMI88" s="996"/>
      <c r="LMJ88" s="996"/>
      <c r="LMK88" s="996"/>
      <c r="LML88" s="996"/>
      <c r="LMM88" s="996"/>
      <c r="LMN88" s="996"/>
      <c r="LMO88" s="996"/>
      <c r="LMP88" s="996"/>
      <c r="LMQ88" s="996"/>
      <c r="LMR88" s="996"/>
      <c r="LMS88" s="996"/>
      <c r="LMT88" s="996"/>
      <c r="LMU88" s="996"/>
      <c r="LMV88" s="996"/>
      <c r="LMW88" s="996"/>
      <c r="LMX88" s="996"/>
      <c r="LMY88" s="996"/>
      <c r="LMZ88" s="996"/>
      <c r="LNA88" s="996"/>
      <c r="LNB88" s="996"/>
      <c r="LNC88" s="996"/>
      <c r="LND88" s="996"/>
      <c r="LNE88" s="996"/>
      <c r="LNF88" s="996"/>
      <c r="LNG88" s="996"/>
      <c r="LNH88" s="996"/>
      <c r="LNI88" s="996"/>
      <c r="LNJ88" s="996"/>
      <c r="LNK88" s="996"/>
      <c r="LNL88" s="996"/>
      <c r="LNM88" s="996"/>
      <c r="LNN88" s="996"/>
      <c r="LNO88" s="996"/>
      <c r="LNP88" s="996"/>
      <c r="LNQ88" s="996"/>
      <c r="LNR88" s="996"/>
      <c r="LNS88" s="996"/>
      <c r="LNT88" s="996"/>
      <c r="LNU88" s="996"/>
      <c r="LNV88" s="996"/>
      <c r="LNW88" s="996"/>
      <c r="LNX88" s="996"/>
      <c r="LNY88" s="996"/>
      <c r="LNZ88" s="996"/>
      <c r="LOA88" s="996"/>
      <c r="LOB88" s="996"/>
      <c r="LOC88" s="996"/>
      <c r="LOD88" s="996"/>
      <c r="LOE88" s="996"/>
      <c r="LOF88" s="996"/>
      <c r="LOG88" s="996"/>
      <c r="LOH88" s="996"/>
      <c r="LOI88" s="996"/>
      <c r="LOJ88" s="996"/>
      <c r="LOK88" s="996"/>
      <c r="LOL88" s="996"/>
      <c r="LOM88" s="996"/>
      <c r="LON88" s="996"/>
      <c r="LOO88" s="996"/>
      <c r="LOP88" s="996"/>
      <c r="LOQ88" s="996"/>
      <c r="LOR88" s="996"/>
      <c r="LOS88" s="996"/>
      <c r="LOT88" s="996"/>
      <c r="LOU88" s="996"/>
      <c r="LOV88" s="996"/>
      <c r="LOW88" s="996"/>
      <c r="LOX88" s="996"/>
      <c r="LOY88" s="996"/>
      <c r="LOZ88" s="996"/>
      <c r="LPA88" s="996"/>
      <c r="LPB88" s="996"/>
      <c r="LPC88" s="996"/>
      <c r="LPD88" s="996"/>
      <c r="LPE88" s="996"/>
      <c r="LPF88" s="996"/>
      <c r="LPG88" s="996"/>
      <c r="LPH88" s="996"/>
      <c r="LPI88" s="996"/>
      <c r="LPJ88" s="996"/>
      <c r="LPK88" s="996"/>
      <c r="LPL88" s="996"/>
      <c r="LPM88" s="996"/>
      <c r="LPN88" s="996"/>
      <c r="LPO88" s="996"/>
      <c r="LPP88" s="996"/>
      <c r="LPQ88" s="996"/>
      <c r="LPR88" s="996"/>
      <c r="LPS88" s="996"/>
      <c r="LPT88" s="996"/>
      <c r="LPU88" s="996"/>
      <c r="LPV88" s="996"/>
      <c r="LPW88" s="996"/>
      <c r="LPX88" s="996"/>
      <c r="LPY88" s="996"/>
      <c r="LPZ88" s="996"/>
      <c r="LQA88" s="996"/>
      <c r="LQB88" s="996"/>
      <c r="LQC88" s="996"/>
      <c r="LQD88" s="996"/>
      <c r="LQE88" s="996"/>
      <c r="LQF88" s="996"/>
      <c r="LQG88" s="996"/>
      <c r="LQH88" s="996"/>
      <c r="LQI88" s="996"/>
      <c r="LQJ88" s="996"/>
      <c r="LQK88" s="996"/>
      <c r="LQL88" s="996"/>
      <c r="LQM88" s="996"/>
      <c r="LQN88" s="996"/>
      <c r="LQO88" s="996"/>
      <c r="LQP88" s="996"/>
      <c r="LQQ88" s="996"/>
      <c r="LQR88" s="996"/>
      <c r="LQS88" s="996"/>
      <c r="LQT88" s="996"/>
      <c r="LQU88" s="996"/>
      <c r="LQV88" s="996"/>
      <c r="LQW88" s="996"/>
      <c r="LQX88" s="996"/>
      <c r="LQY88" s="996"/>
      <c r="LQZ88" s="996"/>
      <c r="LRA88" s="996"/>
      <c r="LRB88" s="996"/>
      <c r="LRC88" s="996"/>
      <c r="LRD88" s="996"/>
      <c r="LRE88" s="996"/>
      <c r="LRF88" s="996"/>
      <c r="LRG88" s="996"/>
      <c r="LRH88" s="996"/>
      <c r="LRI88" s="996"/>
      <c r="LRJ88" s="996"/>
      <c r="LRK88" s="996"/>
      <c r="LRL88" s="996"/>
      <c r="LRM88" s="996"/>
      <c r="LRN88" s="996"/>
      <c r="LRO88" s="996"/>
      <c r="LRP88" s="996"/>
      <c r="LRQ88" s="996"/>
      <c r="LRR88" s="996"/>
      <c r="LRS88" s="996"/>
      <c r="LRT88" s="996"/>
      <c r="LRU88" s="996"/>
      <c r="LRV88" s="996"/>
      <c r="LRW88" s="996"/>
      <c r="LRX88" s="996"/>
      <c r="LRY88" s="996"/>
      <c r="LRZ88" s="996"/>
      <c r="LSA88" s="996"/>
      <c r="LSB88" s="996"/>
      <c r="LSC88" s="996"/>
      <c r="LSD88" s="996"/>
      <c r="LSE88" s="996"/>
      <c r="LSF88" s="996"/>
      <c r="LSG88" s="996"/>
      <c r="LSH88" s="996"/>
      <c r="LSI88" s="996"/>
      <c r="LSJ88" s="996"/>
      <c r="LSK88" s="996"/>
      <c r="LSL88" s="996"/>
      <c r="LSM88" s="996"/>
      <c r="LSN88" s="996"/>
      <c r="LSO88" s="996"/>
      <c r="LSP88" s="996"/>
      <c r="LSQ88" s="996"/>
      <c r="LSR88" s="996"/>
      <c r="LSS88" s="996"/>
      <c r="LST88" s="996"/>
      <c r="LSU88" s="996"/>
      <c r="LSV88" s="996"/>
      <c r="LSW88" s="996"/>
      <c r="LSX88" s="996"/>
      <c r="LSY88" s="996"/>
      <c r="LSZ88" s="996"/>
      <c r="LTA88" s="996"/>
      <c r="LTB88" s="996"/>
      <c r="LTC88" s="996"/>
      <c r="LTD88" s="996"/>
      <c r="LTE88" s="996"/>
      <c r="LTF88" s="996"/>
      <c r="LTG88" s="996"/>
      <c r="LTH88" s="996"/>
      <c r="LTI88" s="996"/>
      <c r="LTJ88" s="996"/>
      <c r="LTK88" s="996"/>
      <c r="LTL88" s="996"/>
      <c r="LTM88" s="996"/>
      <c r="LTN88" s="996"/>
      <c r="LTO88" s="996"/>
      <c r="LTP88" s="996"/>
      <c r="LTQ88" s="996"/>
      <c r="LTR88" s="996"/>
      <c r="LTS88" s="996"/>
      <c r="LTT88" s="996"/>
      <c r="LTU88" s="996"/>
      <c r="LTV88" s="996"/>
      <c r="LTW88" s="996"/>
      <c r="LTX88" s="996"/>
      <c r="LTY88" s="996"/>
      <c r="LTZ88" s="996"/>
      <c r="LUA88" s="996"/>
      <c r="LUB88" s="996"/>
      <c r="LUC88" s="996"/>
      <c r="LUD88" s="996"/>
      <c r="LUE88" s="996"/>
      <c r="LUF88" s="996"/>
      <c r="LUG88" s="996"/>
      <c r="LUH88" s="996"/>
      <c r="LUI88" s="996"/>
      <c r="LUJ88" s="996"/>
      <c r="LUK88" s="996"/>
      <c r="LUL88" s="996"/>
      <c r="LUM88" s="996"/>
      <c r="LUN88" s="996"/>
      <c r="LUO88" s="996"/>
      <c r="LUP88" s="996"/>
      <c r="LUQ88" s="996"/>
      <c r="LUR88" s="996"/>
      <c r="LUS88" s="996"/>
      <c r="LUT88" s="996"/>
      <c r="LUU88" s="996"/>
      <c r="LUV88" s="996"/>
      <c r="LUW88" s="996"/>
      <c r="LUX88" s="996"/>
      <c r="LUY88" s="996"/>
      <c r="LUZ88" s="996"/>
      <c r="LVA88" s="996"/>
      <c r="LVB88" s="996"/>
      <c r="LVC88" s="996"/>
      <c r="LVD88" s="996"/>
      <c r="LVE88" s="996"/>
      <c r="LVF88" s="996"/>
      <c r="LVG88" s="996"/>
      <c r="LVH88" s="996"/>
      <c r="LVI88" s="996"/>
      <c r="LVJ88" s="996"/>
      <c r="LVK88" s="996"/>
      <c r="LVL88" s="996"/>
      <c r="LVM88" s="996"/>
      <c r="LVN88" s="996"/>
      <c r="LVO88" s="996"/>
      <c r="LVP88" s="996"/>
      <c r="LVQ88" s="996"/>
      <c r="LVR88" s="996"/>
      <c r="LVS88" s="996"/>
      <c r="LVT88" s="996"/>
      <c r="LVU88" s="996"/>
      <c r="LVV88" s="996"/>
      <c r="LVW88" s="996"/>
      <c r="LVX88" s="996"/>
      <c r="LVY88" s="996"/>
      <c r="LVZ88" s="996"/>
      <c r="LWA88" s="996"/>
      <c r="LWB88" s="996"/>
      <c r="LWC88" s="996"/>
      <c r="LWD88" s="996"/>
      <c r="LWE88" s="996"/>
      <c r="LWF88" s="996"/>
      <c r="LWG88" s="996"/>
      <c r="LWH88" s="996"/>
      <c r="LWI88" s="996"/>
      <c r="LWJ88" s="996"/>
      <c r="LWK88" s="996"/>
      <c r="LWL88" s="996"/>
      <c r="LWM88" s="996"/>
      <c r="LWN88" s="996"/>
      <c r="LWO88" s="996"/>
      <c r="LWP88" s="996"/>
      <c r="LWQ88" s="996"/>
      <c r="LWR88" s="996"/>
      <c r="LWS88" s="996"/>
      <c r="LWT88" s="996"/>
      <c r="LWU88" s="996"/>
      <c r="LWV88" s="996"/>
      <c r="LWW88" s="996"/>
      <c r="LWX88" s="996"/>
      <c r="LWY88" s="996"/>
      <c r="LWZ88" s="996"/>
      <c r="LXA88" s="996"/>
      <c r="LXB88" s="996"/>
      <c r="LXC88" s="996"/>
      <c r="LXD88" s="996"/>
      <c r="LXE88" s="996"/>
      <c r="LXF88" s="996"/>
      <c r="LXG88" s="996"/>
      <c r="LXH88" s="996"/>
      <c r="LXI88" s="996"/>
      <c r="LXJ88" s="996"/>
      <c r="LXK88" s="996"/>
      <c r="LXL88" s="996"/>
      <c r="LXM88" s="996"/>
      <c r="LXN88" s="996"/>
      <c r="LXO88" s="996"/>
      <c r="LXP88" s="996"/>
      <c r="LXQ88" s="996"/>
      <c r="LXR88" s="996"/>
      <c r="LXS88" s="996"/>
      <c r="LXT88" s="996"/>
      <c r="LXU88" s="996"/>
      <c r="LXV88" s="996"/>
      <c r="LXW88" s="996"/>
      <c r="LXX88" s="996"/>
      <c r="LXY88" s="996"/>
      <c r="LXZ88" s="996"/>
      <c r="LYA88" s="996"/>
      <c r="LYB88" s="996"/>
      <c r="LYC88" s="996"/>
      <c r="LYD88" s="996"/>
      <c r="LYE88" s="996"/>
      <c r="LYF88" s="996"/>
      <c r="LYG88" s="996"/>
      <c r="LYH88" s="996"/>
      <c r="LYI88" s="996"/>
      <c r="LYJ88" s="996"/>
      <c r="LYK88" s="996"/>
      <c r="LYL88" s="996"/>
      <c r="LYM88" s="996"/>
      <c r="LYN88" s="996"/>
      <c r="LYO88" s="996"/>
      <c r="LYP88" s="996"/>
      <c r="LYQ88" s="996"/>
      <c r="LYR88" s="996"/>
      <c r="LYS88" s="996"/>
      <c r="LYT88" s="996"/>
      <c r="LYU88" s="996"/>
      <c r="LYV88" s="996"/>
      <c r="LYW88" s="996"/>
      <c r="LYX88" s="996"/>
      <c r="LYY88" s="996"/>
      <c r="LYZ88" s="996"/>
      <c r="LZA88" s="996"/>
      <c r="LZB88" s="996"/>
      <c r="LZC88" s="996"/>
      <c r="LZD88" s="996"/>
      <c r="LZE88" s="996"/>
      <c r="LZF88" s="996"/>
      <c r="LZG88" s="996"/>
      <c r="LZH88" s="996"/>
      <c r="LZI88" s="996"/>
      <c r="LZJ88" s="996"/>
      <c r="LZK88" s="996"/>
      <c r="LZL88" s="996"/>
      <c r="LZM88" s="996"/>
      <c r="LZN88" s="996"/>
      <c r="LZO88" s="996"/>
      <c r="LZP88" s="996"/>
      <c r="LZQ88" s="996"/>
      <c r="LZR88" s="996"/>
      <c r="LZS88" s="996"/>
      <c r="LZT88" s="996"/>
      <c r="LZU88" s="996"/>
      <c r="LZV88" s="996"/>
      <c r="LZW88" s="996"/>
      <c r="LZX88" s="996"/>
      <c r="LZY88" s="996"/>
      <c r="LZZ88" s="996"/>
      <c r="MAA88" s="996"/>
      <c r="MAB88" s="996"/>
      <c r="MAC88" s="996"/>
      <c r="MAD88" s="996"/>
      <c r="MAE88" s="996"/>
      <c r="MAF88" s="996"/>
      <c r="MAG88" s="996"/>
      <c r="MAH88" s="996"/>
      <c r="MAI88" s="996"/>
      <c r="MAJ88" s="996"/>
      <c r="MAK88" s="996"/>
      <c r="MAL88" s="996"/>
      <c r="MAM88" s="996"/>
      <c r="MAN88" s="996"/>
      <c r="MAO88" s="996"/>
      <c r="MAP88" s="996"/>
      <c r="MAQ88" s="996"/>
      <c r="MAR88" s="996"/>
      <c r="MAS88" s="996"/>
      <c r="MAT88" s="996"/>
      <c r="MAU88" s="996"/>
      <c r="MAV88" s="996"/>
      <c r="MAW88" s="996"/>
      <c r="MAX88" s="996"/>
      <c r="MAY88" s="996"/>
      <c r="MAZ88" s="996"/>
      <c r="MBA88" s="996"/>
      <c r="MBB88" s="996"/>
      <c r="MBC88" s="996"/>
      <c r="MBD88" s="996"/>
      <c r="MBE88" s="996"/>
      <c r="MBF88" s="996"/>
      <c r="MBG88" s="996"/>
      <c r="MBH88" s="996"/>
      <c r="MBI88" s="996"/>
      <c r="MBJ88" s="996"/>
      <c r="MBK88" s="996"/>
      <c r="MBL88" s="996"/>
      <c r="MBM88" s="996"/>
      <c r="MBN88" s="996"/>
      <c r="MBO88" s="996"/>
      <c r="MBP88" s="996"/>
      <c r="MBQ88" s="996"/>
      <c r="MBR88" s="996"/>
      <c r="MBS88" s="996"/>
      <c r="MBT88" s="996"/>
      <c r="MBU88" s="996"/>
      <c r="MBV88" s="996"/>
      <c r="MBW88" s="996"/>
      <c r="MBX88" s="996"/>
      <c r="MBY88" s="996"/>
      <c r="MBZ88" s="996"/>
      <c r="MCA88" s="996"/>
      <c r="MCB88" s="996"/>
      <c r="MCC88" s="996"/>
      <c r="MCD88" s="996"/>
      <c r="MCE88" s="996"/>
      <c r="MCF88" s="996"/>
      <c r="MCG88" s="996"/>
      <c r="MCH88" s="996"/>
      <c r="MCI88" s="996"/>
      <c r="MCJ88" s="996"/>
      <c r="MCK88" s="996"/>
      <c r="MCL88" s="996"/>
      <c r="MCM88" s="996"/>
      <c r="MCN88" s="996"/>
      <c r="MCO88" s="996"/>
      <c r="MCP88" s="996"/>
      <c r="MCQ88" s="996"/>
      <c r="MCR88" s="996"/>
      <c r="MCS88" s="996"/>
      <c r="MCT88" s="996"/>
      <c r="MCU88" s="996"/>
      <c r="MCV88" s="996"/>
      <c r="MCW88" s="996"/>
      <c r="MCX88" s="996"/>
      <c r="MCY88" s="996"/>
      <c r="MCZ88" s="996"/>
      <c r="MDA88" s="996"/>
      <c r="MDB88" s="996"/>
      <c r="MDC88" s="996"/>
      <c r="MDD88" s="996"/>
      <c r="MDE88" s="996"/>
      <c r="MDF88" s="996"/>
      <c r="MDG88" s="996"/>
      <c r="MDH88" s="996"/>
      <c r="MDI88" s="996"/>
      <c r="MDJ88" s="996"/>
      <c r="MDK88" s="996"/>
      <c r="MDL88" s="996"/>
      <c r="MDM88" s="996"/>
      <c r="MDN88" s="996"/>
      <c r="MDO88" s="996"/>
      <c r="MDP88" s="996"/>
      <c r="MDQ88" s="996"/>
      <c r="MDR88" s="996"/>
      <c r="MDS88" s="996"/>
      <c r="MDT88" s="996"/>
      <c r="MDU88" s="996"/>
      <c r="MDV88" s="996"/>
      <c r="MDW88" s="996"/>
      <c r="MDX88" s="996"/>
      <c r="MDY88" s="996"/>
      <c r="MDZ88" s="996"/>
      <c r="MEA88" s="996"/>
      <c r="MEB88" s="996"/>
      <c r="MEC88" s="996"/>
      <c r="MED88" s="996"/>
      <c r="MEE88" s="996"/>
      <c r="MEF88" s="996"/>
      <c r="MEG88" s="996"/>
      <c r="MEH88" s="996"/>
      <c r="MEI88" s="996"/>
      <c r="MEJ88" s="996"/>
      <c r="MEK88" s="996"/>
      <c r="MEL88" s="996"/>
      <c r="MEM88" s="996"/>
      <c r="MEN88" s="996"/>
      <c r="MEO88" s="996"/>
      <c r="MEP88" s="996"/>
      <c r="MEQ88" s="996"/>
      <c r="MER88" s="996"/>
      <c r="MES88" s="996"/>
      <c r="MET88" s="996"/>
      <c r="MEU88" s="996"/>
      <c r="MEV88" s="996"/>
      <c r="MEW88" s="996"/>
      <c r="MEX88" s="996"/>
      <c r="MEY88" s="996"/>
      <c r="MEZ88" s="996"/>
      <c r="MFA88" s="996"/>
      <c r="MFB88" s="996"/>
      <c r="MFC88" s="996"/>
      <c r="MFD88" s="996"/>
      <c r="MFE88" s="996"/>
      <c r="MFF88" s="996"/>
      <c r="MFG88" s="996"/>
      <c r="MFH88" s="996"/>
      <c r="MFI88" s="996"/>
      <c r="MFJ88" s="996"/>
      <c r="MFK88" s="996"/>
      <c r="MFL88" s="996"/>
      <c r="MFM88" s="996"/>
      <c r="MFN88" s="996"/>
      <c r="MFO88" s="996"/>
      <c r="MFP88" s="996"/>
      <c r="MFQ88" s="996"/>
      <c r="MFR88" s="996"/>
      <c r="MFS88" s="996"/>
      <c r="MFT88" s="996"/>
      <c r="MFU88" s="996"/>
      <c r="MFV88" s="996"/>
      <c r="MFW88" s="996"/>
      <c r="MFX88" s="996"/>
      <c r="MFY88" s="996"/>
      <c r="MFZ88" s="996"/>
      <c r="MGA88" s="996"/>
      <c r="MGB88" s="996"/>
      <c r="MGC88" s="996"/>
      <c r="MGD88" s="996"/>
      <c r="MGE88" s="996"/>
      <c r="MGF88" s="996"/>
      <c r="MGG88" s="996"/>
      <c r="MGH88" s="996"/>
      <c r="MGI88" s="996"/>
      <c r="MGJ88" s="996"/>
      <c r="MGK88" s="996"/>
      <c r="MGL88" s="996"/>
      <c r="MGM88" s="996"/>
      <c r="MGN88" s="996"/>
      <c r="MGO88" s="996"/>
      <c r="MGP88" s="996"/>
      <c r="MGQ88" s="996"/>
      <c r="MGR88" s="996"/>
      <c r="MGS88" s="996"/>
      <c r="MGT88" s="996"/>
      <c r="MGU88" s="996"/>
      <c r="MGV88" s="996"/>
      <c r="MGW88" s="996"/>
      <c r="MGX88" s="996"/>
      <c r="MGY88" s="996"/>
      <c r="MGZ88" s="996"/>
      <c r="MHA88" s="996"/>
      <c r="MHB88" s="996"/>
      <c r="MHC88" s="996"/>
      <c r="MHD88" s="996"/>
      <c r="MHE88" s="996"/>
      <c r="MHF88" s="996"/>
      <c r="MHG88" s="996"/>
      <c r="MHH88" s="996"/>
      <c r="MHI88" s="996"/>
      <c r="MHJ88" s="996"/>
      <c r="MHK88" s="996"/>
      <c r="MHL88" s="996"/>
      <c r="MHM88" s="996"/>
      <c r="MHN88" s="996"/>
      <c r="MHO88" s="996"/>
      <c r="MHP88" s="996"/>
      <c r="MHQ88" s="996"/>
      <c r="MHR88" s="996"/>
      <c r="MHS88" s="996"/>
      <c r="MHT88" s="996"/>
      <c r="MHU88" s="996"/>
      <c r="MHV88" s="996"/>
      <c r="MHW88" s="996"/>
      <c r="MHX88" s="996"/>
      <c r="MHY88" s="996"/>
      <c r="MHZ88" s="996"/>
      <c r="MIA88" s="996"/>
      <c r="MIB88" s="996"/>
      <c r="MIC88" s="996"/>
      <c r="MID88" s="996"/>
      <c r="MIE88" s="996"/>
      <c r="MIF88" s="996"/>
      <c r="MIG88" s="996"/>
      <c r="MIH88" s="996"/>
      <c r="MII88" s="996"/>
      <c r="MIJ88" s="996"/>
      <c r="MIK88" s="996"/>
      <c r="MIL88" s="996"/>
      <c r="MIM88" s="996"/>
      <c r="MIN88" s="996"/>
      <c r="MIO88" s="996"/>
      <c r="MIP88" s="996"/>
      <c r="MIQ88" s="996"/>
      <c r="MIR88" s="996"/>
      <c r="MIS88" s="996"/>
      <c r="MIT88" s="996"/>
      <c r="MIU88" s="996"/>
      <c r="MIV88" s="996"/>
      <c r="MIW88" s="996"/>
      <c r="MIX88" s="996"/>
      <c r="MIY88" s="996"/>
      <c r="MIZ88" s="996"/>
      <c r="MJA88" s="996"/>
      <c r="MJB88" s="996"/>
      <c r="MJC88" s="996"/>
      <c r="MJD88" s="996"/>
      <c r="MJE88" s="996"/>
      <c r="MJF88" s="996"/>
      <c r="MJG88" s="996"/>
      <c r="MJH88" s="996"/>
      <c r="MJI88" s="996"/>
      <c r="MJJ88" s="996"/>
      <c r="MJK88" s="996"/>
      <c r="MJL88" s="996"/>
      <c r="MJM88" s="996"/>
      <c r="MJN88" s="996"/>
      <c r="MJO88" s="996"/>
      <c r="MJP88" s="996"/>
      <c r="MJQ88" s="996"/>
      <c r="MJR88" s="996"/>
      <c r="MJS88" s="996"/>
      <c r="MJT88" s="996"/>
      <c r="MJU88" s="996"/>
      <c r="MJV88" s="996"/>
      <c r="MJW88" s="996"/>
      <c r="MJX88" s="996"/>
      <c r="MJY88" s="996"/>
      <c r="MJZ88" s="996"/>
      <c r="MKA88" s="996"/>
      <c r="MKB88" s="996"/>
      <c r="MKC88" s="996"/>
      <c r="MKD88" s="996"/>
      <c r="MKE88" s="996"/>
      <c r="MKF88" s="996"/>
      <c r="MKG88" s="996"/>
      <c r="MKH88" s="996"/>
      <c r="MKI88" s="996"/>
      <c r="MKJ88" s="996"/>
      <c r="MKK88" s="996"/>
      <c r="MKL88" s="996"/>
      <c r="MKM88" s="996"/>
      <c r="MKN88" s="996"/>
      <c r="MKO88" s="996"/>
      <c r="MKP88" s="996"/>
      <c r="MKQ88" s="996"/>
      <c r="MKR88" s="996"/>
      <c r="MKS88" s="996"/>
      <c r="MKT88" s="996"/>
      <c r="MKU88" s="996"/>
      <c r="MKV88" s="996"/>
      <c r="MKW88" s="996"/>
      <c r="MKX88" s="996"/>
      <c r="MKY88" s="996"/>
      <c r="MKZ88" s="996"/>
      <c r="MLA88" s="996"/>
      <c r="MLB88" s="996"/>
      <c r="MLC88" s="996"/>
      <c r="MLD88" s="996"/>
      <c r="MLE88" s="996"/>
      <c r="MLF88" s="996"/>
      <c r="MLG88" s="996"/>
      <c r="MLH88" s="996"/>
      <c r="MLI88" s="996"/>
      <c r="MLJ88" s="996"/>
      <c r="MLK88" s="996"/>
      <c r="MLL88" s="996"/>
      <c r="MLM88" s="996"/>
      <c r="MLN88" s="996"/>
      <c r="MLO88" s="996"/>
      <c r="MLP88" s="996"/>
      <c r="MLQ88" s="996"/>
      <c r="MLR88" s="996"/>
      <c r="MLS88" s="996"/>
      <c r="MLT88" s="996"/>
      <c r="MLU88" s="996"/>
      <c r="MLV88" s="996"/>
      <c r="MLW88" s="996"/>
      <c r="MLX88" s="996"/>
      <c r="MLY88" s="996"/>
      <c r="MLZ88" s="996"/>
      <c r="MMA88" s="996"/>
      <c r="MMB88" s="996"/>
      <c r="MMC88" s="996"/>
      <c r="MMD88" s="996"/>
      <c r="MME88" s="996"/>
      <c r="MMF88" s="996"/>
      <c r="MMG88" s="996"/>
      <c r="MMH88" s="996"/>
      <c r="MMI88" s="996"/>
      <c r="MMJ88" s="996"/>
      <c r="MMK88" s="996"/>
      <c r="MML88" s="996"/>
      <c r="MMM88" s="996"/>
      <c r="MMN88" s="996"/>
      <c r="MMO88" s="996"/>
      <c r="MMP88" s="996"/>
      <c r="MMQ88" s="996"/>
      <c r="MMR88" s="996"/>
      <c r="MMS88" s="996"/>
      <c r="MMT88" s="996"/>
      <c r="MMU88" s="996"/>
      <c r="MMV88" s="996"/>
      <c r="MMW88" s="996"/>
      <c r="MMX88" s="996"/>
      <c r="MMY88" s="996"/>
      <c r="MMZ88" s="996"/>
      <c r="MNA88" s="996"/>
      <c r="MNB88" s="996"/>
      <c r="MNC88" s="996"/>
      <c r="MND88" s="996"/>
      <c r="MNE88" s="996"/>
      <c r="MNF88" s="996"/>
      <c r="MNG88" s="996"/>
      <c r="MNH88" s="996"/>
      <c r="MNI88" s="996"/>
      <c r="MNJ88" s="996"/>
      <c r="MNK88" s="996"/>
      <c r="MNL88" s="996"/>
      <c r="MNM88" s="996"/>
      <c r="MNN88" s="996"/>
      <c r="MNO88" s="996"/>
      <c r="MNP88" s="996"/>
      <c r="MNQ88" s="996"/>
      <c r="MNR88" s="996"/>
      <c r="MNS88" s="996"/>
      <c r="MNT88" s="996"/>
      <c r="MNU88" s="996"/>
      <c r="MNV88" s="996"/>
      <c r="MNW88" s="996"/>
      <c r="MNX88" s="996"/>
      <c r="MNY88" s="996"/>
      <c r="MNZ88" s="996"/>
      <c r="MOA88" s="996"/>
      <c r="MOB88" s="996"/>
      <c r="MOC88" s="996"/>
      <c r="MOD88" s="996"/>
      <c r="MOE88" s="996"/>
      <c r="MOF88" s="996"/>
      <c r="MOG88" s="996"/>
      <c r="MOH88" s="996"/>
      <c r="MOI88" s="996"/>
      <c r="MOJ88" s="996"/>
      <c r="MOK88" s="996"/>
      <c r="MOL88" s="996"/>
      <c r="MOM88" s="996"/>
      <c r="MON88" s="996"/>
      <c r="MOO88" s="996"/>
      <c r="MOP88" s="996"/>
      <c r="MOQ88" s="996"/>
      <c r="MOR88" s="996"/>
      <c r="MOS88" s="996"/>
      <c r="MOT88" s="996"/>
      <c r="MOU88" s="996"/>
      <c r="MOV88" s="996"/>
      <c r="MOW88" s="996"/>
      <c r="MOX88" s="996"/>
      <c r="MOY88" s="996"/>
      <c r="MOZ88" s="996"/>
      <c r="MPA88" s="996"/>
      <c r="MPB88" s="996"/>
      <c r="MPC88" s="996"/>
      <c r="MPD88" s="996"/>
      <c r="MPE88" s="996"/>
      <c r="MPF88" s="996"/>
      <c r="MPG88" s="996"/>
      <c r="MPH88" s="996"/>
      <c r="MPI88" s="996"/>
      <c r="MPJ88" s="996"/>
      <c r="MPK88" s="996"/>
      <c r="MPL88" s="996"/>
      <c r="MPM88" s="996"/>
      <c r="MPN88" s="996"/>
      <c r="MPO88" s="996"/>
      <c r="MPP88" s="996"/>
      <c r="MPQ88" s="996"/>
      <c r="MPR88" s="996"/>
      <c r="MPS88" s="996"/>
      <c r="MPT88" s="996"/>
      <c r="MPU88" s="996"/>
      <c r="MPV88" s="996"/>
      <c r="MPW88" s="996"/>
      <c r="MPX88" s="996"/>
      <c r="MPY88" s="996"/>
      <c r="MPZ88" s="996"/>
      <c r="MQA88" s="996"/>
      <c r="MQB88" s="996"/>
      <c r="MQC88" s="996"/>
      <c r="MQD88" s="996"/>
      <c r="MQE88" s="996"/>
      <c r="MQF88" s="996"/>
      <c r="MQG88" s="996"/>
      <c r="MQH88" s="996"/>
      <c r="MQI88" s="996"/>
      <c r="MQJ88" s="996"/>
      <c r="MQK88" s="996"/>
      <c r="MQL88" s="996"/>
      <c r="MQM88" s="996"/>
      <c r="MQN88" s="996"/>
      <c r="MQO88" s="996"/>
      <c r="MQP88" s="996"/>
      <c r="MQQ88" s="996"/>
      <c r="MQR88" s="996"/>
      <c r="MQS88" s="996"/>
      <c r="MQT88" s="996"/>
      <c r="MQU88" s="996"/>
      <c r="MQV88" s="996"/>
      <c r="MQW88" s="996"/>
      <c r="MQX88" s="996"/>
      <c r="MQY88" s="996"/>
      <c r="MQZ88" s="996"/>
      <c r="MRA88" s="996"/>
      <c r="MRB88" s="996"/>
      <c r="MRC88" s="996"/>
      <c r="MRD88" s="996"/>
      <c r="MRE88" s="996"/>
      <c r="MRF88" s="996"/>
      <c r="MRG88" s="996"/>
      <c r="MRH88" s="996"/>
      <c r="MRI88" s="996"/>
      <c r="MRJ88" s="996"/>
      <c r="MRK88" s="996"/>
      <c r="MRL88" s="996"/>
      <c r="MRM88" s="996"/>
      <c r="MRN88" s="996"/>
      <c r="MRO88" s="996"/>
      <c r="MRP88" s="996"/>
      <c r="MRQ88" s="996"/>
      <c r="MRR88" s="996"/>
      <c r="MRS88" s="996"/>
      <c r="MRT88" s="996"/>
      <c r="MRU88" s="996"/>
      <c r="MRV88" s="996"/>
      <c r="MRW88" s="996"/>
      <c r="MRX88" s="996"/>
      <c r="MRY88" s="996"/>
      <c r="MRZ88" s="996"/>
      <c r="MSA88" s="996"/>
      <c r="MSB88" s="996"/>
      <c r="MSC88" s="996"/>
      <c r="MSD88" s="996"/>
      <c r="MSE88" s="996"/>
      <c r="MSF88" s="996"/>
      <c r="MSG88" s="996"/>
      <c r="MSH88" s="996"/>
      <c r="MSI88" s="996"/>
      <c r="MSJ88" s="996"/>
      <c r="MSK88" s="996"/>
      <c r="MSL88" s="996"/>
      <c r="MSM88" s="996"/>
      <c r="MSN88" s="996"/>
      <c r="MSO88" s="996"/>
      <c r="MSP88" s="996"/>
      <c r="MSQ88" s="996"/>
      <c r="MSR88" s="996"/>
      <c r="MSS88" s="996"/>
      <c r="MST88" s="996"/>
      <c r="MSU88" s="996"/>
      <c r="MSV88" s="996"/>
      <c r="MSW88" s="996"/>
      <c r="MSX88" s="996"/>
      <c r="MSY88" s="996"/>
      <c r="MSZ88" s="996"/>
      <c r="MTA88" s="996"/>
      <c r="MTB88" s="996"/>
      <c r="MTC88" s="996"/>
      <c r="MTD88" s="996"/>
      <c r="MTE88" s="996"/>
      <c r="MTF88" s="996"/>
      <c r="MTG88" s="996"/>
      <c r="MTH88" s="996"/>
      <c r="MTI88" s="996"/>
      <c r="MTJ88" s="996"/>
      <c r="MTK88" s="996"/>
      <c r="MTL88" s="996"/>
      <c r="MTM88" s="996"/>
      <c r="MTN88" s="996"/>
      <c r="MTO88" s="996"/>
      <c r="MTP88" s="996"/>
      <c r="MTQ88" s="996"/>
      <c r="MTR88" s="996"/>
      <c r="MTS88" s="996"/>
      <c r="MTT88" s="996"/>
      <c r="MTU88" s="996"/>
      <c r="MTV88" s="996"/>
      <c r="MTW88" s="996"/>
      <c r="MTX88" s="996"/>
      <c r="MTY88" s="996"/>
      <c r="MTZ88" s="996"/>
      <c r="MUA88" s="996"/>
      <c r="MUB88" s="996"/>
      <c r="MUC88" s="996"/>
      <c r="MUD88" s="996"/>
      <c r="MUE88" s="996"/>
      <c r="MUF88" s="996"/>
      <c r="MUG88" s="996"/>
      <c r="MUH88" s="996"/>
      <c r="MUI88" s="996"/>
      <c r="MUJ88" s="996"/>
      <c r="MUK88" s="996"/>
      <c r="MUL88" s="996"/>
      <c r="MUM88" s="996"/>
      <c r="MUN88" s="996"/>
      <c r="MUO88" s="996"/>
      <c r="MUP88" s="996"/>
      <c r="MUQ88" s="996"/>
      <c r="MUR88" s="996"/>
      <c r="MUS88" s="996"/>
      <c r="MUT88" s="996"/>
      <c r="MUU88" s="996"/>
      <c r="MUV88" s="996"/>
      <c r="MUW88" s="996"/>
      <c r="MUX88" s="996"/>
      <c r="MUY88" s="996"/>
      <c r="MUZ88" s="996"/>
      <c r="MVA88" s="996"/>
      <c r="MVB88" s="996"/>
      <c r="MVC88" s="996"/>
      <c r="MVD88" s="996"/>
      <c r="MVE88" s="996"/>
      <c r="MVF88" s="996"/>
      <c r="MVG88" s="996"/>
      <c r="MVH88" s="996"/>
      <c r="MVI88" s="996"/>
      <c r="MVJ88" s="996"/>
      <c r="MVK88" s="996"/>
      <c r="MVL88" s="996"/>
      <c r="MVM88" s="996"/>
      <c r="MVN88" s="996"/>
      <c r="MVO88" s="996"/>
      <c r="MVP88" s="996"/>
      <c r="MVQ88" s="996"/>
      <c r="MVR88" s="996"/>
      <c r="MVS88" s="996"/>
      <c r="MVT88" s="996"/>
      <c r="MVU88" s="996"/>
      <c r="MVV88" s="996"/>
      <c r="MVW88" s="996"/>
      <c r="MVX88" s="996"/>
      <c r="MVY88" s="996"/>
      <c r="MVZ88" s="996"/>
      <c r="MWA88" s="996"/>
      <c r="MWB88" s="996"/>
      <c r="MWC88" s="996"/>
      <c r="MWD88" s="996"/>
      <c r="MWE88" s="996"/>
      <c r="MWF88" s="996"/>
      <c r="MWG88" s="996"/>
      <c r="MWH88" s="996"/>
      <c r="MWI88" s="996"/>
      <c r="MWJ88" s="996"/>
      <c r="MWK88" s="996"/>
      <c r="MWL88" s="996"/>
      <c r="MWM88" s="996"/>
      <c r="MWN88" s="996"/>
      <c r="MWO88" s="996"/>
      <c r="MWP88" s="996"/>
      <c r="MWQ88" s="996"/>
      <c r="MWR88" s="996"/>
      <c r="MWS88" s="996"/>
      <c r="MWT88" s="996"/>
      <c r="MWU88" s="996"/>
      <c r="MWV88" s="996"/>
      <c r="MWW88" s="996"/>
      <c r="MWX88" s="996"/>
      <c r="MWY88" s="996"/>
      <c r="MWZ88" s="996"/>
      <c r="MXA88" s="996"/>
      <c r="MXB88" s="996"/>
      <c r="MXC88" s="996"/>
      <c r="MXD88" s="996"/>
      <c r="MXE88" s="996"/>
      <c r="MXF88" s="996"/>
      <c r="MXG88" s="996"/>
      <c r="MXH88" s="996"/>
      <c r="MXI88" s="996"/>
      <c r="MXJ88" s="996"/>
      <c r="MXK88" s="996"/>
      <c r="MXL88" s="996"/>
      <c r="MXM88" s="996"/>
      <c r="MXN88" s="996"/>
      <c r="MXO88" s="996"/>
      <c r="MXP88" s="996"/>
      <c r="MXQ88" s="996"/>
      <c r="MXR88" s="996"/>
      <c r="MXS88" s="996"/>
      <c r="MXT88" s="996"/>
      <c r="MXU88" s="996"/>
      <c r="MXV88" s="996"/>
      <c r="MXW88" s="996"/>
      <c r="MXX88" s="996"/>
      <c r="MXY88" s="996"/>
      <c r="MXZ88" s="996"/>
      <c r="MYA88" s="996"/>
      <c r="MYB88" s="996"/>
      <c r="MYC88" s="996"/>
      <c r="MYD88" s="996"/>
      <c r="MYE88" s="996"/>
      <c r="MYF88" s="996"/>
      <c r="MYG88" s="996"/>
      <c r="MYH88" s="996"/>
      <c r="MYI88" s="996"/>
      <c r="MYJ88" s="996"/>
      <c r="MYK88" s="996"/>
      <c r="MYL88" s="996"/>
      <c r="MYM88" s="996"/>
      <c r="MYN88" s="996"/>
      <c r="MYO88" s="996"/>
      <c r="MYP88" s="996"/>
      <c r="MYQ88" s="996"/>
      <c r="MYR88" s="996"/>
      <c r="MYS88" s="996"/>
      <c r="MYT88" s="996"/>
      <c r="MYU88" s="996"/>
      <c r="MYV88" s="996"/>
      <c r="MYW88" s="996"/>
      <c r="MYX88" s="996"/>
      <c r="MYY88" s="996"/>
      <c r="MYZ88" s="996"/>
      <c r="MZA88" s="996"/>
      <c r="MZB88" s="996"/>
      <c r="MZC88" s="996"/>
      <c r="MZD88" s="996"/>
      <c r="MZE88" s="996"/>
      <c r="MZF88" s="996"/>
      <c r="MZG88" s="996"/>
      <c r="MZH88" s="996"/>
      <c r="MZI88" s="996"/>
      <c r="MZJ88" s="996"/>
      <c r="MZK88" s="996"/>
      <c r="MZL88" s="996"/>
      <c r="MZM88" s="996"/>
      <c r="MZN88" s="996"/>
      <c r="MZO88" s="996"/>
      <c r="MZP88" s="996"/>
      <c r="MZQ88" s="996"/>
      <c r="MZR88" s="996"/>
      <c r="MZS88" s="996"/>
      <c r="MZT88" s="996"/>
      <c r="MZU88" s="996"/>
      <c r="MZV88" s="996"/>
      <c r="MZW88" s="996"/>
      <c r="MZX88" s="996"/>
      <c r="MZY88" s="996"/>
      <c r="MZZ88" s="996"/>
      <c r="NAA88" s="996"/>
      <c r="NAB88" s="996"/>
      <c r="NAC88" s="996"/>
      <c r="NAD88" s="996"/>
      <c r="NAE88" s="996"/>
      <c r="NAF88" s="996"/>
      <c r="NAG88" s="996"/>
      <c r="NAH88" s="996"/>
      <c r="NAI88" s="996"/>
      <c r="NAJ88" s="996"/>
      <c r="NAK88" s="996"/>
      <c r="NAL88" s="996"/>
      <c r="NAM88" s="996"/>
      <c r="NAN88" s="996"/>
      <c r="NAO88" s="996"/>
      <c r="NAP88" s="996"/>
      <c r="NAQ88" s="996"/>
      <c r="NAR88" s="996"/>
      <c r="NAS88" s="996"/>
      <c r="NAT88" s="996"/>
      <c r="NAU88" s="996"/>
      <c r="NAV88" s="996"/>
      <c r="NAW88" s="996"/>
      <c r="NAX88" s="996"/>
      <c r="NAY88" s="996"/>
      <c r="NAZ88" s="996"/>
      <c r="NBA88" s="996"/>
      <c r="NBB88" s="996"/>
      <c r="NBC88" s="996"/>
      <c r="NBD88" s="996"/>
      <c r="NBE88" s="996"/>
      <c r="NBF88" s="996"/>
      <c r="NBG88" s="996"/>
      <c r="NBH88" s="996"/>
      <c r="NBI88" s="996"/>
      <c r="NBJ88" s="996"/>
      <c r="NBK88" s="996"/>
      <c r="NBL88" s="996"/>
      <c r="NBM88" s="996"/>
      <c r="NBN88" s="996"/>
      <c r="NBO88" s="996"/>
      <c r="NBP88" s="996"/>
      <c r="NBQ88" s="996"/>
      <c r="NBR88" s="996"/>
      <c r="NBS88" s="996"/>
      <c r="NBT88" s="996"/>
      <c r="NBU88" s="996"/>
      <c r="NBV88" s="996"/>
      <c r="NBW88" s="996"/>
      <c r="NBX88" s="996"/>
      <c r="NBY88" s="996"/>
      <c r="NBZ88" s="996"/>
      <c r="NCA88" s="996"/>
      <c r="NCB88" s="996"/>
      <c r="NCC88" s="996"/>
      <c r="NCD88" s="996"/>
      <c r="NCE88" s="996"/>
      <c r="NCF88" s="996"/>
      <c r="NCG88" s="996"/>
      <c r="NCH88" s="996"/>
      <c r="NCI88" s="996"/>
      <c r="NCJ88" s="996"/>
      <c r="NCK88" s="996"/>
      <c r="NCL88" s="996"/>
      <c r="NCM88" s="996"/>
      <c r="NCN88" s="996"/>
      <c r="NCO88" s="996"/>
      <c r="NCP88" s="996"/>
      <c r="NCQ88" s="996"/>
      <c r="NCR88" s="996"/>
      <c r="NCS88" s="996"/>
      <c r="NCT88" s="996"/>
      <c r="NCU88" s="996"/>
      <c r="NCV88" s="996"/>
      <c r="NCW88" s="996"/>
      <c r="NCX88" s="996"/>
      <c r="NCY88" s="996"/>
      <c r="NCZ88" s="996"/>
      <c r="NDA88" s="996"/>
      <c r="NDB88" s="996"/>
      <c r="NDC88" s="996"/>
      <c r="NDD88" s="996"/>
      <c r="NDE88" s="996"/>
      <c r="NDF88" s="996"/>
      <c r="NDG88" s="996"/>
      <c r="NDH88" s="996"/>
      <c r="NDI88" s="996"/>
      <c r="NDJ88" s="996"/>
      <c r="NDK88" s="996"/>
      <c r="NDL88" s="996"/>
      <c r="NDM88" s="996"/>
      <c r="NDN88" s="996"/>
      <c r="NDO88" s="996"/>
      <c r="NDP88" s="996"/>
      <c r="NDQ88" s="996"/>
      <c r="NDR88" s="996"/>
      <c r="NDS88" s="996"/>
      <c r="NDT88" s="996"/>
      <c r="NDU88" s="996"/>
      <c r="NDV88" s="996"/>
      <c r="NDW88" s="996"/>
      <c r="NDX88" s="996"/>
      <c r="NDY88" s="996"/>
      <c r="NDZ88" s="996"/>
      <c r="NEA88" s="996"/>
      <c r="NEB88" s="996"/>
      <c r="NEC88" s="996"/>
      <c r="NED88" s="996"/>
      <c r="NEE88" s="996"/>
      <c r="NEF88" s="996"/>
      <c r="NEG88" s="996"/>
      <c r="NEH88" s="996"/>
      <c r="NEI88" s="996"/>
      <c r="NEJ88" s="996"/>
      <c r="NEK88" s="996"/>
      <c r="NEL88" s="996"/>
      <c r="NEM88" s="996"/>
      <c r="NEN88" s="996"/>
      <c r="NEO88" s="996"/>
      <c r="NEP88" s="996"/>
      <c r="NEQ88" s="996"/>
      <c r="NER88" s="996"/>
      <c r="NES88" s="996"/>
      <c r="NET88" s="996"/>
      <c r="NEU88" s="996"/>
      <c r="NEV88" s="996"/>
      <c r="NEW88" s="996"/>
      <c r="NEX88" s="996"/>
      <c r="NEY88" s="996"/>
      <c r="NEZ88" s="996"/>
      <c r="NFA88" s="996"/>
      <c r="NFB88" s="996"/>
      <c r="NFC88" s="996"/>
      <c r="NFD88" s="996"/>
      <c r="NFE88" s="996"/>
      <c r="NFF88" s="996"/>
      <c r="NFG88" s="996"/>
      <c r="NFH88" s="996"/>
      <c r="NFI88" s="996"/>
      <c r="NFJ88" s="996"/>
      <c r="NFK88" s="996"/>
      <c r="NFL88" s="996"/>
      <c r="NFM88" s="996"/>
      <c r="NFN88" s="996"/>
      <c r="NFO88" s="996"/>
      <c r="NFP88" s="996"/>
      <c r="NFQ88" s="996"/>
      <c r="NFR88" s="996"/>
      <c r="NFS88" s="996"/>
      <c r="NFT88" s="996"/>
      <c r="NFU88" s="996"/>
      <c r="NFV88" s="996"/>
      <c r="NFW88" s="996"/>
      <c r="NFX88" s="996"/>
      <c r="NFY88" s="996"/>
      <c r="NFZ88" s="996"/>
      <c r="NGA88" s="996"/>
      <c r="NGB88" s="996"/>
      <c r="NGC88" s="996"/>
      <c r="NGD88" s="996"/>
      <c r="NGE88" s="996"/>
      <c r="NGF88" s="996"/>
      <c r="NGG88" s="996"/>
      <c r="NGH88" s="996"/>
      <c r="NGI88" s="996"/>
      <c r="NGJ88" s="996"/>
      <c r="NGK88" s="996"/>
      <c r="NGL88" s="996"/>
      <c r="NGM88" s="996"/>
      <c r="NGN88" s="996"/>
      <c r="NGO88" s="996"/>
      <c r="NGP88" s="996"/>
      <c r="NGQ88" s="996"/>
      <c r="NGR88" s="996"/>
      <c r="NGS88" s="996"/>
      <c r="NGT88" s="996"/>
      <c r="NGU88" s="996"/>
      <c r="NGV88" s="996"/>
      <c r="NGW88" s="996"/>
      <c r="NGX88" s="996"/>
      <c r="NGY88" s="996"/>
      <c r="NGZ88" s="996"/>
      <c r="NHA88" s="996"/>
      <c r="NHB88" s="996"/>
      <c r="NHC88" s="996"/>
      <c r="NHD88" s="996"/>
      <c r="NHE88" s="996"/>
      <c r="NHF88" s="996"/>
      <c r="NHG88" s="996"/>
      <c r="NHH88" s="996"/>
      <c r="NHI88" s="996"/>
      <c r="NHJ88" s="996"/>
      <c r="NHK88" s="996"/>
      <c r="NHL88" s="996"/>
      <c r="NHM88" s="996"/>
      <c r="NHN88" s="996"/>
      <c r="NHO88" s="996"/>
      <c r="NHP88" s="996"/>
      <c r="NHQ88" s="996"/>
      <c r="NHR88" s="996"/>
      <c r="NHS88" s="996"/>
      <c r="NHT88" s="996"/>
      <c r="NHU88" s="996"/>
      <c r="NHV88" s="996"/>
      <c r="NHW88" s="996"/>
      <c r="NHX88" s="996"/>
      <c r="NHY88" s="996"/>
      <c r="NHZ88" s="996"/>
      <c r="NIA88" s="996"/>
      <c r="NIB88" s="996"/>
      <c r="NIC88" s="996"/>
      <c r="NID88" s="996"/>
      <c r="NIE88" s="996"/>
      <c r="NIF88" s="996"/>
      <c r="NIG88" s="996"/>
      <c r="NIH88" s="996"/>
      <c r="NII88" s="996"/>
      <c r="NIJ88" s="996"/>
      <c r="NIK88" s="996"/>
      <c r="NIL88" s="996"/>
      <c r="NIM88" s="996"/>
      <c r="NIN88" s="996"/>
      <c r="NIO88" s="996"/>
      <c r="NIP88" s="996"/>
      <c r="NIQ88" s="996"/>
      <c r="NIR88" s="996"/>
      <c r="NIS88" s="996"/>
      <c r="NIT88" s="996"/>
      <c r="NIU88" s="996"/>
      <c r="NIV88" s="996"/>
      <c r="NIW88" s="996"/>
      <c r="NIX88" s="996"/>
      <c r="NIY88" s="996"/>
      <c r="NIZ88" s="996"/>
      <c r="NJA88" s="996"/>
      <c r="NJB88" s="996"/>
      <c r="NJC88" s="996"/>
      <c r="NJD88" s="996"/>
      <c r="NJE88" s="996"/>
      <c r="NJF88" s="996"/>
      <c r="NJG88" s="996"/>
      <c r="NJH88" s="996"/>
      <c r="NJI88" s="996"/>
      <c r="NJJ88" s="996"/>
      <c r="NJK88" s="996"/>
      <c r="NJL88" s="996"/>
      <c r="NJM88" s="996"/>
      <c r="NJN88" s="996"/>
      <c r="NJO88" s="996"/>
      <c r="NJP88" s="996"/>
      <c r="NJQ88" s="996"/>
      <c r="NJR88" s="996"/>
      <c r="NJS88" s="996"/>
      <c r="NJT88" s="996"/>
      <c r="NJU88" s="996"/>
      <c r="NJV88" s="996"/>
      <c r="NJW88" s="996"/>
      <c r="NJX88" s="996"/>
      <c r="NJY88" s="996"/>
      <c r="NJZ88" s="996"/>
      <c r="NKA88" s="996"/>
      <c r="NKB88" s="996"/>
      <c r="NKC88" s="996"/>
      <c r="NKD88" s="996"/>
      <c r="NKE88" s="996"/>
      <c r="NKF88" s="996"/>
      <c r="NKG88" s="996"/>
      <c r="NKH88" s="996"/>
      <c r="NKI88" s="996"/>
      <c r="NKJ88" s="996"/>
      <c r="NKK88" s="996"/>
      <c r="NKL88" s="996"/>
      <c r="NKM88" s="996"/>
      <c r="NKN88" s="996"/>
      <c r="NKO88" s="996"/>
      <c r="NKP88" s="996"/>
      <c r="NKQ88" s="996"/>
      <c r="NKR88" s="996"/>
      <c r="NKS88" s="996"/>
      <c r="NKT88" s="996"/>
      <c r="NKU88" s="996"/>
      <c r="NKV88" s="996"/>
      <c r="NKW88" s="996"/>
      <c r="NKX88" s="996"/>
      <c r="NKY88" s="996"/>
      <c r="NKZ88" s="996"/>
      <c r="NLA88" s="996"/>
      <c r="NLB88" s="996"/>
      <c r="NLC88" s="996"/>
      <c r="NLD88" s="996"/>
      <c r="NLE88" s="996"/>
      <c r="NLF88" s="996"/>
      <c r="NLG88" s="996"/>
      <c r="NLH88" s="996"/>
      <c r="NLI88" s="996"/>
      <c r="NLJ88" s="996"/>
      <c r="NLK88" s="996"/>
      <c r="NLL88" s="996"/>
      <c r="NLM88" s="996"/>
      <c r="NLN88" s="996"/>
      <c r="NLO88" s="996"/>
      <c r="NLP88" s="996"/>
      <c r="NLQ88" s="996"/>
      <c r="NLR88" s="996"/>
      <c r="NLS88" s="996"/>
      <c r="NLT88" s="996"/>
      <c r="NLU88" s="996"/>
      <c r="NLV88" s="996"/>
      <c r="NLW88" s="996"/>
      <c r="NLX88" s="996"/>
      <c r="NLY88" s="996"/>
      <c r="NLZ88" s="996"/>
      <c r="NMA88" s="996"/>
      <c r="NMB88" s="996"/>
      <c r="NMC88" s="996"/>
      <c r="NMD88" s="996"/>
      <c r="NME88" s="996"/>
      <c r="NMF88" s="996"/>
      <c r="NMG88" s="996"/>
      <c r="NMH88" s="996"/>
      <c r="NMI88" s="996"/>
      <c r="NMJ88" s="996"/>
      <c r="NMK88" s="996"/>
      <c r="NML88" s="996"/>
      <c r="NMM88" s="996"/>
      <c r="NMN88" s="996"/>
      <c r="NMO88" s="996"/>
      <c r="NMP88" s="996"/>
      <c r="NMQ88" s="996"/>
      <c r="NMR88" s="996"/>
      <c r="NMS88" s="996"/>
      <c r="NMT88" s="996"/>
      <c r="NMU88" s="996"/>
      <c r="NMV88" s="996"/>
      <c r="NMW88" s="996"/>
      <c r="NMX88" s="996"/>
      <c r="NMY88" s="996"/>
      <c r="NMZ88" s="996"/>
      <c r="NNA88" s="996"/>
      <c r="NNB88" s="996"/>
      <c r="NNC88" s="996"/>
      <c r="NND88" s="996"/>
      <c r="NNE88" s="996"/>
      <c r="NNF88" s="996"/>
      <c r="NNG88" s="996"/>
      <c r="NNH88" s="996"/>
      <c r="NNI88" s="996"/>
      <c r="NNJ88" s="996"/>
      <c r="NNK88" s="996"/>
      <c r="NNL88" s="996"/>
      <c r="NNM88" s="996"/>
      <c r="NNN88" s="996"/>
      <c r="NNO88" s="996"/>
      <c r="NNP88" s="996"/>
      <c r="NNQ88" s="996"/>
      <c r="NNR88" s="996"/>
      <c r="NNS88" s="996"/>
      <c r="NNT88" s="996"/>
      <c r="NNU88" s="996"/>
      <c r="NNV88" s="996"/>
      <c r="NNW88" s="996"/>
      <c r="NNX88" s="996"/>
      <c r="NNY88" s="996"/>
      <c r="NNZ88" s="996"/>
      <c r="NOA88" s="996"/>
      <c r="NOB88" s="996"/>
      <c r="NOC88" s="996"/>
      <c r="NOD88" s="996"/>
      <c r="NOE88" s="996"/>
      <c r="NOF88" s="996"/>
      <c r="NOG88" s="996"/>
      <c r="NOH88" s="996"/>
      <c r="NOI88" s="996"/>
      <c r="NOJ88" s="996"/>
      <c r="NOK88" s="996"/>
      <c r="NOL88" s="996"/>
      <c r="NOM88" s="996"/>
      <c r="NON88" s="996"/>
      <c r="NOO88" s="996"/>
      <c r="NOP88" s="996"/>
      <c r="NOQ88" s="996"/>
      <c r="NOR88" s="996"/>
      <c r="NOS88" s="996"/>
      <c r="NOT88" s="996"/>
      <c r="NOU88" s="996"/>
      <c r="NOV88" s="996"/>
      <c r="NOW88" s="996"/>
      <c r="NOX88" s="996"/>
      <c r="NOY88" s="996"/>
      <c r="NOZ88" s="996"/>
      <c r="NPA88" s="996"/>
      <c r="NPB88" s="996"/>
      <c r="NPC88" s="996"/>
      <c r="NPD88" s="996"/>
      <c r="NPE88" s="996"/>
      <c r="NPF88" s="996"/>
      <c r="NPG88" s="996"/>
      <c r="NPH88" s="996"/>
      <c r="NPI88" s="996"/>
      <c r="NPJ88" s="996"/>
      <c r="NPK88" s="996"/>
      <c r="NPL88" s="996"/>
      <c r="NPM88" s="996"/>
      <c r="NPN88" s="996"/>
      <c r="NPO88" s="996"/>
      <c r="NPP88" s="996"/>
      <c r="NPQ88" s="996"/>
      <c r="NPR88" s="996"/>
      <c r="NPS88" s="996"/>
      <c r="NPT88" s="996"/>
      <c r="NPU88" s="996"/>
      <c r="NPV88" s="996"/>
      <c r="NPW88" s="996"/>
      <c r="NPX88" s="996"/>
      <c r="NPY88" s="996"/>
      <c r="NPZ88" s="996"/>
      <c r="NQA88" s="996"/>
      <c r="NQB88" s="996"/>
      <c r="NQC88" s="996"/>
      <c r="NQD88" s="996"/>
      <c r="NQE88" s="996"/>
      <c r="NQF88" s="996"/>
      <c r="NQG88" s="996"/>
      <c r="NQH88" s="996"/>
      <c r="NQI88" s="996"/>
      <c r="NQJ88" s="996"/>
      <c r="NQK88" s="996"/>
      <c r="NQL88" s="996"/>
      <c r="NQM88" s="996"/>
      <c r="NQN88" s="996"/>
      <c r="NQO88" s="996"/>
      <c r="NQP88" s="996"/>
      <c r="NQQ88" s="996"/>
      <c r="NQR88" s="996"/>
      <c r="NQS88" s="996"/>
      <c r="NQT88" s="996"/>
      <c r="NQU88" s="996"/>
      <c r="NQV88" s="996"/>
      <c r="NQW88" s="996"/>
      <c r="NQX88" s="996"/>
      <c r="NQY88" s="996"/>
      <c r="NQZ88" s="996"/>
      <c r="NRA88" s="996"/>
      <c r="NRB88" s="996"/>
      <c r="NRC88" s="996"/>
      <c r="NRD88" s="996"/>
      <c r="NRE88" s="996"/>
      <c r="NRF88" s="996"/>
      <c r="NRG88" s="996"/>
      <c r="NRH88" s="996"/>
      <c r="NRI88" s="996"/>
      <c r="NRJ88" s="996"/>
      <c r="NRK88" s="996"/>
      <c r="NRL88" s="996"/>
      <c r="NRM88" s="996"/>
      <c r="NRN88" s="996"/>
      <c r="NRO88" s="996"/>
      <c r="NRP88" s="996"/>
      <c r="NRQ88" s="996"/>
      <c r="NRR88" s="996"/>
      <c r="NRS88" s="996"/>
      <c r="NRT88" s="996"/>
      <c r="NRU88" s="996"/>
      <c r="NRV88" s="996"/>
      <c r="NRW88" s="996"/>
      <c r="NRX88" s="996"/>
      <c r="NRY88" s="996"/>
      <c r="NRZ88" s="996"/>
      <c r="NSA88" s="996"/>
      <c r="NSB88" s="996"/>
      <c r="NSC88" s="996"/>
      <c r="NSD88" s="996"/>
      <c r="NSE88" s="996"/>
      <c r="NSF88" s="996"/>
      <c r="NSG88" s="996"/>
      <c r="NSH88" s="996"/>
      <c r="NSI88" s="996"/>
      <c r="NSJ88" s="996"/>
      <c r="NSK88" s="996"/>
      <c r="NSL88" s="996"/>
      <c r="NSM88" s="996"/>
      <c r="NSN88" s="996"/>
      <c r="NSO88" s="996"/>
      <c r="NSP88" s="996"/>
      <c r="NSQ88" s="996"/>
      <c r="NSR88" s="996"/>
      <c r="NSS88" s="996"/>
      <c r="NST88" s="996"/>
      <c r="NSU88" s="996"/>
      <c r="NSV88" s="996"/>
      <c r="NSW88" s="996"/>
      <c r="NSX88" s="996"/>
      <c r="NSY88" s="996"/>
      <c r="NSZ88" s="996"/>
      <c r="NTA88" s="996"/>
      <c r="NTB88" s="996"/>
      <c r="NTC88" s="996"/>
      <c r="NTD88" s="996"/>
      <c r="NTE88" s="996"/>
      <c r="NTF88" s="996"/>
      <c r="NTG88" s="996"/>
      <c r="NTH88" s="996"/>
      <c r="NTI88" s="996"/>
      <c r="NTJ88" s="996"/>
      <c r="NTK88" s="996"/>
      <c r="NTL88" s="996"/>
      <c r="NTM88" s="996"/>
      <c r="NTN88" s="996"/>
      <c r="NTO88" s="996"/>
      <c r="NTP88" s="996"/>
      <c r="NTQ88" s="996"/>
      <c r="NTR88" s="996"/>
      <c r="NTS88" s="996"/>
      <c r="NTT88" s="996"/>
      <c r="NTU88" s="996"/>
      <c r="NTV88" s="996"/>
      <c r="NTW88" s="996"/>
      <c r="NTX88" s="996"/>
      <c r="NTY88" s="996"/>
      <c r="NTZ88" s="996"/>
      <c r="NUA88" s="996"/>
      <c r="NUB88" s="996"/>
      <c r="NUC88" s="996"/>
      <c r="NUD88" s="996"/>
      <c r="NUE88" s="996"/>
      <c r="NUF88" s="996"/>
      <c r="NUG88" s="996"/>
      <c r="NUH88" s="996"/>
      <c r="NUI88" s="996"/>
      <c r="NUJ88" s="996"/>
      <c r="NUK88" s="996"/>
      <c r="NUL88" s="996"/>
      <c r="NUM88" s="996"/>
      <c r="NUN88" s="996"/>
      <c r="NUO88" s="996"/>
      <c r="NUP88" s="996"/>
      <c r="NUQ88" s="996"/>
      <c r="NUR88" s="996"/>
      <c r="NUS88" s="996"/>
      <c r="NUT88" s="996"/>
      <c r="NUU88" s="996"/>
      <c r="NUV88" s="996"/>
      <c r="NUW88" s="996"/>
      <c r="NUX88" s="996"/>
      <c r="NUY88" s="996"/>
      <c r="NUZ88" s="996"/>
      <c r="NVA88" s="996"/>
      <c r="NVB88" s="996"/>
      <c r="NVC88" s="996"/>
      <c r="NVD88" s="996"/>
      <c r="NVE88" s="996"/>
      <c r="NVF88" s="996"/>
      <c r="NVG88" s="996"/>
      <c r="NVH88" s="996"/>
      <c r="NVI88" s="996"/>
      <c r="NVJ88" s="996"/>
      <c r="NVK88" s="996"/>
      <c r="NVL88" s="996"/>
      <c r="NVM88" s="996"/>
      <c r="NVN88" s="996"/>
      <c r="NVO88" s="996"/>
      <c r="NVP88" s="996"/>
      <c r="NVQ88" s="996"/>
      <c r="NVR88" s="996"/>
      <c r="NVS88" s="996"/>
      <c r="NVT88" s="996"/>
      <c r="NVU88" s="996"/>
      <c r="NVV88" s="996"/>
      <c r="NVW88" s="996"/>
      <c r="NVX88" s="996"/>
      <c r="NVY88" s="996"/>
      <c r="NVZ88" s="996"/>
      <c r="NWA88" s="996"/>
      <c r="NWB88" s="996"/>
      <c r="NWC88" s="996"/>
      <c r="NWD88" s="996"/>
      <c r="NWE88" s="996"/>
      <c r="NWF88" s="996"/>
      <c r="NWG88" s="996"/>
      <c r="NWH88" s="996"/>
      <c r="NWI88" s="996"/>
      <c r="NWJ88" s="996"/>
      <c r="NWK88" s="996"/>
      <c r="NWL88" s="996"/>
      <c r="NWM88" s="996"/>
      <c r="NWN88" s="996"/>
      <c r="NWO88" s="996"/>
      <c r="NWP88" s="996"/>
      <c r="NWQ88" s="996"/>
      <c r="NWR88" s="996"/>
      <c r="NWS88" s="996"/>
      <c r="NWT88" s="996"/>
      <c r="NWU88" s="996"/>
      <c r="NWV88" s="996"/>
      <c r="NWW88" s="996"/>
      <c r="NWX88" s="996"/>
      <c r="NWY88" s="996"/>
      <c r="NWZ88" s="996"/>
      <c r="NXA88" s="996"/>
      <c r="NXB88" s="996"/>
      <c r="NXC88" s="996"/>
      <c r="NXD88" s="996"/>
      <c r="NXE88" s="996"/>
      <c r="NXF88" s="996"/>
      <c r="NXG88" s="996"/>
      <c r="NXH88" s="996"/>
      <c r="NXI88" s="996"/>
      <c r="NXJ88" s="996"/>
      <c r="NXK88" s="996"/>
      <c r="NXL88" s="996"/>
      <c r="NXM88" s="996"/>
      <c r="NXN88" s="996"/>
      <c r="NXO88" s="996"/>
      <c r="NXP88" s="996"/>
      <c r="NXQ88" s="996"/>
      <c r="NXR88" s="996"/>
      <c r="NXS88" s="996"/>
      <c r="NXT88" s="996"/>
      <c r="NXU88" s="996"/>
      <c r="NXV88" s="996"/>
      <c r="NXW88" s="996"/>
      <c r="NXX88" s="996"/>
      <c r="NXY88" s="996"/>
      <c r="NXZ88" s="996"/>
      <c r="NYA88" s="996"/>
      <c r="NYB88" s="996"/>
      <c r="NYC88" s="996"/>
      <c r="NYD88" s="996"/>
      <c r="NYE88" s="996"/>
      <c r="NYF88" s="996"/>
      <c r="NYG88" s="996"/>
      <c r="NYH88" s="996"/>
      <c r="NYI88" s="996"/>
      <c r="NYJ88" s="996"/>
      <c r="NYK88" s="996"/>
      <c r="NYL88" s="996"/>
      <c r="NYM88" s="996"/>
      <c r="NYN88" s="996"/>
      <c r="NYO88" s="996"/>
      <c r="NYP88" s="996"/>
      <c r="NYQ88" s="996"/>
      <c r="NYR88" s="996"/>
      <c r="NYS88" s="996"/>
      <c r="NYT88" s="996"/>
      <c r="NYU88" s="996"/>
      <c r="NYV88" s="996"/>
      <c r="NYW88" s="996"/>
      <c r="NYX88" s="996"/>
      <c r="NYY88" s="996"/>
      <c r="NYZ88" s="996"/>
      <c r="NZA88" s="996"/>
      <c r="NZB88" s="996"/>
      <c r="NZC88" s="996"/>
      <c r="NZD88" s="996"/>
      <c r="NZE88" s="996"/>
      <c r="NZF88" s="996"/>
      <c r="NZG88" s="996"/>
      <c r="NZH88" s="996"/>
      <c r="NZI88" s="996"/>
      <c r="NZJ88" s="996"/>
      <c r="NZK88" s="996"/>
      <c r="NZL88" s="996"/>
      <c r="NZM88" s="996"/>
      <c r="NZN88" s="996"/>
      <c r="NZO88" s="996"/>
      <c r="NZP88" s="996"/>
      <c r="NZQ88" s="996"/>
      <c r="NZR88" s="996"/>
      <c r="NZS88" s="996"/>
      <c r="NZT88" s="996"/>
      <c r="NZU88" s="996"/>
      <c r="NZV88" s="996"/>
      <c r="NZW88" s="996"/>
      <c r="NZX88" s="996"/>
      <c r="NZY88" s="996"/>
      <c r="NZZ88" s="996"/>
      <c r="OAA88" s="996"/>
      <c r="OAB88" s="996"/>
      <c r="OAC88" s="996"/>
      <c r="OAD88" s="996"/>
      <c r="OAE88" s="996"/>
      <c r="OAF88" s="996"/>
      <c r="OAG88" s="996"/>
      <c r="OAH88" s="996"/>
      <c r="OAI88" s="996"/>
      <c r="OAJ88" s="996"/>
      <c r="OAK88" s="996"/>
      <c r="OAL88" s="996"/>
      <c r="OAM88" s="996"/>
      <c r="OAN88" s="996"/>
      <c r="OAO88" s="996"/>
      <c r="OAP88" s="996"/>
      <c r="OAQ88" s="996"/>
      <c r="OAR88" s="996"/>
      <c r="OAS88" s="996"/>
      <c r="OAT88" s="996"/>
      <c r="OAU88" s="996"/>
      <c r="OAV88" s="996"/>
      <c r="OAW88" s="996"/>
      <c r="OAX88" s="996"/>
      <c r="OAY88" s="996"/>
      <c r="OAZ88" s="996"/>
      <c r="OBA88" s="996"/>
      <c r="OBB88" s="996"/>
      <c r="OBC88" s="996"/>
      <c r="OBD88" s="996"/>
      <c r="OBE88" s="996"/>
      <c r="OBF88" s="996"/>
      <c r="OBG88" s="996"/>
      <c r="OBH88" s="996"/>
      <c r="OBI88" s="996"/>
      <c r="OBJ88" s="996"/>
      <c r="OBK88" s="996"/>
      <c r="OBL88" s="996"/>
      <c r="OBM88" s="996"/>
      <c r="OBN88" s="996"/>
      <c r="OBO88" s="996"/>
      <c r="OBP88" s="996"/>
      <c r="OBQ88" s="996"/>
      <c r="OBR88" s="996"/>
      <c r="OBS88" s="996"/>
      <c r="OBT88" s="996"/>
      <c r="OBU88" s="996"/>
      <c r="OBV88" s="996"/>
      <c r="OBW88" s="996"/>
      <c r="OBX88" s="996"/>
      <c r="OBY88" s="996"/>
      <c r="OBZ88" s="996"/>
      <c r="OCA88" s="996"/>
      <c r="OCB88" s="996"/>
      <c r="OCC88" s="996"/>
      <c r="OCD88" s="996"/>
      <c r="OCE88" s="996"/>
      <c r="OCF88" s="996"/>
      <c r="OCG88" s="996"/>
      <c r="OCH88" s="996"/>
      <c r="OCI88" s="996"/>
      <c r="OCJ88" s="996"/>
      <c r="OCK88" s="996"/>
      <c r="OCL88" s="996"/>
      <c r="OCM88" s="996"/>
      <c r="OCN88" s="996"/>
      <c r="OCO88" s="996"/>
      <c r="OCP88" s="996"/>
      <c r="OCQ88" s="996"/>
      <c r="OCR88" s="996"/>
      <c r="OCS88" s="996"/>
      <c r="OCT88" s="996"/>
      <c r="OCU88" s="996"/>
      <c r="OCV88" s="996"/>
      <c r="OCW88" s="996"/>
      <c r="OCX88" s="996"/>
      <c r="OCY88" s="996"/>
      <c r="OCZ88" s="996"/>
      <c r="ODA88" s="996"/>
      <c r="ODB88" s="996"/>
      <c r="ODC88" s="996"/>
      <c r="ODD88" s="996"/>
      <c r="ODE88" s="996"/>
      <c r="ODF88" s="996"/>
      <c r="ODG88" s="996"/>
      <c r="ODH88" s="996"/>
      <c r="ODI88" s="996"/>
      <c r="ODJ88" s="996"/>
      <c r="ODK88" s="996"/>
      <c r="ODL88" s="996"/>
      <c r="ODM88" s="996"/>
      <c r="ODN88" s="996"/>
      <c r="ODO88" s="996"/>
      <c r="ODP88" s="996"/>
      <c r="ODQ88" s="996"/>
      <c r="ODR88" s="996"/>
      <c r="ODS88" s="996"/>
      <c r="ODT88" s="996"/>
      <c r="ODU88" s="996"/>
      <c r="ODV88" s="996"/>
      <c r="ODW88" s="996"/>
      <c r="ODX88" s="996"/>
      <c r="ODY88" s="996"/>
      <c r="ODZ88" s="996"/>
      <c r="OEA88" s="996"/>
      <c r="OEB88" s="996"/>
      <c r="OEC88" s="996"/>
      <c r="OED88" s="996"/>
      <c r="OEE88" s="996"/>
      <c r="OEF88" s="996"/>
      <c r="OEG88" s="996"/>
      <c r="OEH88" s="996"/>
      <c r="OEI88" s="996"/>
      <c r="OEJ88" s="996"/>
      <c r="OEK88" s="996"/>
      <c r="OEL88" s="996"/>
      <c r="OEM88" s="996"/>
      <c r="OEN88" s="996"/>
      <c r="OEO88" s="996"/>
      <c r="OEP88" s="996"/>
      <c r="OEQ88" s="996"/>
      <c r="OER88" s="996"/>
      <c r="OES88" s="996"/>
      <c r="OET88" s="996"/>
      <c r="OEU88" s="996"/>
      <c r="OEV88" s="996"/>
      <c r="OEW88" s="996"/>
      <c r="OEX88" s="996"/>
      <c r="OEY88" s="996"/>
      <c r="OEZ88" s="996"/>
      <c r="OFA88" s="996"/>
      <c r="OFB88" s="996"/>
      <c r="OFC88" s="996"/>
      <c r="OFD88" s="996"/>
      <c r="OFE88" s="996"/>
      <c r="OFF88" s="996"/>
      <c r="OFG88" s="996"/>
      <c r="OFH88" s="996"/>
      <c r="OFI88" s="996"/>
      <c r="OFJ88" s="996"/>
      <c r="OFK88" s="996"/>
      <c r="OFL88" s="996"/>
      <c r="OFM88" s="996"/>
      <c r="OFN88" s="996"/>
      <c r="OFO88" s="996"/>
      <c r="OFP88" s="996"/>
      <c r="OFQ88" s="996"/>
      <c r="OFR88" s="996"/>
      <c r="OFS88" s="996"/>
      <c r="OFT88" s="996"/>
      <c r="OFU88" s="996"/>
      <c r="OFV88" s="996"/>
      <c r="OFW88" s="996"/>
      <c r="OFX88" s="996"/>
      <c r="OFY88" s="996"/>
      <c r="OFZ88" s="996"/>
      <c r="OGA88" s="996"/>
      <c r="OGB88" s="996"/>
      <c r="OGC88" s="996"/>
      <c r="OGD88" s="996"/>
      <c r="OGE88" s="996"/>
      <c r="OGF88" s="996"/>
      <c r="OGG88" s="996"/>
      <c r="OGH88" s="996"/>
      <c r="OGI88" s="996"/>
      <c r="OGJ88" s="996"/>
      <c r="OGK88" s="996"/>
      <c r="OGL88" s="996"/>
      <c r="OGM88" s="996"/>
      <c r="OGN88" s="996"/>
      <c r="OGO88" s="996"/>
      <c r="OGP88" s="996"/>
      <c r="OGQ88" s="996"/>
      <c r="OGR88" s="996"/>
      <c r="OGS88" s="996"/>
      <c r="OGT88" s="996"/>
      <c r="OGU88" s="996"/>
      <c r="OGV88" s="996"/>
      <c r="OGW88" s="996"/>
      <c r="OGX88" s="996"/>
      <c r="OGY88" s="996"/>
      <c r="OGZ88" s="996"/>
      <c r="OHA88" s="996"/>
      <c r="OHB88" s="996"/>
      <c r="OHC88" s="996"/>
      <c r="OHD88" s="996"/>
      <c r="OHE88" s="996"/>
      <c r="OHF88" s="996"/>
      <c r="OHG88" s="996"/>
      <c r="OHH88" s="996"/>
      <c r="OHI88" s="996"/>
      <c r="OHJ88" s="996"/>
      <c r="OHK88" s="996"/>
      <c r="OHL88" s="996"/>
      <c r="OHM88" s="996"/>
      <c r="OHN88" s="996"/>
      <c r="OHO88" s="996"/>
      <c r="OHP88" s="996"/>
      <c r="OHQ88" s="996"/>
      <c r="OHR88" s="996"/>
      <c r="OHS88" s="996"/>
      <c r="OHT88" s="996"/>
      <c r="OHU88" s="996"/>
      <c r="OHV88" s="996"/>
      <c r="OHW88" s="996"/>
      <c r="OHX88" s="996"/>
      <c r="OHY88" s="996"/>
      <c r="OHZ88" s="996"/>
      <c r="OIA88" s="996"/>
      <c r="OIB88" s="996"/>
      <c r="OIC88" s="996"/>
      <c r="OID88" s="996"/>
      <c r="OIE88" s="996"/>
      <c r="OIF88" s="996"/>
      <c r="OIG88" s="996"/>
      <c r="OIH88" s="996"/>
      <c r="OII88" s="996"/>
      <c r="OIJ88" s="996"/>
      <c r="OIK88" s="996"/>
      <c r="OIL88" s="996"/>
      <c r="OIM88" s="996"/>
      <c r="OIN88" s="996"/>
      <c r="OIO88" s="996"/>
      <c r="OIP88" s="996"/>
      <c r="OIQ88" s="996"/>
      <c r="OIR88" s="996"/>
      <c r="OIS88" s="996"/>
      <c r="OIT88" s="996"/>
      <c r="OIU88" s="996"/>
      <c r="OIV88" s="996"/>
      <c r="OIW88" s="996"/>
      <c r="OIX88" s="996"/>
      <c r="OIY88" s="996"/>
      <c r="OIZ88" s="996"/>
      <c r="OJA88" s="996"/>
      <c r="OJB88" s="996"/>
      <c r="OJC88" s="996"/>
      <c r="OJD88" s="996"/>
      <c r="OJE88" s="996"/>
      <c r="OJF88" s="996"/>
      <c r="OJG88" s="996"/>
      <c r="OJH88" s="996"/>
      <c r="OJI88" s="996"/>
      <c r="OJJ88" s="996"/>
      <c r="OJK88" s="996"/>
      <c r="OJL88" s="996"/>
      <c r="OJM88" s="996"/>
      <c r="OJN88" s="996"/>
      <c r="OJO88" s="996"/>
      <c r="OJP88" s="996"/>
      <c r="OJQ88" s="996"/>
      <c r="OJR88" s="996"/>
      <c r="OJS88" s="996"/>
      <c r="OJT88" s="996"/>
      <c r="OJU88" s="996"/>
      <c r="OJV88" s="996"/>
      <c r="OJW88" s="996"/>
      <c r="OJX88" s="996"/>
      <c r="OJY88" s="996"/>
      <c r="OJZ88" s="996"/>
      <c r="OKA88" s="996"/>
      <c r="OKB88" s="996"/>
      <c r="OKC88" s="996"/>
      <c r="OKD88" s="996"/>
      <c r="OKE88" s="996"/>
      <c r="OKF88" s="996"/>
      <c r="OKG88" s="996"/>
      <c r="OKH88" s="996"/>
      <c r="OKI88" s="996"/>
      <c r="OKJ88" s="996"/>
      <c r="OKK88" s="996"/>
      <c r="OKL88" s="996"/>
      <c r="OKM88" s="996"/>
      <c r="OKN88" s="996"/>
      <c r="OKO88" s="996"/>
      <c r="OKP88" s="996"/>
      <c r="OKQ88" s="996"/>
      <c r="OKR88" s="996"/>
      <c r="OKS88" s="996"/>
      <c r="OKT88" s="996"/>
      <c r="OKU88" s="996"/>
      <c r="OKV88" s="996"/>
      <c r="OKW88" s="996"/>
      <c r="OKX88" s="996"/>
      <c r="OKY88" s="996"/>
      <c r="OKZ88" s="996"/>
      <c r="OLA88" s="996"/>
      <c r="OLB88" s="996"/>
      <c r="OLC88" s="996"/>
      <c r="OLD88" s="996"/>
      <c r="OLE88" s="996"/>
      <c r="OLF88" s="996"/>
      <c r="OLG88" s="996"/>
      <c r="OLH88" s="996"/>
      <c r="OLI88" s="996"/>
      <c r="OLJ88" s="996"/>
      <c r="OLK88" s="996"/>
      <c r="OLL88" s="996"/>
      <c r="OLM88" s="996"/>
      <c r="OLN88" s="996"/>
      <c r="OLO88" s="996"/>
      <c r="OLP88" s="996"/>
      <c r="OLQ88" s="996"/>
      <c r="OLR88" s="996"/>
      <c r="OLS88" s="996"/>
      <c r="OLT88" s="996"/>
      <c r="OLU88" s="996"/>
      <c r="OLV88" s="996"/>
      <c r="OLW88" s="996"/>
      <c r="OLX88" s="996"/>
      <c r="OLY88" s="996"/>
      <c r="OLZ88" s="996"/>
      <c r="OMA88" s="996"/>
      <c r="OMB88" s="996"/>
      <c r="OMC88" s="996"/>
      <c r="OMD88" s="996"/>
      <c r="OME88" s="996"/>
      <c r="OMF88" s="996"/>
      <c r="OMG88" s="996"/>
      <c r="OMH88" s="996"/>
      <c r="OMI88" s="996"/>
      <c r="OMJ88" s="996"/>
      <c r="OMK88" s="996"/>
      <c r="OML88" s="996"/>
      <c r="OMM88" s="996"/>
      <c r="OMN88" s="996"/>
      <c r="OMO88" s="996"/>
      <c r="OMP88" s="996"/>
      <c r="OMQ88" s="996"/>
      <c r="OMR88" s="996"/>
      <c r="OMS88" s="996"/>
      <c r="OMT88" s="996"/>
      <c r="OMU88" s="996"/>
      <c r="OMV88" s="996"/>
      <c r="OMW88" s="996"/>
      <c r="OMX88" s="996"/>
      <c r="OMY88" s="996"/>
      <c r="OMZ88" s="996"/>
      <c r="ONA88" s="996"/>
      <c r="ONB88" s="996"/>
      <c r="ONC88" s="996"/>
      <c r="OND88" s="996"/>
      <c r="ONE88" s="996"/>
      <c r="ONF88" s="996"/>
      <c r="ONG88" s="996"/>
      <c r="ONH88" s="996"/>
      <c r="ONI88" s="996"/>
      <c r="ONJ88" s="996"/>
      <c r="ONK88" s="996"/>
      <c r="ONL88" s="996"/>
      <c r="ONM88" s="996"/>
      <c r="ONN88" s="996"/>
      <c r="ONO88" s="996"/>
      <c r="ONP88" s="996"/>
      <c r="ONQ88" s="996"/>
      <c r="ONR88" s="996"/>
      <c r="ONS88" s="996"/>
      <c r="ONT88" s="996"/>
      <c r="ONU88" s="996"/>
      <c r="ONV88" s="996"/>
      <c r="ONW88" s="996"/>
      <c r="ONX88" s="996"/>
      <c r="ONY88" s="996"/>
      <c r="ONZ88" s="996"/>
      <c r="OOA88" s="996"/>
      <c r="OOB88" s="996"/>
      <c r="OOC88" s="996"/>
      <c r="OOD88" s="996"/>
      <c r="OOE88" s="996"/>
      <c r="OOF88" s="996"/>
      <c r="OOG88" s="996"/>
      <c r="OOH88" s="996"/>
      <c r="OOI88" s="996"/>
      <c r="OOJ88" s="996"/>
      <c r="OOK88" s="996"/>
      <c r="OOL88" s="996"/>
      <c r="OOM88" s="996"/>
      <c r="OON88" s="996"/>
      <c r="OOO88" s="996"/>
      <c r="OOP88" s="996"/>
      <c r="OOQ88" s="996"/>
      <c r="OOR88" s="996"/>
      <c r="OOS88" s="996"/>
      <c r="OOT88" s="996"/>
      <c r="OOU88" s="996"/>
      <c r="OOV88" s="996"/>
      <c r="OOW88" s="996"/>
      <c r="OOX88" s="996"/>
      <c r="OOY88" s="996"/>
      <c r="OOZ88" s="996"/>
      <c r="OPA88" s="996"/>
      <c r="OPB88" s="996"/>
      <c r="OPC88" s="996"/>
      <c r="OPD88" s="996"/>
      <c r="OPE88" s="996"/>
      <c r="OPF88" s="996"/>
      <c r="OPG88" s="996"/>
      <c r="OPH88" s="996"/>
      <c r="OPI88" s="996"/>
      <c r="OPJ88" s="996"/>
      <c r="OPK88" s="996"/>
      <c r="OPL88" s="996"/>
      <c r="OPM88" s="996"/>
      <c r="OPN88" s="996"/>
      <c r="OPO88" s="996"/>
      <c r="OPP88" s="996"/>
      <c r="OPQ88" s="996"/>
      <c r="OPR88" s="996"/>
      <c r="OPS88" s="996"/>
      <c r="OPT88" s="996"/>
      <c r="OPU88" s="996"/>
      <c r="OPV88" s="996"/>
      <c r="OPW88" s="996"/>
      <c r="OPX88" s="996"/>
      <c r="OPY88" s="996"/>
      <c r="OPZ88" s="996"/>
      <c r="OQA88" s="996"/>
      <c r="OQB88" s="996"/>
      <c r="OQC88" s="996"/>
      <c r="OQD88" s="996"/>
      <c r="OQE88" s="996"/>
      <c r="OQF88" s="996"/>
      <c r="OQG88" s="996"/>
      <c r="OQH88" s="996"/>
      <c r="OQI88" s="996"/>
      <c r="OQJ88" s="996"/>
      <c r="OQK88" s="996"/>
      <c r="OQL88" s="996"/>
      <c r="OQM88" s="996"/>
      <c r="OQN88" s="996"/>
      <c r="OQO88" s="996"/>
      <c r="OQP88" s="996"/>
      <c r="OQQ88" s="996"/>
      <c r="OQR88" s="996"/>
      <c r="OQS88" s="996"/>
      <c r="OQT88" s="996"/>
      <c r="OQU88" s="996"/>
      <c r="OQV88" s="996"/>
      <c r="OQW88" s="996"/>
      <c r="OQX88" s="996"/>
      <c r="OQY88" s="996"/>
      <c r="OQZ88" s="996"/>
      <c r="ORA88" s="996"/>
      <c r="ORB88" s="996"/>
      <c r="ORC88" s="996"/>
      <c r="ORD88" s="996"/>
      <c r="ORE88" s="996"/>
      <c r="ORF88" s="996"/>
      <c r="ORG88" s="996"/>
      <c r="ORH88" s="996"/>
      <c r="ORI88" s="996"/>
      <c r="ORJ88" s="996"/>
      <c r="ORK88" s="996"/>
      <c r="ORL88" s="996"/>
      <c r="ORM88" s="996"/>
      <c r="ORN88" s="996"/>
      <c r="ORO88" s="996"/>
      <c r="ORP88" s="996"/>
      <c r="ORQ88" s="996"/>
      <c r="ORR88" s="996"/>
      <c r="ORS88" s="996"/>
      <c r="ORT88" s="996"/>
      <c r="ORU88" s="996"/>
      <c r="ORV88" s="996"/>
      <c r="ORW88" s="996"/>
      <c r="ORX88" s="996"/>
      <c r="ORY88" s="996"/>
      <c r="ORZ88" s="996"/>
      <c r="OSA88" s="996"/>
      <c r="OSB88" s="996"/>
      <c r="OSC88" s="996"/>
      <c r="OSD88" s="996"/>
      <c r="OSE88" s="996"/>
      <c r="OSF88" s="996"/>
      <c r="OSG88" s="996"/>
      <c r="OSH88" s="996"/>
      <c r="OSI88" s="996"/>
      <c r="OSJ88" s="996"/>
      <c r="OSK88" s="996"/>
      <c r="OSL88" s="996"/>
      <c r="OSM88" s="996"/>
      <c r="OSN88" s="996"/>
      <c r="OSO88" s="996"/>
      <c r="OSP88" s="996"/>
      <c r="OSQ88" s="996"/>
      <c r="OSR88" s="996"/>
      <c r="OSS88" s="996"/>
      <c r="OST88" s="996"/>
      <c r="OSU88" s="996"/>
      <c r="OSV88" s="996"/>
      <c r="OSW88" s="996"/>
      <c r="OSX88" s="996"/>
      <c r="OSY88" s="996"/>
      <c r="OSZ88" s="996"/>
      <c r="OTA88" s="996"/>
      <c r="OTB88" s="996"/>
      <c r="OTC88" s="996"/>
      <c r="OTD88" s="996"/>
      <c r="OTE88" s="996"/>
      <c r="OTF88" s="996"/>
      <c r="OTG88" s="996"/>
      <c r="OTH88" s="996"/>
      <c r="OTI88" s="996"/>
      <c r="OTJ88" s="996"/>
      <c r="OTK88" s="996"/>
      <c r="OTL88" s="996"/>
      <c r="OTM88" s="996"/>
      <c r="OTN88" s="996"/>
      <c r="OTO88" s="996"/>
      <c r="OTP88" s="996"/>
      <c r="OTQ88" s="996"/>
      <c r="OTR88" s="996"/>
      <c r="OTS88" s="996"/>
      <c r="OTT88" s="996"/>
      <c r="OTU88" s="996"/>
      <c r="OTV88" s="996"/>
      <c r="OTW88" s="996"/>
      <c r="OTX88" s="996"/>
      <c r="OTY88" s="996"/>
      <c r="OTZ88" s="996"/>
      <c r="OUA88" s="996"/>
      <c r="OUB88" s="996"/>
      <c r="OUC88" s="996"/>
      <c r="OUD88" s="996"/>
      <c r="OUE88" s="996"/>
      <c r="OUF88" s="996"/>
      <c r="OUG88" s="996"/>
      <c r="OUH88" s="996"/>
      <c r="OUI88" s="996"/>
      <c r="OUJ88" s="996"/>
      <c r="OUK88" s="996"/>
      <c r="OUL88" s="996"/>
      <c r="OUM88" s="996"/>
      <c r="OUN88" s="996"/>
      <c r="OUO88" s="996"/>
      <c r="OUP88" s="996"/>
      <c r="OUQ88" s="996"/>
      <c r="OUR88" s="996"/>
      <c r="OUS88" s="996"/>
      <c r="OUT88" s="996"/>
      <c r="OUU88" s="996"/>
      <c r="OUV88" s="996"/>
      <c r="OUW88" s="996"/>
      <c r="OUX88" s="996"/>
      <c r="OUY88" s="996"/>
      <c r="OUZ88" s="996"/>
      <c r="OVA88" s="996"/>
      <c r="OVB88" s="996"/>
      <c r="OVC88" s="996"/>
      <c r="OVD88" s="996"/>
      <c r="OVE88" s="996"/>
      <c r="OVF88" s="996"/>
      <c r="OVG88" s="996"/>
      <c r="OVH88" s="996"/>
      <c r="OVI88" s="996"/>
      <c r="OVJ88" s="996"/>
      <c r="OVK88" s="996"/>
      <c r="OVL88" s="996"/>
      <c r="OVM88" s="996"/>
      <c r="OVN88" s="996"/>
      <c r="OVO88" s="996"/>
      <c r="OVP88" s="996"/>
      <c r="OVQ88" s="996"/>
      <c r="OVR88" s="996"/>
      <c r="OVS88" s="996"/>
      <c r="OVT88" s="996"/>
      <c r="OVU88" s="996"/>
      <c r="OVV88" s="996"/>
      <c r="OVW88" s="996"/>
      <c r="OVX88" s="996"/>
      <c r="OVY88" s="996"/>
      <c r="OVZ88" s="996"/>
      <c r="OWA88" s="996"/>
      <c r="OWB88" s="996"/>
      <c r="OWC88" s="996"/>
      <c r="OWD88" s="996"/>
      <c r="OWE88" s="996"/>
      <c r="OWF88" s="996"/>
      <c r="OWG88" s="996"/>
      <c r="OWH88" s="996"/>
      <c r="OWI88" s="996"/>
      <c r="OWJ88" s="996"/>
      <c r="OWK88" s="996"/>
      <c r="OWL88" s="996"/>
      <c r="OWM88" s="996"/>
      <c r="OWN88" s="996"/>
      <c r="OWO88" s="996"/>
      <c r="OWP88" s="996"/>
      <c r="OWQ88" s="996"/>
      <c r="OWR88" s="996"/>
      <c r="OWS88" s="996"/>
      <c r="OWT88" s="996"/>
      <c r="OWU88" s="996"/>
      <c r="OWV88" s="996"/>
      <c r="OWW88" s="996"/>
      <c r="OWX88" s="996"/>
      <c r="OWY88" s="996"/>
      <c r="OWZ88" s="996"/>
      <c r="OXA88" s="996"/>
      <c r="OXB88" s="996"/>
      <c r="OXC88" s="996"/>
      <c r="OXD88" s="996"/>
      <c r="OXE88" s="996"/>
      <c r="OXF88" s="996"/>
      <c r="OXG88" s="996"/>
      <c r="OXH88" s="996"/>
      <c r="OXI88" s="996"/>
      <c r="OXJ88" s="996"/>
      <c r="OXK88" s="996"/>
      <c r="OXL88" s="996"/>
      <c r="OXM88" s="996"/>
      <c r="OXN88" s="996"/>
      <c r="OXO88" s="996"/>
      <c r="OXP88" s="996"/>
      <c r="OXQ88" s="996"/>
      <c r="OXR88" s="996"/>
      <c r="OXS88" s="996"/>
      <c r="OXT88" s="996"/>
      <c r="OXU88" s="996"/>
      <c r="OXV88" s="996"/>
      <c r="OXW88" s="996"/>
      <c r="OXX88" s="996"/>
      <c r="OXY88" s="996"/>
      <c r="OXZ88" s="996"/>
      <c r="OYA88" s="996"/>
      <c r="OYB88" s="996"/>
      <c r="OYC88" s="996"/>
      <c r="OYD88" s="996"/>
      <c r="OYE88" s="996"/>
      <c r="OYF88" s="996"/>
      <c r="OYG88" s="996"/>
      <c r="OYH88" s="996"/>
      <c r="OYI88" s="996"/>
      <c r="OYJ88" s="996"/>
      <c r="OYK88" s="996"/>
      <c r="OYL88" s="996"/>
      <c r="OYM88" s="996"/>
      <c r="OYN88" s="996"/>
      <c r="OYO88" s="996"/>
      <c r="OYP88" s="996"/>
      <c r="OYQ88" s="996"/>
      <c r="OYR88" s="996"/>
      <c r="OYS88" s="996"/>
      <c r="OYT88" s="996"/>
      <c r="OYU88" s="996"/>
      <c r="OYV88" s="996"/>
      <c r="OYW88" s="996"/>
      <c r="OYX88" s="996"/>
      <c r="OYY88" s="996"/>
      <c r="OYZ88" s="996"/>
      <c r="OZA88" s="996"/>
      <c r="OZB88" s="996"/>
      <c r="OZC88" s="996"/>
      <c r="OZD88" s="996"/>
      <c r="OZE88" s="996"/>
      <c r="OZF88" s="996"/>
      <c r="OZG88" s="996"/>
      <c r="OZH88" s="996"/>
      <c r="OZI88" s="996"/>
      <c r="OZJ88" s="996"/>
      <c r="OZK88" s="996"/>
      <c r="OZL88" s="996"/>
      <c r="OZM88" s="996"/>
      <c r="OZN88" s="996"/>
      <c r="OZO88" s="996"/>
      <c r="OZP88" s="996"/>
      <c r="OZQ88" s="996"/>
      <c r="OZR88" s="996"/>
      <c r="OZS88" s="996"/>
      <c r="OZT88" s="996"/>
      <c r="OZU88" s="996"/>
      <c r="OZV88" s="996"/>
      <c r="OZW88" s="996"/>
      <c r="OZX88" s="996"/>
      <c r="OZY88" s="996"/>
      <c r="OZZ88" s="996"/>
      <c r="PAA88" s="996"/>
      <c r="PAB88" s="996"/>
      <c r="PAC88" s="996"/>
      <c r="PAD88" s="996"/>
      <c r="PAE88" s="996"/>
      <c r="PAF88" s="996"/>
      <c r="PAG88" s="996"/>
      <c r="PAH88" s="996"/>
      <c r="PAI88" s="996"/>
      <c r="PAJ88" s="996"/>
      <c r="PAK88" s="996"/>
      <c r="PAL88" s="996"/>
      <c r="PAM88" s="996"/>
      <c r="PAN88" s="996"/>
      <c r="PAO88" s="996"/>
      <c r="PAP88" s="996"/>
      <c r="PAQ88" s="996"/>
      <c r="PAR88" s="996"/>
      <c r="PAS88" s="996"/>
      <c r="PAT88" s="996"/>
      <c r="PAU88" s="996"/>
      <c r="PAV88" s="996"/>
      <c r="PAW88" s="996"/>
      <c r="PAX88" s="996"/>
      <c r="PAY88" s="996"/>
      <c r="PAZ88" s="996"/>
      <c r="PBA88" s="996"/>
      <c r="PBB88" s="996"/>
      <c r="PBC88" s="996"/>
      <c r="PBD88" s="996"/>
      <c r="PBE88" s="996"/>
      <c r="PBF88" s="996"/>
      <c r="PBG88" s="996"/>
      <c r="PBH88" s="996"/>
      <c r="PBI88" s="996"/>
      <c r="PBJ88" s="996"/>
      <c r="PBK88" s="996"/>
      <c r="PBL88" s="996"/>
      <c r="PBM88" s="996"/>
      <c r="PBN88" s="996"/>
      <c r="PBO88" s="996"/>
      <c r="PBP88" s="996"/>
      <c r="PBQ88" s="996"/>
      <c r="PBR88" s="996"/>
      <c r="PBS88" s="996"/>
      <c r="PBT88" s="996"/>
      <c r="PBU88" s="996"/>
      <c r="PBV88" s="996"/>
      <c r="PBW88" s="996"/>
      <c r="PBX88" s="996"/>
      <c r="PBY88" s="996"/>
      <c r="PBZ88" s="996"/>
      <c r="PCA88" s="996"/>
      <c r="PCB88" s="996"/>
      <c r="PCC88" s="996"/>
      <c r="PCD88" s="996"/>
      <c r="PCE88" s="996"/>
      <c r="PCF88" s="996"/>
      <c r="PCG88" s="996"/>
      <c r="PCH88" s="996"/>
      <c r="PCI88" s="996"/>
      <c r="PCJ88" s="996"/>
      <c r="PCK88" s="996"/>
      <c r="PCL88" s="996"/>
      <c r="PCM88" s="996"/>
      <c r="PCN88" s="996"/>
      <c r="PCO88" s="996"/>
      <c r="PCP88" s="996"/>
      <c r="PCQ88" s="996"/>
      <c r="PCR88" s="996"/>
      <c r="PCS88" s="996"/>
      <c r="PCT88" s="996"/>
      <c r="PCU88" s="996"/>
      <c r="PCV88" s="996"/>
      <c r="PCW88" s="996"/>
      <c r="PCX88" s="996"/>
      <c r="PCY88" s="996"/>
      <c r="PCZ88" s="996"/>
      <c r="PDA88" s="996"/>
      <c r="PDB88" s="996"/>
      <c r="PDC88" s="996"/>
      <c r="PDD88" s="996"/>
      <c r="PDE88" s="996"/>
      <c r="PDF88" s="996"/>
      <c r="PDG88" s="996"/>
      <c r="PDH88" s="996"/>
      <c r="PDI88" s="996"/>
      <c r="PDJ88" s="996"/>
      <c r="PDK88" s="996"/>
      <c r="PDL88" s="996"/>
      <c r="PDM88" s="996"/>
      <c r="PDN88" s="996"/>
      <c r="PDO88" s="996"/>
      <c r="PDP88" s="996"/>
      <c r="PDQ88" s="996"/>
      <c r="PDR88" s="996"/>
      <c r="PDS88" s="996"/>
      <c r="PDT88" s="996"/>
      <c r="PDU88" s="996"/>
      <c r="PDV88" s="996"/>
      <c r="PDW88" s="996"/>
      <c r="PDX88" s="996"/>
      <c r="PDY88" s="996"/>
      <c r="PDZ88" s="996"/>
      <c r="PEA88" s="996"/>
      <c r="PEB88" s="996"/>
      <c r="PEC88" s="996"/>
      <c r="PED88" s="996"/>
      <c r="PEE88" s="996"/>
      <c r="PEF88" s="996"/>
      <c r="PEG88" s="996"/>
      <c r="PEH88" s="996"/>
      <c r="PEI88" s="996"/>
      <c r="PEJ88" s="996"/>
      <c r="PEK88" s="996"/>
      <c r="PEL88" s="996"/>
      <c r="PEM88" s="996"/>
      <c r="PEN88" s="996"/>
      <c r="PEO88" s="996"/>
      <c r="PEP88" s="996"/>
      <c r="PEQ88" s="996"/>
      <c r="PER88" s="996"/>
      <c r="PES88" s="996"/>
      <c r="PET88" s="996"/>
      <c r="PEU88" s="996"/>
      <c r="PEV88" s="996"/>
      <c r="PEW88" s="996"/>
      <c r="PEX88" s="996"/>
      <c r="PEY88" s="996"/>
      <c r="PEZ88" s="996"/>
      <c r="PFA88" s="996"/>
      <c r="PFB88" s="996"/>
      <c r="PFC88" s="996"/>
      <c r="PFD88" s="996"/>
      <c r="PFE88" s="996"/>
      <c r="PFF88" s="996"/>
      <c r="PFG88" s="996"/>
      <c r="PFH88" s="996"/>
      <c r="PFI88" s="996"/>
      <c r="PFJ88" s="996"/>
      <c r="PFK88" s="996"/>
      <c r="PFL88" s="996"/>
      <c r="PFM88" s="996"/>
      <c r="PFN88" s="996"/>
      <c r="PFO88" s="996"/>
      <c r="PFP88" s="996"/>
      <c r="PFQ88" s="996"/>
      <c r="PFR88" s="996"/>
      <c r="PFS88" s="996"/>
      <c r="PFT88" s="996"/>
      <c r="PFU88" s="996"/>
      <c r="PFV88" s="996"/>
      <c r="PFW88" s="996"/>
      <c r="PFX88" s="996"/>
      <c r="PFY88" s="996"/>
      <c r="PFZ88" s="996"/>
      <c r="PGA88" s="996"/>
      <c r="PGB88" s="996"/>
      <c r="PGC88" s="996"/>
      <c r="PGD88" s="996"/>
      <c r="PGE88" s="996"/>
      <c r="PGF88" s="996"/>
      <c r="PGG88" s="996"/>
      <c r="PGH88" s="996"/>
      <c r="PGI88" s="996"/>
      <c r="PGJ88" s="996"/>
      <c r="PGK88" s="996"/>
      <c r="PGL88" s="996"/>
      <c r="PGM88" s="996"/>
      <c r="PGN88" s="996"/>
      <c r="PGO88" s="996"/>
      <c r="PGP88" s="996"/>
      <c r="PGQ88" s="996"/>
      <c r="PGR88" s="996"/>
      <c r="PGS88" s="996"/>
      <c r="PGT88" s="996"/>
      <c r="PGU88" s="996"/>
      <c r="PGV88" s="996"/>
      <c r="PGW88" s="996"/>
      <c r="PGX88" s="996"/>
      <c r="PGY88" s="996"/>
      <c r="PGZ88" s="996"/>
      <c r="PHA88" s="996"/>
      <c r="PHB88" s="996"/>
      <c r="PHC88" s="996"/>
      <c r="PHD88" s="996"/>
      <c r="PHE88" s="996"/>
      <c r="PHF88" s="996"/>
      <c r="PHG88" s="996"/>
      <c r="PHH88" s="996"/>
      <c r="PHI88" s="996"/>
      <c r="PHJ88" s="996"/>
      <c r="PHK88" s="996"/>
      <c r="PHL88" s="996"/>
      <c r="PHM88" s="996"/>
      <c r="PHN88" s="996"/>
      <c r="PHO88" s="996"/>
      <c r="PHP88" s="996"/>
      <c r="PHQ88" s="996"/>
      <c r="PHR88" s="996"/>
      <c r="PHS88" s="996"/>
      <c r="PHT88" s="996"/>
      <c r="PHU88" s="996"/>
      <c r="PHV88" s="996"/>
      <c r="PHW88" s="996"/>
      <c r="PHX88" s="996"/>
      <c r="PHY88" s="996"/>
      <c r="PHZ88" s="996"/>
      <c r="PIA88" s="996"/>
      <c r="PIB88" s="996"/>
      <c r="PIC88" s="996"/>
      <c r="PID88" s="996"/>
      <c r="PIE88" s="996"/>
      <c r="PIF88" s="996"/>
      <c r="PIG88" s="996"/>
      <c r="PIH88" s="996"/>
      <c r="PII88" s="996"/>
      <c r="PIJ88" s="996"/>
      <c r="PIK88" s="996"/>
      <c r="PIL88" s="996"/>
      <c r="PIM88" s="996"/>
      <c r="PIN88" s="996"/>
      <c r="PIO88" s="996"/>
      <c r="PIP88" s="996"/>
      <c r="PIQ88" s="996"/>
      <c r="PIR88" s="996"/>
      <c r="PIS88" s="996"/>
      <c r="PIT88" s="996"/>
      <c r="PIU88" s="996"/>
      <c r="PIV88" s="996"/>
      <c r="PIW88" s="996"/>
      <c r="PIX88" s="996"/>
      <c r="PIY88" s="996"/>
      <c r="PIZ88" s="996"/>
      <c r="PJA88" s="996"/>
      <c r="PJB88" s="996"/>
      <c r="PJC88" s="996"/>
      <c r="PJD88" s="996"/>
      <c r="PJE88" s="996"/>
      <c r="PJF88" s="996"/>
      <c r="PJG88" s="996"/>
      <c r="PJH88" s="996"/>
      <c r="PJI88" s="996"/>
      <c r="PJJ88" s="996"/>
      <c r="PJK88" s="996"/>
      <c r="PJL88" s="996"/>
      <c r="PJM88" s="996"/>
      <c r="PJN88" s="996"/>
      <c r="PJO88" s="996"/>
      <c r="PJP88" s="996"/>
      <c r="PJQ88" s="996"/>
      <c r="PJR88" s="996"/>
      <c r="PJS88" s="996"/>
      <c r="PJT88" s="996"/>
      <c r="PJU88" s="996"/>
      <c r="PJV88" s="996"/>
      <c r="PJW88" s="996"/>
      <c r="PJX88" s="996"/>
      <c r="PJY88" s="996"/>
      <c r="PJZ88" s="996"/>
      <c r="PKA88" s="996"/>
      <c r="PKB88" s="996"/>
      <c r="PKC88" s="996"/>
      <c r="PKD88" s="996"/>
      <c r="PKE88" s="996"/>
      <c r="PKF88" s="996"/>
      <c r="PKG88" s="996"/>
      <c r="PKH88" s="996"/>
      <c r="PKI88" s="996"/>
      <c r="PKJ88" s="996"/>
      <c r="PKK88" s="996"/>
      <c r="PKL88" s="996"/>
      <c r="PKM88" s="996"/>
      <c r="PKN88" s="996"/>
      <c r="PKO88" s="996"/>
      <c r="PKP88" s="996"/>
      <c r="PKQ88" s="996"/>
      <c r="PKR88" s="996"/>
      <c r="PKS88" s="996"/>
      <c r="PKT88" s="996"/>
      <c r="PKU88" s="996"/>
      <c r="PKV88" s="996"/>
      <c r="PKW88" s="996"/>
      <c r="PKX88" s="996"/>
      <c r="PKY88" s="996"/>
      <c r="PKZ88" s="996"/>
      <c r="PLA88" s="996"/>
      <c r="PLB88" s="996"/>
      <c r="PLC88" s="996"/>
      <c r="PLD88" s="996"/>
      <c r="PLE88" s="996"/>
      <c r="PLF88" s="996"/>
      <c r="PLG88" s="996"/>
      <c r="PLH88" s="996"/>
      <c r="PLI88" s="996"/>
      <c r="PLJ88" s="996"/>
      <c r="PLK88" s="996"/>
      <c r="PLL88" s="996"/>
      <c r="PLM88" s="996"/>
      <c r="PLN88" s="996"/>
      <c r="PLO88" s="996"/>
      <c r="PLP88" s="996"/>
      <c r="PLQ88" s="996"/>
      <c r="PLR88" s="996"/>
      <c r="PLS88" s="996"/>
      <c r="PLT88" s="996"/>
      <c r="PLU88" s="996"/>
      <c r="PLV88" s="996"/>
      <c r="PLW88" s="996"/>
      <c r="PLX88" s="996"/>
      <c r="PLY88" s="996"/>
      <c r="PLZ88" s="996"/>
      <c r="PMA88" s="996"/>
      <c r="PMB88" s="996"/>
      <c r="PMC88" s="996"/>
      <c r="PMD88" s="996"/>
      <c r="PME88" s="996"/>
      <c r="PMF88" s="996"/>
      <c r="PMG88" s="996"/>
      <c r="PMH88" s="996"/>
      <c r="PMI88" s="996"/>
      <c r="PMJ88" s="996"/>
      <c r="PMK88" s="996"/>
      <c r="PML88" s="996"/>
      <c r="PMM88" s="996"/>
      <c r="PMN88" s="996"/>
      <c r="PMO88" s="996"/>
      <c r="PMP88" s="996"/>
      <c r="PMQ88" s="996"/>
      <c r="PMR88" s="996"/>
      <c r="PMS88" s="996"/>
      <c r="PMT88" s="996"/>
      <c r="PMU88" s="996"/>
      <c r="PMV88" s="996"/>
      <c r="PMW88" s="996"/>
      <c r="PMX88" s="996"/>
      <c r="PMY88" s="996"/>
      <c r="PMZ88" s="996"/>
      <c r="PNA88" s="996"/>
      <c r="PNB88" s="996"/>
      <c r="PNC88" s="996"/>
      <c r="PND88" s="996"/>
      <c r="PNE88" s="996"/>
      <c r="PNF88" s="996"/>
      <c r="PNG88" s="996"/>
      <c r="PNH88" s="996"/>
      <c r="PNI88" s="996"/>
      <c r="PNJ88" s="996"/>
      <c r="PNK88" s="996"/>
      <c r="PNL88" s="996"/>
      <c r="PNM88" s="996"/>
      <c r="PNN88" s="996"/>
      <c r="PNO88" s="996"/>
      <c r="PNP88" s="996"/>
      <c r="PNQ88" s="996"/>
      <c r="PNR88" s="996"/>
      <c r="PNS88" s="996"/>
      <c r="PNT88" s="996"/>
      <c r="PNU88" s="996"/>
      <c r="PNV88" s="996"/>
      <c r="PNW88" s="996"/>
      <c r="PNX88" s="996"/>
      <c r="PNY88" s="996"/>
      <c r="PNZ88" s="996"/>
      <c r="POA88" s="996"/>
      <c r="POB88" s="996"/>
      <c r="POC88" s="996"/>
      <c r="POD88" s="996"/>
      <c r="POE88" s="996"/>
      <c r="POF88" s="996"/>
      <c r="POG88" s="996"/>
      <c r="POH88" s="996"/>
      <c r="POI88" s="996"/>
      <c r="POJ88" s="996"/>
      <c r="POK88" s="996"/>
      <c r="POL88" s="996"/>
      <c r="POM88" s="996"/>
      <c r="PON88" s="996"/>
      <c r="POO88" s="996"/>
      <c r="POP88" s="996"/>
      <c r="POQ88" s="996"/>
      <c r="POR88" s="996"/>
      <c r="POS88" s="996"/>
      <c r="POT88" s="996"/>
      <c r="POU88" s="996"/>
      <c r="POV88" s="996"/>
      <c r="POW88" s="996"/>
      <c r="POX88" s="996"/>
      <c r="POY88" s="996"/>
      <c r="POZ88" s="996"/>
      <c r="PPA88" s="996"/>
      <c r="PPB88" s="996"/>
      <c r="PPC88" s="996"/>
      <c r="PPD88" s="996"/>
      <c r="PPE88" s="996"/>
      <c r="PPF88" s="996"/>
      <c r="PPG88" s="996"/>
      <c r="PPH88" s="996"/>
      <c r="PPI88" s="996"/>
      <c r="PPJ88" s="996"/>
      <c r="PPK88" s="996"/>
      <c r="PPL88" s="996"/>
      <c r="PPM88" s="996"/>
      <c r="PPN88" s="996"/>
      <c r="PPO88" s="996"/>
      <c r="PPP88" s="996"/>
      <c r="PPQ88" s="996"/>
      <c r="PPR88" s="996"/>
      <c r="PPS88" s="996"/>
      <c r="PPT88" s="996"/>
      <c r="PPU88" s="996"/>
      <c r="PPV88" s="996"/>
      <c r="PPW88" s="996"/>
      <c r="PPX88" s="996"/>
      <c r="PPY88" s="996"/>
      <c r="PPZ88" s="996"/>
      <c r="PQA88" s="996"/>
      <c r="PQB88" s="996"/>
      <c r="PQC88" s="996"/>
      <c r="PQD88" s="996"/>
      <c r="PQE88" s="996"/>
      <c r="PQF88" s="996"/>
      <c r="PQG88" s="996"/>
      <c r="PQH88" s="996"/>
      <c r="PQI88" s="996"/>
      <c r="PQJ88" s="996"/>
      <c r="PQK88" s="996"/>
      <c r="PQL88" s="996"/>
      <c r="PQM88" s="996"/>
      <c r="PQN88" s="996"/>
      <c r="PQO88" s="996"/>
      <c r="PQP88" s="996"/>
      <c r="PQQ88" s="996"/>
      <c r="PQR88" s="996"/>
      <c r="PQS88" s="996"/>
      <c r="PQT88" s="996"/>
      <c r="PQU88" s="996"/>
      <c r="PQV88" s="996"/>
      <c r="PQW88" s="996"/>
      <c r="PQX88" s="996"/>
      <c r="PQY88" s="996"/>
      <c r="PQZ88" s="996"/>
      <c r="PRA88" s="996"/>
      <c r="PRB88" s="996"/>
      <c r="PRC88" s="996"/>
      <c r="PRD88" s="996"/>
      <c r="PRE88" s="996"/>
      <c r="PRF88" s="996"/>
      <c r="PRG88" s="996"/>
      <c r="PRH88" s="996"/>
      <c r="PRI88" s="996"/>
      <c r="PRJ88" s="996"/>
      <c r="PRK88" s="996"/>
      <c r="PRL88" s="996"/>
      <c r="PRM88" s="996"/>
      <c r="PRN88" s="996"/>
      <c r="PRO88" s="996"/>
      <c r="PRP88" s="996"/>
      <c r="PRQ88" s="996"/>
      <c r="PRR88" s="996"/>
      <c r="PRS88" s="996"/>
      <c r="PRT88" s="996"/>
      <c r="PRU88" s="996"/>
      <c r="PRV88" s="996"/>
      <c r="PRW88" s="996"/>
      <c r="PRX88" s="996"/>
      <c r="PRY88" s="996"/>
      <c r="PRZ88" s="996"/>
      <c r="PSA88" s="996"/>
      <c r="PSB88" s="996"/>
      <c r="PSC88" s="996"/>
      <c r="PSD88" s="996"/>
      <c r="PSE88" s="996"/>
      <c r="PSF88" s="996"/>
      <c r="PSG88" s="996"/>
      <c r="PSH88" s="996"/>
      <c r="PSI88" s="996"/>
      <c r="PSJ88" s="996"/>
      <c r="PSK88" s="996"/>
      <c r="PSL88" s="996"/>
      <c r="PSM88" s="996"/>
      <c r="PSN88" s="996"/>
      <c r="PSO88" s="996"/>
      <c r="PSP88" s="996"/>
      <c r="PSQ88" s="996"/>
      <c r="PSR88" s="996"/>
      <c r="PSS88" s="996"/>
      <c r="PST88" s="996"/>
      <c r="PSU88" s="996"/>
      <c r="PSV88" s="996"/>
      <c r="PSW88" s="996"/>
      <c r="PSX88" s="996"/>
      <c r="PSY88" s="996"/>
      <c r="PSZ88" s="996"/>
      <c r="PTA88" s="996"/>
      <c r="PTB88" s="996"/>
      <c r="PTC88" s="996"/>
      <c r="PTD88" s="996"/>
      <c r="PTE88" s="996"/>
      <c r="PTF88" s="996"/>
      <c r="PTG88" s="996"/>
      <c r="PTH88" s="996"/>
      <c r="PTI88" s="996"/>
      <c r="PTJ88" s="996"/>
      <c r="PTK88" s="996"/>
      <c r="PTL88" s="996"/>
      <c r="PTM88" s="996"/>
      <c r="PTN88" s="996"/>
      <c r="PTO88" s="996"/>
      <c r="PTP88" s="996"/>
      <c r="PTQ88" s="996"/>
      <c r="PTR88" s="996"/>
      <c r="PTS88" s="996"/>
      <c r="PTT88" s="996"/>
      <c r="PTU88" s="996"/>
      <c r="PTV88" s="996"/>
      <c r="PTW88" s="996"/>
      <c r="PTX88" s="996"/>
      <c r="PTY88" s="996"/>
      <c r="PTZ88" s="996"/>
      <c r="PUA88" s="996"/>
      <c r="PUB88" s="996"/>
      <c r="PUC88" s="996"/>
      <c r="PUD88" s="996"/>
      <c r="PUE88" s="996"/>
      <c r="PUF88" s="996"/>
      <c r="PUG88" s="996"/>
      <c r="PUH88" s="996"/>
      <c r="PUI88" s="996"/>
      <c r="PUJ88" s="996"/>
      <c r="PUK88" s="996"/>
      <c r="PUL88" s="996"/>
      <c r="PUM88" s="996"/>
      <c r="PUN88" s="996"/>
      <c r="PUO88" s="996"/>
      <c r="PUP88" s="996"/>
      <c r="PUQ88" s="996"/>
      <c r="PUR88" s="996"/>
      <c r="PUS88" s="996"/>
      <c r="PUT88" s="996"/>
      <c r="PUU88" s="996"/>
      <c r="PUV88" s="996"/>
      <c r="PUW88" s="996"/>
      <c r="PUX88" s="996"/>
      <c r="PUY88" s="996"/>
      <c r="PUZ88" s="996"/>
      <c r="PVA88" s="996"/>
      <c r="PVB88" s="996"/>
      <c r="PVC88" s="996"/>
      <c r="PVD88" s="996"/>
      <c r="PVE88" s="996"/>
      <c r="PVF88" s="996"/>
      <c r="PVG88" s="996"/>
      <c r="PVH88" s="996"/>
      <c r="PVI88" s="996"/>
      <c r="PVJ88" s="996"/>
      <c r="PVK88" s="996"/>
      <c r="PVL88" s="996"/>
      <c r="PVM88" s="996"/>
      <c r="PVN88" s="996"/>
      <c r="PVO88" s="996"/>
      <c r="PVP88" s="996"/>
      <c r="PVQ88" s="996"/>
      <c r="PVR88" s="996"/>
      <c r="PVS88" s="996"/>
      <c r="PVT88" s="996"/>
      <c r="PVU88" s="996"/>
      <c r="PVV88" s="996"/>
      <c r="PVW88" s="996"/>
      <c r="PVX88" s="996"/>
      <c r="PVY88" s="996"/>
      <c r="PVZ88" s="996"/>
      <c r="PWA88" s="996"/>
      <c r="PWB88" s="996"/>
      <c r="PWC88" s="996"/>
      <c r="PWD88" s="996"/>
      <c r="PWE88" s="996"/>
      <c r="PWF88" s="996"/>
      <c r="PWG88" s="996"/>
      <c r="PWH88" s="996"/>
      <c r="PWI88" s="996"/>
      <c r="PWJ88" s="996"/>
      <c r="PWK88" s="996"/>
      <c r="PWL88" s="996"/>
      <c r="PWM88" s="996"/>
      <c r="PWN88" s="996"/>
      <c r="PWO88" s="996"/>
      <c r="PWP88" s="996"/>
      <c r="PWQ88" s="996"/>
      <c r="PWR88" s="996"/>
      <c r="PWS88" s="996"/>
      <c r="PWT88" s="996"/>
      <c r="PWU88" s="996"/>
      <c r="PWV88" s="996"/>
      <c r="PWW88" s="996"/>
      <c r="PWX88" s="996"/>
      <c r="PWY88" s="996"/>
      <c r="PWZ88" s="996"/>
      <c r="PXA88" s="996"/>
      <c r="PXB88" s="996"/>
      <c r="PXC88" s="996"/>
      <c r="PXD88" s="996"/>
      <c r="PXE88" s="996"/>
      <c r="PXF88" s="996"/>
      <c r="PXG88" s="996"/>
      <c r="PXH88" s="996"/>
      <c r="PXI88" s="996"/>
      <c r="PXJ88" s="996"/>
      <c r="PXK88" s="996"/>
      <c r="PXL88" s="996"/>
      <c r="PXM88" s="996"/>
      <c r="PXN88" s="996"/>
      <c r="PXO88" s="996"/>
      <c r="PXP88" s="996"/>
      <c r="PXQ88" s="996"/>
      <c r="PXR88" s="996"/>
      <c r="PXS88" s="996"/>
      <c r="PXT88" s="996"/>
      <c r="PXU88" s="996"/>
      <c r="PXV88" s="996"/>
      <c r="PXW88" s="996"/>
      <c r="PXX88" s="996"/>
      <c r="PXY88" s="996"/>
      <c r="PXZ88" s="996"/>
      <c r="PYA88" s="996"/>
      <c r="PYB88" s="996"/>
      <c r="PYC88" s="996"/>
      <c r="PYD88" s="996"/>
      <c r="PYE88" s="996"/>
      <c r="PYF88" s="996"/>
      <c r="PYG88" s="996"/>
      <c r="PYH88" s="996"/>
      <c r="PYI88" s="996"/>
      <c r="PYJ88" s="996"/>
      <c r="PYK88" s="996"/>
      <c r="PYL88" s="996"/>
      <c r="PYM88" s="996"/>
      <c r="PYN88" s="996"/>
      <c r="PYO88" s="996"/>
      <c r="PYP88" s="996"/>
      <c r="PYQ88" s="996"/>
      <c r="PYR88" s="996"/>
      <c r="PYS88" s="996"/>
      <c r="PYT88" s="996"/>
      <c r="PYU88" s="996"/>
      <c r="PYV88" s="996"/>
      <c r="PYW88" s="996"/>
      <c r="PYX88" s="996"/>
      <c r="PYY88" s="996"/>
      <c r="PYZ88" s="996"/>
      <c r="PZA88" s="996"/>
      <c r="PZB88" s="996"/>
      <c r="PZC88" s="996"/>
      <c r="PZD88" s="996"/>
      <c r="PZE88" s="996"/>
      <c r="PZF88" s="996"/>
      <c r="PZG88" s="996"/>
      <c r="PZH88" s="996"/>
      <c r="PZI88" s="996"/>
      <c r="PZJ88" s="996"/>
      <c r="PZK88" s="996"/>
      <c r="PZL88" s="996"/>
      <c r="PZM88" s="996"/>
      <c r="PZN88" s="996"/>
      <c r="PZO88" s="996"/>
      <c r="PZP88" s="996"/>
      <c r="PZQ88" s="996"/>
      <c r="PZR88" s="996"/>
      <c r="PZS88" s="996"/>
      <c r="PZT88" s="996"/>
      <c r="PZU88" s="996"/>
      <c r="PZV88" s="996"/>
      <c r="PZW88" s="996"/>
      <c r="PZX88" s="996"/>
      <c r="PZY88" s="996"/>
      <c r="PZZ88" s="996"/>
      <c r="QAA88" s="996"/>
      <c r="QAB88" s="996"/>
      <c r="QAC88" s="996"/>
      <c r="QAD88" s="996"/>
      <c r="QAE88" s="996"/>
      <c r="QAF88" s="996"/>
      <c r="QAG88" s="996"/>
      <c r="QAH88" s="996"/>
      <c r="QAI88" s="996"/>
      <c r="QAJ88" s="996"/>
      <c r="QAK88" s="996"/>
      <c r="QAL88" s="996"/>
      <c r="QAM88" s="996"/>
      <c r="QAN88" s="996"/>
      <c r="QAO88" s="996"/>
      <c r="QAP88" s="996"/>
      <c r="QAQ88" s="996"/>
      <c r="QAR88" s="996"/>
      <c r="QAS88" s="996"/>
      <c r="QAT88" s="996"/>
      <c r="QAU88" s="996"/>
      <c r="QAV88" s="996"/>
      <c r="QAW88" s="996"/>
      <c r="QAX88" s="996"/>
      <c r="QAY88" s="996"/>
      <c r="QAZ88" s="996"/>
      <c r="QBA88" s="996"/>
      <c r="QBB88" s="996"/>
      <c r="QBC88" s="996"/>
      <c r="QBD88" s="996"/>
      <c r="QBE88" s="996"/>
      <c r="QBF88" s="996"/>
      <c r="QBG88" s="996"/>
      <c r="QBH88" s="996"/>
      <c r="QBI88" s="996"/>
      <c r="QBJ88" s="996"/>
      <c r="QBK88" s="996"/>
      <c r="QBL88" s="996"/>
      <c r="QBM88" s="996"/>
      <c r="QBN88" s="996"/>
      <c r="QBO88" s="996"/>
      <c r="QBP88" s="996"/>
      <c r="QBQ88" s="996"/>
      <c r="QBR88" s="996"/>
      <c r="QBS88" s="996"/>
      <c r="QBT88" s="996"/>
      <c r="QBU88" s="996"/>
      <c r="QBV88" s="996"/>
      <c r="QBW88" s="996"/>
      <c r="QBX88" s="996"/>
      <c r="QBY88" s="996"/>
      <c r="QBZ88" s="996"/>
      <c r="QCA88" s="996"/>
      <c r="QCB88" s="996"/>
      <c r="QCC88" s="996"/>
      <c r="QCD88" s="996"/>
      <c r="QCE88" s="996"/>
      <c r="QCF88" s="996"/>
      <c r="QCG88" s="996"/>
      <c r="QCH88" s="996"/>
      <c r="QCI88" s="996"/>
      <c r="QCJ88" s="996"/>
      <c r="QCK88" s="996"/>
      <c r="QCL88" s="996"/>
      <c r="QCM88" s="996"/>
      <c r="QCN88" s="996"/>
      <c r="QCO88" s="996"/>
      <c r="QCP88" s="996"/>
      <c r="QCQ88" s="996"/>
      <c r="QCR88" s="996"/>
      <c r="QCS88" s="996"/>
      <c r="QCT88" s="996"/>
      <c r="QCU88" s="996"/>
      <c r="QCV88" s="996"/>
      <c r="QCW88" s="996"/>
      <c r="QCX88" s="996"/>
      <c r="QCY88" s="996"/>
      <c r="QCZ88" s="996"/>
      <c r="QDA88" s="996"/>
      <c r="QDB88" s="996"/>
      <c r="QDC88" s="996"/>
      <c r="QDD88" s="996"/>
      <c r="QDE88" s="996"/>
      <c r="QDF88" s="996"/>
      <c r="QDG88" s="996"/>
      <c r="QDH88" s="996"/>
      <c r="QDI88" s="996"/>
      <c r="QDJ88" s="996"/>
      <c r="QDK88" s="996"/>
      <c r="QDL88" s="996"/>
      <c r="QDM88" s="996"/>
      <c r="QDN88" s="996"/>
      <c r="QDO88" s="996"/>
      <c r="QDP88" s="996"/>
      <c r="QDQ88" s="996"/>
      <c r="QDR88" s="996"/>
      <c r="QDS88" s="996"/>
      <c r="QDT88" s="996"/>
      <c r="QDU88" s="996"/>
      <c r="QDV88" s="996"/>
      <c r="QDW88" s="996"/>
      <c r="QDX88" s="996"/>
      <c r="QDY88" s="996"/>
      <c r="QDZ88" s="996"/>
      <c r="QEA88" s="996"/>
      <c r="QEB88" s="996"/>
      <c r="QEC88" s="996"/>
      <c r="QED88" s="996"/>
      <c r="QEE88" s="996"/>
      <c r="QEF88" s="996"/>
      <c r="QEG88" s="996"/>
      <c r="QEH88" s="996"/>
      <c r="QEI88" s="996"/>
      <c r="QEJ88" s="996"/>
      <c r="QEK88" s="996"/>
      <c r="QEL88" s="996"/>
      <c r="QEM88" s="996"/>
      <c r="QEN88" s="996"/>
      <c r="QEO88" s="996"/>
      <c r="QEP88" s="996"/>
      <c r="QEQ88" s="996"/>
      <c r="QER88" s="996"/>
      <c r="QES88" s="996"/>
      <c r="QET88" s="996"/>
      <c r="QEU88" s="996"/>
      <c r="QEV88" s="996"/>
      <c r="QEW88" s="996"/>
      <c r="QEX88" s="996"/>
      <c r="QEY88" s="996"/>
      <c r="QEZ88" s="996"/>
      <c r="QFA88" s="996"/>
      <c r="QFB88" s="996"/>
      <c r="QFC88" s="996"/>
      <c r="QFD88" s="996"/>
      <c r="QFE88" s="996"/>
      <c r="QFF88" s="996"/>
      <c r="QFG88" s="996"/>
      <c r="QFH88" s="996"/>
      <c r="QFI88" s="996"/>
      <c r="QFJ88" s="996"/>
      <c r="QFK88" s="996"/>
      <c r="QFL88" s="996"/>
      <c r="QFM88" s="996"/>
      <c r="QFN88" s="996"/>
      <c r="QFO88" s="996"/>
      <c r="QFP88" s="996"/>
      <c r="QFQ88" s="996"/>
      <c r="QFR88" s="996"/>
      <c r="QFS88" s="996"/>
      <c r="QFT88" s="996"/>
      <c r="QFU88" s="996"/>
      <c r="QFV88" s="996"/>
      <c r="QFW88" s="996"/>
      <c r="QFX88" s="996"/>
      <c r="QFY88" s="996"/>
      <c r="QFZ88" s="996"/>
      <c r="QGA88" s="996"/>
      <c r="QGB88" s="996"/>
      <c r="QGC88" s="996"/>
      <c r="QGD88" s="996"/>
      <c r="QGE88" s="996"/>
      <c r="QGF88" s="996"/>
      <c r="QGG88" s="996"/>
      <c r="QGH88" s="996"/>
      <c r="QGI88" s="996"/>
      <c r="QGJ88" s="996"/>
      <c r="QGK88" s="996"/>
      <c r="QGL88" s="996"/>
      <c r="QGM88" s="996"/>
      <c r="QGN88" s="996"/>
      <c r="QGO88" s="996"/>
      <c r="QGP88" s="996"/>
      <c r="QGQ88" s="996"/>
      <c r="QGR88" s="996"/>
      <c r="QGS88" s="996"/>
      <c r="QGT88" s="996"/>
      <c r="QGU88" s="996"/>
      <c r="QGV88" s="996"/>
      <c r="QGW88" s="996"/>
      <c r="QGX88" s="996"/>
      <c r="QGY88" s="996"/>
      <c r="QGZ88" s="996"/>
      <c r="QHA88" s="996"/>
      <c r="QHB88" s="996"/>
      <c r="QHC88" s="996"/>
      <c r="QHD88" s="996"/>
      <c r="QHE88" s="996"/>
      <c r="QHF88" s="996"/>
      <c r="QHG88" s="996"/>
      <c r="QHH88" s="996"/>
      <c r="QHI88" s="996"/>
      <c r="QHJ88" s="996"/>
      <c r="QHK88" s="996"/>
      <c r="QHL88" s="996"/>
      <c r="QHM88" s="996"/>
      <c r="QHN88" s="996"/>
      <c r="QHO88" s="996"/>
      <c r="QHP88" s="996"/>
      <c r="QHQ88" s="996"/>
      <c r="QHR88" s="996"/>
      <c r="QHS88" s="996"/>
      <c r="QHT88" s="996"/>
      <c r="QHU88" s="996"/>
      <c r="QHV88" s="996"/>
      <c r="QHW88" s="996"/>
      <c r="QHX88" s="996"/>
      <c r="QHY88" s="996"/>
      <c r="QHZ88" s="996"/>
      <c r="QIA88" s="996"/>
      <c r="QIB88" s="996"/>
      <c r="QIC88" s="996"/>
      <c r="QID88" s="996"/>
      <c r="QIE88" s="996"/>
      <c r="QIF88" s="996"/>
      <c r="QIG88" s="996"/>
      <c r="QIH88" s="996"/>
      <c r="QII88" s="996"/>
      <c r="QIJ88" s="996"/>
      <c r="QIK88" s="996"/>
      <c r="QIL88" s="996"/>
      <c r="QIM88" s="996"/>
      <c r="QIN88" s="996"/>
      <c r="QIO88" s="996"/>
      <c r="QIP88" s="996"/>
      <c r="QIQ88" s="996"/>
      <c r="QIR88" s="996"/>
      <c r="QIS88" s="996"/>
      <c r="QIT88" s="996"/>
      <c r="QIU88" s="996"/>
      <c r="QIV88" s="996"/>
      <c r="QIW88" s="996"/>
      <c r="QIX88" s="996"/>
      <c r="QIY88" s="996"/>
      <c r="QIZ88" s="996"/>
      <c r="QJA88" s="996"/>
      <c r="QJB88" s="996"/>
      <c r="QJC88" s="996"/>
      <c r="QJD88" s="996"/>
      <c r="QJE88" s="996"/>
      <c r="QJF88" s="996"/>
      <c r="QJG88" s="996"/>
      <c r="QJH88" s="996"/>
      <c r="QJI88" s="996"/>
      <c r="QJJ88" s="996"/>
      <c r="QJK88" s="996"/>
      <c r="QJL88" s="996"/>
      <c r="QJM88" s="996"/>
      <c r="QJN88" s="996"/>
      <c r="QJO88" s="996"/>
      <c r="QJP88" s="996"/>
      <c r="QJQ88" s="996"/>
      <c r="QJR88" s="996"/>
      <c r="QJS88" s="996"/>
      <c r="QJT88" s="996"/>
      <c r="QJU88" s="996"/>
      <c r="QJV88" s="996"/>
      <c r="QJW88" s="996"/>
      <c r="QJX88" s="996"/>
      <c r="QJY88" s="996"/>
      <c r="QJZ88" s="996"/>
      <c r="QKA88" s="996"/>
      <c r="QKB88" s="996"/>
      <c r="QKC88" s="996"/>
      <c r="QKD88" s="996"/>
      <c r="QKE88" s="996"/>
      <c r="QKF88" s="996"/>
      <c r="QKG88" s="996"/>
      <c r="QKH88" s="996"/>
      <c r="QKI88" s="996"/>
      <c r="QKJ88" s="996"/>
      <c r="QKK88" s="996"/>
      <c r="QKL88" s="996"/>
      <c r="QKM88" s="996"/>
      <c r="QKN88" s="996"/>
      <c r="QKO88" s="996"/>
      <c r="QKP88" s="996"/>
      <c r="QKQ88" s="996"/>
      <c r="QKR88" s="996"/>
      <c r="QKS88" s="996"/>
      <c r="QKT88" s="996"/>
      <c r="QKU88" s="996"/>
      <c r="QKV88" s="996"/>
      <c r="QKW88" s="996"/>
      <c r="QKX88" s="996"/>
      <c r="QKY88" s="996"/>
      <c r="QKZ88" s="996"/>
      <c r="QLA88" s="996"/>
      <c r="QLB88" s="996"/>
      <c r="QLC88" s="996"/>
      <c r="QLD88" s="996"/>
      <c r="QLE88" s="996"/>
      <c r="QLF88" s="996"/>
      <c r="QLG88" s="996"/>
      <c r="QLH88" s="996"/>
      <c r="QLI88" s="996"/>
      <c r="QLJ88" s="996"/>
      <c r="QLK88" s="996"/>
      <c r="QLL88" s="996"/>
      <c r="QLM88" s="996"/>
      <c r="QLN88" s="996"/>
      <c r="QLO88" s="996"/>
      <c r="QLP88" s="996"/>
      <c r="QLQ88" s="996"/>
      <c r="QLR88" s="996"/>
      <c r="QLS88" s="996"/>
      <c r="QLT88" s="996"/>
      <c r="QLU88" s="996"/>
      <c r="QLV88" s="996"/>
      <c r="QLW88" s="996"/>
      <c r="QLX88" s="996"/>
      <c r="QLY88" s="996"/>
      <c r="QLZ88" s="996"/>
      <c r="QMA88" s="996"/>
      <c r="QMB88" s="996"/>
      <c r="QMC88" s="996"/>
      <c r="QMD88" s="996"/>
      <c r="QME88" s="996"/>
      <c r="QMF88" s="996"/>
      <c r="QMG88" s="996"/>
      <c r="QMH88" s="996"/>
      <c r="QMI88" s="996"/>
      <c r="QMJ88" s="996"/>
      <c r="QMK88" s="996"/>
      <c r="QML88" s="996"/>
      <c r="QMM88" s="996"/>
      <c r="QMN88" s="996"/>
      <c r="QMO88" s="996"/>
      <c r="QMP88" s="996"/>
      <c r="QMQ88" s="996"/>
      <c r="QMR88" s="996"/>
      <c r="QMS88" s="996"/>
      <c r="QMT88" s="996"/>
      <c r="QMU88" s="996"/>
      <c r="QMV88" s="996"/>
      <c r="QMW88" s="996"/>
      <c r="QMX88" s="996"/>
      <c r="QMY88" s="996"/>
      <c r="QMZ88" s="996"/>
      <c r="QNA88" s="996"/>
      <c r="QNB88" s="996"/>
      <c r="QNC88" s="996"/>
      <c r="QND88" s="996"/>
      <c r="QNE88" s="996"/>
      <c r="QNF88" s="996"/>
      <c r="QNG88" s="996"/>
      <c r="QNH88" s="996"/>
      <c r="QNI88" s="996"/>
      <c r="QNJ88" s="996"/>
      <c r="QNK88" s="996"/>
      <c r="QNL88" s="996"/>
      <c r="QNM88" s="996"/>
      <c r="QNN88" s="996"/>
      <c r="QNO88" s="996"/>
      <c r="QNP88" s="996"/>
      <c r="QNQ88" s="996"/>
      <c r="QNR88" s="996"/>
      <c r="QNS88" s="996"/>
      <c r="QNT88" s="996"/>
      <c r="QNU88" s="996"/>
      <c r="QNV88" s="996"/>
      <c r="QNW88" s="996"/>
      <c r="QNX88" s="996"/>
      <c r="QNY88" s="996"/>
      <c r="QNZ88" s="996"/>
      <c r="QOA88" s="996"/>
      <c r="QOB88" s="996"/>
      <c r="QOC88" s="996"/>
      <c r="QOD88" s="996"/>
      <c r="QOE88" s="996"/>
      <c r="QOF88" s="996"/>
      <c r="QOG88" s="996"/>
      <c r="QOH88" s="996"/>
      <c r="QOI88" s="996"/>
      <c r="QOJ88" s="996"/>
      <c r="QOK88" s="996"/>
      <c r="QOL88" s="996"/>
      <c r="QOM88" s="996"/>
      <c r="QON88" s="996"/>
      <c r="QOO88" s="996"/>
      <c r="QOP88" s="996"/>
      <c r="QOQ88" s="996"/>
      <c r="QOR88" s="996"/>
      <c r="QOS88" s="996"/>
      <c r="QOT88" s="996"/>
      <c r="QOU88" s="996"/>
      <c r="QOV88" s="996"/>
      <c r="QOW88" s="996"/>
      <c r="QOX88" s="996"/>
      <c r="QOY88" s="996"/>
      <c r="QOZ88" s="996"/>
      <c r="QPA88" s="996"/>
      <c r="QPB88" s="996"/>
      <c r="QPC88" s="996"/>
      <c r="QPD88" s="996"/>
      <c r="QPE88" s="996"/>
      <c r="QPF88" s="996"/>
      <c r="QPG88" s="996"/>
      <c r="QPH88" s="996"/>
      <c r="QPI88" s="996"/>
      <c r="QPJ88" s="996"/>
      <c r="QPK88" s="996"/>
      <c r="QPL88" s="996"/>
      <c r="QPM88" s="996"/>
      <c r="QPN88" s="996"/>
      <c r="QPO88" s="996"/>
      <c r="QPP88" s="996"/>
      <c r="QPQ88" s="996"/>
      <c r="QPR88" s="996"/>
      <c r="QPS88" s="996"/>
      <c r="QPT88" s="996"/>
      <c r="QPU88" s="996"/>
      <c r="QPV88" s="996"/>
      <c r="QPW88" s="996"/>
      <c r="QPX88" s="996"/>
      <c r="QPY88" s="996"/>
      <c r="QPZ88" s="996"/>
      <c r="QQA88" s="996"/>
      <c r="QQB88" s="996"/>
      <c r="QQC88" s="996"/>
      <c r="QQD88" s="996"/>
      <c r="QQE88" s="996"/>
      <c r="QQF88" s="996"/>
      <c r="QQG88" s="996"/>
      <c r="QQH88" s="996"/>
      <c r="QQI88" s="996"/>
      <c r="QQJ88" s="996"/>
      <c r="QQK88" s="996"/>
      <c r="QQL88" s="996"/>
      <c r="QQM88" s="996"/>
      <c r="QQN88" s="996"/>
      <c r="QQO88" s="996"/>
      <c r="QQP88" s="996"/>
      <c r="QQQ88" s="996"/>
      <c r="QQR88" s="996"/>
      <c r="QQS88" s="996"/>
      <c r="QQT88" s="996"/>
      <c r="QQU88" s="996"/>
      <c r="QQV88" s="996"/>
      <c r="QQW88" s="996"/>
      <c r="QQX88" s="996"/>
      <c r="QQY88" s="996"/>
      <c r="QQZ88" s="996"/>
      <c r="QRA88" s="996"/>
      <c r="QRB88" s="996"/>
      <c r="QRC88" s="996"/>
      <c r="QRD88" s="996"/>
      <c r="QRE88" s="996"/>
      <c r="QRF88" s="996"/>
      <c r="QRG88" s="996"/>
      <c r="QRH88" s="996"/>
      <c r="QRI88" s="996"/>
      <c r="QRJ88" s="996"/>
      <c r="QRK88" s="996"/>
      <c r="QRL88" s="996"/>
      <c r="QRM88" s="996"/>
      <c r="QRN88" s="996"/>
      <c r="QRO88" s="996"/>
      <c r="QRP88" s="996"/>
      <c r="QRQ88" s="996"/>
      <c r="QRR88" s="996"/>
      <c r="QRS88" s="996"/>
      <c r="QRT88" s="996"/>
      <c r="QRU88" s="996"/>
      <c r="QRV88" s="996"/>
      <c r="QRW88" s="996"/>
      <c r="QRX88" s="996"/>
      <c r="QRY88" s="996"/>
      <c r="QRZ88" s="996"/>
      <c r="QSA88" s="996"/>
      <c r="QSB88" s="996"/>
      <c r="QSC88" s="996"/>
      <c r="QSD88" s="996"/>
      <c r="QSE88" s="996"/>
      <c r="QSF88" s="996"/>
      <c r="QSG88" s="996"/>
      <c r="QSH88" s="996"/>
      <c r="QSI88" s="996"/>
      <c r="QSJ88" s="996"/>
      <c r="QSK88" s="996"/>
      <c r="QSL88" s="996"/>
      <c r="QSM88" s="996"/>
      <c r="QSN88" s="996"/>
      <c r="QSO88" s="996"/>
      <c r="QSP88" s="996"/>
      <c r="QSQ88" s="996"/>
      <c r="QSR88" s="996"/>
      <c r="QSS88" s="996"/>
      <c r="QST88" s="996"/>
      <c r="QSU88" s="996"/>
      <c r="QSV88" s="996"/>
      <c r="QSW88" s="996"/>
      <c r="QSX88" s="996"/>
      <c r="QSY88" s="996"/>
      <c r="QSZ88" s="996"/>
      <c r="QTA88" s="996"/>
      <c r="QTB88" s="996"/>
      <c r="QTC88" s="996"/>
      <c r="QTD88" s="996"/>
      <c r="QTE88" s="996"/>
      <c r="QTF88" s="996"/>
      <c r="QTG88" s="996"/>
      <c r="QTH88" s="996"/>
      <c r="QTI88" s="996"/>
      <c r="QTJ88" s="996"/>
      <c r="QTK88" s="996"/>
      <c r="QTL88" s="996"/>
      <c r="QTM88" s="996"/>
      <c r="QTN88" s="996"/>
      <c r="QTO88" s="996"/>
      <c r="QTP88" s="996"/>
      <c r="QTQ88" s="996"/>
      <c r="QTR88" s="996"/>
      <c r="QTS88" s="996"/>
      <c r="QTT88" s="996"/>
      <c r="QTU88" s="996"/>
      <c r="QTV88" s="996"/>
      <c r="QTW88" s="996"/>
      <c r="QTX88" s="996"/>
      <c r="QTY88" s="996"/>
      <c r="QTZ88" s="996"/>
      <c r="QUA88" s="996"/>
      <c r="QUB88" s="996"/>
      <c r="QUC88" s="996"/>
      <c r="QUD88" s="996"/>
      <c r="QUE88" s="996"/>
      <c r="QUF88" s="996"/>
      <c r="QUG88" s="996"/>
      <c r="QUH88" s="996"/>
      <c r="QUI88" s="996"/>
      <c r="QUJ88" s="996"/>
      <c r="QUK88" s="996"/>
      <c r="QUL88" s="996"/>
      <c r="QUM88" s="996"/>
      <c r="QUN88" s="996"/>
      <c r="QUO88" s="996"/>
      <c r="QUP88" s="996"/>
      <c r="QUQ88" s="996"/>
      <c r="QUR88" s="996"/>
      <c r="QUS88" s="996"/>
      <c r="QUT88" s="996"/>
      <c r="QUU88" s="996"/>
      <c r="QUV88" s="996"/>
      <c r="QUW88" s="996"/>
      <c r="QUX88" s="996"/>
      <c r="QUY88" s="996"/>
      <c r="QUZ88" s="996"/>
      <c r="QVA88" s="996"/>
      <c r="QVB88" s="996"/>
      <c r="QVC88" s="996"/>
      <c r="QVD88" s="996"/>
      <c r="QVE88" s="996"/>
      <c r="QVF88" s="996"/>
      <c r="QVG88" s="996"/>
      <c r="QVH88" s="996"/>
      <c r="QVI88" s="996"/>
      <c r="QVJ88" s="996"/>
      <c r="QVK88" s="996"/>
      <c r="QVL88" s="996"/>
      <c r="QVM88" s="996"/>
      <c r="QVN88" s="996"/>
      <c r="QVO88" s="996"/>
      <c r="QVP88" s="996"/>
      <c r="QVQ88" s="996"/>
      <c r="QVR88" s="996"/>
      <c r="QVS88" s="996"/>
      <c r="QVT88" s="996"/>
      <c r="QVU88" s="996"/>
      <c r="QVV88" s="996"/>
      <c r="QVW88" s="996"/>
      <c r="QVX88" s="996"/>
      <c r="QVY88" s="996"/>
      <c r="QVZ88" s="996"/>
      <c r="QWA88" s="996"/>
      <c r="QWB88" s="996"/>
      <c r="QWC88" s="996"/>
      <c r="QWD88" s="996"/>
      <c r="QWE88" s="996"/>
      <c r="QWF88" s="996"/>
      <c r="QWG88" s="996"/>
      <c r="QWH88" s="996"/>
      <c r="QWI88" s="996"/>
      <c r="QWJ88" s="996"/>
      <c r="QWK88" s="996"/>
      <c r="QWL88" s="996"/>
      <c r="QWM88" s="996"/>
      <c r="QWN88" s="996"/>
      <c r="QWO88" s="996"/>
      <c r="QWP88" s="996"/>
      <c r="QWQ88" s="996"/>
      <c r="QWR88" s="996"/>
      <c r="QWS88" s="996"/>
      <c r="QWT88" s="996"/>
      <c r="QWU88" s="996"/>
      <c r="QWV88" s="996"/>
      <c r="QWW88" s="996"/>
      <c r="QWX88" s="996"/>
      <c r="QWY88" s="996"/>
      <c r="QWZ88" s="996"/>
      <c r="QXA88" s="996"/>
      <c r="QXB88" s="996"/>
      <c r="QXC88" s="996"/>
      <c r="QXD88" s="996"/>
      <c r="QXE88" s="996"/>
      <c r="QXF88" s="996"/>
      <c r="QXG88" s="996"/>
      <c r="QXH88" s="996"/>
      <c r="QXI88" s="996"/>
      <c r="QXJ88" s="996"/>
      <c r="QXK88" s="996"/>
      <c r="QXL88" s="996"/>
      <c r="QXM88" s="996"/>
      <c r="QXN88" s="996"/>
      <c r="QXO88" s="996"/>
      <c r="QXP88" s="996"/>
      <c r="QXQ88" s="996"/>
      <c r="QXR88" s="996"/>
      <c r="QXS88" s="996"/>
      <c r="QXT88" s="996"/>
      <c r="QXU88" s="996"/>
      <c r="QXV88" s="996"/>
      <c r="QXW88" s="996"/>
      <c r="QXX88" s="996"/>
      <c r="QXY88" s="996"/>
      <c r="QXZ88" s="996"/>
      <c r="QYA88" s="996"/>
      <c r="QYB88" s="996"/>
      <c r="QYC88" s="996"/>
      <c r="QYD88" s="996"/>
      <c r="QYE88" s="996"/>
      <c r="QYF88" s="996"/>
      <c r="QYG88" s="996"/>
      <c r="QYH88" s="996"/>
      <c r="QYI88" s="996"/>
      <c r="QYJ88" s="996"/>
      <c r="QYK88" s="996"/>
      <c r="QYL88" s="996"/>
      <c r="QYM88" s="996"/>
      <c r="QYN88" s="996"/>
      <c r="QYO88" s="996"/>
      <c r="QYP88" s="996"/>
      <c r="QYQ88" s="996"/>
      <c r="QYR88" s="996"/>
      <c r="QYS88" s="996"/>
      <c r="QYT88" s="996"/>
      <c r="QYU88" s="996"/>
      <c r="QYV88" s="996"/>
      <c r="QYW88" s="996"/>
      <c r="QYX88" s="996"/>
      <c r="QYY88" s="996"/>
      <c r="QYZ88" s="996"/>
      <c r="QZA88" s="996"/>
      <c r="QZB88" s="996"/>
      <c r="QZC88" s="996"/>
      <c r="QZD88" s="996"/>
      <c r="QZE88" s="996"/>
      <c r="QZF88" s="996"/>
      <c r="QZG88" s="996"/>
      <c r="QZH88" s="996"/>
      <c r="QZI88" s="996"/>
      <c r="QZJ88" s="996"/>
      <c r="QZK88" s="996"/>
      <c r="QZL88" s="996"/>
      <c r="QZM88" s="996"/>
      <c r="QZN88" s="996"/>
      <c r="QZO88" s="996"/>
      <c r="QZP88" s="996"/>
      <c r="QZQ88" s="996"/>
      <c r="QZR88" s="996"/>
      <c r="QZS88" s="996"/>
      <c r="QZT88" s="996"/>
      <c r="QZU88" s="996"/>
      <c r="QZV88" s="996"/>
      <c r="QZW88" s="996"/>
      <c r="QZX88" s="996"/>
      <c r="QZY88" s="996"/>
      <c r="QZZ88" s="996"/>
      <c r="RAA88" s="996"/>
      <c r="RAB88" s="996"/>
      <c r="RAC88" s="996"/>
      <c r="RAD88" s="996"/>
      <c r="RAE88" s="996"/>
      <c r="RAF88" s="996"/>
      <c r="RAG88" s="996"/>
      <c r="RAH88" s="996"/>
      <c r="RAI88" s="996"/>
      <c r="RAJ88" s="996"/>
      <c r="RAK88" s="996"/>
      <c r="RAL88" s="996"/>
      <c r="RAM88" s="996"/>
      <c r="RAN88" s="996"/>
      <c r="RAO88" s="996"/>
      <c r="RAP88" s="996"/>
      <c r="RAQ88" s="996"/>
      <c r="RAR88" s="996"/>
      <c r="RAS88" s="996"/>
      <c r="RAT88" s="996"/>
      <c r="RAU88" s="996"/>
      <c r="RAV88" s="996"/>
      <c r="RAW88" s="996"/>
      <c r="RAX88" s="996"/>
      <c r="RAY88" s="996"/>
      <c r="RAZ88" s="996"/>
      <c r="RBA88" s="996"/>
      <c r="RBB88" s="996"/>
      <c r="RBC88" s="996"/>
      <c r="RBD88" s="996"/>
      <c r="RBE88" s="996"/>
      <c r="RBF88" s="996"/>
      <c r="RBG88" s="996"/>
      <c r="RBH88" s="996"/>
      <c r="RBI88" s="996"/>
      <c r="RBJ88" s="996"/>
      <c r="RBK88" s="996"/>
      <c r="RBL88" s="996"/>
      <c r="RBM88" s="996"/>
      <c r="RBN88" s="996"/>
      <c r="RBO88" s="996"/>
      <c r="RBP88" s="996"/>
      <c r="RBQ88" s="996"/>
      <c r="RBR88" s="996"/>
      <c r="RBS88" s="996"/>
      <c r="RBT88" s="996"/>
      <c r="RBU88" s="996"/>
      <c r="RBV88" s="996"/>
      <c r="RBW88" s="996"/>
      <c r="RBX88" s="996"/>
      <c r="RBY88" s="996"/>
      <c r="RBZ88" s="996"/>
      <c r="RCA88" s="996"/>
      <c r="RCB88" s="996"/>
      <c r="RCC88" s="996"/>
      <c r="RCD88" s="996"/>
      <c r="RCE88" s="996"/>
      <c r="RCF88" s="996"/>
      <c r="RCG88" s="996"/>
      <c r="RCH88" s="996"/>
      <c r="RCI88" s="996"/>
      <c r="RCJ88" s="996"/>
      <c r="RCK88" s="996"/>
      <c r="RCL88" s="996"/>
      <c r="RCM88" s="996"/>
      <c r="RCN88" s="996"/>
      <c r="RCO88" s="996"/>
      <c r="RCP88" s="996"/>
      <c r="RCQ88" s="996"/>
      <c r="RCR88" s="996"/>
      <c r="RCS88" s="996"/>
      <c r="RCT88" s="996"/>
      <c r="RCU88" s="996"/>
      <c r="RCV88" s="996"/>
      <c r="RCW88" s="996"/>
      <c r="RCX88" s="996"/>
      <c r="RCY88" s="996"/>
      <c r="RCZ88" s="996"/>
      <c r="RDA88" s="996"/>
      <c r="RDB88" s="996"/>
      <c r="RDC88" s="996"/>
      <c r="RDD88" s="996"/>
      <c r="RDE88" s="996"/>
      <c r="RDF88" s="996"/>
      <c r="RDG88" s="996"/>
      <c r="RDH88" s="996"/>
      <c r="RDI88" s="996"/>
      <c r="RDJ88" s="996"/>
      <c r="RDK88" s="996"/>
      <c r="RDL88" s="996"/>
      <c r="RDM88" s="996"/>
      <c r="RDN88" s="996"/>
      <c r="RDO88" s="996"/>
      <c r="RDP88" s="996"/>
      <c r="RDQ88" s="996"/>
      <c r="RDR88" s="996"/>
      <c r="RDS88" s="996"/>
      <c r="RDT88" s="996"/>
      <c r="RDU88" s="996"/>
      <c r="RDV88" s="996"/>
      <c r="RDW88" s="996"/>
      <c r="RDX88" s="996"/>
      <c r="RDY88" s="996"/>
      <c r="RDZ88" s="996"/>
      <c r="REA88" s="996"/>
      <c r="REB88" s="996"/>
      <c r="REC88" s="996"/>
      <c r="RED88" s="996"/>
      <c r="REE88" s="996"/>
      <c r="REF88" s="996"/>
      <c r="REG88" s="996"/>
      <c r="REH88" s="996"/>
      <c r="REI88" s="996"/>
      <c r="REJ88" s="996"/>
      <c r="REK88" s="996"/>
      <c r="REL88" s="996"/>
      <c r="REM88" s="996"/>
      <c r="REN88" s="996"/>
      <c r="REO88" s="996"/>
      <c r="REP88" s="996"/>
      <c r="REQ88" s="996"/>
      <c r="RER88" s="996"/>
      <c r="RES88" s="996"/>
      <c r="RET88" s="996"/>
      <c r="REU88" s="996"/>
      <c r="REV88" s="996"/>
      <c r="REW88" s="996"/>
      <c r="REX88" s="996"/>
      <c r="REY88" s="996"/>
      <c r="REZ88" s="996"/>
      <c r="RFA88" s="996"/>
      <c r="RFB88" s="996"/>
      <c r="RFC88" s="996"/>
      <c r="RFD88" s="996"/>
      <c r="RFE88" s="996"/>
      <c r="RFF88" s="996"/>
      <c r="RFG88" s="996"/>
      <c r="RFH88" s="996"/>
      <c r="RFI88" s="996"/>
      <c r="RFJ88" s="996"/>
      <c r="RFK88" s="996"/>
      <c r="RFL88" s="996"/>
      <c r="RFM88" s="996"/>
      <c r="RFN88" s="996"/>
      <c r="RFO88" s="996"/>
      <c r="RFP88" s="996"/>
      <c r="RFQ88" s="996"/>
      <c r="RFR88" s="996"/>
      <c r="RFS88" s="996"/>
      <c r="RFT88" s="996"/>
      <c r="RFU88" s="996"/>
      <c r="RFV88" s="996"/>
      <c r="RFW88" s="996"/>
      <c r="RFX88" s="996"/>
      <c r="RFY88" s="996"/>
      <c r="RFZ88" s="996"/>
      <c r="RGA88" s="996"/>
      <c r="RGB88" s="996"/>
      <c r="RGC88" s="996"/>
      <c r="RGD88" s="996"/>
      <c r="RGE88" s="996"/>
      <c r="RGF88" s="996"/>
      <c r="RGG88" s="996"/>
      <c r="RGH88" s="996"/>
      <c r="RGI88" s="996"/>
      <c r="RGJ88" s="996"/>
      <c r="RGK88" s="996"/>
      <c r="RGL88" s="996"/>
      <c r="RGM88" s="996"/>
      <c r="RGN88" s="996"/>
      <c r="RGO88" s="996"/>
      <c r="RGP88" s="996"/>
      <c r="RGQ88" s="996"/>
      <c r="RGR88" s="996"/>
      <c r="RGS88" s="996"/>
      <c r="RGT88" s="996"/>
      <c r="RGU88" s="996"/>
      <c r="RGV88" s="996"/>
      <c r="RGW88" s="996"/>
      <c r="RGX88" s="996"/>
      <c r="RGY88" s="996"/>
      <c r="RGZ88" s="996"/>
      <c r="RHA88" s="996"/>
      <c r="RHB88" s="996"/>
      <c r="RHC88" s="996"/>
      <c r="RHD88" s="996"/>
      <c r="RHE88" s="996"/>
      <c r="RHF88" s="996"/>
      <c r="RHG88" s="996"/>
      <c r="RHH88" s="996"/>
      <c r="RHI88" s="996"/>
      <c r="RHJ88" s="996"/>
      <c r="RHK88" s="996"/>
      <c r="RHL88" s="996"/>
      <c r="RHM88" s="996"/>
      <c r="RHN88" s="996"/>
      <c r="RHO88" s="996"/>
      <c r="RHP88" s="996"/>
      <c r="RHQ88" s="996"/>
      <c r="RHR88" s="996"/>
      <c r="RHS88" s="996"/>
      <c r="RHT88" s="996"/>
      <c r="RHU88" s="996"/>
      <c r="RHV88" s="996"/>
      <c r="RHW88" s="996"/>
      <c r="RHX88" s="996"/>
      <c r="RHY88" s="996"/>
      <c r="RHZ88" s="996"/>
      <c r="RIA88" s="996"/>
      <c r="RIB88" s="996"/>
      <c r="RIC88" s="996"/>
      <c r="RID88" s="996"/>
      <c r="RIE88" s="996"/>
      <c r="RIF88" s="996"/>
      <c r="RIG88" s="996"/>
      <c r="RIH88" s="996"/>
      <c r="RII88" s="996"/>
      <c r="RIJ88" s="996"/>
      <c r="RIK88" s="996"/>
      <c r="RIL88" s="996"/>
      <c r="RIM88" s="996"/>
      <c r="RIN88" s="996"/>
      <c r="RIO88" s="996"/>
      <c r="RIP88" s="996"/>
      <c r="RIQ88" s="996"/>
      <c r="RIR88" s="996"/>
      <c r="RIS88" s="996"/>
      <c r="RIT88" s="996"/>
      <c r="RIU88" s="996"/>
      <c r="RIV88" s="996"/>
      <c r="RIW88" s="996"/>
      <c r="RIX88" s="996"/>
      <c r="RIY88" s="996"/>
      <c r="RIZ88" s="996"/>
      <c r="RJA88" s="996"/>
      <c r="RJB88" s="996"/>
      <c r="RJC88" s="996"/>
      <c r="RJD88" s="996"/>
      <c r="RJE88" s="996"/>
      <c r="RJF88" s="996"/>
      <c r="RJG88" s="996"/>
      <c r="RJH88" s="996"/>
      <c r="RJI88" s="996"/>
      <c r="RJJ88" s="996"/>
      <c r="RJK88" s="996"/>
      <c r="RJL88" s="996"/>
      <c r="RJM88" s="996"/>
      <c r="RJN88" s="996"/>
      <c r="RJO88" s="996"/>
      <c r="RJP88" s="996"/>
      <c r="RJQ88" s="996"/>
      <c r="RJR88" s="996"/>
      <c r="RJS88" s="996"/>
      <c r="RJT88" s="996"/>
      <c r="RJU88" s="996"/>
      <c r="RJV88" s="996"/>
      <c r="RJW88" s="996"/>
      <c r="RJX88" s="996"/>
      <c r="RJY88" s="996"/>
      <c r="RJZ88" s="996"/>
      <c r="RKA88" s="996"/>
      <c r="RKB88" s="996"/>
      <c r="RKC88" s="996"/>
      <c r="RKD88" s="996"/>
      <c r="RKE88" s="996"/>
      <c r="RKF88" s="996"/>
      <c r="RKG88" s="996"/>
      <c r="RKH88" s="996"/>
      <c r="RKI88" s="996"/>
      <c r="RKJ88" s="996"/>
      <c r="RKK88" s="996"/>
      <c r="RKL88" s="996"/>
      <c r="RKM88" s="996"/>
      <c r="RKN88" s="996"/>
      <c r="RKO88" s="996"/>
      <c r="RKP88" s="996"/>
      <c r="RKQ88" s="996"/>
      <c r="RKR88" s="996"/>
      <c r="RKS88" s="996"/>
      <c r="RKT88" s="996"/>
      <c r="RKU88" s="996"/>
      <c r="RKV88" s="996"/>
      <c r="RKW88" s="996"/>
      <c r="RKX88" s="996"/>
      <c r="RKY88" s="996"/>
      <c r="RKZ88" s="996"/>
      <c r="RLA88" s="996"/>
      <c r="RLB88" s="996"/>
      <c r="RLC88" s="996"/>
      <c r="RLD88" s="996"/>
      <c r="RLE88" s="996"/>
      <c r="RLF88" s="996"/>
      <c r="RLG88" s="996"/>
      <c r="RLH88" s="996"/>
      <c r="RLI88" s="996"/>
      <c r="RLJ88" s="996"/>
      <c r="RLK88" s="996"/>
      <c r="RLL88" s="996"/>
      <c r="RLM88" s="996"/>
      <c r="RLN88" s="996"/>
      <c r="RLO88" s="996"/>
      <c r="RLP88" s="996"/>
      <c r="RLQ88" s="996"/>
      <c r="RLR88" s="996"/>
      <c r="RLS88" s="996"/>
      <c r="RLT88" s="996"/>
      <c r="RLU88" s="996"/>
      <c r="RLV88" s="996"/>
      <c r="RLW88" s="996"/>
      <c r="RLX88" s="996"/>
      <c r="RLY88" s="996"/>
      <c r="RLZ88" s="996"/>
      <c r="RMA88" s="996"/>
      <c r="RMB88" s="996"/>
      <c r="RMC88" s="996"/>
      <c r="RMD88" s="996"/>
      <c r="RME88" s="996"/>
      <c r="RMF88" s="996"/>
      <c r="RMG88" s="996"/>
      <c r="RMH88" s="996"/>
      <c r="RMI88" s="996"/>
      <c r="RMJ88" s="996"/>
      <c r="RMK88" s="996"/>
      <c r="RML88" s="996"/>
      <c r="RMM88" s="996"/>
      <c r="RMN88" s="996"/>
      <c r="RMO88" s="996"/>
      <c r="RMP88" s="996"/>
      <c r="RMQ88" s="996"/>
      <c r="RMR88" s="996"/>
      <c r="RMS88" s="996"/>
      <c r="RMT88" s="996"/>
      <c r="RMU88" s="996"/>
      <c r="RMV88" s="996"/>
      <c r="RMW88" s="996"/>
      <c r="RMX88" s="996"/>
      <c r="RMY88" s="996"/>
      <c r="RMZ88" s="996"/>
      <c r="RNA88" s="996"/>
      <c r="RNB88" s="996"/>
      <c r="RNC88" s="996"/>
      <c r="RND88" s="996"/>
      <c r="RNE88" s="996"/>
      <c r="RNF88" s="996"/>
      <c r="RNG88" s="996"/>
      <c r="RNH88" s="996"/>
      <c r="RNI88" s="996"/>
      <c r="RNJ88" s="996"/>
      <c r="RNK88" s="996"/>
      <c r="RNL88" s="996"/>
      <c r="RNM88" s="996"/>
      <c r="RNN88" s="996"/>
      <c r="RNO88" s="996"/>
      <c r="RNP88" s="996"/>
      <c r="RNQ88" s="996"/>
      <c r="RNR88" s="996"/>
      <c r="RNS88" s="996"/>
      <c r="RNT88" s="996"/>
      <c r="RNU88" s="996"/>
      <c r="RNV88" s="996"/>
      <c r="RNW88" s="996"/>
      <c r="RNX88" s="996"/>
      <c r="RNY88" s="996"/>
      <c r="RNZ88" s="996"/>
      <c r="ROA88" s="996"/>
      <c r="ROB88" s="996"/>
      <c r="ROC88" s="996"/>
      <c r="ROD88" s="996"/>
      <c r="ROE88" s="996"/>
      <c r="ROF88" s="996"/>
      <c r="ROG88" s="996"/>
      <c r="ROH88" s="996"/>
      <c r="ROI88" s="996"/>
      <c r="ROJ88" s="996"/>
      <c r="ROK88" s="996"/>
      <c r="ROL88" s="996"/>
      <c r="ROM88" s="996"/>
      <c r="RON88" s="996"/>
      <c r="ROO88" s="996"/>
      <c r="ROP88" s="996"/>
      <c r="ROQ88" s="996"/>
      <c r="ROR88" s="996"/>
      <c r="ROS88" s="996"/>
      <c r="ROT88" s="996"/>
      <c r="ROU88" s="996"/>
      <c r="ROV88" s="996"/>
      <c r="ROW88" s="996"/>
      <c r="ROX88" s="996"/>
      <c r="ROY88" s="996"/>
      <c r="ROZ88" s="996"/>
      <c r="RPA88" s="996"/>
      <c r="RPB88" s="996"/>
      <c r="RPC88" s="996"/>
      <c r="RPD88" s="996"/>
      <c r="RPE88" s="996"/>
      <c r="RPF88" s="996"/>
      <c r="RPG88" s="996"/>
      <c r="RPH88" s="996"/>
      <c r="RPI88" s="996"/>
      <c r="RPJ88" s="996"/>
      <c r="RPK88" s="996"/>
      <c r="RPL88" s="996"/>
      <c r="RPM88" s="996"/>
      <c r="RPN88" s="996"/>
      <c r="RPO88" s="996"/>
      <c r="RPP88" s="996"/>
      <c r="RPQ88" s="996"/>
      <c r="RPR88" s="996"/>
      <c r="RPS88" s="996"/>
      <c r="RPT88" s="996"/>
      <c r="RPU88" s="996"/>
      <c r="RPV88" s="996"/>
      <c r="RPW88" s="996"/>
      <c r="RPX88" s="996"/>
      <c r="RPY88" s="996"/>
      <c r="RPZ88" s="996"/>
      <c r="RQA88" s="996"/>
      <c r="RQB88" s="996"/>
      <c r="RQC88" s="996"/>
      <c r="RQD88" s="996"/>
      <c r="RQE88" s="996"/>
      <c r="RQF88" s="996"/>
      <c r="RQG88" s="996"/>
      <c r="RQH88" s="996"/>
      <c r="RQI88" s="996"/>
      <c r="RQJ88" s="996"/>
      <c r="RQK88" s="996"/>
      <c r="RQL88" s="996"/>
      <c r="RQM88" s="996"/>
      <c r="RQN88" s="996"/>
      <c r="RQO88" s="996"/>
      <c r="RQP88" s="996"/>
      <c r="RQQ88" s="996"/>
      <c r="RQR88" s="996"/>
      <c r="RQS88" s="996"/>
      <c r="RQT88" s="996"/>
      <c r="RQU88" s="996"/>
      <c r="RQV88" s="996"/>
      <c r="RQW88" s="996"/>
      <c r="RQX88" s="996"/>
      <c r="RQY88" s="996"/>
      <c r="RQZ88" s="996"/>
      <c r="RRA88" s="996"/>
      <c r="RRB88" s="996"/>
      <c r="RRC88" s="996"/>
      <c r="RRD88" s="996"/>
      <c r="RRE88" s="996"/>
      <c r="RRF88" s="996"/>
      <c r="RRG88" s="996"/>
      <c r="RRH88" s="996"/>
      <c r="RRI88" s="996"/>
      <c r="RRJ88" s="996"/>
      <c r="RRK88" s="996"/>
      <c r="RRL88" s="996"/>
      <c r="RRM88" s="996"/>
      <c r="RRN88" s="996"/>
      <c r="RRO88" s="996"/>
      <c r="RRP88" s="996"/>
      <c r="RRQ88" s="996"/>
      <c r="RRR88" s="996"/>
      <c r="RRS88" s="996"/>
      <c r="RRT88" s="996"/>
      <c r="RRU88" s="996"/>
      <c r="RRV88" s="996"/>
      <c r="RRW88" s="996"/>
      <c r="RRX88" s="996"/>
      <c r="RRY88" s="996"/>
      <c r="RRZ88" s="996"/>
      <c r="RSA88" s="996"/>
      <c r="RSB88" s="996"/>
      <c r="RSC88" s="996"/>
      <c r="RSD88" s="996"/>
      <c r="RSE88" s="996"/>
      <c r="RSF88" s="996"/>
      <c r="RSG88" s="996"/>
      <c r="RSH88" s="996"/>
      <c r="RSI88" s="996"/>
      <c r="RSJ88" s="996"/>
      <c r="RSK88" s="996"/>
      <c r="RSL88" s="996"/>
      <c r="RSM88" s="996"/>
      <c r="RSN88" s="996"/>
      <c r="RSO88" s="996"/>
      <c r="RSP88" s="996"/>
      <c r="RSQ88" s="996"/>
      <c r="RSR88" s="996"/>
      <c r="RSS88" s="996"/>
      <c r="RST88" s="996"/>
      <c r="RSU88" s="996"/>
      <c r="RSV88" s="996"/>
      <c r="RSW88" s="996"/>
      <c r="RSX88" s="996"/>
      <c r="RSY88" s="996"/>
      <c r="RSZ88" s="996"/>
      <c r="RTA88" s="996"/>
      <c r="RTB88" s="996"/>
      <c r="RTC88" s="996"/>
      <c r="RTD88" s="996"/>
      <c r="RTE88" s="996"/>
      <c r="RTF88" s="996"/>
      <c r="RTG88" s="996"/>
      <c r="RTH88" s="996"/>
      <c r="RTI88" s="996"/>
      <c r="RTJ88" s="996"/>
      <c r="RTK88" s="996"/>
      <c r="RTL88" s="996"/>
      <c r="RTM88" s="996"/>
      <c r="RTN88" s="996"/>
      <c r="RTO88" s="996"/>
      <c r="RTP88" s="996"/>
      <c r="RTQ88" s="996"/>
      <c r="RTR88" s="996"/>
      <c r="RTS88" s="996"/>
      <c r="RTT88" s="996"/>
      <c r="RTU88" s="996"/>
      <c r="RTV88" s="996"/>
      <c r="RTW88" s="996"/>
      <c r="RTX88" s="996"/>
      <c r="RTY88" s="996"/>
      <c r="RTZ88" s="996"/>
      <c r="RUA88" s="996"/>
      <c r="RUB88" s="996"/>
      <c r="RUC88" s="996"/>
      <c r="RUD88" s="996"/>
      <c r="RUE88" s="996"/>
      <c r="RUF88" s="996"/>
      <c r="RUG88" s="996"/>
      <c r="RUH88" s="996"/>
      <c r="RUI88" s="996"/>
      <c r="RUJ88" s="996"/>
      <c r="RUK88" s="996"/>
      <c r="RUL88" s="996"/>
      <c r="RUM88" s="996"/>
      <c r="RUN88" s="996"/>
      <c r="RUO88" s="996"/>
      <c r="RUP88" s="996"/>
      <c r="RUQ88" s="996"/>
      <c r="RUR88" s="996"/>
      <c r="RUS88" s="996"/>
      <c r="RUT88" s="996"/>
      <c r="RUU88" s="996"/>
      <c r="RUV88" s="996"/>
      <c r="RUW88" s="996"/>
      <c r="RUX88" s="996"/>
      <c r="RUY88" s="996"/>
      <c r="RUZ88" s="996"/>
      <c r="RVA88" s="996"/>
      <c r="RVB88" s="996"/>
      <c r="RVC88" s="996"/>
      <c r="RVD88" s="996"/>
      <c r="RVE88" s="996"/>
      <c r="RVF88" s="996"/>
      <c r="RVG88" s="996"/>
      <c r="RVH88" s="996"/>
      <c r="RVI88" s="996"/>
      <c r="RVJ88" s="996"/>
      <c r="RVK88" s="996"/>
      <c r="RVL88" s="996"/>
      <c r="RVM88" s="996"/>
      <c r="RVN88" s="996"/>
      <c r="RVO88" s="996"/>
      <c r="RVP88" s="996"/>
      <c r="RVQ88" s="996"/>
      <c r="RVR88" s="996"/>
      <c r="RVS88" s="996"/>
      <c r="RVT88" s="996"/>
      <c r="RVU88" s="996"/>
      <c r="RVV88" s="996"/>
      <c r="RVW88" s="996"/>
      <c r="RVX88" s="996"/>
      <c r="RVY88" s="996"/>
      <c r="RVZ88" s="996"/>
      <c r="RWA88" s="996"/>
      <c r="RWB88" s="996"/>
      <c r="RWC88" s="996"/>
      <c r="RWD88" s="996"/>
      <c r="RWE88" s="996"/>
      <c r="RWF88" s="996"/>
      <c r="RWG88" s="996"/>
      <c r="RWH88" s="996"/>
      <c r="RWI88" s="996"/>
      <c r="RWJ88" s="996"/>
      <c r="RWK88" s="996"/>
      <c r="RWL88" s="996"/>
      <c r="RWM88" s="996"/>
      <c r="RWN88" s="996"/>
      <c r="RWO88" s="996"/>
      <c r="RWP88" s="996"/>
      <c r="RWQ88" s="996"/>
      <c r="RWR88" s="996"/>
      <c r="RWS88" s="996"/>
      <c r="RWT88" s="996"/>
      <c r="RWU88" s="996"/>
      <c r="RWV88" s="996"/>
      <c r="RWW88" s="996"/>
      <c r="RWX88" s="996"/>
      <c r="RWY88" s="996"/>
      <c r="RWZ88" s="996"/>
      <c r="RXA88" s="996"/>
      <c r="RXB88" s="996"/>
      <c r="RXC88" s="996"/>
      <c r="RXD88" s="996"/>
      <c r="RXE88" s="996"/>
      <c r="RXF88" s="996"/>
      <c r="RXG88" s="996"/>
      <c r="RXH88" s="996"/>
      <c r="RXI88" s="996"/>
      <c r="RXJ88" s="996"/>
      <c r="RXK88" s="996"/>
      <c r="RXL88" s="996"/>
      <c r="RXM88" s="996"/>
      <c r="RXN88" s="996"/>
      <c r="RXO88" s="996"/>
      <c r="RXP88" s="996"/>
      <c r="RXQ88" s="996"/>
      <c r="RXR88" s="996"/>
      <c r="RXS88" s="996"/>
      <c r="RXT88" s="996"/>
      <c r="RXU88" s="996"/>
      <c r="RXV88" s="996"/>
      <c r="RXW88" s="996"/>
      <c r="RXX88" s="996"/>
      <c r="RXY88" s="996"/>
      <c r="RXZ88" s="996"/>
      <c r="RYA88" s="996"/>
      <c r="RYB88" s="996"/>
      <c r="RYC88" s="996"/>
      <c r="RYD88" s="996"/>
      <c r="RYE88" s="996"/>
      <c r="RYF88" s="996"/>
      <c r="RYG88" s="996"/>
      <c r="RYH88" s="996"/>
      <c r="RYI88" s="996"/>
      <c r="RYJ88" s="996"/>
      <c r="RYK88" s="996"/>
      <c r="RYL88" s="996"/>
      <c r="RYM88" s="996"/>
      <c r="RYN88" s="996"/>
      <c r="RYO88" s="996"/>
      <c r="RYP88" s="996"/>
      <c r="RYQ88" s="996"/>
      <c r="RYR88" s="996"/>
      <c r="RYS88" s="996"/>
      <c r="RYT88" s="996"/>
      <c r="RYU88" s="996"/>
      <c r="RYV88" s="996"/>
      <c r="RYW88" s="996"/>
      <c r="RYX88" s="996"/>
      <c r="RYY88" s="996"/>
      <c r="RYZ88" s="996"/>
      <c r="RZA88" s="996"/>
      <c r="RZB88" s="996"/>
      <c r="RZC88" s="996"/>
      <c r="RZD88" s="996"/>
      <c r="RZE88" s="996"/>
      <c r="RZF88" s="996"/>
      <c r="RZG88" s="996"/>
      <c r="RZH88" s="996"/>
      <c r="RZI88" s="996"/>
      <c r="RZJ88" s="996"/>
      <c r="RZK88" s="996"/>
      <c r="RZL88" s="996"/>
      <c r="RZM88" s="996"/>
      <c r="RZN88" s="996"/>
      <c r="RZO88" s="996"/>
      <c r="RZP88" s="996"/>
      <c r="RZQ88" s="996"/>
      <c r="RZR88" s="996"/>
      <c r="RZS88" s="996"/>
      <c r="RZT88" s="996"/>
      <c r="RZU88" s="996"/>
      <c r="RZV88" s="996"/>
      <c r="RZW88" s="996"/>
      <c r="RZX88" s="996"/>
      <c r="RZY88" s="996"/>
      <c r="RZZ88" s="996"/>
      <c r="SAA88" s="996"/>
      <c r="SAB88" s="996"/>
      <c r="SAC88" s="996"/>
      <c r="SAD88" s="996"/>
      <c r="SAE88" s="996"/>
      <c r="SAF88" s="996"/>
      <c r="SAG88" s="996"/>
      <c r="SAH88" s="996"/>
      <c r="SAI88" s="996"/>
      <c r="SAJ88" s="996"/>
      <c r="SAK88" s="996"/>
      <c r="SAL88" s="996"/>
      <c r="SAM88" s="996"/>
      <c r="SAN88" s="996"/>
      <c r="SAO88" s="996"/>
      <c r="SAP88" s="996"/>
      <c r="SAQ88" s="996"/>
      <c r="SAR88" s="996"/>
      <c r="SAS88" s="996"/>
      <c r="SAT88" s="996"/>
      <c r="SAU88" s="996"/>
      <c r="SAV88" s="996"/>
      <c r="SAW88" s="996"/>
      <c r="SAX88" s="996"/>
      <c r="SAY88" s="996"/>
      <c r="SAZ88" s="996"/>
      <c r="SBA88" s="996"/>
      <c r="SBB88" s="996"/>
      <c r="SBC88" s="996"/>
      <c r="SBD88" s="996"/>
      <c r="SBE88" s="996"/>
      <c r="SBF88" s="996"/>
      <c r="SBG88" s="996"/>
      <c r="SBH88" s="996"/>
      <c r="SBI88" s="996"/>
      <c r="SBJ88" s="996"/>
      <c r="SBK88" s="996"/>
      <c r="SBL88" s="996"/>
      <c r="SBM88" s="996"/>
      <c r="SBN88" s="996"/>
      <c r="SBO88" s="996"/>
      <c r="SBP88" s="996"/>
      <c r="SBQ88" s="996"/>
      <c r="SBR88" s="996"/>
      <c r="SBS88" s="996"/>
      <c r="SBT88" s="996"/>
      <c r="SBU88" s="996"/>
      <c r="SBV88" s="996"/>
      <c r="SBW88" s="996"/>
      <c r="SBX88" s="996"/>
      <c r="SBY88" s="996"/>
      <c r="SBZ88" s="996"/>
      <c r="SCA88" s="996"/>
      <c r="SCB88" s="996"/>
      <c r="SCC88" s="996"/>
      <c r="SCD88" s="996"/>
      <c r="SCE88" s="996"/>
      <c r="SCF88" s="996"/>
      <c r="SCG88" s="996"/>
      <c r="SCH88" s="996"/>
      <c r="SCI88" s="996"/>
      <c r="SCJ88" s="996"/>
      <c r="SCK88" s="996"/>
      <c r="SCL88" s="996"/>
      <c r="SCM88" s="996"/>
      <c r="SCN88" s="996"/>
      <c r="SCO88" s="996"/>
      <c r="SCP88" s="996"/>
      <c r="SCQ88" s="996"/>
      <c r="SCR88" s="996"/>
      <c r="SCS88" s="996"/>
      <c r="SCT88" s="996"/>
      <c r="SCU88" s="996"/>
      <c r="SCV88" s="996"/>
      <c r="SCW88" s="996"/>
      <c r="SCX88" s="996"/>
      <c r="SCY88" s="996"/>
      <c r="SCZ88" s="996"/>
      <c r="SDA88" s="996"/>
      <c r="SDB88" s="996"/>
      <c r="SDC88" s="996"/>
      <c r="SDD88" s="996"/>
      <c r="SDE88" s="996"/>
      <c r="SDF88" s="996"/>
      <c r="SDG88" s="996"/>
      <c r="SDH88" s="996"/>
      <c r="SDI88" s="996"/>
      <c r="SDJ88" s="996"/>
      <c r="SDK88" s="996"/>
      <c r="SDL88" s="996"/>
      <c r="SDM88" s="996"/>
      <c r="SDN88" s="996"/>
      <c r="SDO88" s="996"/>
      <c r="SDP88" s="996"/>
      <c r="SDQ88" s="996"/>
      <c r="SDR88" s="996"/>
      <c r="SDS88" s="996"/>
      <c r="SDT88" s="996"/>
      <c r="SDU88" s="996"/>
      <c r="SDV88" s="996"/>
      <c r="SDW88" s="996"/>
      <c r="SDX88" s="996"/>
      <c r="SDY88" s="996"/>
      <c r="SDZ88" s="996"/>
      <c r="SEA88" s="996"/>
      <c r="SEB88" s="996"/>
      <c r="SEC88" s="996"/>
      <c r="SED88" s="996"/>
      <c r="SEE88" s="996"/>
      <c r="SEF88" s="996"/>
      <c r="SEG88" s="996"/>
      <c r="SEH88" s="996"/>
      <c r="SEI88" s="996"/>
      <c r="SEJ88" s="996"/>
      <c r="SEK88" s="996"/>
      <c r="SEL88" s="996"/>
      <c r="SEM88" s="996"/>
      <c r="SEN88" s="996"/>
      <c r="SEO88" s="996"/>
      <c r="SEP88" s="996"/>
      <c r="SEQ88" s="996"/>
      <c r="SER88" s="996"/>
      <c r="SES88" s="996"/>
      <c r="SET88" s="996"/>
      <c r="SEU88" s="996"/>
      <c r="SEV88" s="996"/>
      <c r="SEW88" s="996"/>
      <c r="SEX88" s="996"/>
      <c r="SEY88" s="996"/>
      <c r="SEZ88" s="996"/>
      <c r="SFA88" s="996"/>
      <c r="SFB88" s="996"/>
      <c r="SFC88" s="996"/>
      <c r="SFD88" s="996"/>
      <c r="SFE88" s="996"/>
      <c r="SFF88" s="996"/>
      <c r="SFG88" s="996"/>
      <c r="SFH88" s="996"/>
      <c r="SFI88" s="996"/>
      <c r="SFJ88" s="996"/>
      <c r="SFK88" s="996"/>
      <c r="SFL88" s="996"/>
      <c r="SFM88" s="996"/>
      <c r="SFN88" s="996"/>
      <c r="SFO88" s="996"/>
      <c r="SFP88" s="996"/>
      <c r="SFQ88" s="996"/>
      <c r="SFR88" s="996"/>
      <c r="SFS88" s="996"/>
      <c r="SFT88" s="996"/>
      <c r="SFU88" s="996"/>
      <c r="SFV88" s="996"/>
      <c r="SFW88" s="996"/>
      <c r="SFX88" s="996"/>
      <c r="SFY88" s="996"/>
      <c r="SFZ88" s="996"/>
      <c r="SGA88" s="996"/>
      <c r="SGB88" s="996"/>
      <c r="SGC88" s="996"/>
      <c r="SGD88" s="996"/>
      <c r="SGE88" s="996"/>
      <c r="SGF88" s="996"/>
      <c r="SGG88" s="996"/>
      <c r="SGH88" s="996"/>
      <c r="SGI88" s="996"/>
      <c r="SGJ88" s="996"/>
      <c r="SGK88" s="996"/>
      <c r="SGL88" s="996"/>
      <c r="SGM88" s="996"/>
      <c r="SGN88" s="996"/>
      <c r="SGO88" s="996"/>
      <c r="SGP88" s="996"/>
      <c r="SGQ88" s="996"/>
      <c r="SGR88" s="996"/>
      <c r="SGS88" s="996"/>
      <c r="SGT88" s="996"/>
      <c r="SGU88" s="996"/>
      <c r="SGV88" s="996"/>
      <c r="SGW88" s="996"/>
      <c r="SGX88" s="996"/>
      <c r="SGY88" s="996"/>
      <c r="SGZ88" s="996"/>
      <c r="SHA88" s="996"/>
      <c r="SHB88" s="996"/>
      <c r="SHC88" s="996"/>
      <c r="SHD88" s="996"/>
      <c r="SHE88" s="996"/>
      <c r="SHF88" s="996"/>
      <c r="SHG88" s="996"/>
      <c r="SHH88" s="996"/>
      <c r="SHI88" s="996"/>
      <c r="SHJ88" s="996"/>
      <c r="SHK88" s="996"/>
      <c r="SHL88" s="996"/>
      <c r="SHM88" s="996"/>
      <c r="SHN88" s="996"/>
      <c r="SHO88" s="996"/>
      <c r="SHP88" s="996"/>
      <c r="SHQ88" s="996"/>
      <c r="SHR88" s="996"/>
      <c r="SHS88" s="996"/>
      <c r="SHT88" s="996"/>
      <c r="SHU88" s="996"/>
      <c r="SHV88" s="996"/>
      <c r="SHW88" s="996"/>
      <c r="SHX88" s="996"/>
      <c r="SHY88" s="996"/>
      <c r="SHZ88" s="996"/>
      <c r="SIA88" s="996"/>
      <c r="SIB88" s="996"/>
      <c r="SIC88" s="996"/>
      <c r="SID88" s="996"/>
      <c r="SIE88" s="996"/>
      <c r="SIF88" s="996"/>
      <c r="SIG88" s="996"/>
      <c r="SIH88" s="996"/>
      <c r="SII88" s="996"/>
      <c r="SIJ88" s="996"/>
      <c r="SIK88" s="996"/>
      <c r="SIL88" s="996"/>
      <c r="SIM88" s="996"/>
      <c r="SIN88" s="996"/>
      <c r="SIO88" s="996"/>
      <c r="SIP88" s="996"/>
      <c r="SIQ88" s="996"/>
      <c r="SIR88" s="996"/>
      <c r="SIS88" s="996"/>
      <c r="SIT88" s="996"/>
      <c r="SIU88" s="996"/>
      <c r="SIV88" s="996"/>
      <c r="SIW88" s="996"/>
      <c r="SIX88" s="996"/>
      <c r="SIY88" s="996"/>
      <c r="SIZ88" s="996"/>
      <c r="SJA88" s="996"/>
      <c r="SJB88" s="996"/>
      <c r="SJC88" s="996"/>
      <c r="SJD88" s="996"/>
      <c r="SJE88" s="996"/>
      <c r="SJF88" s="996"/>
      <c r="SJG88" s="996"/>
      <c r="SJH88" s="996"/>
      <c r="SJI88" s="996"/>
      <c r="SJJ88" s="996"/>
      <c r="SJK88" s="996"/>
      <c r="SJL88" s="996"/>
      <c r="SJM88" s="996"/>
      <c r="SJN88" s="996"/>
      <c r="SJO88" s="996"/>
      <c r="SJP88" s="996"/>
      <c r="SJQ88" s="996"/>
      <c r="SJR88" s="996"/>
      <c r="SJS88" s="996"/>
      <c r="SJT88" s="996"/>
      <c r="SJU88" s="996"/>
      <c r="SJV88" s="996"/>
      <c r="SJW88" s="996"/>
      <c r="SJX88" s="996"/>
      <c r="SJY88" s="996"/>
      <c r="SJZ88" s="996"/>
      <c r="SKA88" s="996"/>
      <c r="SKB88" s="996"/>
      <c r="SKC88" s="996"/>
      <c r="SKD88" s="996"/>
      <c r="SKE88" s="996"/>
      <c r="SKF88" s="996"/>
      <c r="SKG88" s="996"/>
      <c r="SKH88" s="996"/>
      <c r="SKI88" s="996"/>
      <c r="SKJ88" s="996"/>
      <c r="SKK88" s="996"/>
      <c r="SKL88" s="996"/>
      <c r="SKM88" s="996"/>
      <c r="SKN88" s="996"/>
      <c r="SKO88" s="996"/>
      <c r="SKP88" s="996"/>
      <c r="SKQ88" s="996"/>
      <c r="SKR88" s="996"/>
      <c r="SKS88" s="996"/>
      <c r="SKT88" s="996"/>
      <c r="SKU88" s="996"/>
      <c r="SKV88" s="996"/>
      <c r="SKW88" s="996"/>
      <c r="SKX88" s="996"/>
      <c r="SKY88" s="996"/>
      <c r="SKZ88" s="996"/>
      <c r="SLA88" s="996"/>
      <c r="SLB88" s="996"/>
      <c r="SLC88" s="996"/>
      <c r="SLD88" s="996"/>
      <c r="SLE88" s="996"/>
      <c r="SLF88" s="996"/>
      <c r="SLG88" s="996"/>
      <c r="SLH88" s="996"/>
      <c r="SLI88" s="996"/>
      <c r="SLJ88" s="996"/>
      <c r="SLK88" s="996"/>
      <c r="SLL88" s="996"/>
      <c r="SLM88" s="996"/>
      <c r="SLN88" s="996"/>
      <c r="SLO88" s="996"/>
      <c r="SLP88" s="996"/>
      <c r="SLQ88" s="996"/>
      <c r="SLR88" s="996"/>
      <c r="SLS88" s="996"/>
      <c r="SLT88" s="996"/>
      <c r="SLU88" s="996"/>
      <c r="SLV88" s="996"/>
      <c r="SLW88" s="996"/>
      <c r="SLX88" s="996"/>
      <c r="SLY88" s="996"/>
      <c r="SLZ88" s="996"/>
      <c r="SMA88" s="996"/>
      <c r="SMB88" s="996"/>
      <c r="SMC88" s="996"/>
      <c r="SMD88" s="996"/>
      <c r="SME88" s="996"/>
      <c r="SMF88" s="996"/>
      <c r="SMG88" s="996"/>
      <c r="SMH88" s="996"/>
      <c r="SMI88" s="996"/>
      <c r="SMJ88" s="996"/>
      <c r="SMK88" s="996"/>
      <c r="SML88" s="996"/>
      <c r="SMM88" s="996"/>
      <c r="SMN88" s="996"/>
      <c r="SMO88" s="996"/>
      <c r="SMP88" s="996"/>
      <c r="SMQ88" s="996"/>
      <c r="SMR88" s="996"/>
      <c r="SMS88" s="996"/>
      <c r="SMT88" s="996"/>
      <c r="SMU88" s="996"/>
      <c r="SMV88" s="996"/>
      <c r="SMW88" s="996"/>
      <c r="SMX88" s="996"/>
      <c r="SMY88" s="996"/>
      <c r="SMZ88" s="996"/>
      <c r="SNA88" s="996"/>
      <c r="SNB88" s="996"/>
      <c r="SNC88" s="996"/>
      <c r="SND88" s="996"/>
      <c r="SNE88" s="996"/>
      <c r="SNF88" s="996"/>
      <c r="SNG88" s="996"/>
      <c r="SNH88" s="996"/>
      <c r="SNI88" s="996"/>
      <c r="SNJ88" s="996"/>
      <c r="SNK88" s="996"/>
      <c r="SNL88" s="996"/>
      <c r="SNM88" s="996"/>
      <c r="SNN88" s="996"/>
      <c r="SNO88" s="996"/>
      <c r="SNP88" s="996"/>
      <c r="SNQ88" s="996"/>
      <c r="SNR88" s="996"/>
      <c r="SNS88" s="996"/>
      <c r="SNT88" s="996"/>
      <c r="SNU88" s="996"/>
      <c r="SNV88" s="996"/>
      <c r="SNW88" s="996"/>
      <c r="SNX88" s="996"/>
      <c r="SNY88" s="996"/>
      <c r="SNZ88" s="996"/>
      <c r="SOA88" s="996"/>
      <c r="SOB88" s="996"/>
      <c r="SOC88" s="996"/>
      <c r="SOD88" s="996"/>
      <c r="SOE88" s="996"/>
      <c r="SOF88" s="996"/>
      <c r="SOG88" s="996"/>
      <c r="SOH88" s="996"/>
      <c r="SOI88" s="996"/>
      <c r="SOJ88" s="996"/>
      <c r="SOK88" s="996"/>
      <c r="SOL88" s="996"/>
      <c r="SOM88" s="996"/>
      <c r="SON88" s="996"/>
      <c r="SOO88" s="996"/>
      <c r="SOP88" s="996"/>
      <c r="SOQ88" s="996"/>
      <c r="SOR88" s="996"/>
      <c r="SOS88" s="996"/>
      <c r="SOT88" s="996"/>
      <c r="SOU88" s="996"/>
      <c r="SOV88" s="996"/>
      <c r="SOW88" s="996"/>
      <c r="SOX88" s="996"/>
      <c r="SOY88" s="996"/>
      <c r="SOZ88" s="996"/>
      <c r="SPA88" s="996"/>
      <c r="SPB88" s="996"/>
      <c r="SPC88" s="996"/>
      <c r="SPD88" s="996"/>
      <c r="SPE88" s="996"/>
      <c r="SPF88" s="996"/>
      <c r="SPG88" s="996"/>
      <c r="SPH88" s="996"/>
      <c r="SPI88" s="996"/>
      <c r="SPJ88" s="996"/>
      <c r="SPK88" s="996"/>
      <c r="SPL88" s="996"/>
      <c r="SPM88" s="996"/>
      <c r="SPN88" s="996"/>
      <c r="SPO88" s="996"/>
      <c r="SPP88" s="996"/>
      <c r="SPQ88" s="996"/>
      <c r="SPR88" s="996"/>
      <c r="SPS88" s="996"/>
      <c r="SPT88" s="996"/>
      <c r="SPU88" s="996"/>
      <c r="SPV88" s="996"/>
      <c r="SPW88" s="996"/>
      <c r="SPX88" s="996"/>
      <c r="SPY88" s="996"/>
      <c r="SPZ88" s="996"/>
      <c r="SQA88" s="996"/>
      <c r="SQB88" s="996"/>
      <c r="SQC88" s="996"/>
      <c r="SQD88" s="996"/>
      <c r="SQE88" s="996"/>
      <c r="SQF88" s="996"/>
      <c r="SQG88" s="996"/>
      <c r="SQH88" s="996"/>
      <c r="SQI88" s="996"/>
      <c r="SQJ88" s="996"/>
      <c r="SQK88" s="996"/>
      <c r="SQL88" s="996"/>
      <c r="SQM88" s="996"/>
      <c r="SQN88" s="996"/>
      <c r="SQO88" s="996"/>
      <c r="SQP88" s="996"/>
      <c r="SQQ88" s="996"/>
      <c r="SQR88" s="996"/>
      <c r="SQS88" s="996"/>
      <c r="SQT88" s="996"/>
      <c r="SQU88" s="996"/>
      <c r="SQV88" s="996"/>
      <c r="SQW88" s="996"/>
      <c r="SQX88" s="996"/>
      <c r="SQY88" s="996"/>
      <c r="SQZ88" s="996"/>
      <c r="SRA88" s="996"/>
      <c r="SRB88" s="996"/>
      <c r="SRC88" s="996"/>
      <c r="SRD88" s="996"/>
      <c r="SRE88" s="996"/>
      <c r="SRF88" s="996"/>
      <c r="SRG88" s="996"/>
      <c r="SRH88" s="996"/>
      <c r="SRI88" s="996"/>
      <c r="SRJ88" s="996"/>
      <c r="SRK88" s="996"/>
      <c r="SRL88" s="996"/>
      <c r="SRM88" s="996"/>
      <c r="SRN88" s="996"/>
      <c r="SRO88" s="996"/>
      <c r="SRP88" s="996"/>
      <c r="SRQ88" s="996"/>
      <c r="SRR88" s="996"/>
      <c r="SRS88" s="996"/>
      <c r="SRT88" s="996"/>
      <c r="SRU88" s="996"/>
      <c r="SRV88" s="996"/>
      <c r="SRW88" s="996"/>
      <c r="SRX88" s="996"/>
      <c r="SRY88" s="996"/>
      <c r="SRZ88" s="996"/>
      <c r="SSA88" s="996"/>
      <c r="SSB88" s="996"/>
      <c r="SSC88" s="996"/>
      <c r="SSD88" s="996"/>
      <c r="SSE88" s="996"/>
      <c r="SSF88" s="996"/>
      <c r="SSG88" s="996"/>
      <c r="SSH88" s="996"/>
      <c r="SSI88" s="996"/>
      <c r="SSJ88" s="996"/>
      <c r="SSK88" s="996"/>
      <c r="SSL88" s="996"/>
      <c r="SSM88" s="996"/>
      <c r="SSN88" s="996"/>
      <c r="SSO88" s="996"/>
      <c r="SSP88" s="996"/>
      <c r="SSQ88" s="996"/>
      <c r="SSR88" s="996"/>
      <c r="SSS88" s="996"/>
      <c r="SST88" s="996"/>
      <c r="SSU88" s="996"/>
      <c r="SSV88" s="996"/>
      <c r="SSW88" s="996"/>
      <c r="SSX88" s="996"/>
      <c r="SSY88" s="996"/>
      <c r="SSZ88" s="996"/>
      <c r="STA88" s="996"/>
      <c r="STB88" s="996"/>
      <c r="STC88" s="996"/>
      <c r="STD88" s="996"/>
      <c r="STE88" s="996"/>
      <c r="STF88" s="996"/>
      <c r="STG88" s="996"/>
      <c r="STH88" s="996"/>
      <c r="STI88" s="996"/>
      <c r="STJ88" s="996"/>
      <c r="STK88" s="996"/>
      <c r="STL88" s="996"/>
      <c r="STM88" s="996"/>
      <c r="STN88" s="996"/>
      <c r="STO88" s="996"/>
      <c r="STP88" s="996"/>
      <c r="STQ88" s="996"/>
      <c r="STR88" s="996"/>
      <c r="STS88" s="996"/>
      <c r="STT88" s="996"/>
      <c r="STU88" s="996"/>
      <c r="STV88" s="996"/>
      <c r="STW88" s="996"/>
      <c r="STX88" s="996"/>
      <c r="STY88" s="996"/>
      <c r="STZ88" s="996"/>
      <c r="SUA88" s="996"/>
      <c r="SUB88" s="996"/>
      <c r="SUC88" s="996"/>
      <c r="SUD88" s="996"/>
      <c r="SUE88" s="996"/>
      <c r="SUF88" s="996"/>
      <c r="SUG88" s="996"/>
      <c r="SUH88" s="996"/>
      <c r="SUI88" s="996"/>
      <c r="SUJ88" s="996"/>
      <c r="SUK88" s="996"/>
      <c r="SUL88" s="996"/>
      <c r="SUM88" s="996"/>
      <c r="SUN88" s="996"/>
      <c r="SUO88" s="996"/>
      <c r="SUP88" s="996"/>
      <c r="SUQ88" s="996"/>
      <c r="SUR88" s="996"/>
      <c r="SUS88" s="996"/>
      <c r="SUT88" s="996"/>
      <c r="SUU88" s="996"/>
      <c r="SUV88" s="996"/>
      <c r="SUW88" s="996"/>
      <c r="SUX88" s="996"/>
      <c r="SUY88" s="996"/>
      <c r="SUZ88" s="996"/>
      <c r="SVA88" s="996"/>
      <c r="SVB88" s="996"/>
      <c r="SVC88" s="996"/>
      <c r="SVD88" s="996"/>
      <c r="SVE88" s="996"/>
      <c r="SVF88" s="996"/>
      <c r="SVG88" s="996"/>
      <c r="SVH88" s="996"/>
      <c r="SVI88" s="996"/>
      <c r="SVJ88" s="996"/>
      <c r="SVK88" s="996"/>
      <c r="SVL88" s="996"/>
      <c r="SVM88" s="996"/>
      <c r="SVN88" s="996"/>
      <c r="SVO88" s="996"/>
      <c r="SVP88" s="996"/>
      <c r="SVQ88" s="996"/>
      <c r="SVR88" s="996"/>
      <c r="SVS88" s="996"/>
      <c r="SVT88" s="996"/>
      <c r="SVU88" s="996"/>
      <c r="SVV88" s="996"/>
      <c r="SVW88" s="996"/>
      <c r="SVX88" s="996"/>
      <c r="SVY88" s="996"/>
      <c r="SVZ88" s="996"/>
      <c r="SWA88" s="996"/>
      <c r="SWB88" s="996"/>
      <c r="SWC88" s="996"/>
      <c r="SWD88" s="996"/>
      <c r="SWE88" s="996"/>
      <c r="SWF88" s="996"/>
      <c r="SWG88" s="996"/>
      <c r="SWH88" s="996"/>
      <c r="SWI88" s="996"/>
      <c r="SWJ88" s="996"/>
      <c r="SWK88" s="996"/>
      <c r="SWL88" s="996"/>
      <c r="SWM88" s="996"/>
      <c r="SWN88" s="996"/>
      <c r="SWO88" s="996"/>
      <c r="SWP88" s="996"/>
      <c r="SWQ88" s="996"/>
      <c r="SWR88" s="996"/>
      <c r="SWS88" s="996"/>
      <c r="SWT88" s="996"/>
      <c r="SWU88" s="996"/>
      <c r="SWV88" s="996"/>
      <c r="SWW88" s="996"/>
      <c r="SWX88" s="996"/>
      <c r="SWY88" s="996"/>
      <c r="SWZ88" s="996"/>
      <c r="SXA88" s="996"/>
      <c r="SXB88" s="996"/>
      <c r="SXC88" s="996"/>
      <c r="SXD88" s="996"/>
      <c r="SXE88" s="996"/>
      <c r="SXF88" s="996"/>
      <c r="SXG88" s="996"/>
      <c r="SXH88" s="996"/>
      <c r="SXI88" s="996"/>
      <c r="SXJ88" s="996"/>
      <c r="SXK88" s="996"/>
      <c r="SXL88" s="996"/>
      <c r="SXM88" s="996"/>
      <c r="SXN88" s="996"/>
      <c r="SXO88" s="996"/>
      <c r="SXP88" s="996"/>
      <c r="SXQ88" s="996"/>
      <c r="SXR88" s="996"/>
      <c r="SXS88" s="996"/>
      <c r="SXT88" s="996"/>
      <c r="SXU88" s="996"/>
      <c r="SXV88" s="996"/>
      <c r="SXW88" s="996"/>
      <c r="SXX88" s="996"/>
      <c r="SXY88" s="996"/>
      <c r="SXZ88" s="996"/>
      <c r="SYA88" s="996"/>
      <c r="SYB88" s="996"/>
      <c r="SYC88" s="996"/>
      <c r="SYD88" s="996"/>
      <c r="SYE88" s="996"/>
      <c r="SYF88" s="996"/>
      <c r="SYG88" s="996"/>
      <c r="SYH88" s="996"/>
      <c r="SYI88" s="996"/>
      <c r="SYJ88" s="996"/>
      <c r="SYK88" s="996"/>
      <c r="SYL88" s="996"/>
      <c r="SYM88" s="996"/>
      <c r="SYN88" s="996"/>
      <c r="SYO88" s="996"/>
      <c r="SYP88" s="996"/>
      <c r="SYQ88" s="996"/>
      <c r="SYR88" s="996"/>
      <c r="SYS88" s="996"/>
      <c r="SYT88" s="996"/>
      <c r="SYU88" s="996"/>
      <c r="SYV88" s="996"/>
      <c r="SYW88" s="996"/>
      <c r="SYX88" s="996"/>
      <c r="SYY88" s="996"/>
      <c r="SYZ88" s="996"/>
      <c r="SZA88" s="996"/>
      <c r="SZB88" s="996"/>
      <c r="SZC88" s="996"/>
      <c r="SZD88" s="996"/>
      <c r="SZE88" s="996"/>
      <c r="SZF88" s="996"/>
      <c r="SZG88" s="996"/>
      <c r="SZH88" s="996"/>
      <c r="SZI88" s="996"/>
      <c r="SZJ88" s="996"/>
      <c r="SZK88" s="996"/>
      <c r="SZL88" s="996"/>
      <c r="SZM88" s="996"/>
      <c r="SZN88" s="996"/>
      <c r="SZO88" s="996"/>
      <c r="SZP88" s="996"/>
      <c r="SZQ88" s="996"/>
      <c r="SZR88" s="996"/>
      <c r="SZS88" s="996"/>
      <c r="SZT88" s="996"/>
      <c r="SZU88" s="996"/>
      <c r="SZV88" s="996"/>
      <c r="SZW88" s="996"/>
      <c r="SZX88" s="996"/>
      <c r="SZY88" s="996"/>
      <c r="SZZ88" s="996"/>
      <c r="TAA88" s="996"/>
      <c r="TAB88" s="996"/>
      <c r="TAC88" s="996"/>
      <c r="TAD88" s="996"/>
      <c r="TAE88" s="996"/>
      <c r="TAF88" s="996"/>
      <c r="TAG88" s="996"/>
      <c r="TAH88" s="996"/>
      <c r="TAI88" s="996"/>
      <c r="TAJ88" s="996"/>
      <c r="TAK88" s="996"/>
      <c r="TAL88" s="996"/>
      <c r="TAM88" s="996"/>
      <c r="TAN88" s="996"/>
      <c r="TAO88" s="996"/>
      <c r="TAP88" s="996"/>
      <c r="TAQ88" s="996"/>
      <c r="TAR88" s="996"/>
      <c r="TAS88" s="996"/>
      <c r="TAT88" s="996"/>
      <c r="TAU88" s="996"/>
      <c r="TAV88" s="996"/>
      <c r="TAW88" s="996"/>
      <c r="TAX88" s="996"/>
      <c r="TAY88" s="996"/>
      <c r="TAZ88" s="996"/>
      <c r="TBA88" s="996"/>
      <c r="TBB88" s="996"/>
      <c r="TBC88" s="996"/>
      <c r="TBD88" s="996"/>
      <c r="TBE88" s="996"/>
      <c r="TBF88" s="996"/>
      <c r="TBG88" s="996"/>
      <c r="TBH88" s="996"/>
      <c r="TBI88" s="996"/>
      <c r="TBJ88" s="996"/>
      <c r="TBK88" s="996"/>
      <c r="TBL88" s="996"/>
      <c r="TBM88" s="996"/>
      <c r="TBN88" s="996"/>
      <c r="TBO88" s="996"/>
      <c r="TBP88" s="996"/>
      <c r="TBQ88" s="996"/>
      <c r="TBR88" s="996"/>
      <c r="TBS88" s="996"/>
      <c r="TBT88" s="996"/>
      <c r="TBU88" s="996"/>
      <c r="TBV88" s="996"/>
      <c r="TBW88" s="996"/>
      <c r="TBX88" s="996"/>
      <c r="TBY88" s="996"/>
      <c r="TBZ88" s="996"/>
      <c r="TCA88" s="996"/>
      <c r="TCB88" s="996"/>
      <c r="TCC88" s="996"/>
      <c r="TCD88" s="996"/>
      <c r="TCE88" s="996"/>
      <c r="TCF88" s="996"/>
      <c r="TCG88" s="996"/>
      <c r="TCH88" s="996"/>
      <c r="TCI88" s="996"/>
      <c r="TCJ88" s="996"/>
      <c r="TCK88" s="996"/>
      <c r="TCL88" s="996"/>
      <c r="TCM88" s="996"/>
      <c r="TCN88" s="996"/>
      <c r="TCO88" s="996"/>
      <c r="TCP88" s="996"/>
      <c r="TCQ88" s="996"/>
      <c r="TCR88" s="996"/>
      <c r="TCS88" s="996"/>
      <c r="TCT88" s="996"/>
      <c r="TCU88" s="996"/>
      <c r="TCV88" s="996"/>
      <c r="TCW88" s="996"/>
      <c r="TCX88" s="996"/>
      <c r="TCY88" s="996"/>
      <c r="TCZ88" s="996"/>
      <c r="TDA88" s="996"/>
      <c r="TDB88" s="996"/>
      <c r="TDC88" s="996"/>
      <c r="TDD88" s="996"/>
      <c r="TDE88" s="996"/>
      <c r="TDF88" s="996"/>
      <c r="TDG88" s="996"/>
      <c r="TDH88" s="996"/>
      <c r="TDI88" s="996"/>
      <c r="TDJ88" s="996"/>
      <c r="TDK88" s="996"/>
      <c r="TDL88" s="996"/>
      <c r="TDM88" s="996"/>
      <c r="TDN88" s="996"/>
      <c r="TDO88" s="996"/>
      <c r="TDP88" s="996"/>
      <c r="TDQ88" s="996"/>
      <c r="TDR88" s="996"/>
      <c r="TDS88" s="996"/>
      <c r="TDT88" s="996"/>
      <c r="TDU88" s="996"/>
      <c r="TDV88" s="996"/>
      <c r="TDW88" s="996"/>
      <c r="TDX88" s="996"/>
      <c r="TDY88" s="996"/>
      <c r="TDZ88" s="996"/>
      <c r="TEA88" s="996"/>
      <c r="TEB88" s="996"/>
      <c r="TEC88" s="996"/>
      <c r="TED88" s="996"/>
      <c r="TEE88" s="996"/>
      <c r="TEF88" s="996"/>
      <c r="TEG88" s="996"/>
      <c r="TEH88" s="996"/>
      <c r="TEI88" s="996"/>
      <c r="TEJ88" s="996"/>
      <c r="TEK88" s="996"/>
      <c r="TEL88" s="996"/>
      <c r="TEM88" s="996"/>
      <c r="TEN88" s="996"/>
      <c r="TEO88" s="996"/>
      <c r="TEP88" s="996"/>
      <c r="TEQ88" s="996"/>
      <c r="TER88" s="996"/>
      <c r="TES88" s="996"/>
      <c r="TET88" s="996"/>
      <c r="TEU88" s="996"/>
      <c r="TEV88" s="996"/>
      <c r="TEW88" s="996"/>
      <c r="TEX88" s="996"/>
      <c r="TEY88" s="996"/>
      <c r="TEZ88" s="996"/>
      <c r="TFA88" s="996"/>
      <c r="TFB88" s="996"/>
      <c r="TFC88" s="996"/>
      <c r="TFD88" s="996"/>
      <c r="TFE88" s="996"/>
      <c r="TFF88" s="996"/>
      <c r="TFG88" s="996"/>
      <c r="TFH88" s="996"/>
      <c r="TFI88" s="996"/>
      <c r="TFJ88" s="996"/>
      <c r="TFK88" s="996"/>
      <c r="TFL88" s="996"/>
      <c r="TFM88" s="996"/>
      <c r="TFN88" s="996"/>
      <c r="TFO88" s="996"/>
      <c r="TFP88" s="996"/>
      <c r="TFQ88" s="996"/>
      <c r="TFR88" s="996"/>
      <c r="TFS88" s="996"/>
      <c r="TFT88" s="996"/>
      <c r="TFU88" s="996"/>
      <c r="TFV88" s="996"/>
      <c r="TFW88" s="996"/>
      <c r="TFX88" s="996"/>
      <c r="TFY88" s="996"/>
      <c r="TFZ88" s="996"/>
      <c r="TGA88" s="996"/>
      <c r="TGB88" s="996"/>
      <c r="TGC88" s="996"/>
      <c r="TGD88" s="996"/>
      <c r="TGE88" s="996"/>
      <c r="TGF88" s="996"/>
      <c r="TGG88" s="996"/>
      <c r="TGH88" s="996"/>
      <c r="TGI88" s="996"/>
      <c r="TGJ88" s="996"/>
      <c r="TGK88" s="996"/>
      <c r="TGL88" s="996"/>
      <c r="TGM88" s="996"/>
      <c r="TGN88" s="996"/>
      <c r="TGO88" s="996"/>
      <c r="TGP88" s="996"/>
      <c r="TGQ88" s="996"/>
      <c r="TGR88" s="996"/>
      <c r="TGS88" s="996"/>
      <c r="TGT88" s="996"/>
      <c r="TGU88" s="996"/>
      <c r="TGV88" s="996"/>
      <c r="TGW88" s="996"/>
      <c r="TGX88" s="996"/>
      <c r="TGY88" s="996"/>
      <c r="TGZ88" s="996"/>
      <c r="THA88" s="996"/>
      <c r="THB88" s="996"/>
      <c r="THC88" s="996"/>
      <c r="THD88" s="996"/>
      <c r="THE88" s="996"/>
      <c r="THF88" s="996"/>
      <c r="THG88" s="996"/>
      <c r="THH88" s="996"/>
      <c r="THI88" s="996"/>
      <c r="THJ88" s="996"/>
      <c r="THK88" s="996"/>
      <c r="THL88" s="996"/>
      <c r="THM88" s="996"/>
      <c r="THN88" s="996"/>
      <c r="THO88" s="996"/>
      <c r="THP88" s="996"/>
      <c r="THQ88" s="996"/>
      <c r="THR88" s="996"/>
      <c r="THS88" s="996"/>
      <c r="THT88" s="996"/>
      <c r="THU88" s="996"/>
      <c r="THV88" s="996"/>
      <c r="THW88" s="996"/>
      <c r="THX88" s="996"/>
      <c r="THY88" s="996"/>
      <c r="THZ88" s="996"/>
      <c r="TIA88" s="996"/>
      <c r="TIB88" s="996"/>
      <c r="TIC88" s="996"/>
      <c r="TID88" s="996"/>
      <c r="TIE88" s="996"/>
      <c r="TIF88" s="996"/>
      <c r="TIG88" s="996"/>
      <c r="TIH88" s="996"/>
      <c r="TII88" s="996"/>
      <c r="TIJ88" s="996"/>
      <c r="TIK88" s="996"/>
      <c r="TIL88" s="996"/>
      <c r="TIM88" s="996"/>
      <c r="TIN88" s="996"/>
      <c r="TIO88" s="996"/>
      <c r="TIP88" s="996"/>
      <c r="TIQ88" s="996"/>
      <c r="TIR88" s="996"/>
      <c r="TIS88" s="996"/>
      <c r="TIT88" s="996"/>
      <c r="TIU88" s="996"/>
      <c r="TIV88" s="996"/>
      <c r="TIW88" s="996"/>
      <c r="TIX88" s="996"/>
      <c r="TIY88" s="996"/>
      <c r="TIZ88" s="996"/>
      <c r="TJA88" s="996"/>
      <c r="TJB88" s="996"/>
      <c r="TJC88" s="996"/>
      <c r="TJD88" s="996"/>
      <c r="TJE88" s="996"/>
      <c r="TJF88" s="996"/>
      <c r="TJG88" s="996"/>
      <c r="TJH88" s="996"/>
      <c r="TJI88" s="996"/>
      <c r="TJJ88" s="996"/>
      <c r="TJK88" s="996"/>
      <c r="TJL88" s="996"/>
      <c r="TJM88" s="996"/>
      <c r="TJN88" s="996"/>
      <c r="TJO88" s="996"/>
      <c r="TJP88" s="996"/>
      <c r="TJQ88" s="996"/>
      <c r="TJR88" s="996"/>
      <c r="TJS88" s="996"/>
      <c r="TJT88" s="996"/>
      <c r="TJU88" s="996"/>
      <c r="TJV88" s="996"/>
      <c r="TJW88" s="996"/>
      <c r="TJX88" s="996"/>
      <c r="TJY88" s="996"/>
      <c r="TJZ88" s="996"/>
      <c r="TKA88" s="996"/>
      <c r="TKB88" s="996"/>
      <c r="TKC88" s="996"/>
      <c r="TKD88" s="996"/>
      <c r="TKE88" s="996"/>
      <c r="TKF88" s="996"/>
      <c r="TKG88" s="996"/>
      <c r="TKH88" s="996"/>
      <c r="TKI88" s="996"/>
      <c r="TKJ88" s="996"/>
      <c r="TKK88" s="996"/>
      <c r="TKL88" s="996"/>
      <c r="TKM88" s="996"/>
      <c r="TKN88" s="996"/>
      <c r="TKO88" s="996"/>
      <c r="TKP88" s="996"/>
      <c r="TKQ88" s="996"/>
      <c r="TKR88" s="996"/>
      <c r="TKS88" s="996"/>
      <c r="TKT88" s="996"/>
      <c r="TKU88" s="996"/>
      <c r="TKV88" s="996"/>
      <c r="TKW88" s="996"/>
      <c r="TKX88" s="996"/>
      <c r="TKY88" s="996"/>
      <c r="TKZ88" s="996"/>
      <c r="TLA88" s="996"/>
      <c r="TLB88" s="996"/>
      <c r="TLC88" s="996"/>
      <c r="TLD88" s="996"/>
      <c r="TLE88" s="996"/>
      <c r="TLF88" s="996"/>
      <c r="TLG88" s="996"/>
      <c r="TLH88" s="996"/>
      <c r="TLI88" s="996"/>
      <c r="TLJ88" s="996"/>
      <c r="TLK88" s="996"/>
      <c r="TLL88" s="996"/>
      <c r="TLM88" s="996"/>
      <c r="TLN88" s="996"/>
      <c r="TLO88" s="996"/>
      <c r="TLP88" s="996"/>
      <c r="TLQ88" s="996"/>
      <c r="TLR88" s="996"/>
      <c r="TLS88" s="996"/>
      <c r="TLT88" s="996"/>
      <c r="TLU88" s="996"/>
      <c r="TLV88" s="996"/>
      <c r="TLW88" s="996"/>
      <c r="TLX88" s="996"/>
      <c r="TLY88" s="996"/>
      <c r="TLZ88" s="996"/>
      <c r="TMA88" s="996"/>
      <c r="TMB88" s="996"/>
      <c r="TMC88" s="996"/>
      <c r="TMD88" s="996"/>
      <c r="TME88" s="996"/>
      <c r="TMF88" s="996"/>
      <c r="TMG88" s="996"/>
      <c r="TMH88" s="996"/>
      <c r="TMI88" s="996"/>
      <c r="TMJ88" s="996"/>
      <c r="TMK88" s="996"/>
      <c r="TML88" s="996"/>
      <c r="TMM88" s="996"/>
      <c r="TMN88" s="996"/>
      <c r="TMO88" s="996"/>
      <c r="TMP88" s="996"/>
      <c r="TMQ88" s="996"/>
      <c r="TMR88" s="996"/>
      <c r="TMS88" s="996"/>
      <c r="TMT88" s="996"/>
      <c r="TMU88" s="996"/>
      <c r="TMV88" s="996"/>
      <c r="TMW88" s="996"/>
      <c r="TMX88" s="996"/>
      <c r="TMY88" s="996"/>
      <c r="TMZ88" s="996"/>
      <c r="TNA88" s="996"/>
      <c r="TNB88" s="996"/>
      <c r="TNC88" s="996"/>
      <c r="TND88" s="996"/>
      <c r="TNE88" s="996"/>
      <c r="TNF88" s="996"/>
      <c r="TNG88" s="996"/>
      <c r="TNH88" s="996"/>
      <c r="TNI88" s="996"/>
      <c r="TNJ88" s="996"/>
      <c r="TNK88" s="996"/>
      <c r="TNL88" s="996"/>
      <c r="TNM88" s="996"/>
      <c r="TNN88" s="996"/>
      <c r="TNO88" s="996"/>
      <c r="TNP88" s="996"/>
      <c r="TNQ88" s="996"/>
      <c r="TNR88" s="996"/>
      <c r="TNS88" s="996"/>
      <c r="TNT88" s="996"/>
      <c r="TNU88" s="996"/>
      <c r="TNV88" s="996"/>
      <c r="TNW88" s="996"/>
      <c r="TNX88" s="996"/>
      <c r="TNY88" s="996"/>
      <c r="TNZ88" s="996"/>
      <c r="TOA88" s="996"/>
      <c r="TOB88" s="996"/>
      <c r="TOC88" s="996"/>
      <c r="TOD88" s="996"/>
      <c r="TOE88" s="996"/>
      <c r="TOF88" s="996"/>
      <c r="TOG88" s="996"/>
      <c r="TOH88" s="996"/>
      <c r="TOI88" s="996"/>
      <c r="TOJ88" s="996"/>
      <c r="TOK88" s="996"/>
      <c r="TOL88" s="996"/>
      <c r="TOM88" s="996"/>
      <c r="TON88" s="996"/>
      <c r="TOO88" s="996"/>
      <c r="TOP88" s="996"/>
      <c r="TOQ88" s="996"/>
      <c r="TOR88" s="996"/>
      <c r="TOS88" s="996"/>
      <c r="TOT88" s="996"/>
      <c r="TOU88" s="996"/>
      <c r="TOV88" s="996"/>
      <c r="TOW88" s="996"/>
      <c r="TOX88" s="996"/>
      <c r="TOY88" s="996"/>
      <c r="TOZ88" s="996"/>
      <c r="TPA88" s="996"/>
      <c r="TPB88" s="996"/>
      <c r="TPC88" s="996"/>
      <c r="TPD88" s="996"/>
      <c r="TPE88" s="996"/>
      <c r="TPF88" s="996"/>
      <c r="TPG88" s="996"/>
      <c r="TPH88" s="996"/>
      <c r="TPI88" s="996"/>
      <c r="TPJ88" s="996"/>
      <c r="TPK88" s="996"/>
      <c r="TPL88" s="996"/>
      <c r="TPM88" s="996"/>
      <c r="TPN88" s="996"/>
      <c r="TPO88" s="996"/>
      <c r="TPP88" s="996"/>
      <c r="TPQ88" s="996"/>
      <c r="TPR88" s="996"/>
      <c r="TPS88" s="996"/>
      <c r="TPT88" s="996"/>
      <c r="TPU88" s="996"/>
      <c r="TPV88" s="996"/>
      <c r="TPW88" s="996"/>
      <c r="TPX88" s="996"/>
      <c r="TPY88" s="996"/>
      <c r="TPZ88" s="996"/>
      <c r="TQA88" s="996"/>
      <c r="TQB88" s="996"/>
      <c r="TQC88" s="996"/>
      <c r="TQD88" s="996"/>
      <c r="TQE88" s="996"/>
      <c r="TQF88" s="996"/>
      <c r="TQG88" s="996"/>
      <c r="TQH88" s="996"/>
      <c r="TQI88" s="996"/>
      <c r="TQJ88" s="996"/>
      <c r="TQK88" s="996"/>
      <c r="TQL88" s="996"/>
      <c r="TQM88" s="996"/>
      <c r="TQN88" s="996"/>
      <c r="TQO88" s="996"/>
      <c r="TQP88" s="996"/>
      <c r="TQQ88" s="996"/>
      <c r="TQR88" s="996"/>
      <c r="TQS88" s="996"/>
      <c r="TQT88" s="996"/>
      <c r="TQU88" s="996"/>
      <c r="TQV88" s="996"/>
      <c r="TQW88" s="996"/>
      <c r="TQX88" s="996"/>
      <c r="TQY88" s="996"/>
      <c r="TQZ88" s="996"/>
      <c r="TRA88" s="996"/>
      <c r="TRB88" s="996"/>
      <c r="TRC88" s="996"/>
      <c r="TRD88" s="996"/>
      <c r="TRE88" s="996"/>
      <c r="TRF88" s="996"/>
      <c r="TRG88" s="996"/>
      <c r="TRH88" s="996"/>
      <c r="TRI88" s="996"/>
      <c r="TRJ88" s="996"/>
      <c r="TRK88" s="996"/>
      <c r="TRL88" s="996"/>
      <c r="TRM88" s="996"/>
      <c r="TRN88" s="996"/>
      <c r="TRO88" s="996"/>
      <c r="TRP88" s="996"/>
      <c r="TRQ88" s="996"/>
      <c r="TRR88" s="996"/>
      <c r="TRS88" s="996"/>
      <c r="TRT88" s="996"/>
      <c r="TRU88" s="996"/>
      <c r="TRV88" s="996"/>
      <c r="TRW88" s="996"/>
      <c r="TRX88" s="996"/>
      <c r="TRY88" s="996"/>
      <c r="TRZ88" s="996"/>
      <c r="TSA88" s="996"/>
      <c r="TSB88" s="996"/>
      <c r="TSC88" s="996"/>
      <c r="TSD88" s="996"/>
      <c r="TSE88" s="996"/>
      <c r="TSF88" s="996"/>
      <c r="TSG88" s="996"/>
      <c r="TSH88" s="996"/>
      <c r="TSI88" s="996"/>
      <c r="TSJ88" s="996"/>
      <c r="TSK88" s="996"/>
      <c r="TSL88" s="996"/>
      <c r="TSM88" s="996"/>
      <c r="TSN88" s="996"/>
      <c r="TSO88" s="996"/>
      <c r="TSP88" s="996"/>
      <c r="TSQ88" s="996"/>
      <c r="TSR88" s="996"/>
      <c r="TSS88" s="996"/>
      <c r="TST88" s="996"/>
      <c r="TSU88" s="996"/>
      <c r="TSV88" s="996"/>
      <c r="TSW88" s="996"/>
      <c r="TSX88" s="996"/>
      <c r="TSY88" s="996"/>
      <c r="TSZ88" s="996"/>
      <c r="TTA88" s="996"/>
      <c r="TTB88" s="996"/>
      <c r="TTC88" s="996"/>
      <c r="TTD88" s="996"/>
      <c r="TTE88" s="996"/>
      <c r="TTF88" s="996"/>
      <c r="TTG88" s="996"/>
      <c r="TTH88" s="996"/>
      <c r="TTI88" s="996"/>
      <c r="TTJ88" s="996"/>
      <c r="TTK88" s="996"/>
      <c r="TTL88" s="996"/>
      <c r="TTM88" s="996"/>
      <c r="TTN88" s="996"/>
      <c r="TTO88" s="996"/>
      <c r="TTP88" s="996"/>
      <c r="TTQ88" s="996"/>
      <c r="TTR88" s="996"/>
      <c r="TTS88" s="996"/>
      <c r="TTT88" s="996"/>
      <c r="TTU88" s="996"/>
      <c r="TTV88" s="996"/>
      <c r="TTW88" s="996"/>
      <c r="TTX88" s="996"/>
      <c r="TTY88" s="996"/>
      <c r="TTZ88" s="996"/>
      <c r="TUA88" s="996"/>
      <c r="TUB88" s="996"/>
      <c r="TUC88" s="996"/>
      <c r="TUD88" s="996"/>
      <c r="TUE88" s="996"/>
      <c r="TUF88" s="996"/>
      <c r="TUG88" s="996"/>
      <c r="TUH88" s="996"/>
      <c r="TUI88" s="996"/>
      <c r="TUJ88" s="996"/>
      <c r="TUK88" s="996"/>
      <c r="TUL88" s="996"/>
      <c r="TUM88" s="996"/>
      <c r="TUN88" s="996"/>
      <c r="TUO88" s="996"/>
      <c r="TUP88" s="996"/>
      <c r="TUQ88" s="996"/>
      <c r="TUR88" s="996"/>
      <c r="TUS88" s="996"/>
      <c r="TUT88" s="996"/>
      <c r="TUU88" s="996"/>
      <c r="TUV88" s="996"/>
      <c r="TUW88" s="996"/>
      <c r="TUX88" s="996"/>
      <c r="TUY88" s="996"/>
      <c r="TUZ88" s="996"/>
      <c r="TVA88" s="996"/>
      <c r="TVB88" s="996"/>
      <c r="TVC88" s="996"/>
      <c r="TVD88" s="996"/>
      <c r="TVE88" s="996"/>
      <c r="TVF88" s="996"/>
      <c r="TVG88" s="996"/>
      <c r="TVH88" s="996"/>
      <c r="TVI88" s="996"/>
      <c r="TVJ88" s="996"/>
      <c r="TVK88" s="996"/>
      <c r="TVL88" s="996"/>
      <c r="TVM88" s="996"/>
      <c r="TVN88" s="996"/>
      <c r="TVO88" s="996"/>
      <c r="TVP88" s="996"/>
      <c r="TVQ88" s="996"/>
      <c r="TVR88" s="996"/>
      <c r="TVS88" s="996"/>
      <c r="TVT88" s="996"/>
      <c r="TVU88" s="996"/>
      <c r="TVV88" s="996"/>
      <c r="TVW88" s="996"/>
      <c r="TVX88" s="996"/>
      <c r="TVY88" s="996"/>
      <c r="TVZ88" s="996"/>
      <c r="TWA88" s="996"/>
      <c r="TWB88" s="996"/>
      <c r="TWC88" s="996"/>
      <c r="TWD88" s="996"/>
      <c r="TWE88" s="996"/>
      <c r="TWF88" s="996"/>
      <c r="TWG88" s="996"/>
      <c r="TWH88" s="996"/>
      <c r="TWI88" s="996"/>
      <c r="TWJ88" s="996"/>
      <c r="TWK88" s="996"/>
      <c r="TWL88" s="996"/>
      <c r="TWM88" s="996"/>
      <c r="TWN88" s="996"/>
      <c r="TWO88" s="996"/>
      <c r="TWP88" s="996"/>
      <c r="TWQ88" s="996"/>
      <c r="TWR88" s="996"/>
      <c r="TWS88" s="996"/>
      <c r="TWT88" s="996"/>
      <c r="TWU88" s="996"/>
      <c r="TWV88" s="996"/>
      <c r="TWW88" s="996"/>
      <c r="TWX88" s="996"/>
      <c r="TWY88" s="996"/>
      <c r="TWZ88" s="996"/>
      <c r="TXA88" s="996"/>
      <c r="TXB88" s="996"/>
      <c r="TXC88" s="996"/>
      <c r="TXD88" s="996"/>
      <c r="TXE88" s="996"/>
      <c r="TXF88" s="996"/>
      <c r="TXG88" s="996"/>
      <c r="TXH88" s="996"/>
      <c r="TXI88" s="996"/>
      <c r="TXJ88" s="996"/>
      <c r="TXK88" s="996"/>
      <c r="TXL88" s="996"/>
      <c r="TXM88" s="996"/>
      <c r="TXN88" s="996"/>
      <c r="TXO88" s="996"/>
      <c r="TXP88" s="996"/>
      <c r="TXQ88" s="996"/>
      <c r="TXR88" s="996"/>
      <c r="TXS88" s="996"/>
      <c r="TXT88" s="996"/>
      <c r="TXU88" s="996"/>
      <c r="TXV88" s="996"/>
      <c r="TXW88" s="996"/>
      <c r="TXX88" s="996"/>
      <c r="TXY88" s="996"/>
      <c r="TXZ88" s="996"/>
      <c r="TYA88" s="996"/>
      <c r="TYB88" s="996"/>
      <c r="TYC88" s="996"/>
      <c r="TYD88" s="996"/>
      <c r="TYE88" s="996"/>
      <c r="TYF88" s="996"/>
      <c r="TYG88" s="996"/>
      <c r="TYH88" s="996"/>
      <c r="TYI88" s="996"/>
      <c r="TYJ88" s="996"/>
      <c r="TYK88" s="996"/>
      <c r="TYL88" s="996"/>
      <c r="TYM88" s="996"/>
      <c r="TYN88" s="996"/>
      <c r="TYO88" s="996"/>
      <c r="TYP88" s="996"/>
      <c r="TYQ88" s="996"/>
      <c r="TYR88" s="996"/>
      <c r="TYS88" s="996"/>
      <c r="TYT88" s="996"/>
      <c r="TYU88" s="996"/>
      <c r="TYV88" s="996"/>
      <c r="TYW88" s="996"/>
      <c r="TYX88" s="996"/>
      <c r="TYY88" s="996"/>
      <c r="TYZ88" s="996"/>
      <c r="TZA88" s="996"/>
      <c r="TZB88" s="996"/>
      <c r="TZC88" s="996"/>
      <c r="TZD88" s="996"/>
      <c r="TZE88" s="996"/>
      <c r="TZF88" s="996"/>
      <c r="TZG88" s="996"/>
      <c r="TZH88" s="996"/>
      <c r="TZI88" s="996"/>
      <c r="TZJ88" s="996"/>
      <c r="TZK88" s="996"/>
      <c r="TZL88" s="996"/>
      <c r="TZM88" s="996"/>
      <c r="TZN88" s="996"/>
      <c r="TZO88" s="996"/>
      <c r="TZP88" s="996"/>
      <c r="TZQ88" s="996"/>
      <c r="TZR88" s="996"/>
      <c r="TZS88" s="996"/>
      <c r="TZT88" s="996"/>
      <c r="TZU88" s="996"/>
      <c r="TZV88" s="996"/>
      <c r="TZW88" s="996"/>
      <c r="TZX88" s="996"/>
      <c r="TZY88" s="996"/>
      <c r="TZZ88" s="996"/>
      <c r="UAA88" s="996"/>
      <c r="UAB88" s="996"/>
      <c r="UAC88" s="996"/>
      <c r="UAD88" s="996"/>
      <c r="UAE88" s="996"/>
      <c r="UAF88" s="996"/>
      <c r="UAG88" s="996"/>
      <c r="UAH88" s="996"/>
      <c r="UAI88" s="996"/>
      <c r="UAJ88" s="996"/>
      <c r="UAK88" s="996"/>
      <c r="UAL88" s="996"/>
      <c r="UAM88" s="996"/>
      <c r="UAN88" s="996"/>
      <c r="UAO88" s="996"/>
      <c r="UAP88" s="996"/>
      <c r="UAQ88" s="996"/>
      <c r="UAR88" s="996"/>
      <c r="UAS88" s="996"/>
      <c r="UAT88" s="996"/>
      <c r="UAU88" s="996"/>
      <c r="UAV88" s="996"/>
      <c r="UAW88" s="996"/>
      <c r="UAX88" s="996"/>
      <c r="UAY88" s="996"/>
      <c r="UAZ88" s="996"/>
      <c r="UBA88" s="996"/>
      <c r="UBB88" s="996"/>
      <c r="UBC88" s="996"/>
      <c r="UBD88" s="996"/>
      <c r="UBE88" s="996"/>
      <c r="UBF88" s="996"/>
      <c r="UBG88" s="996"/>
      <c r="UBH88" s="996"/>
      <c r="UBI88" s="996"/>
      <c r="UBJ88" s="996"/>
      <c r="UBK88" s="996"/>
      <c r="UBL88" s="996"/>
      <c r="UBM88" s="996"/>
      <c r="UBN88" s="996"/>
      <c r="UBO88" s="996"/>
      <c r="UBP88" s="996"/>
      <c r="UBQ88" s="996"/>
      <c r="UBR88" s="996"/>
      <c r="UBS88" s="996"/>
      <c r="UBT88" s="996"/>
      <c r="UBU88" s="996"/>
      <c r="UBV88" s="996"/>
      <c r="UBW88" s="996"/>
      <c r="UBX88" s="996"/>
      <c r="UBY88" s="996"/>
      <c r="UBZ88" s="996"/>
      <c r="UCA88" s="996"/>
      <c r="UCB88" s="996"/>
      <c r="UCC88" s="996"/>
      <c r="UCD88" s="996"/>
      <c r="UCE88" s="996"/>
      <c r="UCF88" s="996"/>
      <c r="UCG88" s="996"/>
      <c r="UCH88" s="996"/>
      <c r="UCI88" s="996"/>
      <c r="UCJ88" s="996"/>
      <c r="UCK88" s="996"/>
      <c r="UCL88" s="996"/>
      <c r="UCM88" s="996"/>
      <c r="UCN88" s="996"/>
      <c r="UCO88" s="996"/>
      <c r="UCP88" s="996"/>
      <c r="UCQ88" s="996"/>
      <c r="UCR88" s="996"/>
      <c r="UCS88" s="996"/>
      <c r="UCT88" s="996"/>
      <c r="UCU88" s="996"/>
      <c r="UCV88" s="996"/>
      <c r="UCW88" s="996"/>
      <c r="UCX88" s="996"/>
      <c r="UCY88" s="996"/>
      <c r="UCZ88" s="996"/>
      <c r="UDA88" s="996"/>
      <c r="UDB88" s="996"/>
      <c r="UDC88" s="996"/>
      <c r="UDD88" s="996"/>
      <c r="UDE88" s="996"/>
      <c r="UDF88" s="996"/>
      <c r="UDG88" s="996"/>
      <c r="UDH88" s="996"/>
      <c r="UDI88" s="996"/>
      <c r="UDJ88" s="996"/>
      <c r="UDK88" s="996"/>
      <c r="UDL88" s="996"/>
      <c r="UDM88" s="996"/>
      <c r="UDN88" s="996"/>
      <c r="UDO88" s="996"/>
      <c r="UDP88" s="996"/>
      <c r="UDQ88" s="996"/>
      <c r="UDR88" s="996"/>
      <c r="UDS88" s="996"/>
      <c r="UDT88" s="996"/>
      <c r="UDU88" s="996"/>
      <c r="UDV88" s="996"/>
      <c r="UDW88" s="996"/>
      <c r="UDX88" s="996"/>
      <c r="UDY88" s="996"/>
      <c r="UDZ88" s="996"/>
      <c r="UEA88" s="996"/>
      <c r="UEB88" s="996"/>
      <c r="UEC88" s="996"/>
      <c r="UED88" s="996"/>
      <c r="UEE88" s="996"/>
      <c r="UEF88" s="996"/>
      <c r="UEG88" s="996"/>
      <c r="UEH88" s="996"/>
      <c r="UEI88" s="996"/>
      <c r="UEJ88" s="996"/>
      <c r="UEK88" s="996"/>
      <c r="UEL88" s="996"/>
      <c r="UEM88" s="996"/>
      <c r="UEN88" s="996"/>
      <c r="UEO88" s="996"/>
      <c r="UEP88" s="996"/>
      <c r="UEQ88" s="996"/>
      <c r="UER88" s="996"/>
      <c r="UES88" s="996"/>
      <c r="UET88" s="996"/>
      <c r="UEU88" s="996"/>
      <c r="UEV88" s="996"/>
      <c r="UEW88" s="996"/>
      <c r="UEX88" s="996"/>
      <c r="UEY88" s="996"/>
      <c r="UEZ88" s="996"/>
      <c r="UFA88" s="996"/>
      <c r="UFB88" s="996"/>
      <c r="UFC88" s="996"/>
      <c r="UFD88" s="996"/>
      <c r="UFE88" s="996"/>
      <c r="UFF88" s="996"/>
      <c r="UFG88" s="996"/>
      <c r="UFH88" s="996"/>
      <c r="UFI88" s="996"/>
      <c r="UFJ88" s="996"/>
      <c r="UFK88" s="996"/>
      <c r="UFL88" s="996"/>
      <c r="UFM88" s="996"/>
      <c r="UFN88" s="996"/>
      <c r="UFO88" s="996"/>
      <c r="UFP88" s="996"/>
      <c r="UFQ88" s="996"/>
      <c r="UFR88" s="996"/>
      <c r="UFS88" s="996"/>
      <c r="UFT88" s="996"/>
      <c r="UFU88" s="996"/>
      <c r="UFV88" s="996"/>
      <c r="UFW88" s="996"/>
      <c r="UFX88" s="996"/>
      <c r="UFY88" s="996"/>
      <c r="UFZ88" s="996"/>
      <c r="UGA88" s="996"/>
      <c r="UGB88" s="996"/>
      <c r="UGC88" s="996"/>
      <c r="UGD88" s="996"/>
      <c r="UGE88" s="996"/>
      <c r="UGF88" s="996"/>
      <c r="UGG88" s="996"/>
      <c r="UGH88" s="996"/>
      <c r="UGI88" s="996"/>
      <c r="UGJ88" s="996"/>
      <c r="UGK88" s="996"/>
      <c r="UGL88" s="996"/>
      <c r="UGM88" s="996"/>
      <c r="UGN88" s="996"/>
      <c r="UGO88" s="996"/>
      <c r="UGP88" s="996"/>
      <c r="UGQ88" s="996"/>
      <c r="UGR88" s="996"/>
      <c r="UGS88" s="996"/>
      <c r="UGT88" s="996"/>
      <c r="UGU88" s="996"/>
      <c r="UGV88" s="996"/>
      <c r="UGW88" s="996"/>
      <c r="UGX88" s="996"/>
      <c r="UGY88" s="996"/>
      <c r="UGZ88" s="996"/>
      <c r="UHA88" s="996"/>
      <c r="UHB88" s="996"/>
      <c r="UHC88" s="996"/>
      <c r="UHD88" s="996"/>
      <c r="UHE88" s="996"/>
      <c r="UHF88" s="996"/>
      <c r="UHG88" s="996"/>
      <c r="UHH88" s="996"/>
      <c r="UHI88" s="996"/>
      <c r="UHJ88" s="996"/>
      <c r="UHK88" s="996"/>
      <c r="UHL88" s="996"/>
      <c r="UHM88" s="996"/>
      <c r="UHN88" s="996"/>
      <c r="UHO88" s="996"/>
      <c r="UHP88" s="996"/>
      <c r="UHQ88" s="996"/>
      <c r="UHR88" s="996"/>
      <c r="UHS88" s="996"/>
      <c r="UHT88" s="996"/>
      <c r="UHU88" s="996"/>
      <c r="UHV88" s="996"/>
      <c r="UHW88" s="996"/>
      <c r="UHX88" s="996"/>
      <c r="UHY88" s="996"/>
      <c r="UHZ88" s="996"/>
      <c r="UIA88" s="996"/>
      <c r="UIB88" s="996"/>
      <c r="UIC88" s="996"/>
      <c r="UID88" s="996"/>
      <c r="UIE88" s="996"/>
      <c r="UIF88" s="996"/>
      <c r="UIG88" s="996"/>
      <c r="UIH88" s="996"/>
      <c r="UII88" s="996"/>
      <c r="UIJ88" s="996"/>
      <c r="UIK88" s="996"/>
      <c r="UIL88" s="996"/>
      <c r="UIM88" s="996"/>
      <c r="UIN88" s="996"/>
      <c r="UIO88" s="996"/>
      <c r="UIP88" s="996"/>
      <c r="UIQ88" s="996"/>
      <c r="UIR88" s="996"/>
      <c r="UIS88" s="996"/>
      <c r="UIT88" s="996"/>
      <c r="UIU88" s="996"/>
      <c r="UIV88" s="996"/>
      <c r="UIW88" s="996"/>
      <c r="UIX88" s="996"/>
      <c r="UIY88" s="996"/>
      <c r="UIZ88" s="996"/>
      <c r="UJA88" s="996"/>
      <c r="UJB88" s="996"/>
      <c r="UJC88" s="996"/>
      <c r="UJD88" s="996"/>
      <c r="UJE88" s="996"/>
      <c r="UJF88" s="996"/>
      <c r="UJG88" s="996"/>
      <c r="UJH88" s="996"/>
      <c r="UJI88" s="996"/>
      <c r="UJJ88" s="996"/>
      <c r="UJK88" s="996"/>
      <c r="UJL88" s="996"/>
      <c r="UJM88" s="996"/>
      <c r="UJN88" s="996"/>
      <c r="UJO88" s="996"/>
      <c r="UJP88" s="996"/>
      <c r="UJQ88" s="996"/>
      <c r="UJR88" s="996"/>
      <c r="UJS88" s="996"/>
      <c r="UJT88" s="996"/>
      <c r="UJU88" s="996"/>
      <c r="UJV88" s="996"/>
      <c r="UJW88" s="996"/>
      <c r="UJX88" s="996"/>
      <c r="UJY88" s="996"/>
      <c r="UJZ88" s="996"/>
      <c r="UKA88" s="996"/>
      <c r="UKB88" s="996"/>
      <c r="UKC88" s="996"/>
      <c r="UKD88" s="996"/>
      <c r="UKE88" s="996"/>
      <c r="UKF88" s="996"/>
      <c r="UKG88" s="996"/>
      <c r="UKH88" s="996"/>
      <c r="UKI88" s="996"/>
      <c r="UKJ88" s="996"/>
      <c r="UKK88" s="996"/>
      <c r="UKL88" s="996"/>
      <c r="UKM88" s="996"/>
      <c r="UKN88" s="996"/>
      <c r="UKO88" s="996"/>
      <c r="UKP88" s="996"/>
      <c r="UKQ88" s="996"/>
      <c r="UKR88" s="996"/>
      <c r="UKS88" s="996"/>
      <c r="UKT88" s="996"/>
      <c r="UKU88" s="996"/>
      <c r="UKV88" s="996"/>
      <c r="UKW88" s="996"/>
      <c r="UKX88" s="996"/>
      <c r="UKY88" s="996"/>
      <c r="UKZ88" s="996"/>
      <c r="ULA88" s="996"/>
      <c r="ULB88" s="996"/>
      <c r="ULC88" s="996"/>
      <c r="ULD88" s="996"/>
      <c r="ULE88" s="996"/>
      <c r="ULF88" s="996"/>
      <c r="ULG88" s="996"/>
      <c r="ULH88" s="996"/>
      <c r="ULI88" s="996"/>
      <c r="ULJ88" s="996"/>
      <c r="ULK88" s="996"/>
      <c r="ULL88" s="996"/>
      <c r="ULM88" s="996"/>
      <c r="ULN88" s="996"/>
      <c r="ULO88" s="996"/>
      <c r="ULP88" s="996"/>
      <c r="ULQ88" s="996"/>
      <c r="ULR88" s="996"/>
      <c r="ULS88" s="996"/>
      <c r="ULT88" s="996"/>
      <c r="ULU88" s="996"/>
      <c r="ULV88" s="996"/>
      <c r="ULW88" s="996"/>
      <c r="ULX88" s="996"/>
      <c r="ULY88" s="996"/>
      <c r="ULZ88" s="996"/>
      <c r="UMA88" s="996"/>
      <c r="UMB88" s="996"/>
      <c r="UMC88" s="996"/>
      <c r="UMD88" s="996"/>
      <c r="UME88" s="996"/>
      <c r="UMF88" s="996"/>
      <c r="UMG88" s="996"/>
      <c r="UMH88" s="996"/>
      <c r="UMI88" s="996"/>
      <c r="UMJ88" s="996"/>
      <c r="UMK88" s="996"/>
      <c r="UML88" s="996"/>
      <c r="UMM88" s="996"/>
      <c r="UMN88" s="996"/>
      <c r="UMO88" s="996"/>
      <c r="UMP88" s="996"/>
      <c r="UMQ88" s="996"/>
      <c r="UMR88" s="996"/>
      <c r="UMS88" s="996"/>
      <c r="UMT88" s="996"/>
      <c r="UMU88" s="996"/>
      <c r="UMV88" s="996"/>
      <c r="UMW88" s="996"/>
      <c r="UMX88" s="996"/>
      <c r="UMY88" s="996"/>
      <c r="UMZ88" s="996"/>
      <c r="UNA88" s="996"/>
      <c r="UNB88" s="996"/>
      <c r="UNC88" s="996"/>
      <c r="UND88" s="996"/>
      <c r="UNE88" s="996"/>
      <c r="UNF88" s="996"/>
      <c r="UNG88" s="996"/>
      <c r="UNH88" s="996"/>
      <c r="UNI88" s="996"/>
      <c r="UNJ88" s="996"/>
      <c r="UNK88" s="996"/>
      <c r="UNL88" s="996"/>
      <c r="UNM88" s="996"/>
      <c r="UNN88" s="996"/>
      <c r="UNO88" s="996"/>
      <c r="UNP88" s="996"/>
      <c r="UNQ88" s="996"/>
      <c r="UNR88" s="996"/>
      <c r="UNS88" s="996"/>
      <c r="UNT88" s="996"/>
      <c r="UNU88" s="996"/>
      <c r="UNV88" s="996"/>
      <c r="UNW88" s="996"/>
      <c r="UNX88" s="996"/>
      <c r="UNY88" s="996"/>
      <c r="UNZ88" s="996"/>
      <c r="UOA88" s="996"/>
      <c r="UOB88" s="996"/>
      <c r="UOC88" s="996"/>
      <c r="UOD88" s="996"/>
      <c r="UOE88" s="996"/>
      <c r="UOF88" s="996"/>
      <c r="UOG88" s="996"/>
      <c r="UOH88" s="996"/>
      <c r="UOI88" s="996"/>
      <c r="UOJ88" s="996"/>
      <c r="UOK88" s="996"/>
      <c r="UOL88" s="996"/>
      <c r="UOM88" s="996"/>
      <c r="UON88" s="996"/>
      <c r="UOO88" s="996"/>
      <c r="UOP88" s="996"/>
      <c r="UOQ88" s="996"/>
      <c r="UOR88" s="996"/>
      <c r="UOS88" s="996"/>
      <c r="UOT88" s="996"/>
      <c r="UOU88" s="996"/>
      <c r="UOV88" s="996"/>
      <c r="UOW88" s="996"/>
      <c r="UOX88" s="996"/>
      <c r="UOY88" s="996"/>
      <c r="UOZ88" s="996"/>
      <c r="UPA88" s="996"/>
      <c r="UPB88" s="996"/>
      <c r="UPC88" s="996"/>
      <c r="UPD88" s="996"/>
      <c r="UPE88" s="996"/>
      <c r="UPF88" s="996"/>
      <c r="UPG88" s="996"/>
      <c r="UPH88" s="996"/>
      <c r="UPI88" s="996"/>
      <c r="UPJ88" s="996"/>
      <c r="UPK88" s="996"/>
      <c r="UPL88" s="996"/>
      <c r="UPM88" s="996"/>
      <c r="UPN88" s="996"/>
      <c r="UPO88" s="996"/>
      <c r="UPP88" s="996"/>
      <c r="UPQ88" s="996"/>
      <c r="UPR88" s="996"/>
      <c r="UPS88" s="996"/>
      <c r="UPT88" s="996"/>
      <c r="UPU88" s="996"/>
      <c r="UPV88" s="996"/>
      <c r="UPW88" s="996"/>
      <c r="UPX88" s="996"/>
      <c r="UPY88" s="996"/>
      <c r="UPZ88" s="996"/>
      <c r="UQA88" s="996"/>
      <c r="UQB88" s="996"/>
      <c r="UQC88" s="996"/>
      <c r="UQD88" s="996"/>
      <c r="UQE88" s="996"/>
      <c r="UQF88" s="996"/>
      <c r="UQG88" s="996"/>
      <c r="UQH88" s="996"/>
      <c r="UQI88" s="996"/>
      <c r="UQJ88" s="996"/>
      <c r="UQK88" s="996"/>
      <c r="UQL88" s="996"/>
      <c r="UQM88" s="996"/>
      <c r="UQN88" s="996"/>
      <c r="UQO88" s="996"/>
      <c r="UQP88" s="996"/>
      <c r="UQQ88" s="996"/>
      <c r="UQR88" s="996"/>
      <c r="UQS88" s="996"/>
      <c r="UQT88" s="996"/>
      <c r="UQU88" s="996"/>
      <c r="UQV88" s="996"/>
      <c r="UQW88" s="996"/>
      <c r="UQX88" s="996"/>
      <c r="UQY88" s="996"/>
      <c r="UQZ88" s="996"/>
      <c r="URA88" s="996"/>
      <c r="URB88" s="996"/>
      <c r="URC88" s="996"/>
      <c r="URD88" s="996"/>
      <c r="URE88" s="996"/>
      <c r="URF88" s="996"/>
      <c r="URG88" s="996"/>
      <c r="URH88" s="996"/>
      <c r="URI88" s="996"/>
      <c r="URJ88" s="996"/>
      <c r="URK88" s="996"/>
      <c r="URL88" s="996"/>
      <c r="URM88" s="996"/>
      <c r="URN88" s="996"/>
      <c r="URO88" s="996"/>
      <c r="URP88" s="996"/>
      <c r="URQ88" s="996"/>
      <c r="URR88" s="996"/>
      <c r="URS88" s="996"/>
      <c r="URT88" s="996"/>
      <c r="URU88" s="996"/>
      <c r="URV88" s="996"/>
      <c r="URW88" s="996"/>
      <c r="URX88" s="996"/>
      <c r="URY88" s="996"/>
      <c r="URZ88" s="996"/>
      <c r="USA88" s="996"/>
      <c r="USB88" s="996"/>
      <c r="USC88" s="996"/>
      <c r="USD88" s="996"/>
      <c r="USE88" s="996"/>
      <c r="USF88" s="996"/>
      <c r="USG88" s="996"/>
      <c r="USH88" s="996"/>
      <c r="USI88" s="996"/>
      <c r="USJ88" s="996"/>
      <c r="USK88" s="996"/>
      <c r="USL88" s="996"/>
      <c r="USM88" s="996"/>
      <c r="USN88" s="996"/>
      <c r="USO88" s="996"/>
      <c r="USP88" s="996"/>
      <c r="USQ88" s="996"/>
      <c r="USR88" s="996"/>
      <c r="USS88" s="996"/>
      <c r="UST88" s="996"/>
      <c r="USU88" s="996"/>
      <c r="USV88" s="996"/>
      <c r="USW88" s="996"/>
      <c r="USX88" s="996"/>
      <c r="USY88" s="996"/>
      <c r="USZ88" s="996"/>
      <c r="UTA88" s="996"/>
      <c r="UTB88" s="996"/>
      <c r="UTC88" s="996"/>
      <c r="UTD88" s="996"/>
      <c r="UTE88" s="996"/>
      <c r="UTF88" s="996"/>
      <c r="UTG88" s="996"/>
      <c r="UTH88" s="996"/>
      <c r="UTI88" s="996"/>
      <c r="UTJ88" s="996"/>
      <c r="UTK88" s="996"/>
      <c r="UTL88" s="996"/>
      <c r="UTM88" s="996"/>
      <c r="UTN88" s="996"/>
      <c r="UTO88" s="996"/>
      <c r="UTP88" s="996"/>
      <c r="UTQ88" s="996"/>
      <c r="UTR88" s="996"/>
      <c r="UTS88" s="996"/>
      <c r="UTT88" s="996"/>
      <c r="UTU88" s="996"/>
      <c r="UTV88" s="996"/>
      <c r="UTW88" s="996"/>
      <c r="UTX88" s="996"/>
      <c r="UTY88" s="996"/>
      <c r="UTZ88" s="996"/>
      <c r="UUA88" s="996"/>
      <c r="UUB88" s="996"/>
      <c r="UUC88" s="996"/>
      <c r="UUD88" s="996"/>
      <c r="UUE88" s="996"/>
      <c r="UUF88" s="996"/>
      <c r="UUG88" s="996"/>
      <c r="UUH88" s="996"/>
      <c r="UUI88" s="996"/>
      <c r="UUJ88" s="996"/>
      <c r="UUK88" s="996"/>
      <c r="UUL88" s="996"/>
      <c r="UUM88" s="996"/>
      <c r="UUN88" s="996"/>
      <c r="UUO88" s="996"/>
      <c r="UUP88" s="996"/>
      <c r="UUQ88" s="996"/>
      <c r="UUR88" s="996"/>
      <c r="UUS88" s="996"/>
      <c r="UUT88" s="996"/>
      <c r="UUU88" s="996"/>
      <c r="UUV88" s="996"/>
      <c r="UUW88" s="996"/>
      <c r="UUX88" s="996"/>
      <c r="UUY88" s="996"/>
      <c r="UUZ88" s="996"/>
      <c r="UVA88" s="996"/>
      <c r="UVB88" s="996"/>
      <c r="UVC88" s="996"/>
      <c r="UVD88" s="996"/>
      <c r="UVE88" s="996"/>
      <c r="UVF88" s="996"/>
      <c r="UVG88" s="996"/>
      <c r="UVH88" s="996"/>
      <c r="UVI88" s="996"/>
      <c r="UVJ88" s="996"/>
      <c r="UVK88" s="996"/>
      <c r="UVL88" s="996"/>
      <c r="UVM88" s="996"/>
      <c r="UVN88" s="996"/>
      <c r="UVO88" s="996"/>
      <c r="UVP88" s="996"/>
      <c r="UVQ88" s="996"/>
      <c r="UVR88" s="996"/>
      <c r="UVS88" s="996"/>
      <c r="UVT88" s="996"/>
      <c r="UVU88" s="996"/>
      <c r="UVV88" s="996"/>
      <c r="UVW88" s="996"/>
      <c r="UVX88" s="996"/>
      <c r="UVY88" s="996"/>
      <c r="UVZ88" s="996"/>
      <c r="UWA88" s="996"/>
      <c r="UWB88" s="996"/>
      <c r="UWC88" s="996"/>
      <c r="UWD88" s="996"/>
      <c r="UWE88" s="996"/>
      <c r="UWF88" s="996"/>
      <c r="UWG88" s="996"/>
      <c r="UWH88" s="996"/>
      <c r="UWI88" s="996"/>
      <c r="UWJ88" s="996"/>
      <c r="UWK88" s="996"/>
      <c r="UWL88" s="996"/>
      <c r="UWM88" s="996"/>
      <c r="UWN88" s="996"/>
      <c r="UWO88" s="996"/>
      <c r="UWP88" s="996"/>
      <c r="UWQ88" s="996"/>
      <c r="UWR88" s="996"/>
      <c r="UWS88" s="996"/>
      <c r="UWT88" s="996"/>
      <c r="UWU88" s="996"/>
      <c r="UWV88" s="996"/>
      <c r="UWW88" s="996"/>
      <c r="UWX88" s="996"/>
      <c r="UWY88" s="996"/>
      <c r="UWZ88" s="996"/>
      <c r="UXA88" s="996"/>
      <c r="UXB88" s="996"/>
      <c r="UXC88" s="996"/>
      <c r="UXD88" s="996"/>
      <c r="UXE88" s="996"/>
      <c r="UXF88" s="996"/>
      <c r="UXG88" s="996"/>
      <c r="UXH88" s="996"/>
      <c r="UXI88" s="996"/>
      <c r="UXJ88" s="996"/>
      <c r="UXK88" s="996"/>
      <c r="UXL88" s="996"/>
      <c r="UXM88" s="996"/>
      <c r="UXN88" s="996"/>
      <c r="UXO88" s="996"/>
      <c r="UXP88" s="996"/>
      <c r="UXQ88" s="996"/>
      <c r="UXR88" s="996"/>
      <c r="UXS88" s="996"/>
      <c r="UXT88" s="996"/>
      <c r="UXU88" s="996"/>
      <c r="UXV88" s="996"/>
      <c r="UXW88" s="996"/>
      <c r="UXX88" s="996"/>
      <c r="UXY88" s="996"/>
      <c r="UXZ88" s="996"/>
      <c r="UYA88" s="996"/>
      <c r="UYB88" s="996"/>
      <c r="UYC88" s="996"/>
      <c r="UYD88" s="996"/>
      <c r="UYE88" s="996"/>
      <c r="UYF88" s="996"/>
      <c r="UYG88" s="996"/>
      <c r="UYH88" s="996"/>
      <c r="UYI88" s="996"/>
      <c r="UYJ88" s="996"/>
      <c r="UYK88" s="996"/>
      <c r="UYL88" s="996"/>
      <c r="UYM88" s="996"/>
      <c r="UYN88" s="996"/>
      <c r="UYO88" s="996"/>
      <c r="UYP88" s="996"/>
      <c r="UYQ88" s="996"/>
      <c r="UYR88" s="996"/>
      <c r="UYS88" s="996"/>
      <c r="UYT88" s="996"/>
      <c r="UYU88" s="996"/>
      <c r="UYV88" s="996"/>
      <c r="UYW88" s="996"/>
      <c r="UYX88" s="996"/>
      <c r="UYY88" s="996"/>
      <c r="UYZ88" s="996"/>
      <c r="UZA88" s="996"/>
      <c r="UZB88" s="996"/>
      <c r="UZC88" s="996"/>
      <c r="UZD88" s="996"/>
      <c r="UZE88" s="996"/>
      <c r="UZF88" s="996"/>
      <c r="UZG88" s="996"/>
      <c r="UZH88" s="996"/>
      <c r="UZI88" s="996"/>
      <c r="UZJ88" s="996"/>
      <c r="UZK88" s="996"/>
      <c r="UZL88" s="996"/>
      <c r="UZM88" s="996"/>
      <c r="UZN88" s="996"/>
      <c r="UZO88" s="996"/>
      <c r="UZP88" s="996"/>
      <c r="UZQ88" s="996"/>
      <c r="UZR88" s="996"/>
      <c r="UZS88" s="996"/>
      <c r="UZT88" s="996"/>
      <c r="UZU88" s="996"/>
      <c r="UZV88" s="996"/>
      <c r="UZW88" s="996"/>
      <c r="UZX88" s="996"/>
      <c r="UZY88" s="996"/>
      <c r="UZZ88" s="996"/>
      <c r="VAA88" s="996"/>
      <c r="VAB88" s="996"/>
      <c r="VAC88" s="996"/>
      <c r="VAD88" s="996"/>
      <c r="VAE88" s="996"/>
      <c r="VAF88" s="996"/>
      <c r="VAG88" s="996"/>
      <c r="VAH88" s="996"/>
      <c r="VAI88" s="996"/>
      <c r="VAJ88" s="996"/>
      <c r="VAK88" s="996"/>
      <c r="VAL88" s="996"/>
      <c r="VAM88" s="996"/>
      <c r="VAN88" s="996"/>
      <c r="VAO88" s="996"/>
      <c r="VAP88" s="996"/>
      <c r="VAQ88" s="996"/>
      <c r="VAR88" s="996"/>
      <c r="VAS88" s="996"/>
      <c r="VAT88" s="996"/>
      <c r="VAU88" s="996"/>
      <c r="VAV88" s="996"/>
      <c r="VAW88" s="996"/>
      <c r="VAX88" s="996"/>
      <c r="VAY88" s="996"/>
      <c r="VAZ88" s="996"/>
      <c r="VBA88" s="996"/>
      <c r="VBB88" s="996"/>
      <c r="VBC88" s="996"/>
      <c r="VBD88" s="996"/>
      <c r="VBE88" s="996"/>
      <c r="VBF88" s="996"/>
      <c r="VBG88" s="996"/>
      <c r="VBH88" s="996"/>
      <c r="VBI88" s="996"/>
      <c r="VBJ88" s="996"/>
      <c r="VBK88" s="996"/>
      <c r="VBL88" s="996"/>
      <c r="VBM88" s="996"/>
      <c r="VBN88" s="996"/>
      <c r="VBO88" s="996"/>
      <c r="VBP88" s="996"/>
      <c r="VBQ88" s="996"/>
      <c r="VBR88" s="996"/>
      <c r="VBS88" s="996"/>
      <c r="VBT88" s="996"/>
      <c r="VBU88" s="996"/>
      <c r="VBV88" s="996"/>
      <c r="VBW88" s="996"/>
      <c r="VBX88" s="996"/>
      <c r="VBY88" s="996"/>
      <c r="VBZ88" s="996"/>
      <c r="VCA88" s="996"/>
      <c r="VCB88" s="996"/>
      <c r="VCC88" s="996"/>
      <c r="VCD88" s="996"/>
      <c r="VCE88" s="996"/>
      <c r="VCF88" s="996"/>
      <c r="VCG88" s="996"/>
      <c r="VCH88" s="996"/>
      <c r="VCI88" s="996"/>
      <c r="VCJ88" s="996"/>
      <c r="VCK88" s="996"/>
      <c r="VCL88" s="996"/>
      <c r="VCM88" s="996"/>
      <c r="VCN88" s="996"/>
      <c r="VCO88" s="996"/>
      <c r="VCP88" s="996"/>
      <c r="VCQ88" s="996"/>
      <c r="VCR88" s="996"/>
      <c r="VCS88" s="996"/>
      <c r="VCT88" s="996"/>
      <c r="VCU88" s="996"/>
      <c r="VCV88" s="996"/>
      <c r="VCW88" s="996"/>
      <c r="VCX88" s="996"/>
      <c r="VCY88" s="996"/>
      <c r="VCZ88" s="996"/>
      <c r="VDA88" s="996"/>
      <c r="VDB88" s="996"/>
      <c r="VDC88" s="996"/>
      <c r="VDD88" s="996"/>
      <c r="VDE88" s="996"/>
      <c r="VDF88" s="996"/>
      <c r="VDG88" s="996"/>
      <c r="VDH88" s="996"/>
      <c r="VDI88" s="996"/>
      <c r="VDJ88" s="996"/>
      <c r="VDK88" s="996"/>
      <c r="VDL88" s="996"/>
      <c r="VDM88" s="996"/>
      <c r="VDN88" s="996"/>
      <c r="VDO88" s="996"/>
      <c r="VDP88" s="996"/>
      <c r="VDQ88" s="996"/>
      <c r="VDR88" s="996"/>
      <c r="VDS88" s="996"/>
      <c r="VDT88" s="996"/>
      <c r="VDU88" s="996"/>
      <c r="VDV88" s="996"/>
      <c r="VDW88" s="996"/>
      <c r="VDX88" s="996"/>
      <c r="VDY88" s="996"/>
      <c r="VDZ88" s="996"/>
      <c r="VEA88" s="996"/>
      <c r="VEB88" s="996"/>
      <c r="VEC88" s="996"/>
      <c r="VED88" s="996"/>
      <c r="VEE88" s="996"/>
      <c r="VEF88" s="996"/>
      <c r="VEG88" s="996"/>
      <c r="VEH88" s="996"/>
      <c r="VEI88" s="996"/>
      <c r="VEJ88" s="996"/>
      <c r="VEK88" s="996"/>
      <c r="VEL88" s="996"/>
      <c r="VEM88" s="996"/>
      <c r="VEN88" s="996"/>
      <c r="VEO88" s="996"/>
      <c r="VEP88" s="996"/>
      <c r="VEQ88" s="996"/>
      <c r="VER88" s="996"/>
      <c r="VES88" s="996"/>
      <c r="VET88" s="996"/>
      <c r="VEU88" s="996"/>
      <c r="VEV88" s="996"/>
      <c r="VEW88" s="996"/>
      <c r="VEX88" s="996"/>
      <c r="VEY88" s="996"/>
      <c r="VEZ88" s="996"/>
      <c r="VFA88" s="996"/>
      <c r="VFB88" s="996"/>
      <c r="VFC88" s="996"/>
      <c r="VFD88" s="996"/>
      <c r="VFE88" s="996"/>
      <c r="VFF88" s="996"/>
      <c r="VFG88" s="996"/>
      <c r="VFH88" s="996"/>
      <c r="VFI88" s="996"/>
      <c r="VFJ88" s="996"/>
      <c r="VFK88" s="996"/>
      <c r="VFL88" s="996"/>
      <c r="VFM88" s="996"/>
      <c r="VFN88" s="996"/>
      <c r="VFO88" s="996"/>
      <c r="VFP88" s="996"/>
      <c r="VFQ88" s="996"/>
      <c r="VFR88" s="996"/>
      <c r="VFS88" s="996"/>
      <c r="VFT88" s="996"/>
      <c r="VFU88" s="996"/>
      <c r="VFV88" s="996"/>
      <c r="VFW88" s="996"/>
      <c r="VFX88" s="996"/>
      <c r="VFY88" s="996"/>
      <c r="VFZ88" s="996"/>
      <c r="VGA88" s="996"/>
      <c r="VGB88" s="996"/>
      <c r="VGC88" s="996"/>
      <c r="VGD88" s="996"/>
      <c r="VGE88" s="996"/>
      <c r="VGF88" s="996"/>
      <c r="VGG88" s="996"/>
      <c r="VGH88" s="996"/>
      <c r="VGI88" s="996"/>
      <c r="VGJ88" s="996"/>
      <c r="VGK88" s="996"/>
      <c r="VGL88" s="996"/>
      <c r="VGM88" s="996"/>
      <c r="VGN88" s="996"/>
      <c r="VGO88" s="996"/>
      <c r="VGP88" s="996"/>
      <c r="VGQ88" s="996"/>
      <c r="VGR88" s="996"/>
      <c r="VGS88" s="996"/>
      <c r="VGT88" s="996"/>
      <c r="VGU88" s="996"/>
      <c r="VGV88" s="996"/>
      <c r="VGW88" s="996"/>
      <c r="VGX88" s="996"/>
      <c r="VGY88" s="996"/>
      <c r="VGZ88" s="996"/>
      <c r="VHA88" s="996"/>
      <c r="VHB88" s="996"/>
      <c r="VHC88" s="996"/>
      <c r="VHD88" s="996"/>
      <c r="VHE88" s="996"/>
      <c r="VHF88" s="996"/>
      <c r="VHG88" s="996"/>
      <c r="VHH88" s="996"/>
      <c r="VHI88" s="996"/>
      <c r="VHJ88" s="996"/>
      <c r="VHK88" s="996"/>
      <c r="VHL88" s="996"/>
      <c r="VHM88" s="996"/>
      <c r="VHN88" s="996"/>
      <c r="VHO88" s="996"/>
      <c r="VHP88" s="996"/>
      <c r="VHQ88" s="996"/>
      <c r="VHR88" s="996"/>
      <c r="VHS88" s="996"/>
      <c r="VHT88" s="996"/>
      <c r="VHU88" s="996"/>
      <c r="VHV88" s="996"/>
      <c r="VHW88" s="996"/>
      <c r="VHX88" s="996"/>
      <c r="VHY88" s="996"/>
      <c r="VHZ88" s="996"/>
      <c r="VIA88" s="996"/>
      <c r="VIB88" s="996"/>
      <c r="VIC88" s="996"/>
      <c r="VID88" s="996"/>
      <c r="VIE88" s="996"/>
      <c r="VIF88" s="996"/>
      <c r="VIG88" s="996"/>
      <c r="VIH88" s="996"/>
      <c r="VII88" s="996"/>
      <c r="VIJ88" s="996"/>
      <c r="VIK88" s="996"/>
      <c r="VIL88" s="996"/>
      <c r="VIM88" s="996"/>
      <c r="VIN88" s="996"/>
      <c r="VIO88" s="996"/>
      <c r="VIP88" s="996"/>
      <c r="VIQ88" s="996"/>
      <c r="VIR88" s="996"/>
      <c r="VIS88" s="996"/>
      <c r="VIT88" s="996"/>
      <c r="VIU88" s="996"/>
      <c r="VIV88" s="996"/>
      <c r="VIW88" s="996"/>
      <c r="VIX88" s="996"/>
      <c r="VIY88" s="996"/>
      <c r="VIZ88" s="996"/>
      <c r="VJA88" s="996"/>
      <c r="VJB88" s="996"/>
      <c r="VJC88" s="996"/>
      <c r="VJD88" s="996"/>
      <c r="VJE88" s="996"/>
      <c r="VJF88" s="996"/>
      <c r="VJG88" s="996"/>
      <c r="VJH88" s="996"/>
      <c r="VJI88" s="996"/>
      <c r="VJJ88" s="996"/>
      <c r="VJK88" s="996"/>
      <c r="VJL88" s="996"/>
      <c r="VJM88" s="996"/>
      <c r="VJN88" s="996"/>
      <c r="VJO88" s="996"/>
      <c r="VJP88" s="996"/>
      <c r="VJQ88" s="996"/>
      <c r="VJR88" s="996"/>
      <c r="VJS88" s="996"/>
      <c r="VJT88" s="996"/>
      <c r="VJU88" s="996"/>
      <c r="VJV88" s="996"/>
      <c r="VJW88" s="996"/>
      <c r="VJX88" s="996"/>
      <c r="VJY88" s="996"/>
      <c r="VJZ88" s="996"/>
      <c r="VKA88" s="996"/>
      <c r="VKB88" s="996"/>
      <c r="VKC88" s="996"/>
      <c r="VKD88" s="996"/>
      <c r="VKE88" s="996"/>
      <c r="VKF88" s="996"/>
      <c r="VKG88" s="996"/>
      <c r="VKH88" s="996"/>
      <c r="VKI88" s="996"/>
      <c r="VKJ88" s="996"/>
      <c r="VKK88" s="996"/>
      <c r="VKL88" s="996"/>
      <c r="VKM88" s="996"/>
      <c r="VKN88" s="996"/>
      <c r="VKO88" s="996"/>
      <c r="VKP88" s="996"/>
      <c r="VKQ88" s="996"/>
      <c r="VKR88" s="996"/>
      <c r="VKS88" s="996"/>
      <c r="VKT88" s="996"/>
      <c r="VKU88" s="996"/>
      <c r="VKV88" s="996"/>
      <c r="VKW88" s="996"/>
      <c r="VKX88" s="996"/>
      <c r="VKY88" s="996"/>
      <c r="VKZ88" s="996"/>
      <c r="VLA88" s="996"/>
      <c r="VLB88" s="996"/>
      <c r="VLC88" s="996"/>
      <c r="VLD88" s="996"/>
      <c r="VLE88" s="996"/>
      <c r="VLF88" s="996"/>
      <c r="VLG88" s="996"/>
      <c r="VLH88" s="996"/>
      <c r="VLI88" s="996"/>
      <c r="VLJ88" s="996"/>
      <c r="VLK88" s="996"/>
      <c r="VLL88" s="996"/>
      <c r="VLM88" s="996"/>
      <c r="VLN88" s="996"/>
      <c r="VLO88" s="996"/>
      <c r="VLP88" s="996"/>
      <c r="VLQ88" s="996"/>
      <c r="VLR88" s="996"/>
      <c r="VLS88" s="996"/>
      <c r="VLT88" s="996"/>
      <c r="VLU88" s="996"/>
      <c r="VLV88" s="996"/>
      <c r="VLW88" s="996"/>
      <c r="VLX88" s="996"/>
      <c r="VLY88" s="996"/>
      <c r="VLZ88" s="996"/>
      <c r="VMA88" s="996"/>
      <c r="VMB88" s="996"/>
      <c r="VMC88" s="996"/>
      <c r="VMD88" s="996"/>
      <c r="VME88" s="996"/>
      <c r="VMF88" s="996"/>
      <c r="VMG88" s="996"/>
      <c r="VMH88" s="996"/>
      <c r="VMI88" s="996"/>
      <c r="VMJ88" s="996"/>
      <c r="VMK88" s="996"/>
      <c r="VML88" s="996"/>
      <c r="VMM88" s="996"/>
      <c r="VMN88" s="996"/>
      <c r="VMO88" s="996"/>
      <c r="VMP88" s="996"/>
      <c r="VMQ88" s="996"/>
      <c r="VMR88" s="996"/>
      <c r="VMS88" s="996"/>
      <c r="VMT88" s="996"/>
      <c r="VMU88" s="996"/>
      <c r="VMV88" s="996"/>
      <c r="VMW88" s="996"/>
      <c r="VMX88" s="996"/>
      <c r="VMY88" s="996"/>
      <c r="VMZ88" s="996"/>
      <c r="VNA88" s="996"/>
      <c r="VNB88" s="996"/>
      <c r="VNC88" s="996"/>
      <c r="VND88" s="996"/>
      <c r="VNE88" s="996"/>
      <c r="VNF88" s="996"/>
      <c r="VNG88" s="996"/>
      <c r="VNH88" s="996"/>
      <c r="VNI88" s="996"/>
      <c r="VNJ88" s="996"/>
      <c r="VNK88" s="996"/>
      <c r="VNL88" s="996"/>
      <c r="VNM88" s="996"/>
      <c r="VNN88" s="996"/>
      <c r="VNO88" s="996"/>
      <c r="VNP88" s="996"/>
      <c r="VNQ88" s="996"/>
      <c r="VNR88" s="996"/>
      <c r="VNS88" s="996"/>
      <c r="VNT88" s="996"/>
      <c r="VNU88" s="996"/>
      <c r="VNV88" s="996"/>
      <c r="VNW88" s="996"/>
      <c r="VNX88" s="996"/>
      <c r="VNY88" s="996"/>
      <c r="VNZ88" s="996"/>
      <c r="VOA88" s="996"/>
      <c r="VOB88" s="996"/>
      <c r="VOC88" s="996"/>
      <c r="VOD88" s="996"/>
      <c r="VOE88" s="996"/>
      <c r="VOF88" s="996"/>
      <c r="VOG88" s="996"/>
      <c r="VOH88" s="996"/>
      <c r="VOI88" s="996"/>
      <c r="VOJ88" s="996"/>
      <c r="VOK88" s="996"/>
      <c r="VOL88" s="996"/>
      <c r="VOM88" s="996"/>
      <c r="VON88" s="996"/>
      <c r="VOO88" s="996"/>
      <c r="VOP88" s="996"/>
      <c r="VOQ88" s="996"/>
      <c r="VOR88" s="996"/>
      <c r="VOS88" s="996"/>
      <c r="VOT88" s="996"/>
      <c r="VOU88" s="996"/>
      <c r="VOV88" s="996"/>
      <c r="VOW88" s="996"/>
      <c r="VOX88" s="996"/>
      <c r="VOY88" s="996"/>
      <c r="VOZ88" s="996"/>
      <c r="VPA88" s="996"/>
      <c r="VPB88" s="996"/>
      <c r="VPC88" s="996"/>
      <c r="VPD88" s="996"/>
      <c r="VPE88" s="996"/>
      <c r="VPF88" s="996"/>
      <c r="VPG88" s="996"/>
      <c r="VPH88" s="996"/>
      <c r="VPI88" s="996"/>
      <c r="VPJ88" s="996"/>
      <c r="VPK88" s="996"/>
      <c r="VPL88" s="996"/>
      <c r="VPM88" s="996"/>
      <c r="VPN88" s="996"/>
      <c r="VPO88" s="996"/>
      <c r="VPP88" s="996"/>
      <c r="VPQ88" s="996"/>
      <c r="VPR88" s="996"/>
      <c r="VPS88" s="996"/>
      <c r="VPT88" s="996"/>
      <c r="VPU88" s="996"/>
      <c r="VPV88" s="996"/>
      <c r="VPW88" s="996"/>
      <c r="VPX88" s="996"/>
      <c r="VPY88" s="996"/>
      <c r="VPZ88" s="996"/>
      <c r="VQA88" s="996"/>
      <c r="VQB88" s="996"/>
      <c r="VQC88" s="996"/>
      <c r="VQD88" s="996"/>
      <c r="VQE88" s="996"/>
      <c r="VQF88" s="996"/>
      <c r="VQG88" s="996"/>
      <c r="VQH88" s="996"/>
      <c r="VQI88" s="996"/>
      <c r="VQJ88" s="996"/>
      <c r="VQK88" s="996"/>
      <c r="VQL88" s="996"/>
      <c r="VQM88" s="996"/>
      <c r="VQN88" s="996"/>
      <c r="VQO88" s="996"/>
      <c r="VQP88" s="996"/>
      <c r="VQQ88" s="996"/>
      <c r="VQR88" s="996"/>
      <c r="VQS88" s="996"/>
      <c r="VQT88" s="996"/>
      <c r="VQU88" s="996"/>
      <c r="VQV88" s="996"/>
      <c r="VQW88" s="996"/>
      <c r="VQX88" s="996"/>
      <c r="VQY88" s="996"/>
      <c r="VQZ88" s="996"/>
      <c r="VRA88" s="996"/>
      <c r="VRB88" s="996"/>
      <c r="VRC88" s="996"/>
      <c r="VRD88" s="996"/>
      <c r="VRE88" s="996"/>
      <c r="VRF88" s="996"/>
      <c r="VRG88" s="996"/>
      <c r="VRH88" s="996"/>
      <c r="VRI88" s="996"/>
      <c r="VRJ88" s="996"/>
      <c r="VRK88" s="996"/>
      <c r="VRL88" s="996"/>
      <c r="VRM88" s="996"/>
      <c r="VRN88" s="996"/>
      <c r="VRO88" s="996"/>
      <c r="VRP88" s="996"/>
      <c r="VRQ88" s="996"/>
      <c r="VRR88" s="996"/>
      <c r="VRS88" s="996"/>
      <c r="VRT88" s="996"/>
      <c r="VRU88" s="996"/>
      <c r="VRV88" s="996"/>
      <c r="VRW88" s="996"/>
      <c r="VRX88" s="996"/>
      <c r="VRY88" s="996"/>
      <c r="VRZ88" s="996"/>
      <c r="VSA88" s="996"/>
      <c r="VSB88" s="996"/>
      <c r="VSC88" s="996"/>
      <c r="VSD88" s="996"/>
      <c r="VSE88" s="996"/>
      <c r="VSF88" s="996"/>
      <c r="VSG88" s="996"/>
      <c r="VSH88" s="996"/>
      <c r="VSI88" s="996"/>
      <c r="VSJ88" s="996"/>
      <c r="VSK88" s="996"/>
      <c r="VSL88" s="996"/>
      <c r="VSM88" s="996"/>
      <c r="VSN88" s="996"/>
      <c r="VSO88" s="996"/>
      <c r="VSP88" s="996"/>
      <c r="VSQ88" s="996"/>
      <c r="VSR88" s="996"/>
      <c r="VSS88" s="996"/>
      <c r="VST88" s="996"/>
      <c r="VSU88" s="996"/>
      <c r="VSV88" s="996"/>
      <c r="VSW88" s="996"/>
      <c r="VSX88" s="996"/>
      <c r="VSY88" s="996"/>
      <c r="VSZ88" s="996"/>
      <c r="VTA88" s="996"/>
      <c r="VTB88" s="996"/>
      <c r="VTC88" s="996"/>
      <c r="VTD88" s="996"/>
      <c r="VTE88" s="996"/>
      <c r="VTF88" s="996"/>
      <c r="VTG88" s="996"/>
      <c r="VTH88" s="996"/>
      <c r="VTI88" s="996"/>
      <c r="VTJ88" s="996"/>
      <c r="VTK88" s="996"/>
      <c r="VTL88" s="996"/>
      <c r="VTM88" s="996"/>
      <c r="VTN88" s="996"/>
      <c r="VTO88" s="996"/>
      <c r="VTP88" s="996"/>
      <c r="VTQ88" s="996"/>
      <c r="VTR88" s="996"/>
      <c r="VTS88" s="996"/>
      <c r="VTT88" s="996"/>
      <c r="VTU88" s="996"/>
      <c r="VTV88" s="996"/>
      <c r="VTW88" s="996"/>
      <c r="VTX88" s="996"/>
      <c r="VTY88" s="996"/>
      <c r="VTZ88" s="996"/>
      <c r="VUA88" s="996"/>
      <c r="VUB88" s="996"/>
      <c r="VUC88" s="996"/>
      <c r="VUD88" s="996"/>
      <c r="VUE88" s="996"/>
      <c r="VUF88" s="996"/>
      <c r="VUG88" s="996"/>
      <c r="VUH88" s="996"/>
      <c r="VUI88" s="996"/>
      <c r="VUJ88" s="996"/>
      <c r="VUK88" s="996"/>
      <c r="VUL88" s="996"/>
      <c r="VUM88" s="996"/>
      <c r="VUN88" s="996"/>
      <c r="VUO88" s="996"/>
      <c r="VUP88" s="996"/>
      <c r="VUQ88" s="996"/>
      <c r="VUR88" s="996"/>
      <c r="VUS88" s="996"/>
      <c r="VUT88" s="996"/>
      <c r="VUU88" s="996"/>
      <c r="VUV88" s="996"/>
      <c r="VUW88" s="996"/>
      <c r="VUX88" s="996"/>
      <c r="VUY88" s="996"/>
      <c r="VUZ88" s="996"/>
      <c r="VVA88" s="996"/>
      <c r="VVB88" s="996"/>
      <c r="VVC88" s="996"/>
      <c r="VVD88" s="996"/>
      <c r="VVE88" s="996"/>
      <c r="VVF88" s="996"/>
      <c r="VVG88" s="996"/>
      <c r="VVH88" s="996"/>
      <c r="VVI88" s="996"/>
      <c r="VVJ88" s="996"/>
      <c r="VVK88" s="996"/>
      <c r="VVL88" s="996"/>
      <c r="VVM88" s="996"/>
      <c r="VVN88" s="996"/>
      <c r="VVO88" s="996"/>
      <c r="VVP88" s="996"/>
      <c r="VVQ88" s="996"/>
      <c r="VVR88" s="996"/>
      <c r="VVS88" s="996"/>
      <c r="VVT88" s="996"/>
      <c r="VVU88" s="996"/>
      <c r="VVV88" s="996"/>
      <c r="VVW88" s="996"/>
      <c r="VVX88" s="996"/>
      <c r="VVY88" s="996"/>
      <c r="VVZ88" s="996"/>
      <c r="VWA88" s="996"/>
      <c r="VWB88" s="996"/>
      <c r="VWC88" s="996"/>
      <c r="VWD88" s="996"/>
      <c r="VWE88" s="996"/>
      <c r="VWF88" s="996"/>
      <c r="VWG88" s="996"/>
      <c r="VWH88" s="996"/>
      <c r="VWI88" s="996"/>
      <c r="VWJ88" s="996"/>
      <c r="VWK88" s="996"/>
      <c r="VWL88" s="996"/>
      <c r="VWM88" s="996"/>
      <c r="VWN88" s="996"/>
      <c r="VWO88" s="996"/>
      <c r="VWP88" s="996"/>
      <c r="VWQ88" s="996"/>
      <c r="VWR88" s="996"/>
      <c r="VWS88" s="996"/>
      <c r="VWT88" s="996"/>
      <c r="VWU88" s="996"/>
      <c r="VWV88" s="996"/>
      <c r="VWW88" s="996"/>
      <c r="VWX88" s="996"/>
      <c r="VWY88" s="996"/>
      <c r="VWZ88" s="996"/>
      <c r="VXA88" s="996"/>
      <c r="VXB88" s="996"/>
      <c r="VXC88" s="996"/>
      <c r="VXD88" s="996"/>
      <c r="VXE88" s="996"/>
      <c r="VXF88" s="996"/>
      <c r="VXG88" s="996"/>
      <c r="VXH88" s="996"/>
      <c r="VXI88" s="996"/>
      <c r="VXJ88" s="996"/>
      <c r="VXK88" s="996"/>
      <c r="VXL88" s="996"/>
      <c r="VXM88" s="996"/>
      <c r="VXN88" s="996"/>
      <c r="VXO88" s="996"/>
      <c r="VXP88" s="996"/>
      <c r="VXQ88" s="996"/>
      <c r="VXR88" s="996"/>
      <c r="VXS88" s="996"/>
      <c r="VXT88" s="996"/>
      <c r="VXU88" s="996"/>
      <c r="VXV88" s="996"/>
      <c r="VXW88" s="996"/>
      <c r="VXX88" s="996"/>
      <c r="VXY88" s="996"/>
      <c r="VXZ88" s="996"/>
      <c r="VYA88" s="996"/>
      <c r="VYB88" s="996"/>
      <c r="VYC88" s="996"/>
      <c r="VYD88" s="996"/>
      <c r="VYE88" s="996"/>
      <c r="VYF88" s="996"/>
      <c r="VYG88" s="996"/>
      <c r="VYH88" s="996"/>
      <c r="VYI88" s="996"/>
      <c r="VYJ88" s="996"/>
      <c r="VYK88" s="996"/>
      <c r="VYL88" s="996"/>
      <c r="VYM88" s="996"/>
      <c r="VYN88" s="996"/>
      <c r="VYO88" s="996"/>
      <c r="VYP88" s="996"/>
      <c r="VYQ88" s="996"/>
      <c r="VYR88" s="996"/>
      <c r="VYS88" s="996"/>
      <c r="VYT88" s="996"/>
      <c r="VYU88" s="996"/>
      <c r="VYV88" s="996"/>
      <c r="VYW88" s="996"/>
      <c r="VYX88" s="996"/>
      <c r="VYY88" s="996"/>
      <c r="VYZ88" s="996"/>
      <c r="VZA88" s="996"/>
      <c r="VZB88" s="996"/>
      <c r="VZC88" s="996"/>
      <c r="VZD88" s="996"/>
      <c r="VZE88" s="996"/>
      <c r="VZF88" s="996"/>
      <c r="VZG88" s="996"/>
      <c r="VZH88" s="996"/>
      <c r="VZI88" s="996"/>
      <c r="VZJ88" s="996"/>
      <c r="VZK88" s="996"/>
      <c r="VZL88" s="996"/>
      <c r="VZM88" s="996"/>
      <c r="VZN88" s="996"/>
      <c r="VZO88" s="996"/>
      <c r="VZP88" s="996"/>
      <c r="VZQ88" s="996"/>
      <c r="VZR88" s="996"/>
      <c r="VZS88" s="996"/>
      <c r="VZT88" s="996"/>
      <c r="VZU88" s="996"/>
      <c r="VZV88" s="996"/>
      <c r="VZW88" s="996"/>
      <c r="VZX88" s="996"/>
      <c r="VZY88" s="996"/>
      <c r="VZZ88" s="996"/>
      <c r="WAA88" s="996"/>
      <c r="WAB88" s="996"/>
      <c r="WAC88" s="996"/>
      <c r="WAD88" s="996"/>
      <c r="WAE88" s="996"/>
      <c r="WAF88" s="996"/>
      <c r="WAG88" s="996"/>
      <c r="WAH88" s="996"/>
      <c r="WAI88" s="996"/>
      <c r="WAJ88" s="996"/>
      <c r="WAK88" s="996"/>
      <c r="WAL88" s="996"/>
      <c r="WAM88" s="996"/>
      <c r="WAN88" s="996"/>
      <c r="WAO88" s="996"/>
      <c r="WAP88" s="996"/>
      <c r="WAQ88" s="996"/>
      <c r="WAR88" s="996"/>
      <c r="WAS88" s="996"/>
      <c r="WAT88" s="996"/>
      <c r="WAU88" s="996"/>
      <c r="WAV88" s="996"/>
      <c r="WAW88" s="996"/>
      <c r="WAX88" s="996"/>
      <c r="WAY88" s="996"/>
      <c r="WAZ88" s="996"/>
      <c r="WBA88" s="996"/>
      <c r="WBB88" s="996"/>
      <c r="WBC88" s="996"/>
      <c r="WBD88" s="996"/>
      <c r="WBE88" s="996"/>
      <c r="WBF88" s="996"/>
      <c r="WBG88" s="996"/>
      <c r="WBH88" s="996"/>
      <c r="WBI88" s="996"/>
      <c r="WBJ88" s="996"/>
      <c r="WBK88" s="996"/>
      <c r="WBL88" s="996"/>
      <c r="WBM88" s="996"/>
      <c r="WBN88" s="996"/>
      <c r="WBO88" s="996"/>
      <c r="WBP88" s="996"/>
      <c r="WBQ88" s="996"/>
      <c r="WBR88" s="996"/>
      <c r="WBS88" s="996"/>
      <c r="WBT88" s="996"/>
      <c r="WBU88" s="996"/>
      <c r="WBV88" s="996"/>
      <c r="WBW88" s="996"/>
      <c r="WBX88" s="996"/>
      <c r="WBY88" s="996"/>
      <c r="WBZ88" s="996"/>
      <c r="WCA88" s="996"/>
      <c r="WCB88" s="996"/>
      <c r="WCC88" s="996"/>
      <c r="WCD88" s="996"/>
      <c r="WCE88" s="996"/>
      <c r="WCF88" s="996"/>
      <c r="WCG88" s="996"/>
      <c r="WCH88" s="996"/>
      <c r="WCI88" s="996"/>
      <c r="WCJ88" s="996"/>
      <c r="WCK88" s="996"/>
      <c r="WCL88" s="996"/>
      <c r="WCM88" s="996"/>
      <c r="WCN88" s="996"/>
      <c r="WCO88" s="996"/>
      <c r="WCP88" s="996"/>
      <c r="WCQ88" s="996"/>
      <c r="WCR88" s="996"/>
      <c r="WCS88" s="996"/>
      <c r="WCT88" s="996"/>
      <c r="WCU88" s="996"/>
      <c r="WCV88" s="996"/>
      <c r="WCW88" s="996"/>
      <c r="WCX88" s="996"/>
      <c r="WCY88" s="996"/>
      <c r="WCZ88" s="996"/>
      <c r="WDA88" s="996"/>
      <c r="WDB88" s="996"/>
      <c r="WDC88" s="996"/>
      <c r="WDD88" s="996"/>
      <c r="WDE88" s="996"/>
      <c r="WDF88" s="996"/>
      <c r="WDG88" s="996"/>
      <c r="WDH88" s="996"/>
      <c r="WDI88" s="996"/>
      <c r="WDJ88" s="996"/>
      <c r="WDK88" s="996"/>
      <c r="WDL88" s="996"/>
      <c r="WDM88" s="996"/>
      <c r="WDN88" s="996"/>
      <c r="WDO88" s="996"/>
      <c r="WDP88" s="996"/>
      <c r="WDQ88" s="996"/>
      <c r="WDR88" s="996"/>
      <c r="WDS88" s="996"/>
      <c r="WDT88" s="996"/>
      <c r="WDU88" s="996"/>
      <c r="WDV88" s="996"/>
      <c r="WDW88" s="996"/>
      <c r="WDX88" s="996"/>
      <c r="WDY88" s="996"/>
      <c r="WDZ88" s="996"/>
      <c r="WEA88" s="996"/>
      <c r="WEB88" s="996"/>
      <c r="WEC88" s="996"/>
      <c r="WED88" s="996"/>
      <c r="WEE88" s="996"/>
      <c r="WEF88" s="996"/>
      <c r="WEG88" s="996"/>
      <c r="WEH88" s="996"/>
      <c r="WEI88" s="996"/>
      <c r="WEJ88" s="996"/>
      <c r="WEK88" s="996"/>
      <c r="WEL88" s="996"/>
      <c r="WEM88" s="996"/>
      <c r="WEN88" s="996"/>
      <c r="WEO88" s="996"/>
      <c r="WEP88" s="996"/>
      <c r="WEQ88" s="996"/>
      <c r="WER88" s="996"/>
      <c r="WES88" s="996"/>
      <c r="WET88" s="996"/>
      <c r="WEU88" s="996"/>
      <c r="WEV88" s="996"/>
      <c r="WEW88" s="996"/>
      <c r="WEX88" s="996"/>
      <c r="WEY88" s="996"/>
      <c r="WEZ88" s="996"/>
      <c r="WFA88" s="996"/>
      <c r="WFB88" s="996"/>
      <c r="WFC88" s="996"/>
      <c r="WFD88" s="996"/>
      <c r="WFE88" s="996"/>
      <c r="WFF88" s="996"/>
      <c r="WFG88" s="996"/>
      <c r="WFH88" s="996"/>
      <c r="WFI88" s="996"/>
      <c r="WFJ88" s="996"/>
      <c r="WFK88" s="996"/>
      <c r="WFL88" s="996"/>
      <c r="WFM88" s="996"/>
      <c r="WFN88" s="996"/>
      <c r="WFO88" s="996"/>
      <c r="WFP88" s="996"/>
      <c r="WFQ88" s="996"/>
      <c r="WFR88" s="996"/>
      <c r="WFS88" s="996"/>
      <c r="WFT88" s="996"/>
      <c r="WFU88" s="996"/>
      <c r="WFV88" s="996"/>
      <c r="WFW88" s="996"/>
      <c r="WFX88" s="996"/>
      <c r="WFY88" s="996"/>
      <c r="WFZ88" s="996"/>
      <c r="WGA88" s="996"/>
      <c r="WGB88" s="996"/>
      <c r="WGC88" s="996"/>
      <c r="WGD88" s="996"/>
      <c r="WGE88" s="996"/>
      <c r="WGF88" s="996"/>
      <c r="WGG88" s="996"/>
      <c r="WGH88" s="996"/>
      <c r="WGI88" s="996"/>
      <c r="WGJ88" s="996"/>
      <c r="WGK88" s="996"/>
      <c r="WGL88" s="996"/>
      <c r="WGM88" s="996"/>
      <c r="WGN88" s="996"/>
      <c r="WGO88" s="996"/>
      <c r="WGP88" s="996"/>
      <c r="WGQ88" s="996"/>
      <c r="WGR88" s="996"/>
      <c r="WGS88" s="996"/>
      <c r="WGT88" s="996"/>
      <c r="WGU88" s="996"/>
      <c r="WGV88" s="996"/>
      <c r="WGW88" s="996"/>
      <c r="WGX88" s="996"/>
      <c r="WGY88" s="996"/>
      <c r="WGZ88" s="996"/>
      <c r="WHA88" s="996"/>
      <c r="WHB88" s="996"/>
      <c r="WHC88" s="996"/>
      <c r="WHD88" s="996"/>
      <c r="WHE88" s="996"/>
      <c r="WHF88" s="996"/>
      <c r="WHG88" s="996"/>
      <c r="WHH88" s="996"/>
      <c r="WHI88" s="996"/>
      <c r="WHJ88" s="996"/>
      <c r="WHK88" s="996"/>
      <c r="WHL88" s="996"/>
      <c r="WHM88" s="996"/>
      <c r="WHN88" s="996"/>
      <c r="WHO88" s="996"/>
      <c r="WHP88" s="996"/>
      <c r="WHQ88" s="996"/>
      <c r="WHR88" s="996"/>
      <c r="WHS88" s="996"/>
      <c r="WHT88" s="996"/>
      <c r="WHU88" s="996"/>
      <c r="WHV88" s="996"/>
      <c r="WHW88" s="996"/>
      <c r="WHX88" s="996"/>
      <c r="WHY88" s="996"/>
      <c r="WHZ88" s="996"/>
      <c r="WIA88" s="996"/>
      <c r="WIB88" s="996"/>
      <c r="WIC88" s="996"/>
      <c r="WID88" s="996"/>
      <c r="WIE88" s="996"/>
      <c r="WIF88" s="996"/>
      <c r="WIG88" s="996"/>
      <c r="WIH88" s="996"/>
      <c r="WII88" s="996"/>
      <c r="WIJ88" s="996"/>
      <c r="WIK88" s="996"/>
      <c r="WIL88" s="996"/>
      <c r="WIM88" s="996"/>
      <c r="WIN88" s="996"/>
      <c r="WIO88" s="996"/>
      <c r="WIP88" s="996"/>
      <c r="WIQ88" s="996"/>
      <c r="WIR88" s="996"/>
      <c r="WIS88" s="996"/>
      <c r="WIT88" s="996"/>
      <c r="WIU88" s="996"/>
      <c r="WIV88" s="996"/>
      <c r="WIW88" s="996"/>
      <c r="WIX88" s="996"/>
      <c r="WIY88" s="996"/>
      <c r="WIZ88" s="996"/>
      <c r="WJA88" s="996"/>
      <c r="WJB88" s="996"/>
      <c r="WJC88" s="996"/>
      <c r="WJD88" s="996"/>
      <c r="WJE88" s="996"/>
      <c r="WJF88" s="996"/>
      <c r="WJG88" s="996"/>
      <c r="WJH88" s="996"/>
      <c r="WJI88" s="996"/>
      <c r="WJJ88" s="996"/>
      <c r="WJK88" s="996"/>
      <c r="WJL88" s="996"/>
      <c r="WJM88" s="996"/>
      <c r="WJN88" s="996"/>
      <c r="WJO88" s="996"/>
      <c r="WJP88" s="996"/>
      <c r="WJQ88" s="996"/>
      <c r="WJR88" s="996"/>
      <c r="WJS88" s="996"/>
      <c r="WJT88" s="996"/>
      <c r="WJU88" s="996"/>
      <c r="WJV88" s="996"/>
      <c r="WJW88" s="996"/>
      <c r="WJX88" s="996"/>
      <c r="WJY88" s="996"/>
      <c r="WJZ88" s="996"/>
      <c r="WKA88" s="996"/>
      <c r="WKB88" s="996"/>
      <c r="WKC88" s="996"/>
      <c r="WKD88" s="996"/>
      <c r="WKE88" s="996"/>
      <c r="WKF88" s="996"/>
      <c r="WKG88" s="996"/>
      <c r="WKH88" s="996"/>
      <c r="WKI88" s="996"/>
      <c r="WKJ88" s="996"/>
      <c r="WKK88" s="996"/>
      <c r="WKL88" s="996"/>
      <c r="WKM88" s="996"/>
      <c r="WKN88" s="996"/>
      <c r="WKO88" s="996"/>
      <c r="WKP88" s="996"/>
      <c r="WKQ88" s="996"/>
      <c r="WKR88" s="996"/>
      <c r="WKS88" s="996"/>
      <c r="WKT88" s="996"/>
      <c r="WKU88" s="996"/>
      <c r="WKV88" s="996"/>
      <c r="WKW88" s="996"/>
      <c r="WKX88" s="996"/>
      <c r="WKY88" s="996"/>
      <c r="WKZ88" s="996"/>
      <c r="WLA88" s="996"/>
      <c r="WLB88" s="996"/>
      <c r="WLC88" s="996"/>
      <c r="WLD88" s="996"/>
      <c r="WLE88" s="996"/>
      <c r="WLF88" s="996"/>
      <c r="WLG88" s="996"/>
      <c r="WLH88" s="996"/>
      <c r="WLI88" s="996"/>
      <c r="WLJ88" s="996"/>
      <c r="WLK88" s="996"/>
      <c r="WLL88" s="996"/>
      <c r="WLM88" s="996"/>
      <c r="WLN88" s="996"/>
      <c r="WLO88" s="996"/>
      <c r="WLP88" s="996"/>
      <c r="WLQ88" s="996"/>
      <c r="WLR88" s="996"/>
      <c r="WLS88" s="996"/>
      <c r="WLT88" s="996"/>
      <c r="WLU88" s="996"/>
      <c r="WLV88" s="996"/>
      <c r="WLW88" s="996"/>
      <c r="WLX88" s="996"/>
      <c r="WLY88" s="996"/>
      <c r="WLZ88" s="996"/>
      <c r="WMA88" s="996"/>
      <c r="WMB88" s="996"/>
      <c r="WMC88" s="996"/>
      <c r="WMD88" s="996"/>
      <c r="WME88" s="996"/>
      <c r="WMF88" s="996"/>
      <c r="WMG88" s="996"/>
      <c r="WMH88" s="996"/>
      <c r="WMI88" s="996"/>
      <c r="WMJ88" s="996"/>
      <c r="WMK88" s="996"/>
      <c r="WML88" s="996"/>
      <c r="WMM88" s="996"/>
      <c r="WMN88" s="996"/>
      <c r="WMO88" s="996"/>
      <c r="WMP88" s="996"/>
      <c r="WMQ88" s="996"/>
      <c r="WMR88" s="996"/>
      <c r="WMS88" s="996"/>
      <c r="WMT88" s="996"/>
      <c r="WMU88" s="996"/>
      <c r="WMV88" s="996"/>
      <c r="WMW88" s="996"/>
      <c r="WMX88" s="996"/>
      <c r="WMY88" s="996"/>
      <c r="WMZ88" s="996"/>
      <c r="WNA88" s="996"/>
      <c r="WNB88" s="996"/>
      <c r="WNC88" s="996"/>
      <c r="WND88" s="996"/>
      <c r="WNE88" s="996"/>
      <c r="WNF88" s="996"/>
      <c r="WNG88" s="996"/>
      <c r="WNH88" s="996"/>
      <c r="WNI88" s="996"/>
      <c r="WNJ88" s="996"/>
      <c r="WNK88" s="996"/>
      <c r="WNL88" s="996"/>
      <c r="WNM88" s="996"/>
      <c r="WNN88" s="996"/>
      <c r="WNO88" s="996"/>
      <c r="WNP88" s="996"/>
      <c r="WNQ88" s="996"/>
      <c r="WNR88" s="996"/>
      <c r="WNS88" s="996"/>
      <c r="WNT88" s="996"/>
      <c r="WNU88" s="996"/>
      <c r="WNV88" s="996"/>
      <c r="WNW88" s="996"/>
      <c r="WNX88" s="996"/>
      <c r="WNY88" s="996"/>
      <c r="WNZ88" s="996"/>
      <c r="WOA88" s="996"/>
      <c r="WOB88" s="996"/>
      <c r="WOC88" s="996"/>
      <c r="WOD88" s="996"/>
      <c r="WOE88" s="996"/>
      <c r="WOF88" s="996"/>
      <c r="WOG88" s="996"/>
      <c r="WOH88" s="996"/>
      <c r="WOI88" s="996"/>
      <c r="WOJ88" s="996"/>
      <c r="WOK88" s="996"/>
      <c r="WOL88" s="996"/>
      <c r="WOM88" s="996"/>
      <c r="WON88" s="996"/>
      <c r="WOO88" s="996"/>
      <c r="WOP88" s="996"/>
      <c r="WOQ88" s="996"/>
      <c r="WOR88" s="996"/>
      <c r="WOS88" s="996"/>
      <c r="WOT88" s="996"/>
      <c r="WOU88" s="996"/>
      <c r="WOV88" s="996"/>
      <c r="WOW88" s="996"/>
      <c r="WOX88" s="996"/>
      <c r="WOY88" s="996"/>
      <c r="WOZ88" s="996"/>
      <c r="WPA88" s="996"/>
      <c r="WPB88" s="996"/>
      <c r="WPC88" s="996"/>
      <c r="WPD88" s="996"/>
      <c r="WPE88" s="996"/>
      <c r="WPF88" s="996"/>
      <c r="WPG88" s="996"/>
      <c r="WPH88" s="996"/>
      <c r="WPI88" s="996"/>
      <c r="WPJ88" s="996"/>
      <c r="WPK88" s="996"/>
      <c r="WPL88" s="996"/>
      <c r="WPM88" s="996"/>
      <c r="WPN88" s="996"/>
      <c r="WPO88" s="996"/>
      <c r="WPP88" s="996"/>
      <c r="WPQ88" s="996"/>
      <c r="WPR88" s="996"/>
      <c r="WPS88" s="996"/>
      <c r="WPT88" s="996"/>
      <c r="WPU88" s="996"/>
      <c r="WPV88" s="996"/>
      <c r="WPW88" s="996"/>
      <c r="WPX88" s="996"/>
      <c r="WPY88" s="996"/>
      <c r="WPZ88" s="996"/>
      <c r="WQA88" s="996"/>
      <c r="WQB88" s="996"/>
      <c r="WQC88" s="996"/>
      <c r="WQD88" s="996"/>
      <c r="WQE88" s="996"/>
      <c r="WQF88" s="996"/>
      <c r="WQG88" s="996"/>
      <c r="WQH88" s="996"/>
      <c r="WQI88" s="996"/>
      <c r="WQJ88" s="996"/>
      <c r="WQK88" s="996"/>
      <c r="WQL88" s="996"/>
      <c r="WQM88" s="996"/>
      <c r="WQN88" s="996"/>
      <c r="WQO88" s="996"/>
      <c r="WQP88" s="996"/>
      <c r="WQQ88" s="996"/>
      <c r="WQR88" s="996"/>
      <c r="WQS88" s="996"/>
      <c r="WQT88" s="996"/>
      <c r="WQU88" s="996"/>
      <c r="WQV88" s="996"/>
      <c r="WQW88" s="996"/>
      <c r="WQX88" s="996"/>
      <c r="WQY88" s="996"/>
      <c r="WQZ88" s="996"/>
      <c r="WRA88" s="996"/>
      <c r="WRB88" s="996"/>
      <c r="WRC88" s="996"/>
      <c r="WRD88" s="996"/>
      <c r="WRE88" s="996"/>
      <c r="WRF88" s="996"/>
      <c r="WRG88" s="996"/>
      <c r="WRH88" s="996"/>
      <c r="WRI88" s="996"/>
      <c r="WRJ88" s="996"/>
      <c r="WRK88" s="996"/>
      <c r="WRL88" s="996"/>
      <c r="WRM88" s="996"/>
      <c r="WRN88" s="996"/>
      <c r="WRO88" s="996"/>
      <c r="WRP88" s="996"/>
      <c r="WRQ88" s="996"/>
      <c r="WRR88" s="996"/>
      <c r="WRS88" s="996"/>
      <c r="WRT88" s="996"/>
      <c r="WRU88" s="996"/>
      <c r="WRV88" s="996"/>
      <c r="WRW88" s="996"/>
      <c r="WRX88" s="996"/>
      <c r="WRY88" s="996"/>
      <c r="WRZ88" s="996"/>
      <c r="WSA88" s="996"/>
      <c r="WSB88" s="996"/>
      <c r="WSC88" s="996"/>
      <c r="WSD88" s="996"/>
      <c r="WSE88" s="996"/>
      <c r="WSF88" s="996"/>
      <c r="WSG88" s="996"/>
      <c r="WSH88" s="996"/>
      <c r="WSI88" s="996"/>
      <c r="WSJ88" s="996"/>
      <c r="WSK88" s="996"/>
      <c r="WSL88" s="996"/>
      <c r="WSM88" s="996"/>
      <c r="WSN88" s="996"/>
      <c r="WSO88" s="996"/>
      <c r="WSP88" s="996"/>
      <c r="WSQ88" s="996"/>
      <c r="WSR88" s="996"/>
      <c r="WSS88" s="996"/>
      <c r="WST88" s="996"/>
      <c r="WSU88" s="996"/>
      <c r="WSV88" s="996"/>
      <c r="WSW88" s="996"/>
      <c r="WSX88" s="996"/>
      <c r="WSY88" s="996"/>
      <c r="WSZ88" s="996"/>
      <c r="WTA88" s="996"/>
      <c r="WTB88" s="996"/>
      <c r="WTC88" s="996"/>
      <c r="WTD88" s="996"/>
      <c r="WTE88" s="996"/>
      <c r="WTF88" s="996"/>
      <c r="WTG88" s="996"/>
      <c r="WTH88" s="996"/>
      <c r="WTI88" s="996"/>
      <c r="WTJ88" s="996"/>
      <c r="WTK88" s="996"/>
      <c r="WTL88" s="996"/>
      <c r="WTM88" s="996"/>
      <c r="WTN88" s="996"/>
      <c r="WTO88" s="996"/>
      <c r="WTP88" s="996"/>
      <c r="WTQ88" s="996"/>
      <c r="WTR88" s="996"/>
      <c r="WTS88" s="996"/>
      <c r="WTT88" s="996"/>
      <c r="WTU88" s="996"/>
      <c r="WTV88" s="996"/>
      <c r="WTW88" s="996"/>
      <c r="WTX88" s="996"/>
      <c r="WTY88" s="996"/>
      <c r="WTZ88" s="996"/>
      <c r="WUA88" s="996"/>
      <c r="WUB88" s="996"/>
      <c r="WUC88" s="996"/>
      <c r="WUD88" s="996"/>
      <c r="WUE88" s="996"/>
      <c r="WUF88" s="996"/>
      <c r="WUG88" s="996"/>
      <c r="WUH88" s="996"/>
      <c r="WUI88" s="996"/>
      <c r="WUJ88" s="996"/>
      <c r="WUK88" s="996"/>
      <c r="WUL88" s="996"/>
      <c r="WUM88" s="996"/>
      <c r="WUN88" s="996"/>
      <c r="WUO88" s="996"/>
      <c r="WUP88" s="996"/>
      <c r="WUQ88" s="996"/>
      <c r="WUR88" s="996"/>
      <c r="WUS88" s="996"/>
      <c r="WUT88" s="996"/>
      <c r="WUU88" s="996"/>
      <c r="WUV88" s="996"/>
      <c r="WUW88" s="996"/>
      <c r="WUX88" s="996"/>
      <c r="WUY88" s="996"/>
      <c r="WUZ88" s="996"/>
      <c r="WVA88" s="996"/>
      <c r="WVB88" s="996"/>
      <c r="WVC88" s="996"/>
      <c r="WVD88" s="996"/>
      <c r="WVE88" s="996"/>
      <c r="WVF88" s="996"/>
      <c r="WVG88" s="996"/>
      <c r="WVH88" s="996"/>
      <c r="WVI88" s="996"/>
      <c r="WVJ88" s="996"/>
      <c r="WVK88" s="996"/>
      <c r="WVL88" s="996"/>
      <c r="WVM88" s="996"/>
      <c r="WVN88" s="996"/>
      <c r="WVO88" s="996"/>
      <c r="WVP88" s="996"/>
      <c r="WVQ88" s="996"/>
      <c r="WVR88" s="996"/>
      <c r="WVS88" s="996"/>
      <c r="WVT88" s="996"/>
      <c r="WVU88" s="996"/>
      <c r="WVV88" s="996"/>
      <c r="WVW88" s="996"/>
      <c r="WVX88" s="996"/>
      <c r="WVY88" s="996"/>
      <c r="WVZ88" s="996"/>
      <c r="WWA88" s="996"/>
      <c r="WWB88" s="996"/>
      <c r="WWC88" s="996"/>
      <c r="WWD88" s="996"/>
      <c r="WWE88" s="996"/>
      <c r="WWF88" s="996"/>
      <c r="WWG88" s="996"/>
      <c r="WWH88" s="996"/>
      <c r="WWI88" s="996"/>
      <c r="WWJ88" s="996"/>
      <c r="WWK88" s="996"/>
      <c r="WWL88" s="996"/>
      <c r="WWM88" s="996"/>
      <c r="WWN88" s="996"/>
      <c r="WWO88" s="996"/>
      <c r="WWP88" s="996"/>
      <c r="WWQ88" s="996"/>
      <c r="WWR88" s="996"/>
      <c r="WWS88" s="996"/>
      <c r="WWT88" s="996"/>
      <c r="WWU88" s="996"/>
      <c r="WWV88" s="996"/>
      <c r="WWW88" s="996"/>
      <c r="WWX88" s="996"/>
      <c r="WWY88" s="996"/>
      <c r="WWZ88" s="996"/>
      <c r="WXA88" s="996"/>
      <c r="WXB88" s="996"/>
      <c r="WXC88" s="996"/>
      <c r="WXD88" s="996"/>
      <c r="WXE88" s="996"/>
      <c r="WXF88" s="996"/>
      <c r="WXG88" s="996"/>
      <c r="WXH88" s="996"/>
      <c r="WXI88" s="996"/>
      <c r="WXJ88" s="996"/>
      <c r="WXK88" s="996"/>
      <c r="WXL88" s="996"/>
      <c r="WXM88" s="996"/>
      <c r="WXN88" s="996"/>
      <c r="WXO88" s="996"/>
      <c r="WXP88" s="996"/>
      <c r="WXQ88" s="996"/>
      <c r="WXR88" s="996"/>
      <c r="WXS88" s="996"/>
      <c r="WXT88" s="996"/>
      <c r="WXU88" s="996"/>
      <c r="WXV88" s="996"/>
      <c r="WXW88" s="996"/>
      <c r="WXX88" s="996"/>
      <c r="WXY88" s="996"/>
      <c r="WXZ88" s="996"/>
      <c r="WYA88" s="996"/>
      <c r="WYB88" s="996"/>
      <c r="WYC88" s="996"/>
      <c r="WYD88" s="996"/>
      <c r="WYE88" s="996"/>
      <c r="WYF88" s="996"/>
      <c r="WYG88" s="996"/>
      <c r="WYH88" s="996"/>
      <c r="WYI88" s="996"/>
      <c r="WYJ88" s="996"/>
      <c r="WYK88" s="996"/>
      <c r="WYL88" s="996"/>
      <c r="WYM88" s="996"/>
      <c r="WYN88" s="996"/>
      <c r="WYO88" s="996"/>
      <c r="WYP88" s="996"/>
      <c r="WYQ88" s="996"/>
      <c r="WYR88" s="996"/>
      <c r="WYS88" s="996"/>
      <c r="WYT88" s="996"/>
      <c r="WYU88" s="996"/>
      <c r="WYV88" s="996"/>
      <c r="WYW88" s="996"/>
      <c r="WYX88" s="996"/>
      <c r="WYY88" s="996"/>
      <c r="WYZ88" s="996"/>
      <c r="WZA88" s="996"/>
      <c r="WZB88" s="996"/>
      <c r="WZC88" s="996"/>
      <c r="WZD88" s="996"/>
      <c r="WZE88" s="996"/>
      <c r="WZF88" s="996"/>
      <c r="WZG88" s="996"/>
      <c r="WZH88" s="996"/>
      <c r="WZI88" s="996"/>
      <c r="WZJ88" s="996"/>
      <c r="WZK88" s="996"/>
      <c r="WZL88" s="996"/>
      <c r="WZM88" s="996"/>
      <c r="WZN88" s="996"/>
      <c r="WZO88" s="996"/>
      <c r="WZP88" s="996"/>
      <c r="WZQ88" s="996"/>
      <c r="WZR88" s="996"/>
      <c r="WZS88" s="996"/>
      <c r="WZT88" s="996"/>
      <c r="WZU88" s="996"/>
      <c r="WZV88" s="996"/>
      <c r="WZW88" s="996"/>
      <c r="WZX88" s="996"/>
      <c r="WZY88" s="996"/>
      <c r="WZZ88" s="996"/>
      <c r="XAA88" s="996"/>
      <c r="XAB88" s="996"/>
      <c r="XAC88" s="996"/>
      <c r="XAD88" s="996"/>
      <c r="XAE88" s="996"/>
      <c r="XAF88" s="996"/>
      <c r="XAG88" s="996"/>
      <c r="XAH88" s="996"/>
      <c r="XAI88" s="996"/>
      <c r="XAJ88" s="996"/>
      <c r="XAK88" s="996"/>
      <c r="XAL88" s="996"/>
      <c r="XAM88" s="996"/>
      <c r="XAN88" s="996"/>
      <c r="XAO88" s="996"/>
      <c r="XAP88" s="996"/>
      <c r="XAQ88" s="996"/>
      <c r="XAR88" s="996"/>
      <c r="XAS88" s="996"/>
      <c r="XAT88" s="996"/>
      <c r="XAU88" s="996"/>
      <c r="XAV88" s="996"/>
      <c r="XAW88" s="996"/>
      <c r="XAX88" s="996"/>
      <c r="XAY88" s="996"/>
      <c r="XAZ88" s="996"/>
      <c r="XBA88" s="996"/>
      <c r="XBB88" s="996"/>
      <c r="XBC88" s="996"/>
      <c r="XBD88" s="996"/>
      <c r="XBE88" s="996"/>
      <c r="XBF88" s="996"/>
      <c r="XBG88" s="996"/>
      <c r="XBH88" s="996"/>
      <c r="XBI88" s="996"/>
      <c r="XBJ88" s="996"/>
      <c r="XBK88" s="996"/>
      <c r="XBL88" s="996"/>
      <c r="XBM88" s="996"/>
      <c r="XBN88" s="996"/>
      <c r="XBO88" s="996"/>
      <c r="XBP88" s="996"/>
      <c r="XBQ88" s="996"/>
      <c r="XBR88" s="996"/>
      <c r="XBS88" s="996"/>
      <c r="XBT88" s="996"/>
      <c r="XBU88" s="996"/>
      <c r="XBV88" s="996"/>
      <c r="XBW88" s="996"/>
      <c r="XBX88" s="996"/>
      <c r="XBY88" s="996"/>
      <c r="XBZ88" s="996"/>
      <c r="XCA88" s="996"/>
      <c r="XCB88" s="996"/>
      <c r="XCC88" s="996"/>
      <c r="XCD88" s="996"/>
      <c r="XCE88" s="996"/>
      <c r="XCF88" s="996"/>
      <c r="XCG88" s="996"/>
      <c r="XCH88" s="996"/>
      <c r="XCI88" s="996"/>
      <c r="XCJ88" s="996"/>
      <c r="XCK88" s="996"/>
      <c r="XCL88" s="996"/>
      <c r="XCM88" s="996"/>
      <c r="XCN88" s="996"/>
      <c r="XCO88" s="996"/>
      <c r="XCP88" s="996"/>
      <c r="XCQ88" s="996"/>
      <c r="XCR88" s="996"/>
      <c r="XCS88" s="996"/>
      <c r="XCT88" s="996"/>
      <c r="XCU88" s="996"/>
      <c r="XCV88" s="996"/>
      <c r="XCW88" s="996"/>
      <c r="XCX88" s="996"/>
      <c r="XCY88" s="996"/>
      <c r="XCZ88" s="996"/>
      <c r="XDA88" s="996"/>
      <c r="XDB88" s="996"/>
      <c r="XDC88" s="996"/>
      <c r="XDD88" s="996"/>
      <c r="XDE88" s="996"/>
      <c r="XDF88" s="996"/>
      <c r="XDG88" s="996"/>
      <c r="XDH88" s="996"/>
      <c r="XDI88" s="996"/>
      <c r="XDJ88" s="996"/>
      <c r="XDK88" s="996"/>
      <c r="XDL88" s="996"/>
      <c r="XDM88" s="996"/>
      <c r="XDN88" s="996"/>
      <c r="XDO88" s="996"/>
      <c r="XDP88" s="996"/>
      <c r="XDQ88" s="996"/>
      <c r="XDR88" s="996"/>
      <c r="XDS88" s="996"/>
      <c r="XDT88" s="996"/>
      <c r="XDU88" s="996"/>
      <c r="XDV88" s="996"/>
      <c r="XDW88" s="996"/>
      <c r="XDX88" s="996"/>
      <c r="XDY88" s="996"/>
      <c r="XDZ88" s="996"/>
      <c r="XEA88" s="996"/>
      <c r="XEB88" s="996"/>
      <c r="XEC88" s="996"/>
      <c r="XED88" s="996"/>
      <c r="XEE88" s="996"/>
      <c r="XEF88" s="996"/>
      <c r="XEG88" s="996"/>
      <c r="XEH88" s="996"/>
      <c r="XEI88" s="996"/>
      <c r="XEJ88" s="996"/>
      <c r="XEK88" s="996"/>
      <c r="XEL88" s="996"/>
      <c r="XEM88" s="996"/>
      <c r="XEN88" s="996"/>
      <c r="XEO88" s="996"/>
      <c r="XEP88" s="996"/>
      <c r="XEQ88" s="996"/>
      <c r="XER88" s="996"/>
      <c r="XES88" s="996"/>
      <c r="XET88" s="996"/>
      <c r="XEU88" s="996"/>
      <c r="XEV88" s="996"/>
      <c r="XEW88" s="996"/>
      <c r="XEX88" s="996"/>
      <c r="XEY88" s="996"/>
      <c r="XEZ88" s="996"/>
      <c r="XFA88" s="996"/>
      <c r="XFB88" s="996"/>
      <c r="XFC88" s="996"/>
      <c r="XFD88" s="996"/>
    </row>
    <row r="89" spans="1:16384" s="210" customFormat="1" ht="12.95" customHeight="1">
      <c r="A89" s="996"/>
      <c r="B89" s="996"/>
      <c r="C89" s="996"/>
      <c r="D89" s="996"/>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c r="AL89" s="996"/>
      <c r="AM89" s="996"/>
      <c r="AN89" s="996"/>
      <c r="AO89" s="996"/>
      <c r="AP89" s="996"/>
      <c r="AQ89" s="996"/>
      <c r="AR89" s="996"/>
      <c r="AS89" s="996"/>
      <c r="AT89" s="996"/>
      <c r="AU89" s="996"/>
      <c r="AV89" s="996"/>
      <c r="AW89" s="996"/>
      <c r="AX89" s="996"/>
      <c r="AY89" s="996"/>
      <c r="AZ89" s="996"/>
      <c r="BA89" s="996"/>
      <c r="BB89" s="996"/>
      <c r="BC89" s="996"/>
      <c r="BD89" s="996"/>
      <c r="BE89" s="996"/>
      <c r="BF89" s="996"/>
      <c r="BG89" s="996"/>
      <c r="BH89" s="996"/>
      <c r="BI89" s="996"/>
      <c r="BJ89" s="996"/>
      <c r="BK89" s="996"/>
      <c r="BL89" s="996"/>
      <c r="BM89" s="996"/>
      <c r="BN89" s="996"/>
      <c r="BO89" s="996"/>
      <c r="BP89" s="996"/>
      <c r="BQ89" s="996"/>
      <c r="BR89" s="996"/>
      <c r="BS89" s="996"/>
      <c r="BT89" s="996"/>
      <c r="BU89" s="996"/>
      <c r="BV89" s="996"/>
      <c r="BW89" s="996"/>
      <c r="BX89" s="996"/>
      <c r="BY89" s="996"/>
      <c r="BZ89" s="996"/>
      <c r="CA89" s="996"/>
      <c r="CB89" s="996"/>
      <c r="CC89" s="996"/>
      <c r="CD89" s="996"/>
      <c r="CE89" s="996"/>
      <c r="CF89" s="996"/>
      <c r="CG89" s="996"/>
      <c r="CH89" s="996"/>
      <c r="CI89" s="996"/>
      <c r="CJ89" s="996"/>
      <c r="CK89" s="996"/>
      <c r="CL89" s="996"/>
      <c r="CM89" s="996"/>
      <c r="CN89" s="996"/>
      <c r="CO89" s="996"/>
      <c r="CP89" s="996"/>
      <c r="CQ89" s="996"/>
      <c r="CR89" s="996"/>
      <c r="CS89" s="996"/>
      <c r="CT89" s="996"/>
      <c r="CU89" s="996"/>
      <c r="CV89" s="996"/>
      <c r="CW89" s="996"/>
      <c r="CX89" s="996"/>
      <c r="CY89" s="996"/>
      <c r="CZ89" s="996"/>
      <c r="DA89" s="996"/>
      <c r="DB89" s="996"/>
      <c r="DC89" s="996"/>
      <c r="DD89" s="996"/>
      <c r="DE89" s="996"/>
      <c r="DF89" s="996"/>
      <c r="DG89" s="996"/>
      <c r="DH89" s="996"/>
      <c r="DI89" s="996"/>
      <c r="DJ89" s="996"/>
      <c r="DK89" s="996"/>
      <c r="DL89" s="996"/>
      <c r="DM89" s="996"/>
      <c r="DN89" s="996"/>
      <c r="DO89" s="996"/>
      <c r="DP89" s="996"/>
      <c r="DQ89" s="996"/>
      <c r="DR89" s="996"/>
      <c r="DS89" s="996"/>
      <c r="DT89" s="996"/>
      <c r="DU89" s="996"/>
      <c r="DV89" s="996"/>
      <c r="DW89" s="996"/>
      <c r="DX89" s="996"/>
      <c r="DY89" s="996"/>
      <c r="DZ89" s="996"/>
      <c r="EA89" s="996"/>
      <c r="EB89" s="996"/>
      <c r="EC89" s="996"/>
      <c r="ED89" s="996"/>
      <c r="EE89" s="996"/>
      <c r="EF89" s="996"/>
      <c r="EG89" s="996"/>
      <c r="EH89" s="996"/>
      <c r="EI89" s="996"/>
      <c r="EJ89" s="996"/>
      <c r="EK89" s="996"/>
      <c r="EL89" s="996"/>
      <c r="EM89" s="996"/>
      <c r="EN89" s="996"/>
      <c r="EO89" s="996"/>
      <c r="EP89" s="996"/>
      <c r="EQ89" s="996"/>
      <c r="ER89" s="996"/>
      <c r="ES89" s="996"/>
      <c r="ET89" s="996"/>
      <c r="EU89" s="996"/>
      <c r="EV89" s="996"/>
      <c r="EW89" s="996"/>
      <c r="EX89" s="996"/>
      <c r="EY89" s="996"/>
      <c r="EZ89" s="996"/>
      <c r="FA89" s="996"/>
      <c r="FB89" s="996"/>
      <c r="FC89" s="996"/>
      <c r="FD89" s="996"/>
      <c r="FE89" s="996"/>
      <c r="FF89" s="996"/>
      <c r="FG89" s="996"/>
      <c r="FH89" s="996"/>
      <c r="FI89" s="996"/>
      <c r="FJ89" s="996"/>
      <c r="FK89" s="996"/>
      <c r="FL89" s="996"/>
      <c r="FM89" s="996"/>
      <c r="FN89" s="996"/>
      <c r="FO89" s="996"/>
      <c r="FP89" s="996"/>
      <c r="FQ89" s="996"/>
      <c r="FR89" s="996"/>
      <c r="FS89" s="996"/>
      <c r="FT89" s="996"/>
      <c r="FU89" s="996"/>
      <c r="FV89" s="996"/>
      <c r="FW89" s="996"/>
      <c r="FX89" s="996"/>
      <c r="FY89" s="996"/>
      <c r="FZ89" s="996"/>
      <c r="GA89" s="996"/>
      <c r="GB89" s="996"/>
      <c r="GC89" s="996"/>
      <c r="GD89" s="996"/>
      <c r="GE89" s="996"/>
      <c r="GF89" s="996"/>
      <c r="GG89" s="996"/>
      <c r="GH89" s="996"/>
      <c r="GI89" s="996"/>
      <c r="GJ89" s="996"/>
      <c r="GK89" s="996"/>
      <c r="GL89" s="996"/>
      <c r="GM89" s="996"/>
      <c r="GN89" s="996"/>
      <c r="GO89" s="996"/>
      <c r="GP89" s="996"/>
      <c r="GQ89" s="996"/>
      <c r="GR89" s="996"/>
      <c r="GS89" s="996"/>
      <c r="GT89" s="996"/>
      <c r="GU89" s="996"/>
      <c r="GV89" s="996"/>
      <c r="GW89" s="996"/>
      <c r="GX89" s="996"/>
      <c r="GY89" s="996"/>
      <c r="GZ89" s="996"/>
      <c r="HA89" s="996"/>
      <c r="HB89" s="996"/>
      <c r="HC89" s="996"/>
      <c r="HD89" s="996"/>
      <c r="HE89" s="996"/>
      <c r="HF89" s="996"/>
      <c r="HG89" s="996"/>
      <c r="HH89" s="996"/>
      <c r="HI89" s="996"/>
      <c r="HJ89" s="996"/>
      <c r="HK89" s="996"/>
      <c r="HL89" s="996"/>
      <c r="HM89" s="996"/>
      <c r="HN89" s="996"/>
      <c r="HO89" s="996"/>
      <c r="HP89" s="996"/>
      <c r="HQ89" s="996"/>
      <c r="HR89" s="996"/>
      <c r="HS89" s="996"/>
      <c r="HT89" s="996"/>
      <c r="HU89" s="996"/>
      <c r="HV89" s="996"/>
      <c r="HW89" s="996"/>
      <c r="HX89" s="996"/>
      <c r="HY89" s="996"/>
      <c r="HZ89" s="996"/>
      <c r="IA89" s="996"/>
      <c r="IB89" s="996"/>
      <c r="IC89" s="996"/>
      <c r="ID89" s="996"/>
      <c r="IE89" s="996"/>
      <c r="IF89" s="996"/>
      <c r="IG89" s="996"/>
      <c r="IH89" s="996"/>
      <c r="II89" s="996"/>
      <c r="IJ89" s="996"/>
      <c r="IK89" s="996"/>
      <c r="IL89" s="996"/>
      <c r="IM89" s="996"/>
      <c r="IN89" s="996"/>
      <c r="IO89" s="996"/>
      <c r="IP89" s="996"/>
      <c r="IQ89" s="996"/>
      <c r="IR89" s="996"/>
      <c r="IS89" s="996"/>
      <c r="IT89" s="996"/>
      <c r="IU89" s="996"/>
      <c r="IV89" s="996"/>
      <c r="IW89" s="996"/>
      <c r="IX89" s="996"/>
      <c r="IY89" s="996"/>
      <c r="IZ89" s="996"/>
      <c r="JA89" s="996"/>
      <c r="JB89" s="996"/>
      <c r="JC89" s="996"/>
      <c r="JD89" s="996"/>
      <c r="JE89" s="996"/>
      <c r="JF89" s="996"/>
      <c r="JG89" s="996"/>
      <c r="JH89" s="996"/>
      <c r="JI89" s="996"/>
      <c r="JJ89" s="996"/>
      <c r="JK89" s="996"/>
      <c r="JL89" s="996"/>
      <c r="JM89" s="996"/>
      <c r="JN89" s="996"/>
      <c r="JO89" s="996"/>
      <c r="JP89" s="996"/>
      <c r="JQ89" s="996"/>
      <c r="JR89" s="996"/>
      <c r="JS89" s="996"/>
      <c r="JT89" s="996"/>
      <c r="JU89" s="996"/>
      <c r="JV89" s="996"/>
      <c r="JW89" s="996"/>
      <c r="JX89" s="996"/>
      <c r="JY89" s="996"/>
      <c r="JZ89" s="996"/>
      <c r="KA89" s="996"/>
      <c r="KB89" s="996"/>
      <c r="KC89" s="996"/>
      <c r="KD89" s="996"/>
      <c r="KE89" s="996"/>
      <c r="KF89" s="996"/>
      <c r="KG89" s="996"/>
      <c r="KH89" s="996"/>
      <c r="KI89" s="996"/>
      <c r="KJ89" s="996"/>
      <c r="KK89" s="996"/>
      <c r="KL89" s="996"/>
      <c r="KM89" s="996"/>
      <c r="KN89" s="996"/>
      <c r="KO89" s="996"/>
      <c r="KP89" s="996"/>
      <c r="KQ89" s="996"/>
      <c r="KR89" s="996"/>
      <c r="KS89" s="996"/>
      <c r="KT89" s="996"/>
      <c r="KU89" s="996"/>
      <c r="KV89" s="996"/>
      <c r="KW89" s="996"/>
      <c r="KX89" s="996"/>
      <c r="KY89" s="996"/>
      <c r="KZ89" s="996"/>
      <c r="LA89" s="996"/>
      <c r="LB89" s="996"/>
      <c r="LC89" s="996"/>
      <c r="LD89" s="996"/>
      <c r="LE89" s="996"/>
      <c r="LF89" s="996"/>
      <c r="LG89" s="996"/>
      <c r="LH89" s="996"/>
      <c r="LI89" s="996"/>
      <c r="LJ89" s="996"/>
      <c r="LK89" s="996"/>
      <c r="LL89" s="996"/>
      <c r="LM89" s="996"/>
      <c r="LN89" s="996"/>
      <c r="LO89" s="996"/>
      <c r="LP89" s="996"/>
      <c r="LQ89" s="996"/>
      <c r="LR89" s="996"/>
      <c r="LS89" s="996"/>
      <c r="LT89" s="996"/>
      <c r="LU89" s="996"/>
      <c r="LV89" s="996"/>
      <c r="LW89" s="996"/>
      <c r="LX89" s="996"/>
      <c r="LY89" s="996"/>
      <c r="LZ89" s="996"/>
      <c r="MA89" s="996"/>
      <c r="MB89" s="996"/>
      <c r="MC89" s="996"/>
      <c r="MD89" s="996"/>
      <c r="ME89" s="996"/>
      <c r="MF89" s="996"/>
      <c r="MG89" s="996"/>
      <c r="MH89" s="996"/>
      <c r="MI89" s="996"/>
      <c r="MJ89" s="996"/>
      <c r="MK89" s="996"/>
      <c r="ML89" s="996"/>
      <c r="MM89" s="996"/>
      <c r="MN89" s="996"/>
      <c r="MO89" s="996"/>
      <c r="MP89" s="996"/>
      <c r="MQ89" s="996"/>
      <c r="MR89" s="996"/>
      <c r="MS89" s="996"/>
      <c r="MT89" s="996"/>
      <c r="MU89" s="996"/>
      <c r="MV89" s="996"/>
      <c r="MW89" s="996"/>
      <c r="MX89" s="996"/>
      <c r="MY89" s="996"/>
      <c r="MZ89" s="996"/>
      <c r="NA89" s="996"/>
      <c r="NB89" s="996"/>
      <c r="NC89" s="996"/>
      <c r="ND89" s="996"/>
      <c r="NE89" s="996"/>
      <c r="NF89" s="996"/>
      <c r="NG89" s="996"/>
      <c r="NH89" s="996"/>
      <c r="NI89" s="996"/>
      <c r="NJ89" s="996"/>
      <c r="NK89" s="996"/>
      <c r="NL89" s="996"/>
      <c r="NM89" s="996"/>
      <c r="NN89" s="996"/>
      <c r="NO89" s="996"/>
      <c r="NP89" s="996"/>
      <c r="NQ89" s="996"/>
      <c r="NR89" s="996"/>
      <c r="NS89" s="996"/>
      <c r="NT89" s="996"/>
      <c r="NU89" s="996"/>
      <c r="NV89" s="996"/>
      <c r="NW89" s="996"/>
      <c r="NX89" s="996"/>
      <c r="NY89" s="996"/>
      <c r="NZ89" s="996"/>
      <c r="OA89" s="996"/>
      <c r="OB89" s="996"/>
      <c r="OC89" s="996"/>
      <c r="OD89" s="996"/>
      <c r="OE89" s="996"/>
      <c r="OF89" s="996"/>
      <c r="OG89" s="996"/>
      <c r="OH89" s="996"/>
      <c r="OI89" s="996"/>
      <c r="OJ89" s="996"/>
      <c r="OK89" s="996"/>
      <c r="OL89" s="996"/>
      <c r="OM89" s="996"/>
      <c r="ON89" s="996"/>
      <c r="OO89" s="996"/>
      <c r="OP89" s="996"/>
      <c r="OQ89" s="996"/>
      <c r="OR89" s="996"/>
      <c r="OS89" s="996"/>
      <c r="OT89" s="996"/>
      <c r="OU89" s="996"/>
      <c r="OV89" s="996"/>
      <c r="OW89" s="996"/>
      <c r="OX89" s="996"/>
      <c r="OY89" s="996"/>
      <c r="OZ89" s="996"/>
      <c r="PA89" s="996"/>
      <c r="PB89" s="996"/>
      <c r="PC89" s="996"/>
      <c r="PD89" s="996"/>
      <c r="PE89" s="996"/>
      <c r="PF89" s="996"/>
      <c r="PG89" s="996"/>
      <c r="PH89" s="996"/>
      <c r="PI89" s="996"/>
      <c r="PJ89" s="996"/>
      <c r="PK89" s="996"/>
      <c r="PL89" s="996"/>
      <c r="PM89" s="996"/>
      <c r="PN89" s="996"/>
      <c r="PO89" s="996"/>
      <c r="PP89" s="996"/>
      <c r="PQ89" s="996"/>
      <c r="PR89" s="996"/>
      <c r="PS89" s="996"/>
      <c r="PT89" s="996"/>
      <c r="PU89" s="996"/>
      <c r="PV89" s="996"/>
      <c r="PW89" s="996"/>
      <c r="PX89" s="996"/>
      <c r="PY89" s="996"/>
      <c r="PZ89" s="996"/>
      <c r="QA89" s="996"/>
      <c r="QB89" s="996"/>
      <c r="QC89" s="996"/>
      <c r="QD89" s="996"/>
      <c r="QE89" s="996"/>
      <c r="QF89" s="996"/>
      <c r="QG89" s="996"/>
      <c r="QH89" s="996"/>
      <c r="QI89" s="996"/>
      <c r="QJ89" s="996"/>
      <c r="QK89" s="996"/>
      <c r="QL89" s="996"/>
      <c r="QM89" s="996"/>
      <c r="QN89" s="996"/>
      <c r="QO89" s="996"/>
      <c r="QP89" s="996"/>
      <c r="QQ89" s="996"/>
      <c r="QR89" s="996"/>
      <c r="QS89" s="996"/>
      <c r="QT89" s="996"/>
      <c r="QU89" s="996"/>
      <c r="QV89" s="996"/>
      <c r="QW89" s="996"/>
      <c r="QX89" s="996"/>
      <c r="QY89" s="996"/>
      <c r="QZ89" s="996"/>
      <c r="RA89" s="996"/>
      <c r="RB89" s="996"/>
      <c r="RC89" s="996"/>
      <c r="RD89" s="996"/>
      <c r="RE89" s="996"/>
      <c r="RF89" s="996"/>
      <c r="RG89" s="996"/>
      <c r="RH89" s="996"/>
      <c r="RI89" s="996"/>
      <c r="RJ89" s="996"/>
      <c r="RK89" s="996"/>
      <c r="RL89" s="996"/>
      <c r="RM89" s="996"/>
      <c r="RN89" s="996"/>
      <c r="RO89" s="996"/>
      <c r="RP89" s="996"/>
      <c r="RQ89" s="996"/>
      <c r="RR89" s="996"/>
      <c r="RS89" s="996"/>
      <c r="RT89" s="996"/>
      <c r="RU89" s="996"/>
      <c r="RV89" s="996"/>
      <c r="RW89" s="996"/>
      <c r="RX89" s="996"/>
      <c r="RY89" s="996"/>
      <c r="RZ89" s="996"/>
      <c r="SA89" s="996"/>
      <c r="SB89" s="996"/>
      <c r="SC89" s="996"/>
      <c r="SD89" s="996"/>
      <c r="SE89" s="996"/>
      <c r="SF89" s="996"/>
      <c r="SG89" s="996"/>
      <c r="SH89" s="996"/>
      <c r="SI89" s="996"/>
      <c r="SJ89" s="996"/>
      <c r="SK89" s="996"/>
      <c r="SL89" s="996"/>
      <c r="SM89" s="996"/>
      <c r="SN89" s="996"/>
      <c r="SO89" s="996"/>
      <c r="SP89" s="996"/>
      <c r="SQ89" s="996"/>
      <c r="SR89" s="996"/>
      <c r="SS89" s="996"/>
      <c r="ST89" s="996"/>
      <c r="SU89" s="996"/>
      <c r="SV89" s="996"/>
      <c r="SW89" s="996"/>
      <c r="SX89" s="996"/>
      <c r="SY89" s="996"/>
      <c r="SZ89" s="996"/>
      <c r="TA89" s="996"/>
      <c r="TB89" s="996"/>
      <c r="TC89" s="996"/>
      <c r="TD89" s="996"/>
      <c r="TE89" s="996"/>
      <c r="TF89" s="996"/>
      <c r="TG89" s="996"/>
      <c r="TH89" s="996"/>
      <c r="TI89" s="996"/>
      <c r="TJ89" s="996"/>
      <c r="TK89" s="996"/>
      <c r="TL89" s="996"/>
      <c r="TM89" s="996"/>
      <c r="TN89" s="996"/>
      <c r="TO89" s="996"/>
      <c r="TP89" s="996"/>
      <c r="TQ89" s="996"/>
      <c r="TR89" s="996"/>
      <c r="TS89" s="996"/>
      <c r="TT89" s="996"/>
      <c r="TU89" s="996"/>
      <c r="TV89" s="996"/>
      <c r="TW89" s="996"/>
      <c r="TX89" s="996"/>
      <c r="TY89" s="996"/>
      <c r="TZ89" s="996"/>
      <c r="UA89" s="996"/>
      <c r="UB89" s="996"/>
      <c r="UC89" s="996"/>
      <c r="UD89" s="996"/>
      <c r="UE89" s="996"/>
      <c r="UF89" s="996"/>
      <c r="UG89" s="996"/>
      <c r="UH89" s="996"/>
      <c r="UI89" s="996"/>
      <c r="UJ89" s="996"/>
      <c r="UK89" s="996"/>
      <c r="UL89" s="996"/>
      <c r="UM89" s="996"/>
      <c r="UN89" s="996"/>
      <c r="UO89" s="996"/>
      <c r="UP89" s="996"/>
      <c r="UQ89" s="996"/>
      <c r="UR89" s="996"/>
      <c r="US89" s="996"/>
      <c r="UT89" s="996"/>
      <c r="UU89" s="996"/>
      <c r="UV89" s="996"/>
      <c r="UW89" s="996"/>
      <c r="UX89" s="996"/>
      <c r="UY89" s="996"/>
      <c r="UZ89" s="996"/>
      <c r="VA89" s="996"/>
      <c r="VB89" s="996"/>
      <c r="VC89" s="996"/>
      <c r="VD89" s="996"/>
      <c r="VE89" s="996"/>
      <c r="VF89" s="996"/>
      <c r="VG89" s="996"/>
      <c r="VH89" s="996"/>
      <c r="VI89" s="996"/>
      <c r="VJ89" s="996"/>
      <c r="VK89" s="996"/>
      <c r="VL89" s="996"/>
      <c r="VM89" s="996"/>
      <c r="VN89" s="996"/>
      <c r="VO89" s="996"/>
      <c r="VP89" s="996"/>
      <c r="VQ89" s="996"/>
      <c r="VR89" s="996"/>
      <c r="VS89" s="996"/>
      <c r="VT89" s="996"/>
      <c r="VU89" s="996"/>
      <c r="VV89" s="996"/>
      <c r="VW89" s="996"/>
      <c r="VX89" s="996"/>
      <c r="VY89" s="996"/>
      <c r="VZ89" s="996"/>
      <c r="WA89" s="996"/>
      <c r="WB89" s="996"/>
      <c r="WC89" s="996"/>
      <c r="WD89" s="996"/>
      <c r="WE89" s="996"/>
      <c r="WF89" s="996"/>
      <c r="WG89" s="996"/>
      <c r="WH89" s="996"/>
      <c r="WI89" s="996"/>
      <c r="WJ89" s="996"/>
      <c r="WK89" s="996"/>
      <c r="WL89" s="996"/>
      <c r="WM89" s="996"/>
      <c r="WN89" s="996"/>
      <c r="WO89" s="996"/>
      <c r="WP89" s="996"/>
      <c r="WQ89" s="996"/>
      <c r="WR89" s="996"/>
      <c r="WS89" s="996"/>
      <c r="WT89" s="996"/>
      <c r="WU89" s="996"/>
      <c r="WV89" s="996"/>
      <c r="WW89" s="996"/>
      <c r="WX89" s="996"/>
      <c r="WY89" s="996"/>
      <c r="WZ89" s="996"/>
      <c r="XA89" s="996"/>
      <c r="XB89" s="996"/>
      <c r="XC89" s="996"/>
      <c r="XD89" s="996"/>
      <c r="XE89" s="996"/>
      <c r="XF89" s="996"/>
      <c r="XG89" s="996"/>
      <c r="XH89" s="996"/>
      <c r="XI89" s="996"/>
      <c r="XJ89" s="996"/>
      <c r="XK89" s="996"/>
      <c r="XL89" s="996"/>
      <c r="XM89" s="996"/>
      <c r="XN89" s="996"/>
      <c r="XO89" s="996"/>
      <c r="XP89" s="996"/>
      <c r="XQ89" s="996"/>
      <c r="XR89" s="996"/>
      <c r="XS89" s="996"/>
      <c r="XT89" s="996"/>
      <c r="XU89" s="996"/>
      <c r="XV89" s="996"/>
      <c r="XW89" s="996"/>
      <c r="XX89" s="996"/>
      <c r="XY89" s="996"/>
      <c r="XZ89" s="996"/>
      <c r="YA89" s="996"/>
      <c r="YB89" s="996"/>
      <c r="YC89" s="996"/>
      <c r="YD89" s="996"/>
      <c r="YE89" s="996"/>
      <c r="YF89" s="996"/>
      <c r="YG89" s="996"/>
      <c r="YH89" s="996"/>
      <c r="YI89" s="996"/>
      <c r="YJ89" s="996"/>
      <c r="YK89" s="996"/>
      <c r="YL89" s="996"/>
      <c r="YM89" s="996"/>
      <c r="YN89" s="996"/>
      <c r="YO89" s="996"/>
      <c r="YP89" s="996"/>
      <c r="YQ89" s="996"/>
      <c r="YR89" s="996"/>
      <c r="YS89" s="996"/>
      <c r="YT89" s="996"/>
      <c r="YU89" s="996"/>
      <c r="YV89" s="996"/>
      <c r="YW89" s="996"/>
      <c r="YX89" s="996"/>
      <c r="YY89" s="996"/>
      <c r="YZ89" s="996"/>
      <c r="ZA89" s="996"/>
      <c r="ZB89" s="996"/>
      <c r="ZC89" s="996"/>
      <c r="ZD89" s="996"/>
      <c r="ZE89" s="996"/>
      <c r="ZF89" s="996"/>
      <c r="ZG89" s="996"/>
      <c r="ZH89" s="996"/>
      <c r="ZI89" s="996"/>
      <c r="ZJ89" s="996"/>
      <c r="ZK89" s="996"/>
      <c r="ZL89" s="996"/>
      <c r="ZM89" s="996"/>
      <c r="ZN89" s="996"/>
      <c r="ZO89" s="996"/>
      <c r="ZP89" s="996"/>
      <c r="ZQ89" s="996"/>
      <c r="ZR89" s="996"/>
      <c r="ZS89" s="996"/>
      <c r="ZT89" s="996"/>
      <c r="ZU89" s="996"/>
      <c r="ZV89" s="996"/>
      <c r="ZW89" s="996"/>
      <c r="ZX89" s="996"/>
      <c r="ZY89" s="996"/>
      <c r="ZZ89" s="996"/>
      <c r="AAA89" s="996"/>
      <c r="AAB89" s="996"/>
      <c r="AAC89" s="996"/>
      <c r="AAD89" s="996"/>
      <c r="AAE89" s="996"/>
      <c r="AAF89" s="996"/>
      <c r="AAG89" s="996"/>
      <c r="AAH89" s="996"/>
      <c r="AAI89" s="996"/>
      <c r="AAJ89" s="996"/>
      <c r="AAK89" s="996"/>
      <c r="AAL89" s="996"/>
      <c r="AAM89" s="996"/>
      <c r="AAN89" s="996"/>
      <c r="AAO89" s="996"/>
      <c r="AAP89" s="996"/>
      <c r="AAQ89" s="996"/>
      <c r="AAR89" s="996"/>
      <c r="AAS89" s="996"/>
      <c r="AAT89" s="996"/>
      <c r="AAU89" s="996"/>
      <c r="AAV89" s="996"/>
      <c r="AAW89" s="996"/>
      <c r="AAX89" s="996"/>
      <c r="AAY89" s="996"/>
      <c r="AAZ89" s="996"/>
      <c r="ABA89" s="996"/>
      <c r="ABB89" s="996"/>
      <c r="ABC89" s="996"/>
      <c r="ABD89" s="996"/>
      <c r="ABE89" s="996"/>
      <c r="ABF89" s="996"/>
      <c r="ABG89" s="996"/>
      <c r="ABH89" s="996"/>
      <c r="ABI89" s="996"/>
      <c r="ABJ89" s="996"/>
      <c r="ABK89" s="996"/>
      <c r="ABL89" s="996"/>
      <c r="ABM89" s="996"/>
      <c r="ABN89" s="996"/>
      <c r="ABO89" s="996"/>
      <c r="ABP89" s="996"/>
      <c r="ABQ89" s="996"/>
      <c r="ABR89" s="996"/>
      <c r="ABS89" s="996"/>
      <c r="ABT89" s="996"/>
      <c r="ABU89" s="996"/>
      <c r="ABV89" s="996"/>
      <c r="ABW89" s="996"/>
      <c r="ABX89" s="996"/>
      <c r="ABY89" s="996"/>
      <c r="ABZ89" s="996"/>
      <c r="ACA89" s="996"/>
      <c r="ACB89" s="996"/>
      <c r="ACC89" s="996"/>
      <c r="ACD89" s="996"/>
      <c r="ACE89" s="996"/>
      <c r="ACF89" s="996"/>
      <c r="ACG89" s="996"/>
      <c r="ACH89" s="996"/>
      <c r="ACI89" s="996"/>
      <c r="ACJ89" s="996"/>
      <c r="ACK89" s="996"/>
      <c r="ACL89" s="996"/>
      <c r="ACM89" s="996"/>
      <c r="ACN89" s="996"/>
      <c r="ACO89" s="996"/>
      <c r="ACP89" s="996"/>
      <c r="ACQ89" s="996"/>
      <c r="ACR89" s="996"/>
      <c r="ACS89" s="996"/>
      <c r="ACT89" s="996"/>
      <c r="ACU89" s="996"/>
      <c r="ACV89" s="996"/>
      <c r="ACW89" s="996"/>
      <c r="ACX89" s="996"/>
      <c r="ACY89" s="996"/>
      <c r="ACZ89" s="996"/>
      <c r="ADA89" s="996"/>
      <c r="ADB89" s="996"/>
      <c r="ADC89" s="996"/>
      <c r="ADD89" s="996"/>
      <c r="ADE89" s="996"/>
      <c r="ADF89" s="996"/>
      <c r="ADG89" s="996"/>
      <c r="ADH89" s="996"/>
      <c r="ADI89" s="996"/>
      <c r="ADJ89" s="996"/>
      <c r="ADK89" s="996"/>
      <c r="ADL89" s="996"/>
      <c r="ADM89" s="996"/>
      <c r="ADN89" s="996"/>
      <c r="ADO89" s="996"/>
      <c r="ADP89" s="996"/>
      <c r="ADQ89" s="996"/>
      <c r="ADR89" s="996"/>
      <c r="ADS89" s="996"/>
      <c r="ADT89" s="996"/>
      <c r="ADU89" s="996"/>
      <c r="ADV89" s="996"/>
      <c r="ADW89" s="996"/>
      <c r="ADX89" s="996"/>
      <c r="ADY89" s="996"/>
      <c r="ADZ89" s="996"/>
      <c r="AEA89" s="996"/>
      <c r="AEB89" s="996"/>
      <c r="AEC89" s="996"/>
      <c r="AED89" s="996"/>
      <c r="AEE89" s="996"/>
      <c r="AEF89" s="996"/>
      <c r="AEG89" s="996"/>
      <c r="AEH89" s="996"/>
      <c r="AEI89" s="996"/>
      <c r="AEJ89" s="996"/>
      <c r="AEK89" s="996"/>
      <c r="AEL89" s="996"/>
      <c r="AEM89" s="996"/>
      <c r="AEN89" s="996"/>
      <c r="AEO89" s="996"/>
      <c r="AEP89" s="996"/>
      <c r="AEQ89" s="996"/>
      <c r="AER89" s="996"/>
      <c r="AES89" s="996"/>
      <c r="AET89" s="996"/>
      <c r="AEU89" s="996"/>
      <c r="AEV89" s="996"/>
      <c r="AEW89" s="996"/>
      <c r="AEX89" s="996"/>
      <c r="AEY89" s="996"/>
      <c r="AEZ89" s="996"/>
      <c r="AFA89" s="996"/>
      <c r="AFB89" s="996"/>
      <c r="AFC89" s="996"/>
      <c r="AFD89" s="996"/>
      <c r="AFE89" s="996"/>
      <c r="AFF89" s="996"/>
      <c r="AFG89" s="996"/>
      <c r="AFH89" s="996"/>
      <c r="AFI89" s="996"/>
      <c r="AFJ89" s="996"/>
      <c r="AFK89" s="996"/>
      <c r="AFL89" s="996"/>
      <c r="AFM89" s="996"/>
      <c r="AFN89" s="996"/>
      <c r="AFO89" s="996"/>
      <c r="AFP89" s="996"/>
      <c r="AFQ89" s="996"/>
      <c r="AFR89" s="996"/>
      <c r="AFS89" s="996"/>
      <c r="AFT89" s="996"/>
      <c r="AFU89" s="996"/>
      <c r="AFV89" s="996"/>
      <c r="AFW89" s="996"/>
      <c r="AFX89" s="996"/>
      <c r="AFY89" s="996"/>
      <c r="AFZ89" s="996"/>
      <c r="AGA89" s="996"/>
      <c r="AGB89" s="996"/>
      <c r="AGC89" s="996"/>
      <c r="AGD89" s="996"/>
      <c r="AGE89" s="996"/>
      <c r="AGF89" s="996"/>
      <c r="AGG89" s="996"/>
      <c r="AGH89" s="996"/>
      <c r="AGI89" s="996"/>
      <c r="AGJ89" s="996"/>
      <c r="AGK89" s="996"/>
      <c r="AGL89" s="996"/>
      <c r="AGM89" s="996"/>
      <c r="AGN89" s="996"/>
      <c r="AGO89" s="996"/>
      <c r="AGP89" s="996"/>
      <c r="AGQ89" s="996"/>
      <c r="AGR89" s="996"/>
      <c r="AGS89" s="996"/>
      <c r="AGT89" s="996"/>
      <c r="AGU89" s="996"/>
      <c r="AGV89" s="996"/>
      <c r="AGW89" s="996"/>
      <c r="AGX89" s="996"/>
      <c r="AGY89" s="996"/>
      <c r="AGZ89" s="996"/>
      <c r="AHA89" s="996"/>
      <c r="AHB89" s="996"/>
      <c r="AHC89" s="996"/>
      <c r="AHD89" s="996"/>
      <c r="AHE89" s="996"/>
      <c r="AHF89" s="996"/>
      <c r="AHG89" s="996"/>
      <c r="AHH89" s="996"/>
      <c r="AHI89" s="996"/>
      <c r="AHJ89" s="996"/>
      <c r="AHK89" s="996"/>
      <c r="AHL89" s="996"/>
      <c r="AHM89" s="996"/>
      <c r="AHN89" s="996"/>
      <c r="AHO89" s="996"/>
      <c r="AHP89" s="996"/>
      <c r="AHQ89" s="996"/>
      <c r="AHR89" s="996"/>
      <c r="AHS89" s="996"/>
      <c r="AHT89" s="996"/>
      <c r="AHU89" s="996"/>
      <c r="AHV89" s="996"/>
      <c r="AHW89" s="996"/>
      <c r="AHX89" s="996"/>
      <c r="AHY89" s="996"/>
      <c r="AHZ89" s="996"/>
      <c r="AIA89" s="996"/>
      <c r="AIB89" s="996"/>
      <c r="AIC89" s="996"/>
      <c r="AID89" s="996"/>
      <c r="AIE89" s="996"/>
      <c r="AIF89" s="996"/>
      <c r="AIG89" s="996"/>
      <c r="AIH89" s="996"/>
      <c r="AII89" s="996"/>
      <c r="AIJ89" s="996"/>
      <c r="AIK89" s="996"/>
      <c r="AIL89" s="996"/>
      <c r="AIM89" s="996"/>
      <c r="AIN89" s="996"/>
      <c r="AIO89" s="996"/>
      <c r="AIP89" s="996"/>
      <c r="AIQ89" s="996"/>
      <c r="AIR89" s="996"/>
      <c r="AIS89" s="996"/>
      <c r="AIT89" s="996"/>
      <c r="AIU89" s="996"/>
      <c r="AIV89" s="996"/>
      <c r="AIW89" s="996"/>
      <c r="AIX89" s="996"/>
      <c r="AIY89" s="996"/>
      <c r="AIZ89" s="996"/>
      <c r="AJA89" s="996"/>
      <c r="AJB89" s="996"/>
      <c r="AJC89" s="996"/>
      <c r="AJD89" s="996"/>
      <c r="AJE89" s="996"/>
      <c r="AJF89" s="996"/>
      <c r="AJG89" s="996"/>
      <c r="AJH89" s="996"/>
      <c r="AJI89" s="996"/>
      <c r="AJJ89" s="996"/>
      <c r="AJK89" s="996"/>
      <c r="AJL89" s="996"/>
      <c r="AJM89" s="996"/>
      <c r="AJN89" s="996"/>
      <c r="AJO89" s="996"/>
      <c r="AJP89" s="996"/>
      <c r="AJQ89" s="996"/>
      <c r="AJR89" s="996"/>
      <c r="AJS89" s="996"/>
      <c r="AJT89" s="996"/>
      <c r="AJU89" s="996"/>
      <c r="AJV89" s="996"/>
      <c r="AJW89" s="996"/>
      <c r="AJX89" s="996"/>
      <c r="AJY89" s="996"/>
      <c r="AJZ89" s="996"/>
      <c r="AKA89" s="996"/>
      <c r="AKB89" s="996"/>
      <c r="AKC89" s="996"/>
      <c r="AKD89" s="996"/>
      <c r="AKE89" s="996"/>
      <c r="AKF89" s="996"/>
      <c r="AKG89" s="996"/>
      <c r="AKH89" s="996"/>
      <c r="AKI89" s="996"/>
      <c r="AKJ89" s="996"/>
      <c r="AKK89" s="996"/>
      <c r="AKL89" s="996"/>
      <c r="AKM89" s="996"/>
      <c r="AKN89" s="996"/>
      <c r="AKO89" s="996"/>
      <c r="AKP89" s="996"/>
      <c r="AKQ89" s="996"/>
      <c r="AKR89" s="996"/>
      <c r="AKS89" s="996"/>
      <c r="AKT89" s="996"/>
      <c r="AKU89" s="996"/>
      <c r="AKV89" s="996"/>
      <c r="AKW89" s="996"/>
      <c r="AKX89" s="996"/>
      <c r="AKY89" s="996"/>
      <c r="AKZ89" s="996"/>
      <c r="ALA89" s="996"/>
      <c r="ALB89" s="996"/>
      <c r="ALC89" s="996"/>
      <c r="ALD89" s="996"/>
      <c r="ALE89" s="996"/>
      <c r="ALF89" s="996"/>
      <c r="ALG89" s="996"/>
      <c r="ALH89" s="996"/>
      <c r="ALI89" s="996"/>
      <c r="ALJ89" s="996"/>
      <c r="ALK89" s="996"/>
      <c r="ALL89" s="996"/>
      <c r="ALM89" s="996"/>
      <c r="ALN89" s="996"/>
      <c r="ALO89" s="996"/>
      <c r="ALP89" s="996"/>
      <c r="ALQ89" s="996"/>
      <c r="ALR89" s="996"/>
      <c r="ALS89" s="996"/>
      <c r="ALT89" s="996"/>
      <c r="ALU89" s="996"/>
      <c r="ALV89" s="996"/>
      <c r="ALW89" s="996"/>
      <c r="ALX89" s="996"/>
      <c r="ALY89" s="996"/>
      <c r="ALZ89" s="996"/>
      <c r="AMA89" s="996"/>
      <c r="AMB89" s="996"/>
      <c r="AMC89" s="996"/>
      <c r="AMD89" s="996"/>
      <c r="AME89" s="996"/>
      <c r="AMF89" s="996"/>
      <c r="AMG89" s="996"/>
      <c r="AMH89" s="996"/>
      <c r="AMI89" s="996"/>
      <c r="AMJ89" s="996"/>
      <c r="AMK89" s="996"/>
      <c r="AML89" s="996"/>
      <c r="AMM89" s="996"/>
      <c r="AMN89" s="996"/>
      <c r="AMO89" s="996"/>
      <c r="AMP89" s="996"/>
      <c r="AMQ89" s="996"/>
      <c r="AMR89" s="996"/>
      <c r="AMS89" s="996"/>
      <c r="AMT89" s="996"/>
      <c r="AMU89" s="996"/>
      <c r="AMV89" s="996"/>
      <c r="AMW89" s="996"/>
      <c r="AMX89" s="996"/>
      <c r="AMY89" s="996"/>
      <c r="AMZ89" s="996"/>
      <c r="ANA89" s="996"/>
      <c r="ANB89" s="996"/>
      <c r="ANC89" s="996"/>
      <c r="AND89" s="996"/>
      <c r="ANE89" s="996"/>
      <c r="ANF89" s="996"/>
      <c r="ANG89" s="996"/>
      <c r="ANH89" s="996"/>
      <c r="ANI89" s="996"/>
      <c r="ANJ89" s="996"/>
      <c r="ANK89" s="996"/>
      <c r="ANL89" s="996"/>
      <c r="ANM89" s="996"/>
      <c r="ANN89" s="996"/>
      <c r="ANO89" s="996"/>
      <c r="ANP89" s="996"/>
      <c r="ANQ89" s="996"/>
      <c r="ANR89" s="996"/>
      <c r="ANS89" s="996"/>
      <c r="ANT89" s="996"/>
      <c r="ANU89" s="996"/>
      <c r="ANV89" s="996"/>
      <c r="ANW89" s="996"/>
      <c r="ANX89" s="996"/>
      <c r="ANY89" s="996"/>
      <c r="ANZ89" s="996"/>
      <c r="AOA89" s="996"/>
      <c r="AOB89" s="996"/>
      <c r="AOC89" s="996"/>
      <c r="AOD89" s="996"/>
      <c r="AOE89" s="996"/>
      <c r="AOF89" s="996"/>
      <c r="AOG89" s="996"/>
      <c r="AOH89" s="996"/>
      <c r="AOI89" s="996"/>
      <c r="AOJ89" s="996"/>
      <c r="AOK89" s="996"/>
      <c r="AOL89" s="996"/>
      <c r="AOM89" s="996"/>
      <c r="AON89" s="996"/>
      <c r="AOO89" s="996"/>
      <c r="AOP89" s="996"/>
      <c r="AOQ89" s="996"/>
      <c r="AOR89" s="996"/>
      <c r="AOS89" s="996"/>
      <c r="AOT89" s="996"/>
      <c r="AOU89" s="996"/>
      <c r="AOV89" s="996"/>
      <c r="AOW89" s="996"/>
      <c r="AOX89" s="996"/>
      <c r="AOY89" s="996"/>
      <c r="AOZ89" s="996"/>
      <c r="APA89" s="996"/>
      <c r="APB89" s="996"/>
      <c r="APC89" s="996"/>
      <c r="APD89" s="996"/>
      <c r="APE89" s="996"/>
      <c r="APF89" s="996"/>
      <c r="APG89" s="996"/>
      <c r="APH89" s="996"/>
      <c r="API89" s="996"/>
      <c r="APJ89" s="996"/>
      <c r="APK89" s="996"/>
      <c r="APL89" s="996"/>
      <c r="APM89" s="996"/>
      <c r="APN89" s="996"/>
      <c r="APO89" s="996"/>
      <c r="APP89" s="996"/>
      <c r="APQ89" s="996"/>
      <c r="APR89" s="996"/>
      <c r="APS89" s="996"/>
      <c r="APT89" s="996"/>
      <c r="APU89" s="996"/>
      <c r="APV89" s="996"/>
      <c r="APW89" s="996"/>
      <c r="APX89" s="996"/>
      <c r="APY89" s="996"/>
      <c r="APZ89" s="996"/>
      <c r="AQA89" s="996"/>
      <c r="AQB89" s="996"/>
      <c r="AQC89" s="996"/>
      <c r="AQD89" s="996"/>
      <c r="AQE89" s="996"/>
      <c r="AQF89" s="996"/>
      <c r="AQG89" s="996"/>
      <c r="AQH89" s="996"/>
      <c r="AQI89" s="996"/>
      <c r="AQJ89" s="996"/>
      <c r="AQK89" s="996"/>
      <c r="AQL89" s="996"/>
      <c r="AQM89" s="996"/>
      <c r="AQN89" s="996"/>
      <c r="AQO89" s="996"/>
      <c r="AQP89" s="996"/>
      <c r="AQQ89" s="996"/>
      <c r="AQR89" s="996"/>
      <c r="AQS89" s="996"/>
      <c r="AQT89" s="996"/>
      <c r="AQU89" s="996"/>
      <c r="AQV89" s="996"/>
      <c r="AQW89" s="996"/>
      <c r="AQX89" s="996"/>
      <c r="AQY89" s="996"/>
      <c r="AQZ89" s="996"/>
      <c r="ARA89" s="996"/>
      <c r="ARB89" s="996"/>
      <c r="ARC89" s="996"/>
      <c r="ARD89" s="996"/>
      <c r="ARE89" s="996"/>
      <c r="ARF89" s="996"/>
      <c r="ARG89" s="996"/>
      <c r="ARH89" s="996"/>
      <c r="ARI89" s="996"/>
      <c r="ARJ89" s="996"/>
      <c r="ARK89" s="996"/>
      <c r="ARL89" s="996"/>
      <c r="ARM89" s="996"/>
      <c r="ARN89" s="996"/>
      <c r="ARO89" s="996"/>
      <c r="ARP89" s="996"/>
      <c r="ARQ89" s="996"/>
      <c r="ARR89" s="996"/>
      <c r="ARS89" s="996"/>
      <c r="ART89" s="996"/>
      <c r="ARU89" s="996"/>
      <c r="ARV89" s="996"/>
      <c r="ARW89" s="996"/>
      <c r="ARX89" s="996"/>
      <c r="ARY89" s="996"/>
      <c r="ARZ89" s="996"/>
      <c r="ASA89" s="996"/>
      <c r="ASB89" s="996"/>
      <c r="ASC89" s="996"/>
      <c r="ASD89" s="996"/>
      <c r="ASE89" s="996"/>
      <c r="ASF89" s="996"/>
      <c r="ASG89" s="996"/>
      <c r="ASH89" s="996"/>
      <c r="ASI89" s="996"/>
      <c r="ASJ89" s="996"/>
      <c r="ASK89" s="996"/>
      <c r="ASL89" s="996"/>
      <c r="ASM89" s="996"/>
      <c r="ASN89" s="996"/>
      <c r="ASO89" s="996"/>
      <c r="ASP89" s="996"/>
      <c r="ASQ89" s="996"/>
      <c r="ASR89" s="996"/>
      <c r="ASS89" s="996"/>
      <c r="AST89" s="996"/>
      <c r="ASU89" s="996"/>
      <c r="ASV89" s="996"/>
      <c r="ASW89" s="996"/>
      <c r="ASX89" s="996"/>
      <c r="ASY89" s="996"/>
      <c r="ASZ89" s="996"/>
      <c r="ATA89" s="996"/>
      <c r="ATB89" s="996"/>
      <c r="ATC89" s="996"/>
      <c r="ATD89" s="996"/>
      <c r="ATE89" s="996"/>
      <c r="ATF89" s="996"/>
      <c r="ATG89" s="996"/>
      <c r="ATH89" s="996"/>
      <c r="ATI89" s="996"/>
      <c r="ATJ89" s="996"/>
      <c r="ATK89" s="996"/>
      <c r="ATL89" s="996"/>
      <c r="ATM89" s="996"/>
      <c r="ATN89" s="996"/>
      <c r="ATO89" s="996"/>
      <c r="ATP89" s="996"/>
      <c r="ATQ89" s="996"/>
      <c r="ATR89" s="996"/>
      <c r="ATS89" s="996"/>
      <c r="ATT89" s="996"/>
      <c r="ATU89" s="996"/>
      <c r="ATV89" s="996"/>
      <c r="ATW89" s="996"/>
      <c r="ATX89" s="996"/>
      <c r="ATY89" s="996"/>
      <c r="ATZ89" s="996"/>
      <c r="AUA89" s="996"/>
      <c r="AUB89" s="996"/>
      <c r="AUC89" s="996"/>
      <c r="AUD89" s="996"/>
      <c r="AUE89" s="996"/>
      <c r="AUF89" s="996"/>
      <c r="AUG89" s="996"/>
      <c r="AUH89" s="996"/>
      <c r="AUI89" s="996"/>
      <c r="AUJ89" s="996"/>
      <c r="AUK89" s="996"/>
      <c r="AUL89" s="996"/>
      <c r="AUM89" s="996"/>
      <c r="AUN89" s="996"/>
      <c r="AUO89" s="996"/>
      <c r="AUP89" s="996"/>
      <c r="AUQ89" s="996"/>
      <c r="AUR89" s="996"/>
      <c r="AUS89" s="996"/>
      <c r="AUT89" s="996"/>
      <c r="AUU89" s="996"/>
      <c r="AUV89" s="996"/>
      <c r="AUW89" s="996"/>
      <c r="AUX89" s="996"/>
      <c r="AUY89" s="996"/>
      <c r="AUZ89" s="996"/>
      <c r="AVA89" s="996"/>
      <c r="AVB89" s="996"/>
      <c r="AVC89" s="996"/>
      <c r="AVD89" s="996"/>
      <c r="AVE89" s="996"/>
      <c r="AVF89" s="996"/>
      <c r="AVG89" s="996"/>
      <c r="AVH89" s="996"/>
      <c r="AVI89" s="996"/>
      <c r="AVJ89" s="996"/>
      <c r="AVK89" s="996"/>
      <c r="AVL89" s="996"/>
      <c r="AVM89" s="996"/>
      <c r="AVN89" s="996"/>
      <c r="AVO89" s="996"/>
      <c r="AVP89" s="996"/>
      <c r="AVQ89" s="996"/>
      <c r="AVR89" s="996"/>
      <c r="AVS89" s="996"/>
      <c r="AVT89" s="996"/>
      <c r="AVU89" s="996"/>
      <c r="AVV89" s="996"/>
      <c r="AVW89" s="996"/>
      <c r="AVX89" s="996"/>
      <c r="AVY89" s="996"/>
      <c r="AVZ89" s="996"/>
      <c r="AWA89" s="996"/>
      <c r="AWB89" s="996"/>
      <c r="AWC89" s="996"/>
      <c r="AWD89" s="996"/>
      <c r="AWE89" s="996"/>
      <c r="AWF89" s="996"/>
      <c r="AWG89" s="996"/>
      <c r="AWH89" s="996"/>
      <c r="AWI89" s="996"/>
      <c r="AWJ89" s="996"/>
      <c r="AWK89" s="996"/>
      <c r="AWL89" s="996"/>
      <c r="AWM89" s="996"/>
      <c r="AWN89" s="996"/>
      <c r="AWO89" s="996"/>
      <c r="AWP89" s="996"/>
      <c r="AWQ89" s="996"/>
      <c r="AWR89" s="996"/>
      <c r="AWS89" s="996"/>
      <c r="AWT89" s="996"/>
      <c r="AWU89" s="996"/>
      <c r="AWV89" s="996"/>
      <c r="AWW89" s="996"/>
      <c r="AWX89" s="996"/>
      <c r="AWY89" s="996"/>
      <c r="AWZ89" s="996"/>
      <c r="AXA89" s="996"/>
      <c r="AXB89" s="996"/>
      <c r="AXC89" s="996"/>
      <c r="AXD89" s="996"/>
      <c r="AXE89" s="996"/>
      <c r="AXF89" s="996"/>
      <c r="AXG89" s="996"/>
      <c r="AXH89" s="996"/>
      <c r="AXI89" s="996"/>
      <c r="AXJ89" s="996"/>
      <c r="AXK89" s="996"/>
      <c r="AXL89" s="996"/>
      <c r="AXM89" s="996"/>
      <c r="AXN89" s="996"/>
      <c r="AXO89" s="996"/>
      <c r="AXP89" s="996"/>
      <c r="AXQ89" s="996"/>
      <c r="AXR89" s="996"/>
      <c r="AXS89" s="996"/>
      <c r="AXT89" s="996"/>
      <c r="AXU89" s="996"/>
      <c r="AXV89" s="996"/>
      <c r="AXW89" s="996"/>
      <c r="AXX89" s="996"/>
      <c r="AXY89" s="996"/>
      <c r="AXZ89" s="996"/>
      <c r="AYA89" s="996"/>
      <c r="AYB89" s="996"/>
      <c r="AYC89" s="996"/>
      <c r="AYD89" s="996"/>
      <c r="AYE89" s="996"/>
      <c r="AYF89" s="996"/>
      <c r="AYG89" s="996"/>
      <c r="AYH89" s="996"/>
      <c r="AYI89" s="996"/>
      <c r="AYJ89" s="996"/>
      <c r="AYK89" s="996"/>
      <c r="AYL89" s="996"/>
      <c r="AYM89" s="996"/>
      <c r="AYN89" s="996"/>
      <c r="AYO89" s="996"/>
      <c r="AYP89" s="996"/>
      <c r="AYQ89" s="996"/>
      <c r="AYR89" s="996"/>
      <c r="AYS89" s="996"/>
      <c r="AYT89" s="996"/>
      <c r="AYU89" s="996"/>
      <c r="AYV89" s="996"/>
      <c r="AYW89" s="996"/>
      <c r="AYX89" s="996"/>
      <c r="AYY89" s="996"/>
      <c r="AYZ89" s="996"/>
      <c r="AZA89" s="996"/>
      <c r="AZB89" s="996"/>
      <c r="AZC89" s="996"/>
      <c r="AZD89" s="996"/>
      <c r="AZE89" s="996"/>
      <c r="AZF89" s="996"/>
      <c r="AZG89" s="996"/>
      <c r="AZH89" s="996"/>
      <c r="AZI89" s="996"/>
      <c r="AZJ89" s="996"/>
      <c r="AZK89" s="996"/>
      <c r="AZL89" s="996"/>
      <c r="AZM89" s="996"/>
      <c r="AZN89" s="996"/>
      <c r="AZO89" s="996"/>
      <c r="AZP89" s="996"/>
      <c r="AZQ89" s="996"/>
      <c r="AZR89" s="996"/>
      <c r="AZS89" s="996"/>
      <c r="AZT89" s="996"/>
      <c r="AZU89" s="996"/>
      <c r="AZV89" s="996"/>
      <c r="AZW89" s="996"/>
      <c r="AZX89" s="996"/>
      <c r="AZY89" s="996"/>
      <c r="AZZ89" s="996"/>
      <c r="BAA89" s="996"/>
      <c r="BAB89" s="996"/>
      <c r="BAC89" s="996"/>
      <c r="BAD89" s="996"/>
      <c r="BAE89" s="996"/>
      <c r="BAF89" s="996"/>
      <c r="BAG89" s="996"/>
      <c r="BAH89" s="996"/>
      <c r="BAI89" s="996"/>
      <c r="BAJ89" s="996"/>
      <c r="BAK89" s="996"/>
      <c r="BAL89" s="996"/>
      <c r="BAM89" s="996"/>
      <c r="BAN89" s="996"/>
      <c r="BAO89" s="996"/>
      <c r="BAP89" s="996"/>
      <c r="BAQ89" s="996"/>
      <c r="BAR89" s="996"/>
      <c r="BAS89" s="996"/>
      <c r="BAT89" s="996"/>
      <c r="BAU89" s="996"/>
      <c r="BAV89" s="996"/>
      <c r="BAW89" s="996"/>
      <c r="BAX89" s="996"/>
      <c r="BAY89" s="996"/>
      <c r="BAZ89" s="996"/>
      <c r="BBA89" s="996"/>
      <c r="BBB89" s="996"/>
      <c r="BBC89" s="996"/>
      <c r="BBD89" s="996"/>
      <c r="BBE89" s="996"/>
      <c r="BBF89" s="996"/>
      <c r="BBG89" s="996"/>
      <c r="BBH89" s="996"/>
      <c r="BBI89" s="996"/>
      <c r="BBJ89" s="996"/>
      <c r="BBK89" s="996"/>
      <c r="BBL89" s="996"/>
      <c r="BBM89" s="996"/>
      <c r="BBN89" s="996"/>
      <c r="BBO89" s="996"/>
      <c r="BBP89" s="996"/>
      <c r="BBQ89" s="996"/>
      <c r="BBR89" s="996"/>
      <c r="BBS89" s="996"/>
      <c r="BBT89" s="996"/>
      <c r="BBU89" s="996"/>
      <c r="BBV89" s="996"/>
      <c r="BBW89" s="996"/>
      <c r="BBX89" s="996"/>
      <c r="BBY89" s="996"/>
      <c r="BBZ89" s="996"/>
      <c r="BCA89" s="996"/>
      <c r="BCB89" s="996"/>
      <c r="BCC89" s="996"/>
      <c r="BCD89" s="996"/>
      <c r="BCE89" s="996"/>
      <c r="BCF89" s="996"/>
      <c r="BCG89" s="996"/>
      <c r="BCH89" s="996"/>
      <c r="BCI89" s="996"/>
      <c r="BCJ89" s="996"/>
      <c r="BCK89" s="996"/>
      <c r="BCL89" s="996"/>
      <c r="BCM89" s="996"/>
      <c r="BCN89" s="996"/>
      <c r="BCO89" s="996"/>
      <c r="BCP89" s="996"/>
      <c r="BCQ89" s="996"/>
      <c r="BCR89" s="996"/>
      <c r="BCS89" s="996"/>
      <c r="BCT89" s="996"/>
      <c r="BCU89" s="996"/>
      <c r="BCV89" s="996"/>
      <c r="BCW89" s="996"/>
      <c r="BCX89" s="996"/>
      <c r="BCY89" s="996"/>
      <c r="BCZ89" s="996"/>
      <c r="BDA89" s="996"/>
      <c r="BDB89" s="996"/>
      <c r="BDC89" s="996"/>
      <c r="BDD89" s="996"/>
      <c r="BDE89" s="996"/>
      <c r="BDF89" s="996"/>
      <c r="BDG89" s="996"/>
      <c r="BDH89" s="996"/>
      <c r="BDI89" s="996"/>
      <c r="BDJ89" s="996"/>
      <c r="BDK89" s="996"/>
      <c r="BDL89" s="996"/>
      <c r="BDM89" s="996"/>
      <c r="BDN89" s="996"/>
      <c r="BDO89" s="996"/>
      <c r="BDP89" s="996"/>
      <c r="BDQ89" s="996"/>
      <c r="BDR89" s="996"/>
      <c r="BDS89" s="996"/>
      <c r="BDT89" s="996"/>
      <c r="BDU89" s="996"/>
      <c r="BDV89" s="996"/>
      <c r="BDW89" s="996"/>
      <c r="BDX89" s="996"/>
      <c r="BDY89" s="996"/>
      <c r="BDZ89" s="996"/>
      <c r="BEA89" s="996"/>
      <c r="BEB89" s="996"/>
      <c r="BEC89" s="996"/>
      <c r="BED89" s="996"/>
      <c r="BEE89" s="996"/>
      <c r="BEF89" s="996"/>
      <c r="BEG89" s="996"/>
      <c r="BEH89" s="996"/>
      <c r="BEI89" s="996"/>
      <c r="BEJ89" s="996"/>
      <c r="BEK89" s="996"/>
      <c r="BEL89" s="996"/>
      <c r="BEM89" s="996"/>
      <c r="BEN89" s="996"/>
      <c r="BEO89" s="996"/>
      <c r="BEP89" s="996"/>
      <c r="BEQ89" s="996"/>
      <c r="BER89" s="996"/>
      <c r="BES89" s="996"/>
      <c r="BET89" s="996"/>
      <c r="BEU89" s="996"/>
      <c r="BEV89" s="996"/>
      <c r="BEW89" s="996"/>
      <c r="BEX89" s="996"/>
      <c r="BEY89" s="996"/>
      <c r="BEZ89" s="996"/>
      <c r="BFA89" s="996"/>
      <c r="BFB89" s="996"/>
      <c r="BFC89" s="996"/>
      <c r="BFD89" s="996"/>
      <c r="BFE89" s="996"/>
      <c r="BFF89" s="996"/>
      <c r="BFG89" s="996"/>
      <c r="BFH89" s="996"/>
      <c r="BFI89" s="996"/>
      <c r="BFJ89" s="996"/>
      <c r="BFK89" s="996"/>
      <c r="BFL89" s="996"/>
      <c r="BFM89" s="996"/>
      <c r="BFN89" s="996"/>
      <c r="BFO89" s="996"/>
      <c r="BFP89" s="996"/>
      <c r="BFQ89" s="996"/>
      <c r="BFR89" s="996"/>
      <c r="BFS89" s="996"/>
      <c r="BFT89" s="996"/>
      <c r="BFU89" s="996"/>
      <c r="BFV89" s="996"/>
      <c r="BFW89" s="996"/>
      <c r="BFX89" s="996"/>
      <c r="BFY89" s="996"/>
      <c r="BFZ89" s="996"/>
      <c r="BGA89" s="996"/>
      <c r="BGB89" s="996"/>
      <c r="BGC89" s="996"/>
      <c r="BGD89" s="996"/>
      <c r="BGE89" s="996"/>
      <c r="BGF89" s="996"/>
      <c r="BGG89" s="996"/>
      <c r="BGH89" s="996"/>
      <c r="BGI89" s="996"/>
      <c r="BGJ89" s="996"/>
      <c r="BGK89" s="996"/>
      <c r="BGL89" s="996"/>
      <c r="BGM89" s="996"/>
      <c r="BGN89" s="996"/>
      <c r="BGO89" s="996"/>
      <c r="BGP89" s="996"/>
      <c r="BGQ89" s="996"/>
      <c r="BGR89" s="996"/>
      <c r="BGS89" s="996"/>
      <c r="BGT89" s="996"/>
      <c r="BGU89" s="996"/>
      <c r="BGV89" s="996"/>
      <c r="BGW89" s="996"/>
      <c r="BGX89" s="996"/>
      <c r="BGY89" s="996"/>
      <c r="BGZ89" s="996"/>
      <c r="BHA89" s="996"/>
      <c r="BHB89" s="996"/>
      <c r="BHC89" s="996"/>
      <c r="BHD89" s="996"/>
      <c r="BHE89" s="996"/>
      <c r="BHF89" s="996"/>
      <c r="BHG89" s="996"/>
      <c r="BHH89" s="996"/>
      <c r="BHI89" s="996"/>
      <c r="BHJ89" s="996"/>
      <c r="BHK89" s="996"/>
      <c r="BHL89" s="996"/>
      <c r="BHM89" s="996"/>
      <c r="BHN89" s="996"/>
      <c r="BHO89" s="996"/>
      <c r="BHP89" s="996"/>
      <c r="BHQ89" s="996"/>
      <c r="BHR89" s="996"/>
      <c r="BHS89" s="996"/>
      <c r="BHT89" s="996"/>
      <c r="BHU89" s="996"/>
      <c r="BHV89" s="996"/>
      <c r="BHW89" s="996"/>
      <c r="BHX89" s="996"/>
      <c r="BHY89" s="996"/>
      <c r="BHZ89" s="996"/>
      <c r="BIA89" s="996"/>
      <c r="BIB89" s="996"/>
      <c r="BIC89" s="996"/>
      <c r="BID89" s="996"/>
      <c r="BIE89" s="996"/>
      <c r="BIF89" s="996"/>
      <c r="BIG89" s="996"/>
      <c r="BIH89" s="996"/>
      <c r="BII89" s="996"/>
      <c r="BIJ89" s="996"/>
      <c r="BIK89" s="996"/>
      <c r="BIL89" s="996"/>
      <c r="BIM89" s="996"/>
      <c r="BIN89" s="996"/>
      <c r="BIO89" s="996"/>
      <c r="BIP89" s="996"/>
      <c r="BIQ89" s="996"/>
      <c r="BIR89" s="996"/>
      <c r="BIS89" s="996"/>
      <c r="BIT89" s="996"/>
      <c r="BIU89" s="996"/>
      <c r="BIV89" s="996"/>
      <c r="BIW89" s="996"/>
      <c r="BIX89" s="996"/>
      <c r="BIY89" s="996"/>
      <c r="BIZ89" s="996"/>
      <c r="BJA89" s="996"/>
      <c r="BJB89" s="996"/>
      <c r="BJC89" s="996"/>
      <c r="BJD89" s="996"/>
      <c r="BJE89" s="996"/>
      <c r="BJF89" s="996"/>
      <c r="BJG89" s="996"/>
      <c r="BJH89" s="996"/>
      <c r="BJI89" s="996"/>
      <c r="BJJ89" s="996"/>
      <c r="BJK89" s="996"/>
      <c r="BJL89" s="996"/>
      <c r="BJM89" s="996"/>
      <c r="BJN89" s="996"/>
      <c r="BJO89" s="996"/>
      <c r="BJP89" s="996"/>
      <c r="BJQ89" s="996"/>
      <c r="BJR89" s="996"/>
      <c r="BJS89" s="996"/>
      <c r="BJT89" s="996"/>
      <c r="BJU89" s="996"/>
      <c r="BJV89" s="996"/>
      <c r="BJW89" s="996"/>
      <c r="BJX89" s="996"/>
      <c r="BJY89" s="996"/>
      <c r="BJZ89" s="996"/>
      <c r="BKA89" s="996"/>
      <c r="BKB89" s="996"/>
      <c r="BKC89" s="996"/>
      <c r="BKD89" s="996"/>
      <c r="BKE89" s="996"/>
      <c r="BKF89" s="996"/>
      <c r="BKG89" s="996"/>
      <c r="BKH89" s="996"/>
      <c r="BKI89" s="996"/>
      <c r="BKJ89" s="996"/>
      <c r="BKK89" s="996"/>
      <c r="BKL89" s="996"/>
      <c r="BKM89" s="996"/>
      <c r="BKN89" s="996"/>
      <c r="BKO89" s="996"/>
      <c r="BKP89" s="996"/>
      <c r="BKQ89" s="996"/>
      <c r="BKR89" s="996"/>
      <c r="BKS89" s="996"/>
      <c r="BKT89" s="996"/>
      <c r="BKU89" s="996"/>
      <c r="BKV89" s="996"/>
      <c r="BKW89" s="996"/>
      <c r="BKX89" s="996"/>
      <c r="BKY89" s="996"/>
      <c r="BKZ89" s="996"/>
      <c r="BLA89" s="996"/>
      <c r="BLB89" s="996"/>
      <c r="BLC89" s="996"/>
      <c r="BLD89" s="996"/>
      <c r="BLE89" s="996"/>
      <c r="BLF89" s="996"/>
      <c r="BLG89" s="996"/>
      <c r="BLH89" s="996"/>
      <c r="BLI89" s="996"/>
      <c r="BLJ89" s="996"/>
      <c r="BLK89" s="996"/>
      <c r="BLL89" s="996"/>
      <c r="BLM89" s="996"/>
      <c r="BLN89" s="996"/>
      <c r="BLO89" s="996"/>
      <c r="BLP89" s="996"/>
      <c r="BLQ89" s="996"/>
      <c r="BLR89" s="996"/>
      <c r="BLS89" s="996"/>
      <c r="BLT89" s="996"/>
      <c r="BLU89" s="996"/>
      <c r="BLV89" s="996"/>
      <c r="BLW89" s="996"/>
      <c r="BLX89" s="996"/>
      <c r="BLY89" s="996"/>
      <c r="BLZ89" s="996"/>
      <c r="BMA89" s="996"/>
      <c r="BMB89" s="996"/>
      <c r="BMC89" s="996"/>
      <c r="BMD89" s="996"/>
      <c r="BME89" s="996"/>
      <c r="BMF89" s="996"/>
      <c r="BMG89" s="996"/>
      <c r="BMH89" s="996"/>
      <c r="BMI89" s="996"/>
      <c r="BMJ89" s="996"/>
      <c r="BMK89" s="996"/>
      <c r="BML89" s="996"/>
      <c r="BMM89" s="996"/>
      <c r="BMN89" s="996"/>
      <c r="BMO89" s="996"/>
      <c r="BMP89" s="996"/>
      <c r="BMQ89" s="996"/>
      <c r="BMR89" s="996"/>
      <c r="BMS89" s="996"/>
      <c r="BMT89" s="996"/>
      <c r="BMU89" s="996"/>
      <c r="BMV89" s="996"/>
      <c r="BMW89" s="996"/>
      <c r="BMX89" s="996"/>
      <c r="BMY89" s="996"/>
      <c r="BMZ89" s="996"/>
      <c r="BNA89" s="996"/>
      <c r="BNB89" s="996"/>
      <c r="BNC89" s="996"/>
      <c r="BND89" s="996"/>
      <c r="BNE89" s="996"/>
      <c r="BNF89" s="996"/>
      <c r="BNG89" s="996"/>
      <c r="BNH89" s="996"/>
      <c r="BNI89" s="996"/>
      <c r="BNJ89" s="996"/>
      <c r="BNK89" s="996"/>
      <c r="BNL89" s="996"/>
      <c r="BNM89" s="996"/>
      <c r="BNN89" s="996"/>
      <c r="BNO89" s="996"/>
      <c r="BNP89" s="996"/>
      <c r="BNQ89" s="996"/>
      <c r="BNR89" s="996"/>
      <c r="BNS89" s="996"/>
      <c r="BNT89" s="996"/>
      <c r="BNU89" s="996"/>
      <c r="BNV89" s="996"/>
      <c r="BNW89" s="996"/>
      <c r="BNX89" s="996"/>
      <c r="BNY89" s="996"/>
      <c r="BNZ89" s="996"/>
      <c r="BOA89" s="996"/>
      <c r="BOB89" s="996"/>
      <c r="BOC89" s="996"/>
      <c r="BOD89" s="996"/>
      <c r="BOE89" s="996"/>
      <c r="BOF89" s="996"/>
      <c r="BOG89" s="996"/>
      <c r="BOH89" s="996"/>
      <c r="BOI89" s="996"/>
      <c r="BOJ89" s="996"/>
      <c r="BOK89" s="996"/>
      <c r="BOL89" s="996"/>
      <c r="BOM89" s="996"/>
      <c r="BON89" s="996"/>
      <c r="BOO89" s="996"/>
      <c r="BOP89" s="996"/>
      <c r="BOQ89" s="996"/>
      <c r="BOR89" s="996"/>
      <c r="BOS89" s="996"/>
      <c r="BOT89" s="996"/>
      <c r="BOU89" s="996"/>
      <c r="BOV89" s="996"/>
      <c r="BOW89" s="996"/>
      <c r="BOX89" s="996"/>
      <c r="BOY89" s="996"/>
      <c r="BOZ89" s="996"/>
      <c r="BPA89" s="996"/>
      <c r="BPB89" s="996"/>
      <c r="BPC89" s="996"/>
      <c r="BPD89" s="996"/>
      <c r="BPE89" s="996"/>
      <c r="BPF89" s="996"/>
      <c r="BPG89" s="996"/>
      <c r="BPH89" s="996"/>
      <c r="BPI89" s="996"/>
      <c r="BPJ89" s="996"/>
      <c r="BPK89" s="996"/>
      <c r="BPL89" s="996"/>
      <c r="BPM89" s="996"/>
      <c r="BPN89" s="996"/>
      <c r="BPO89" s="996"/>
      <c r="BPP89" s="996"/>
      <c r="BPQ89" s="996"/>
      <c r="BPR89" s="996"/>
      <c r="BPS89" s="996"/>
      <c r="BPT89" s="996"/>
      <c r="BPU89" s="996"/>
      <c r="BPV89" s="996"/>
      <c r="BPW89" s="996"/>
      <c r="BPX89" s="996"/>
      <c r="BPY89" s="996"/>
      <c r="BPZ89" s="996"/>
      <c r="BQA89" s="996"/>
      <c r="BQB89" s="996"/>
      <c r="BQC89" s="996"/>
      <c r="BQD89" s="996"/>
      <c r="BQE89" s="996"/>
      <c r="BQF89" s="996"/>
      <c r="BQG89" s="996"/>
      <c r="BQH89" s="996"/>
      <c r="BQI89" s="996"/>
      <c r="BQJ89" s="996"/>
      <c r="BQK89" s="996"/>
      <c r="BQL89" s="996"/>
      <c r="BQM89" s="996"/>
      <c r="BQN89" s="996"/>
      <c r="BQO89" s="996"/>
      <c r="BQP89" s="996"/>
      <c r="BQQ89" s="996"/>
      <c r="BQR89" s="996"/>
      <c r="BQS89" s="996"/>
      <c r="BQT89" s="996"/>
      <c r="BQU89" s="996"/>
      <c r="BQV89" s="996"/>
      <c r="BQW89" s="996"/>
      <c r="BQX89" s="996"/>
      <c r="BQY89" s="996"/>
      <c r="BQZ89" s="996"/>
      <c r="BRA89" s="996"/>
      <c r="BRB89" s="996"/>
      <c r="BRC89" s="996"/>
      <c r="BRD89" s="996"/>
      <c r="BRE89" s="996"/>
      <c r="BRF89" s="996"/>
      <c r="BRG89" s="996"/>
      <c r="BRH89" s="996"/>
      <c r="BRI89" s="996"/>
      <c r="BRJ89" s="996"/>
      <c r="BRK89" s="996"/>
      <c r="BRL89" s="996"/>
      <c r="BRM89" s="996"/>
      <c r="BRN89" s="996"/>
      <c r="BRO89" s="996"/>
      <c r="BRP89" s="996"/>
      <c r="BRQ89" s="996"/>
      <c r="BRR89" s="996"/>
      <c r="BRS89" s="996"/>
      <c r="BRT89" s="996"/>
      <c r="BRU89" s="996"/>
      <c r="BRV89" s="996"/>
      <c r="BRW89" s="996"/>
      <c r="BRX89" s="996"/>
      <c r="BRY89" s="996"/>
      <c r="BRZ89" s="996"/>
      <c r="BSA89" s="996"/>
      <c r="BSB89" s="996"/>
      <c r="BSC89" s="996"/>
      <c r="BSD89" s="996"/>
      <c r="BSE89" s="996"/>
      <c r="BSF89" s="996"/>
      <c r="BSG89" s="996"/>
      <c r="BSH89" s="996"/>
      <c r="BSI89" s="996"/>
      <c r="BSJ89" s="996"/>
      <c r="BSK89" s="996"/>
      <c r="BSL89" s="996"/>
      <c r="BSM89" s="996"/>
      <c r="BSN89" s="996"/>
      <c r="BSO89" s="996"/>
      <c r="BSP89" s="996"/>
      <c r="BSQ89" s="996"/>
      <c r="BSR89" s="996"/>
      <c r="BSS89" s="996"/>
      <c r="BST89" s="996"/>
      <c r="BSU89" s="996"/>
      <c r="BSV89" s="996"/>
      <c r="BSW89" s="996"/>
      <c r="BSX89" s="996"/>
      <c r="BSY89" s="996"/>
      <c r="BSZ89" s="996"/>
      <c r="BTA89" s="996"/>
      <c r="BTB89" s="996"/>
      <c r="BTC89" s="996"/>
      <c r="BTD89" s="996"/>
      <c r="BTE89" s="996"/>
      <c r="BTF89" s="996"/>
      <c r="BTG89" s="996"/>
      <c r="BTH89" s="996"/>
      <c r="BTI89" s="996"/>
      <c r="BTJ89" s="996"/>
      <c r="BTK89" s="996"/>
      <c r="BTL89" s="996"/>
      <c r="BTM89" s="996"/>
      <c r="BTN89" s="996"/>
      <c r="BTO89" s="996"/>
      <c r="BTP89" s="996"/>
      <c r="BTQ89" s="996"/>
      <c r="BTR89" s="996"/>
      <c r="BTS89" s="996"/>
      <c r="BTT89" s="996"/>
      <c r="BTU89" s="996"/>
      <c r="BTV89" s="996"/>
      <c r="BTW89" s="996"/>
      <c r="BTX89" s="996"/>
      <c r="BTY89" s="996"/>
      <c r="BTZ89" s="996"/>
      <c r="BUA89" s="996"/>
      <c r="BUB89" s="996"/>
      <c r="BUC89" s="996"/>
      <c r="BUD89" s="996"/>
      <c r="BUE89" s="996"/>
      <c r="BUF89" s="996"/>
      <c r="BUG89" s="996"/>
      <c r="BUH89" s="996"/>
      <c r="BUI89" s="996"/>
      <c r="BUJ89" s="996"/>
      <c r="BUK89" s="996"/>
      <c r="BUL89" s="996"/>
      <c r="BUM89" s="996"/>
      <c r="BUN89" s="996"/>
      <c r="BUO89" s="996"/>
      <c r="BUP89" s="996"/>
      <c r="BUQ89" s="996"/>
      <c r="BUR89" s="996"/>
      <c r="BUS89" s="996"/>
      <c r="BUT89" s="996"/>
      <c r="BUU89" s="996"/>
      <c r="BUV89" s="996"/>
      <c r="BUW89" s="996"/>
      <c r="BUX89" s="996"/>
      <c r="BUY89" s="996"/>
      <c r="BUZ89" s="996"/>
      <c r="BVA89" s="996"/>
      <c r="BVB89" s="996"/>
      <c r="BVC89" s="996"/>
      <c r="BVD89" s="996"/>
      <c r="BVE89" s="996"/>
      <c r="BVF89" s="996"/>
      <c r="BVG89" s="996"/>
      <c r="BVH89" s="996"/>
      <c r="BVI89" s="996"/>
      <c r="BVJ89" s="996"/>
      <c r="BVK89" s="996"/>
      <c r="BVL89" s="996"/>
      <c r="BVM89" s="996"/>
      <c r="BVN89" s="996"/>
      <c r="BVO89" s="996"/>
      <c r="BVP89" s="996"/>
      <c r="BVQ89" s="996"/>
      <c r="BVR89" s="996"/>
      <c r="BVS89" s="996"/>
      <c r="BVT89" s="996"/>
      <c r="BVU89" s="996"/>
      <c r="BVV89" s="996"/>
      <c r="BVW89" s="996"/>
      <c r="BVX89" s="996"/>
      <c r="BVY89" s="996"/>
      <c r="BVZ89" s="996"/>
      <c r="BWA89" s="996"/>
      <c r="BWB89" s="996"/>
      <c r="BWC89" s="996"/>
      <c r="BWD89" s="996"/>
      <c r="BWE89" s="996"/>
      <c r="BWF89" s="996"/>
      <c r="BWG89" s="996"/>
      <c r="BWH89" s="996"/>
      <c r="BWI89" s="996"/>
      <c r="BWJ89" s="996"/>
      <c r="BWK89" s="996"/>
      <c r="BWL89" s="996"/>
      <c r="BWM89" s="996"/>
      <c r="BWN89" s="996"/>
      <c r="BWO89" s="996"/>
      <c r="BWP89" s="996"/>
      <c r="BWQ89" s="996"/>
      <c r="BWR89" s="996"/>
      <c r="BWS89" s="996"/>
      <c r="BWT89" s="996"/>
      <c r="BWU89" s="996"/>
      <c r="BWV89" s="996"/>
      <c r="BWW89" s="996"/>
      <c r="BWX89" s="996"/>
      <c r="BWY89" s="996"/>
      <c r="BWZ89" s="996"/>
      <c r="BXA89" s="996"/>
      <c r="BXB89" s="996"/>
      <c r="BXC89" s="996"/>
      <c r="BXD89" s="996"/>
      <c r="BXE89" s="996"/>
      <c r="BXF89" s="996"/>
      <c r="BXG89" s="996"/>
      <c r="BXH89" s="996"/>
      <c r="BXI89" s="996"/>
      <c r="BXJ89" s="996"/>
      <c r="BXK89" s="996"/>
      <c r="BXL89" s="996"/>
      <c r="BXM89" s="996"/>
      <c r="BXN89" s="996"/>
      <c r="BXO89" s="996"/>
      <c r="BXP89" s="996"/>
      <c r="BXQ89" s="996"/>
      <c r="BXR89" s="996"/>
      <c r="BXS89" s="996"/>
      <c r="BXT89" s="996"/>
      <c r="BXU89" s="996"/>
      <c r="BXV89" s="996"/>
      <c r="BXW89" s="996"/>
      <c r="BXX89" s="996"/>
      <c r="BXY89" s="996"/>
      <c r="BXZ89" s="996"/>
      <c r="BYA89" s="996"/>
      <c r="BYB89" s="996"/>
      <c r="BYC89" s="996"/>
      <c r="BYD89" s="996"/>
      <c r="BYE89" s="996"/>
      <c r="BYF89" s="996"/>
      <c r="BYG89" s="996"/>
      <c r="BYH89" s="996"/>
      <c r="BYI89" s="996"/>
      <c r="BYJ89" s="996"/>
      <c r="BYK89" s="996"/>
      <c r="BYL89" s="996"/>
      <c r="BYM89" s="996"/>
      <c r="BYN89" s="996"/>
      <c r="BYO89" s="996"/>
      <c r="BYP89" s="996"/>
      <c r="BYQ89" s="996"/>
      <c r="BYR89" s="996"/>
      <c r="BYS89" s="996"/>
      <c r="BYT89" s="996"/>
      <c r="BYU89" s="996"/>
      <c r="BYV89" s="996"/>
      <c r="BYW89" s="996"/>
      <c r="BYX89" s="996"/>
      <c r="BYY89" s="996"/>
      <c r="BYZ89" s="996"/>
      <c r="BZA89" s="996"/>
      <c r="BZB89" s="996"/>
      <c r="BZC89" s="996"/>
      <c r="BZD89" s="996"/>
      <c r="BZE89" s="996"/>
      <c r="BZF89" s="996"/>
      <c r="BZG89" s="996"/>
      <c r="BZH89" s="996"/>
      <c r="BZI89" s="996"/>
      <c r="BZJ89" s="996"/>
      <c r="BZK89" s="996"/>
      <c r="BZL89" s="996"/>
      <c r="BZM89" s="996"/>
      <c r="BZN89" s="996"/>
      <c r="BZO89" s="996"/>
      <c r="BZP89" s="996"/>
      <c r="BZQ89" s="996"/>
      <c r="BZR89" s="996"/>
      <c r="BZS89" s="996"/>
      <c r="BZT89" s="996"/>
      <c r="BZU89" s="996"/>
      <c r="BZV89" s="996"/>
      <c r="BZW89" s="996"/>
      <c r="BZX89" s="996"/>
      <c r="BZY89" s="996"/>
      <c r="BZZ89" s="996"/>
      <c r="CAA89" s="996"/>
      <c r="CAB89" s="996"/>
      <c r="CAC89" s="996"/>
      <c r="CAD89" s="996"/>
      <c r="CAE89" s="996"/>
      <c r="CAF89" s="996"/>
      <c r="CAG89" s="996"/>
      <c r="CAH89" s="996"/>
      <c r="CAI89" s="996"/>
      <c r="CAJ89" s="996"/>
      <c r="CAK89" s="996"/>
      <c r="CAL89" s="996"/>
      <c r="CAM89" s="996"/>
      <c r="CAN89" s="996"/>
      <c r="CAO89" s="996"/>
      <c r="CAP89" s="996"/>
      <c r="CAQ89" s="996"/>
      <c r="CAR89" s="996"/>
      <c r="CAS89" s="996"/>
      <c r="CAT89" s="996"/>
      <c r="CAU89" s="996"/>
      <c r="CAV89" s="996"/>
      <c r="CAW89" s="996"/>
      <c r="CAX89" s="996"/>
      <c r="CAY89" s="996"/>
      <c r="CAZ89" s="996"/>
      <c r="CBA89" s="996"/>
      <c r="CBB89" s="996"/>
      <c r="CBC89" s="996"/>
      <c r="CBD89" s="996"/>
      <c r="CBE89" s="996"/>
      <c r="CBF89" s="996"/>
      <c r="CBG89" s="996"/>
      <c r="CBH89" s="996"/>
      <c r="CBI89" s="996"/>
      <c r="CBJ89" s="996"/>
      <c r="CBK89" s="996"/>
      <c r="CBL89" s="996"/>
      <c r="CBM89" s="996"/>
      <c r="CBN89" s="996"/>
      <c r="CBO89" s="996"/>
      <c r="CBP89" s="996"/>
      <c r="CBQ89" s="996"/>
      <c r="CBR89" s="996"/>
      <c r="CBS89" s="996"/>
      <c r="CBT89" s="996"/>
      <c r="CBU89" s="996"/>
      <c r="CBV89" s="996"/>
      <c r="CBW89" s="996"/>
      <c r="CBX89" s="996"/>
      <c r="CBY89" s="996"/>
      <c r="CBZ89" s="996"/>
      <c r="CCA89" s="996"/>
      <c r="CCB89" s="996"/>
      <c r="CCC89" s="996"/>
      <c r="CCD89" s="996"/>
      <c r="CCE89" s="996"/>
      <c r="CCF89" s="996"/>
      <c r="CCG89" s="996"/>
      <c r="CCH89" s="996"/>
      <c r="CCI89" s="996"/>
      <c r="CCJ89" s="996"/>
      <c r="CCK89" s="996"/>
      <c r="CCL89" s="996"/>
      <c r="CCM89" s="996"/>
      <c r="CCN89" s="996"/>
      <c r="CCO89" s="996"/>
      <c r="CCP89" s="996"/>
      <c r="CCQ89" s="996"/>
      <c r="CCR89" s="996"/>
      <c r="CCS89" s="996"/>
      <c r="CCT89" s="996"/>
      <c r="CCU89" s="996"/>
      <c r="CCV89" s="996"/>
      <c r="CCW89" s="996"/>
      <c r="CCX89" s="996"/>
      <c r="CCY89" s="996"/>
      <c r="CCZ89" s="996"/>
      <c r="CDA89" s="996"/>
      <c r="CDB89" s="996"/>
      <c r="CDC89" s="996"/>
      <c r="CDD89" s="996"/>
      <c r="CDE89" s="996"/>
      <c r="CDF89" s="996"/>
      <c r="CDG89" s="996"/>
      <c r="CDH89" s="996"/>
      <c r="CDI89" s="996"/>
      <c r="CDJ89" s="996"/>
      <c r="CDK89" s="996"/>
      <c r="CDL89" s="996"/>
      <c r="CDM89" s="996"/>
      <c r="CDN89" s="996"/>
      <c r="CDO89" s="996"/>
      <c r="CDP89" s="996"/>
      <c r="CDQ89" s="996"/>
      <c r="CDR89" s="996"/>
      <c r="CDS89" s="996"/>
      <c r="CDT89" s="996"/>
      <c r="CDU89" s="996"/>
      <c r="CDV89" s="996"/>
      <c r="CDW89" s="996"/>
      <c r="CDX89" s="996"/>
      <c r="CDY89" s="996"/>
      <c r="CDZ89" s="996"/>
      <c r="CEA89" s="996"/>
      <c r="CEB89" s="996"/>
      <c r="CEC89" s="996"/>
      <c r="CED89" s="996"/>
      <c r="CEE89" s="996"/>
      <c r="CEF89" s="996"/>
      <c r="CEG89" s="996"/>
      <c r="CEH89" s="996"/>
      <c r="CEI89" s="996"/>
      <c r="CEJ89" s="996"/>
      <c r="CEK89" s="996"/>
      <c r="CEL89" s="996"/>
      <c r="CEM89" s="996"/>
      <c r="CEN89" s="996"/>
      <c r="CEO89" s="996"/>
      <c r="CEP89" s="996"/>
      <c r="CEQ89" s="996"/>
      <c r="CER89" s="996"/>
      <c r="CES89" s="996"/>
      <c r="CET89" s="996"/>
      <c r="CEU89" s="996"/>
      <c r="CEV89" s="996"/>
      <c r="CEW89" s="996"/>
      <c r="CEX89" s="996"/>
      <c r="CEY89" s="996"/>
      <c r="CEZ89" s="996"/>
      <c r="CFA89" s="996"/>
      <c r="CFB89" s="996"/>
      <c r="CFC89" s="996"/>
      <c r="CFD89" s="996"/>
      <c r="CFE89" s="996"/>
      <c r="CFF89" s="996"/>
      <c r="CFG89" s="996"/>
      <c r="CFH89" s="996"/>
      <c r="CFI89" s="996"/>
      <c r="CFJ89" s="996"/>
      <c r="CFK89" s="996"/>
      <c r="CFL89" s="996"/>
      <c r="CFM89" s="996"/>
      <c r="CFN89" s="996"/>
      <c r="CFO89" s="996"/>
      <c r="CFP89" s="996"/>
      <c r="CFQ89" s="996"/>
      <c r="CFR89" s="996"/>
      <c r="CFS89" s="996"/>
      <c r="CFT89" s="996"/>
      <c r="CFU89" s="996"/>
      <c r="CFV89" s="996"/>
      <c r="CFW89" s="996"/>
      <c r="CFX89" s="996"/>
      <c r="CFY89" s="996"/>
      <c r="CFZ89" s="996"/>
      <c r="CGA89" s="996"/>
      <c r="CGB89" s="996"/>
      <c r="CGC89" s="996"/>
      <c r="CGD89" s="996"/>
      <c r="CGE89" s="996"/>
      <c r="CGF89" s="996"/>
      <c r="CGG89" s="996"/>
      <c r="CGH89" s="996"/>
      <c r="CGI89" s="996"/>
      <c r="CGJ89" s="996"/>
      <c r="CGK89" s="996"/>
      <c r="CGL89" s="996"/>
      <c r="CGM89" s="996"/>
      <c r="CGN89" s="996"/>
      <c r="CGO89" s="996"/>
      <c r="CGP89" s="996"/>
      <c r="CGQ89" s="996"/>
      <c r="CGR89" s="996"/>
      <c r="CGS89" s="996"/>
      <c r="CGT89" s="996"/>
      <c r="CGU89" s="996"/>
      <c r="CGV89" s="996"/>
      <c r="CGW89" s="996"/>
      <c r="CGX89" s="996"/>
      <c r="CGY89" s="996"/>
      <c r="CGZ89" s="996"/>
      <c r="CHA89" s="996"/>
      <c r="CHB89" s="996"/>
      <c r="CHC89" s="996"/>
      <c r="CHD89" s="996"/>
      <c r="CHE89" s="996"/>
      <c r="CHF89" s="996"/>
      <c r="CHG89" s="996"/>
      <c r="CHH89" s="996"/>
      <c r="CHI89" s="996"/>
      <c r="CHJ89" s="996"/>
      <c r="CHK89" s="996"/>
      <c r="CHL89" s="996"/>
      <c r="CHM89" s="996"/>
      <c r="CHN89" s="996"/>
      <c r="CHO89" s="996"/>
      <c r="CHP89" s="996"/>
      <c r="CHQ89" s="996"/>
      <c r="CHR89" s="996"/>
      <c r="CHS89" s="996"/>
      <c r="CHT89" s="996"/>
      <c r="CHU89" s="996"/>
      <c r="CHV89" s="996"/>
      <c r="CHW89" s="996"/>
      <c r="CHX89" s="996"/>
      <c r="CHY89" s="996"/>
      <c r="CHZ89" s="996"/>
      <c r="CIA89" s="996"/>
      <c r="CIB89" s="996"/>
      <c r="CIC89" s="996"/>
      <c r="CID89" s="996"/>
      <c r="CIE89" s="996"/>
      <c r="CIF89" s="996"/>
      <c r="CIG89" s="996"/>
      <c r="CIH89" s="996"/>
      <c r="CII89" s="996"/>
      <c r="CIJ89" s="996"/>
      <c r="CIK89" s="996"/>
      <c r="CIL89" s="996"/>
      <c r="CIM89" s="996"/>
      <c r="CIN89" s="996"/>
      <c r="CIO89" s="996"/>
      <c r="CIP89" s="996"/>
      <c r="CIQ89" s="996"/>
      <c r="CIR89" s="996"/>
      <c r="CIS89" s="996"/>
      <c r="CIT89" s="996"/>
      <c r="CIU89" s="996"/>
      <c r="CIV89" s="996"/>
      <c r="CIW89" s="996"/>
      <c r="CIX89" s="996"/>
      <c r="CIY89" s="996"/>
      <c r="CIZ89" s="996"/>
      <c r="CJA89" s="996"/>
      <c r="CJB89" s="996"/>
      <c r="CJC89" s="996"/>
      <c r="CJD89" s="996"/>
      <c r="CJE89" s="996"/>
      <c r="CJF89" s="996"/>
      <c r="CJG89" s="996"/>
      <c r="CJH89" s="996"/>
      <c r="CJI89" s="996"/>
      <c r="CJJ89" s="996"/>
      <c r="CJK89" s="996"/>
      <c r="CJL89" s="996"/>
      <c r="CJM89" s="996"/>
      <c r="CJN89" s="996"/>
      <c r="CJO89" s="996"/>
      <c r="CJP89" s="996"/>
      <c r="CJQ89" s="996"/>
      <c r="CJR89" s="996"/>
      <c r="CJS89" s="996"/>
      <c r="CJT89" s="996"/>
      <c r="CJU89" s="996"/>
      <c r="CJV89" s="996"/>
      <c r="CJW89" s="996"/>
      <c r="CJX89" s="996"/>
      <c r="CJY89" s="996"/>
      <c r="CJZ89" s="996"/>
      <c r="CKA89" s="996"/>
      <c r="CKB89" s="996"/>
      <c r="CKC89" s="996"/>
      <c r="CKD89" s="996"/>
      <c r="CKE89" s="996"/>
      <c r="CKF89" s="996"/>
      <c r="CKG89" s="996"/>
      <c r="CKH89" s="996"/>
      <c r="CKI89" s="996"/>
      <c r="CKJ89" s="996"/>
      <c r="CKK89" s="996"/>
      <c r="CKL89" s="996"/>
      <c r="CKM89" s="996"/>
      <c r="CKN89" s="996"/>
      <c r="CKO89" s="996"/>
      <c r="CKP89" s="996"/>
      <c r="CKQ89" s="996"/>
      <c r="CKR89" s="996"/>
      <c r="CKS89" s="996"/>
      <c r="CKT89" s="996"/>
      <c r="CKU89" s="996"/>
      <c r="CKV89" s="996"/>
      <c r="CKW89" s="996"/>
      <c r="CKX89" s="996"/>
      <c r="CKY89" s="996"/>
      <c r="CKZ89" s="996"/>
      <c r="CLA89" s="996"/>
      <c r="CLB89" s="996"/>
      <c r="CLC89" s="996"/>
      <c r="CLD89" s="996"/>
      <c r="CLE89" s="996"/>
      <c r="CLF89" s="996"/>
      <c r="CLG89" s="996"/>
      <c r="CLH89" s="996"/>
      <c r="CLI89" s="996"/>
      <c r="CLJ89" s="996"/>
      <c r="CLK89" s="996"/>
      <c r="CLL89" s="996"/>
      <c r="CLM89" s="996"/>
      <c r="CLN89" s="996"/>
      <c r="CLO89" s="996"/>
      <c r="CLP89" s="996"/>
      <c r="CLQ89" s="996"/>
      <c r="CLR89" s="996"/>
      <c r="CLS89" s="996"/>
      <c r="CLT89" s="996"/>
      <c r="CLU89" s="996"/>
      <c r="CLV89" s="996"/>
      <c r="CLW89" s="996"/>
      <c r="CLX89" s="996"/>
      <c r="CLY89" s="996"/>
      <c r="CLZ89" s="996"/>
      <c r="CMA89" s="996"/>
      <c r="CMB89" s="996"/>
      <c r="CMC89" s="996"/>
      <c r="CMD89" s="996"/>
      <c r="CME89" s="996"/>
      <c r="CMF89" s="996"/>
      <c r="CMG89" s="996"/>
      <c r="CMH89" s="996"/>
      <c r="CMI89" s="996"/>
      <c r="CMJ89" s="996"/>
      <c r="CMK89" s="996"/>
      <c r="CML89" s="996"/>
      <c r="CMM89" s="996"/>
      <c r="CMN89" s="996"/>
      <c r="CMO89" s="996"/>
      <c r="CMP89" s="996"/>
      <c r="CMQ89" s="996"/>
      <c r="CMR89" s="996"/>
      <c r="CMS89" s="996"/>
      <c r="CMT89" s="996"/>
      <c r="CMU89" s="996"/>
      <c r="CMV89" s="996"/>
      <c r="CMW89" s="996"/>
      <c r="CMX89" s="996"/>
      <c r="CMY89" s="996"/>
      <c r="CMZ89" s="996"/>
      <c r="CNA89" s="996"/>
      <c r="CNB89" s="996"/>
      <c r="CNC89" s="996"/>
      <c r="CND89" s="996"/>
      <c r="CNE89" s="996"/>
      <c r="CNF89" s="996"/>
      <c r="CNG89" s="996"/>
      <c r="CNH89" s="996"/>
      <c r="CNI89" s="996"/>
      <c r="CNJ89" s="996"/>
      <c r="CNK89" s="996"/>
      <c r="CNL89" s="996"/>
      <c r="CNM89" s="996"/>
      <c r="CNN89" s="996"/>
      <c r="CNO89" s="996"/>
      <c r="CNP89" s="996"/>
      <c r="CNQ89" s="996"/>
      <c r="CNR89" s="996"/>
      <c r="CNS89" s="996"/>
      <c r="CNT89" s="996"/>
      <c r="CNU89" s="996"/>
      <c r="CNV89" s="996"/>
      <c r="CNW89" s="996"/>
      <c r="CNX89" s="996"/>
      <c r="CNY89" s="996"/>
      <c r="CNZ89" s="996"/>
      <c r="COA89" s="996"/>
      <c r="COB89" s="996"/>
      <c r="COC89" s="996"/>
      <c r="COD89" s="996"/>
      <c r="COE89" s="996"/>
      <c r="COF89" s="996"/>
      <c r="COG89" s="996"/>
      <c r="COH89" s="996"/>
      <c r="COI89" s="996"/>
      <c r="COJ89" s="996"/>
      <c r="COK89" s="996"/>
      <c r="COL89" s="996"/>
      <c r="COM89" s="996"/>
      <c r="CON89" s="996"/>
      <c r="COO89" s="996"/>
      <c r="COP89" s="996"/>
      <c r="COQ89" s="996"/>
      <c r="COR89" s="996"/>
      <c r="COS89" s="996"/>
      <c r="COT89" s="996"/>
      <c r="COU89" s="996"/>
      <c r="COV89" s="996"/>
      <c r="COW89" s="996"/>
      <c r="COX89" s="996"/>
      <c r="COY89" s="996"/>
      <c r="COZ89" s="996"/>
      <c r="CPA89" s="996"/>
      <c r="CPB89" s="996"/>
      <c r="CPC89" s="996"/>
      <c r="CPD89" s="996"/>
      <c r="CPE89" s="996"/>
      <c r="CPF89" s="996"/>
      <c r="CPG89" s="996"/>
      <c r="CPH89" s="996"/>
      <c r="CPI89" s="996"/>
      <c r="CPJ89" s="996"/>
      <c r="CPK89" s="996"/>
      <c r="CPL89" s="996"/>
      <c r="CPM89" s="996"/>
      <c r="CPN89" s="996"/>
      <c r="CPO89" s="996"/>
      <c r="CPP89" s="996"/>
      <c r="CPQ89" s="996"/>
      <c r="CPR89" s="996"/>
      <c r="CPS89" s="996"/>
      <c r="CPT89" s="996"/>
      <c r="CPU89" s="996"/>
      <c r="CPV89" s="996"/>
      <c r="CPW89" s="996"/>
      <c r="CPX89" s="996"/>
      <c r="CPY89" s="996"/>
      <c r="CPZ89" s="996"/>
      <c r="CQA89" s="996"/>
      <c r="CQB89" s="996"/>
      <c r="CQC89" s="996"/>
      <c r="CQD89" s="996"/>
      <c r="CQE89" s="996"/>
      <c r="CQF89" s="996"/>
      <c r="CQG89" s="996"/>
      <c r="CQH89" s="996"/>
      <c r="CQI89" s="996"/>
      <c r="CQJ89" s="996"/>
      <c r="CQK89" s="996"/>
      <c r="CQL89" s="996"/>
      <c r="CQM89" s="996"/>
      <c r="CQN89" s="996"/>
      <c r="CQO89" s="996"/>
      <c r="CQP89" s="996"/>
      <c r="CQQ89" s="996"/>
      <c r="CQR89" s="996"/>
      <c r="CQS89" s="996"/>
      <c r="CQT89" s="996"/>
      <c r="CQU89" s="996"/>
      <c r="CQV89" s="996"/>
      <c r="CQW89" s="996"/>
      <c r="CQX89" s="996"/>
      <c r="CQY89" s="996"/>
      <c r="CQZ89" s="996"/>
      <c r="CRA89" s="996"/>
      <c r="CRB89" s="996"/>
      <c r="CRC89" s="996"/>
      <c r="CRD89" s="996"/>
      <c r="CRE89" s="996"/>
      <c r="CRF89" s="996"/>
      <c r="CRG89" s="996"/>
      <c r="CRH89" s="996"/>
      <c r="CRI89" s="996"/>
      <c r="CRJ89" s="996"/>
      <c r="CRK89" s="996"/>
      <c r="CRL89" s="996"/>
      <c r="CRM89" s="996"/>
      <c r="CRN89" s="996"/>
      <c r="CRO89" s="996"/>
      <c r="CRP89" s="996"/>
      <c r="CRQ89" s="996"/>
      <c r="CRR89" s="996"/>
      <c r="CRS89" s="996"/>
      <c r="CRT89" s="996"/>
      <c r="CRU89" s="996"/>
      <c r="CRV89" s="996"/>
      <c r="CRW89" s="996"/>
      <c r="CRX89" s="996"/>
      <c r="CRY89" s="996"/>
      <c r="CRZ89" s="996"/>
      <c r="CSA89" s="996"/>
      <c r="CSB89" s="996"/>
      <c r="CSC89" s="996"/>
      <c r="CSD89" s="996"/>
      <c r="CSE89" s="996"/>
      <c r="CSF89" s="996"/>
      <c r="CSG89" s="996"/>
      <c r="CSH89" s="996"/>
      <c r="CSI89" s="996"/>
      <c r="CSJ89" s="996"/>
      <c r="CSK89" s="996"/>
      <c r="CSL89" s="996"/>
      <c r="CSM89" s="996"/>
      <c r="CSN89" s="996"/>
      <c r="CSO89" s="996"/>
      <c r="CSP89" s="996"/>
      <c r="CSQ89" s="996"/>
      <c r="CSR89" s="996"/>
      <c r="CSS89" s="996"/>
      <c r="CST89" s="996"/>
      <c r="CSU89" s="996"/>
      <c r="CSV89" s="996"/>
      <c r="CSW89" s="996"/>
      <c r="CSX89" s="996"/>
      <c r="CSY89" s="996"/>
      <c r="CSZ89" s="996"/>
      <c r="CTA89" s="996"/>
      <c r="CTB89" s="996"/>
      <c r="CTC89" s="996"/>
      <c r="CTD89" s="996"/>
      <c r="CTE89" s="996"/>
      <c r="CTF89" s="996"/>
      <c r="CTG89" s="996"/>
      <c r="CTH89" s="996"/>
      <c r="CTI89" s="996"/>
      <c r="CTJ89" s="996"/>
      <c r="CTK89" s="996"/>
      <c r="CTL89" s="996"/>
      <c r="CTM89" s="996"/>
      <c r="CTN89" s="996"/>
      <c r="CTO89" s="996"/>
      <c r="CTP89" s="996"/>
      <c r="CTQ89" s="996"/>
      <c r="CTR89" s="996"/>
      <c r="CTS89" s="996"/>
      <c r="CTT89" s="996"/>
      <c r="CTU89" s="996"/>
      <c r="CTV89" s="996"/>
      <c r="CTW89" s="996"/>
      <c r="CTX89" s="996"/>
      <c r="CTY89" s="996"/>
      <c r="CTZ89" s="996"/>
      <c r="CUA89" s="996"/>
      <c r="CUB89" s="996"/>
      <c r="CUC89" s="996"/>
      <c r="CUD89" s="996"/>
      <c r="CUE89" s="996"/>
      <c r="CUF89" s="996"/>
      <c r="CUG89" s="996"/>
      <c r="CUH89" s="996"/>
      <c r="CUI89" s="996"/>
      <c r="CUJ89" s="996"/>
      <c r="CUK89" s="996"/>
      <c r="CUL89" s="996"/>
      <c r="CUM89" s="996"/>
      <c r="CUN89" s="996"/>
      <c r="CUO89" s="996"/>
      <c r="CUP89" s="996"/>
      <c r="CUQ89" s="996"/>
      <c r="CUR89" s="996"/>
      <c r="CUS89" s="996"/>
      <c r="CUT89" s="996"/>
      <c r="CUU89" s="996"/>
      <c r="CUV89" s="996"/>
      <c r="CUW89" s="996"/>
      <c r="CUX89" s="996"/>
      <c r="CUY89" s="996"/>
      <c r="CUZ89" s="996"/>
      <c r="CVA89" s="996"/>
      <c r="CVB89" s="996"/>
      <c r="CVC89" s="996"/>
      <c r="CVD89" s="996"/>
      <c r="CVE89" s="996"/>
      <c r="CVF89" s="996"/>
      <c r="CVG89" s="996"/>
      <c r="CVH89" s="996"/>
      <c r="CVI89" s="996"/>
      <c r="CVJ89" s="996"/>
      <c r="CVK89" s="996"/>
      <c r="CVL89" s="996"/>
      <c r="CVM89" s="996"/>
      <c r="CVN89" s="996"/>
      <c r="CVO89" s="996"/>
      <c r="CVP89" s="996"/>
      <c r="CVQ89" s="996"/>
      <c r="CVR89" s="996"/>
      <c r="CVS89" s="996"/>
      <c r="CVT89" s="996"/>
      <c r="CVU89" s="996"/>
      <c r="CVV89" s="996"/>
      <c r="CVW89" s="996"/>
      <c r="CVX89" s="996"/>
      <c r="CVY89" s="996"/>
      <c r="CVZ89" s="996"/>
      <c r="CWA89" s="996"/>
      <c r="CWB89" s="996"/>
      <c r="CWC89" s="996"/>
      <c r="CWD89" s="996"/>
      <c r="CWE89" s="996"/>
      <c r="CWF89" s="996"/>
      <c r="CWG89" s="996"/>
      <c r="CWH89" s="996"/>
      <c r="CWI89" s="996"/>
      <c r="CWJ89" s="996"/>
      <c r="CWK89" s="996"/>
      <c r="CWL89" s="996"/>
      <c r="CWM89" s="996"/>
      <c r="CWN89" s="996"/>
      <c r="CWO89" s="996"/>
      <c r="CWP89" s="996"/>
      <c r="CWQ89" s="996"/>
      <c r="CWR89" s="996"/>
      <c r="CWS89" s="996"/>
      <c r="CWT89" s="996"/>
      <c r="CWU89" s="996"/>
      <c r="CWV89" s="996"/>
      <c r="CWW89" s="996"/>
      <c r="CWX89" s="996"/>
      <c r="CWY89" s="996"/>
      <c r="CWZ89" s="996"/>
      <c r="CXA89" s="996"/>
      <c r="CXB89" s="996"/>
      <c r="CXC89" s="996"/>
      <c r="CXD89" s="996"/>
      <c r="CXE89" s="996"/>
      <c r="CXF89" s="996"/>
      <c r="CXG89" s="996"/>
      <c r="CXH89" s="996"/>
      <c r="CXI89" s="996"/>
      <c r="CXJ89" s="996"/>
      <c r="CXK89" s="996"/>
      <c r="CXL89" s="996"/>
      <c r="CXM89" s="996"/>
      <c r="CXN89" s="996"/>
      <c r="CXO89" s="996"/>
      <c r="CXP89" s="996"/>
      <c r="CXQ89" s="996"/>
      <c r="CXR89" s="996"/>
      <c r="CXS89" s="996"/>
      <c r="CXT89" s="996"/>
      <c r="CXU89" s="996"/>
      <c r="CXV89" s="996"/>
      <c r="CXW89" s="996"/>
      <c r="CXX89" s="996"/>
      <c r="CXY89" s="996"/>
      <c r="CXZ89" s="996"/>
      <c r="CYA89" s="996"/>
      <c r="CYB89" s="996"/>
      <c r="CYC89" s="996"/>
      <c r="CYD89" s="996"/>
      <c r="CYE89" s="996"/>
      <c r="CYF89" s="996"/>
      <c r="CYG89" s="996"/>
      <c r="CYH89" s="996"/>
      <c r="CYI89" s="996"/>
      <c r="CYJ89" s="996"/>
      <c r="CYK89" s="996"/>
      <c r="CYL89" s="996"/>
      <c r="CYM89" s="996"/>
      <c r="CYN89" s="996"/>
      <c r="CYO89" s="996"/>
      <c r="CYP89" s="996"/>
      <c r="CYQ89" s="996"/>
      <c r="CYR89" s="996"/>
      <c r="CYS89" s="996"/>
      <c r="CYT89" s="996"/>
      <c r="CYU89" s="996"/>
      <c r="CYV89" s="996"/>
      <c r="CYW89" s="996"/>
      <c r="CYX89" s="996"/>
      <c r="CYY89" s="996"/>
      <c r="CYZ89" s="996"/>
      <c r="CZA89" s="996"/>
      <c r="CZB89" s="996"/>
      <c r="CZC89" s="996"/>
      <c r="CZD89" s="996"/>
      <c r="CZE89" s="996"/>
      <c r="CZF89" s="996"/>
      <c r="CZG89" s="996"/>
      <c r="CZH89" s="996"/>
      <c r="CZI89" s="996"/>
      <c r="CZJ89" s="996"/>
      <c r="CZK89" s="996"/>
      <c r="CZL89" s="996"/>
      <c r="CZM89" s="996"/>
      <c r="CZN89" s="996"/>
      <c r="CZO89" s="996"/>
      <c r="CZP89" s="996"/>
      <c r="CZQ89" s="996"/>
      <c r="CZR89" s="996"/>
      <c r="CZS89" s="996"/>
      <c r="CZT89" s="996"/>
      <c r="CZU89" s="996"/>
      <c r="CZV89" s="996"/>
      <c r="CZW89" s="996"/>
      <c r="CZX89" s="996"/>
      <c r="CZY89" s="996"/>
      <c r="CZZ89" s="996"/>
      <c r="DAA89" s="996"/>
      <c r="DAB89" s="996"/>
      <c r="DAC89" s="996"/>
      <c r="DAD89" s="996"/>
      <c r="DAE89" s="996"/>
      <c r="DAF89" s="996"/>
      <c r="DAG89" s="996"/>
      <c r="DAH89" s="996"/>
      <c r="DAI89" s="996"/>
      <c r="DAJ89" s="996"/>
      <c r="DAK89" s="996"/>
      <c r="DAL89" s="996"/>
      <c r="DAM89" s="996"/>
      <c r="DAN89" s="996"/>
      <c r="DAO89" s="996"/>
      <c r="DAP89" s="996"/>
      <c r="DAQ89" s="996"/>
      <c r="DAR89" s="996"/>
      <c r="DAS89" s="996"/>
      <c r="DAT89" s="996"/>
      <c r="DAU89" s="996"/>
      <c r="DAV89" s="996"/>
      <c r="DAW89" s="996"/>
      <c r="DAX89" s="996"/>
      <c r="DAY89" s="996"/>
      <c r="DAZ89" s="996"/>
      <c r="DBA89" s="996"/>
      <c r="DBB89" s="996"/>
      <c r="DBC89" s="996"/>
      <c r="DBD89" s="996"/>
      <c r="DBE89" s="996"/>
      <c r="DBF89" s="996"/>
      <c r="DBG89" s="996"/>
      <c r="DBH89" s="996"/>
      <c r="DBI89" s="996"/>
      <c r="DBJ89" s="996"/>
      <c r="DBK89" s="996"/>
      <c r="DBL89" s="996"/>
      <c r="DBM89" s="996"/>
      <c r="DBN89" s="996"/>
      <c r="DBO89" s="996"/>
      <c r="DBP89" s="996"/>
      <c r="DBQ89" s="996"/>
      <c r="DBR89" s="996"/>
      <c r="DBS89" s="996"/>
      <c r="DBT89" s="996"/>
      <c r="DBU89" s="996"/>
      <c r="DBV89" s="996"/>
      <c r="DBW89" s="996"/>
      <c r="DBX89" s="996"/>
      <c r="DBY89" s="996"/>
      <c r="DBZ89" s="996"/>
      <c r="DCA89" s="996"/>
      <c r="DCB89" s="996"/>
      <c r="DCC89" s="996"/>
      <c r="DCD89" s="996"/>
      <c r="DCE89" s="996"/>
      <c r="DCF89" s="996"/>
      <c r="DCG89" s="996"/>
      <c r="DCH89" s="996"/>
      <c r="DCI89" s="996"/>
      <c r="DCJ89" s="996"/>
      <c r="DCK89" s="996"/>
      <c r="DCL89" s="996"/>
      <c r="DCM89" s="996"/>
      <c r="DCN89" s="996"/>
      <c r="DCO89" s="996"/>
      <c r="DCP89" s="996"/>
      <c r="DCQ89" s="996"/>
      <c r="DCR89" s="996"/>
      <c r="DCS89" s="996"/>
      <c r="DCT89" s="996"/>
      <c r="DCU89" s="996"/>
      <c r="DCV89" s="996"/>
      <c r="DCW89" s="996"/>
      <c r="DCX89" s="996"/>
      <c r="DCY89" s="996"/>
      <c r="DCZ89" s="996"/>
      <c r="DDA89" s="996"/>
      <c r="DDB89" s="996"/>
      <c r="DDC89" s="996"/>
      <c r="DDD89" s="996"/>
      <c r="DDE89" s="996"/>
      <c r="DDF89" s="996"/>
      <c r="DDG89" s="996"/>
      <c r="DDH89" s="996"/>
      <c r="DDI89" s="996"/>
      <c r="DDJ89" s="996"/>
      <c r="DDK89" s="996"/>
      <c r="DDL89" s="996"/>
      <c r="DDM89" s="996"/>
      <c r="DDN89" s="996"/>
      <c r="DDO89" s="996"/>
      <c r="DDP89" s="996"/>
      <c r="DDQ89" s="996"/>
      <c r="DDR89" s="996"/>
      <c r="DDS89" s="996"/>
      <c r="DDT89" s="996"/>
      <c r="DDU89" s="996"/>
      <c r="DDV89" s="996"/>
      <c r="DDW89" s="996"/>
      <c r="DDX89" s="996"/>
      <c r="DDY89" s="996"/>
      <c r="DDZ89" s="996"/>
      <c r="DEA89" s="996"/>
      <c r="DEB89" s="996"/>
      <c r="DEC89" s="996"/>
      <c r="DED89" s="996"/>
      <c r="DEE89" s="996"/>
      <c r="DEF89" s="996"/>
      <c r="DEG89" s="996"/>
      <c r="DEH89" s="996"/>
      <c r="DEI89" s="996"/>
      <c r="DEJ89" s="996"/>
      <c r="DEK89" s="996"/>
      <c r="DEL89" s="996"/>
      <c r="DEM89" s="996"/>
      <c r="DEN89" s="996"/>
      <c r="DEO89" s="996"/>
      <c r="DEP89" s="996"/>
      <c r="DEQ89" s="996"/>
      <c r="DER89" s="996"/>
      <c r="DES89" s="996"/>
      <c r="DET89" s="996"/>
      <c r="DEU89" s="996"/>
      <c r="DEV89" s="996"/>
      <c r="DEW89" s="996"/>
      <c r="DEX89" s="996"/>
      <c r="DEY89" s="996"/>
      <c r="DEZ89" s="996"/>
      <c r="DFA89" s="996"/>
      <c r="DFB89" s="996"/>
      <c r="DFC89" s="996"/>
      <c r="DFD89" s="996"/>
      <c r="DFE89" s="996"/>
      <c r="DFF89" s="996"/>
      <c r="DFG89" s="996"/>
      <c r="DFH89" s="996"/>
      <c r="DFI89" s="996"/>
      <c r="DFJ89" s="996"/>
      <c r="DFK89" s="996"/>
      <c r="DFL89" s="996"/>
      <c r="DFM89" s="996"/>
      <c r="DFN89" s="996"/>
      <c r="DFO89" s="996"/>
      <c r="DFP89" s="996"/>
      <c r="DFQ89" s="996"/>
      <c r="DFR89" s="996"/>
      <c r="DFS89" s="996"/>
      <c r="DFT89" s="996"/>
      <c r="DFU89" s="996"/>
      <c r="DFV89" s="996"/>
      <c r="DFW89" s="996"/>
      <c r="DFX89" s="996"/>
      <c r="DFY89" s="996"/>
      <c r="DFZ89" s="996"/>
      <c r="DGA89" s="996"/>
      <c r="DGB89" s="996"/>
      <c r="DGC89" s="996"/>
      <c r="DGD89" s="996"/>
      <c r="DGE89" s="996"/>
      <c r="DGF89" s="996"/>
      <c r="DGG89" s="996"/>
      <c r="DGH89" s="996"/>
      <c r="DGI89" s="996"/>
      <c r="DGJ89" s="996"/>
      <c r="DGK89" s="996"/>
      <c r="DGL89" s="996"/>
      <c r="DGM89" s="996"/>
      <c r="DGN89" s="996"/>
      <c r="DGO89" s="996"/>
      <c r="DGP89" s="996"/>
      <c r="DGQ89" s="996"/>
      <c r="DGR89" s="996"/>
      <c r="DGS89" s="996"/>
      <c r="DGT89" s="996"/>
      <c r="DGU89" s="996"/>
      <c r="DGV89" s="996"/>
      <c r="DGW89" s="996"/>
      <c r="DGX89" s="996"/>
      <c r="DGY89" s="996"/>
      <c r="DGZ89" s="996"/>
      <c r="DHA89" s="996"/>
      <c r="DHB89" s="996"/>
      <c r="DHC89" s="996"/>
      <c r="DHD89" s="996"/>
      <c r="DHE89" s="996"/>
      <c r="DHF89" s="996"/>
      <c r="DHG89" s="996"/>
      <c r="DHH89" s="996"/>
      <c r="DHI89" s="996"/>
      <c r="DHJ89" s="996"/>
      <c r="DHK89" s="996"/>
      <c r="DHL89" s="996"/>
      <c r="DHM89" s="996"/>
      <c r="DHN89" s="996"/>
      <c r="DHO89" s="996"/>
      <c r="DHP89" s="996"/>
      <c r="DHQ89" s="996"/>
      <c r="DHR89" s="996"/>
      <c r="DHS89" s="996"/>
      <c r="DHT89" s="996"/>
      <c r="DHU89" s="996"/>
      <c r="DHV89" s="996"/>
      <c r="DHW89" s="996"/>
      <c r="DHX89" s="996"/>
      <c r="DHY89" s="996"/>
      <c r="DHZ89" s="996"/>
      <c r="DIA89" s="996"/>
      <c r="DIB89" s="996"/>
      <c r="DIC89" s="996"/>
      <c r="DID89" s="996"/>
      <c r="DIE89" s="996"/>
      <c r="DIF89" s="996"/>
      <c r="DIG89" s="996"/>
      <c r="DIH89" s="996"/>
      <c r="DII89" s="996"/>
      <c r="DIJ89" s="996"/>
      <c r="DIK89" s="996"/>
      <c r="DIL89" s="996"/>
      <c r="DIM89" s="996"/>
      <c r="DIN89" s="996"/>
      <c r="DIO89" s="996"/>
      <c r="DIP89" s="996"/>
      <c r="DIQ89" s="996"/>
      <c r="DIR89" s="996"/>
      <c r="DIS89" s="996"/>
      <c r="DIT89" s="996"/>
      <c r="DIU89" s="996"/>
      <c r="DIV89" s="996"/>
      <c r="DIW89" s="996"/>
      <c r="DIX89" s="996"/>
      <c r="DIY89" s="996"/>
      <c r="DIZ89" s="996"/>
      <c r="DJA89" s="996"/>
      <c r="DJB89" s="996"/>
      <c r="DJC89" s="996"/>
      <c r="DJD89" s="996"/>
      <c r="DJE89" s="996"/>
      <c r="DJF89" s="996"/>
      <c r="DJG89" s="996"/>
      <c r="DJH89" s="996"/>
      <c r="DJI89" s="996"/>
      <c r="DJJ89" s="996"/>
      <c r="DJK89" s="996"/>
      <c r="DJL89" s="996"/>
      <c r="DJM89" s="996"/>
      <c r="DJN89" s="996"/>
      <c r="DJO89" s="996"/>
      <c r="DJP89" s="996"/>
      <c r="DJQ89" s="996"/>
      <c r="DJR89" s="996"/>
      <c r="DJS89" s="996"/>
      <c r="DJT89" s="996"/>
      <c r="DJU89" s="996"/>
      <c r="DJV89" s="996"/>
      <c r="DJW89" s="996"/>
      <c r="DJX89" s="996"/>
      <c r="DJY89" s="996"/>
      <c r="DJZ89" s="996"/>
      <c r="DKA89" s="996"/>
      <c r="DKB89" s="996"/>
      <c r="DKC89" s="996"/>
      <c r="DKD89" s="996"/>
      <c r="DKE89" s="996"/>
      <c r="DKF89" s="996"/>
      <c r="DKG89" s="996"/>
      <c r="DKH89" s="996"/>
      <c r="DKI89" s="996"/>
      <c r="DKJ89" s="996"/>
      <c r="DKK89" s="996"/>
      <c r="DKL89" s="996"/>
      <c r="DKM89" s="996"/>
      <c r="DKN89" s="996"/>
      <c r="DKO89" s="996"/>
      <c r="DKP89" s="996"/>
      <c r="DKQ89" s="996"/>
      <c r="DKR89" s="996"/>
      <c r="DKS89" s="996"/>
      <c r="DKT89" s="996"/>
      <c r="DKU89" s="996"/>
      <c r="DKV89" s="996"/>
      <c r="DKW89" s="996"/>
      <c r="DKX89" s="996"/>
      <c r="DKY89" s="996"/>
      <c r="DKZ89" s="996"/>
      <c r="DLA89" s="996"/>
      <c r="DLB89" s="996"/>
      <c r="DLC89" s="996"/>
      <c r="DLD89" s="996"/>
      <c r="DLE89" s="996"/>
      <c r="DLF89" s="996"/>
      <c r="DLG89" s="996"/>
      <c r="DLH89" s="996"/>
      <c r="DLI89" s="996"/>
      <c r="DLJ89" s="996"/>
      <c r="DLK89" s="996"/>
      <c r="DLL89" s="996"/>
      <c r="DLM89" s="996"/>
      <c r="DLN89" s="996"/>
      <c r="DLO89" s="996"/>
      <c r="DLP89" s="996"/>
      <c r="DLQ89" s="996"/>
      <c r="DLR89" s="996"/>
      <c r="DLS89" s="996"/>
      <c r="DLT89" s="996"/>
      <c r="DLU89" s="996"/>
      <c r="DLV89" s="996"/>
      <c r="DLW89" s="996"/>
      <c r="DLX89" s="996"/>
      <c r="DLY89" s="996"/>
      <c r="DLZ89" s="996"/>
      <c r="DMA89" s="996"/>
      <c r="DMB89" s="996"/>
      <c r="DMC89" s="996"/>
      <c r="DMD89" s="996"/>
      <c r="DME89" s="996"/>
      <c r="DMF89" s="996"/>
      <c r="DMG89" s="996"/>
      <c r="DMH89" s="996"/>
      <c r="DMI89" s="996"/>
      <c r="DMJ89" s="996"/>
      <c r="DMK89" s="996"/>
      <c r="DML89" s="996"/>
      <c r="DMM89" s="996"/>
      <c r="DMN89" s="996"/>
      <c r="DMO89" s="996"/>
      <c r="DMP89" s="996"/>
      <c r="DMQ89" s="996"/>
      <c r="DMR89" s="996"/>
      <c r="DMS89" s="996"/>
      <c r="DMT89" s="996"/>
      <c r="DMU89" s="996"/>
      <c r="DMV89" s="996"/>
      <c r="DMW89" s="996"/>
      <c r="DMX89" s="996"/>
      <c r="DMY89" s="996"/>
      <c r="DMZ89" s="996"/>
      <c r="DNA89" s="996"/>
      <c r="DNB89" s="996"/>
      <c r="DNC89" s="996"/>
      <c r="DND89" s="996"/>
      <c r="DNE89" s="996"/>
      <c r="DNF89" s="996"/>
      <c r="DNG89" s="996"/>
      <c r="DNH89" s="996"/>
      <c r="DNI89" s="996"/>
      <c r="DNJ89" s="996"/>
      <c r="DNK89" s="996"/>
      <c r="DNL89" s="996"/>
      <c r="DNM89" s="996"/>
      <c r="DNN89" s="996"/>
      <c r="DNO89" s="996"/>
      <c r="DNP89" s="996"/>
      <c r="DNQ89" s="996"/>
      <c r="DNR89" s="996"/>
      <c r="DNS89" s="996"/>
      <c r="DNT89" s="996"/>
      <c r="DNU89" s="996"/>
      <c r="DNV89" s="996"/>
      <c r="DNW89" s="996"/>
      <c r="DNX89" s="996"/>
      <c r="DNY89" s="996"/>
      <c r="DNZ89" s="996"/>
      <c r="DOA89" s="996"/>
      <c r="DOB89" s="996"/>
      <c r="DOC89" s="996"/>
      <c r="DOD89" s="996"/>
      <c r="DOE89" s="996"/>
      <c r="DOF89" s="996"/>
      <c r="DOG89" s="996"/>
      <c r="DOH89" s="996"/>
      <c r="DOI89" s="996"/>
      <c r="DOJ89" s="996"/>
      <c r="DOK89" s="996"/>
      <c r="DOL89" s="996"/>
      <c r="DOM89" s="996"/>
      <c r="DON89" s="996"/>
      <c r="DOO89" s="996"/>
      <c r="DOP89" s="996"/>
      <c r="DOQ89" s="996"/>
      <c r="DOR89" s="996"/>
      <c r="DOS89" s="996"/>
      <c r="DOT89" s="996"/>
      <c r="DOU89" s="996"/>
      <c r="DOV89" s="996"/>
      <c r="DOW89" s="996"/>
      <c r="DOX89" s="996"/>
      <c r="DOY89" s="996"/>
      <c r="DOZ89" s="996"/>
      <c r="DPA89" s="996"/>
      <c r="DPB89" s="996"/>
      <c r="DPC89" s="996"/>
      <c r="DPD89" s="996"/>
      <c r="DPE89" s="996"/>
      <c r="DPF89" s="996"/>
      <c r="DPG89" s="996"/>
      <c r="DPH89" s="996"/>
      <c r="DPI89" s="996"/>
      <c r="DPJ89" s="996"/>
      <c r="DPK89" s="996"/>
      <c r="DPL89" s="996"/>
      <c r="DPM89" s="996"/>
      <c r="DPN89" s="996"/>
      <c r="DPO89" s="996"/>
      <c r="DPP89" s="996"/>
      <c r="DPQ89" s="996"/>
      <c r="DPR89" s="996"/>
      <c r="DPS89" s="996"/>
      <c r="DPT89" s="996"/>
      <c r="DPU89" s="996"/>
      <c r="DPV89" s="996"/>
      <c r="DPW89" s="996"/>
      <c r="DPX89" s="996"/>
      <c r="DPY89" s="996"/>
      <c r="DPZ89" s="996"/>
      <c r="DQA89" s="996"/>
      <c r="DQB89" s="996"/>
      <c r="DQC89" s="996"/>
      <c r="DQD89" s="996"/>
      <c r="DQE89" s="996"/>
      <c r="DQF89" s="996"/>
      <c r="DQG89" s="996"/>
      <c r="DQH89" s="996"/>
      <c r="DQI89" s="996"/>
      <c r="DQJ89" s="996"/>
      <c r="DQK89" s="996"/>
      <c r="DQL89" s="996"/>
      <c r="DQM89" s="996"/>
      <c r="DQN89" s="996"/>
      <c r="DQO89" s="996"/>
      <c r="DQP89" s="996"/>
      <c r="DQQ89" s="996"/>
      <c r="DQR89" s="996"/>
      <c r="DQS89" s="996"/>
      <c r="DQT89" s="996"/>
      <c r="DQU89" s="996"/>
      <c r="DQV89" s="996"/>
      <c r="DQW89" s="996"/>
      <c r="DQX89" s="996"/>
      <c r="DQY89" s="996"/>
      <c r="DQZ89" s="996"/>
      <c r="DRA89" s="996"/>
      <c r="DRB89" s="996"/>
      <c r="DRC89" s="996"/>
      <c r="DRD89" s="996"/>
      <c r="DRE89" s="996"/>
      <c r="DRF89" s="996"/>
      <c r="DRG89" s="996"/>
      <c r="DRH89" s="996"/>
      <c r="DRI89" s="996"/>
      <c r="DRJ89" s="996"/>
      <c r="DRK89" s="996"/>
      <c r="DRL89" s="996"/>
      <c r="DRM89" s="996"/>
      <c r="DRN89" s="996"/>
      <c r="DRO89" s="996"/>
      <c r="DRP89" s="996"/>
      <c r="DRQ89" s="996"/>
      <c r="DRR89" s="996"/>
      <c r="DRS89" s="996"/>
      <c r="DRT89" s="996"/>
      <c r="DRU89" s="996"/>
      <c r="DRV89" s="996"/>
      <c r="DRW89" s="996"/>
      <c r="DRX89" s="996"/>
      <c r="DRY89" s="996"/>
      <c r="DRZ89" s="996"/>
      <c r="DSA89" s="996"/>
      <c r="DSB89" s="996"/>
      <c r="DSC89" s="996"/>
      <c r="DSD89" s="996"/>
      <c r="DSE89" s="996"/>
      <c r="DSF89" s="996"/>
      <c r="DSG89" s="996"/>
      <c r="DSH89" s="996"/>
      <c r="DSI89" s="996"/>
      <c r="DSJ89" s="996"/>
      <c r="DSK89" s="996"/>
      <c r="DSL89" s="996"/>
      <c r="DSM89" s="996"/>
      <c r="DSN89" s="996"/>
      <c r="DSO89" s="996"/>
      <c r="DSP89" s="996"/>
      <c r="DSQ89" s="996"/>
      <c r="DSR89" s="996"/>
      <c r="DSS89" s="996"/>
      <c r="DST89" s="996"/>
      <c r="DSU89" s="996"/>
      <c r="DSV89" s="996"/>
      <c r="DSW89" s="996"/>
      <c r="DSX89" s="996"/>
      <c r="DSY89" s="996"/>
      <c r="DSZ89" s="996"/>
      <c r="DTA89" s="996"/>
      <c r="DTB89" s="996"/>
      <c r="DTC89" s="996"/>
      <c r="DTD89" s="996"/>
      <c r="DTE89" s="996"/>
      <c r="DTF89" s="996"/>
      <c r="DTG89" s="996"/>
      <c r="DTH89" s="996"/>
      <c r="DTI89" s="996"/>
      <c r="DTJ89" s="996"/>
      <c r="DTK89" s="996"/>
      <c r="DTL89" s="996"/>
      <c r="DTM89" s="996"/>
      <c r="DTN89" s="996"/>
      <c r="DTO89" s="996"/>
      <c r="DTP89" s="996"/>
      <c r="DTQ89" s="996"/>
      <c r="DTR89" s="996"/>
      <c r="DTS89" s="996"/>
      <c r="DTT89" s="996"/>
      <c r="DTU89" s="996"/>
      <c r="DTV89" s="996"/>
      <c r="DTW89" s="996"/>
      <c r="DTX89" s="996"/>
      <c r="DTY89" s="996"/>
      <c r="DTZ89" s="996"/>
      <c r="DUA89" s="996"/>
      <c r="DUB89" s="996"/>
      <c r="DUC89" s="996"/>
      <c r="DUD89" s="996"/>
      <c r="DUE89" s="996"/>
      <c r="DUF89" s="996"/>
      <c r="DUG89" s="996"/>
      <c r="DUH89" s="996"/>
      <c r="DUI89" s="996"/>
      <c r="DUJ89" s="996"/>
      <c r="DUK89" s="996"/>
      <c r="DUL89" s="996"/>
      <c r="DUM89" s="996"/>
      <c r="DUN89" s="996"/>
      <c r="DUO89" s="996"/>
      <c r="DUP89" s="996"/>
      <c r="DUQ89" s="996"/>
      <c r="DUR89" s="996"/>
      <c r="DUS89" s="996"/>
      <c r="DUT89" s="996"/>
      <c r="DUU89" s="996"/>
      <c r="DUV89" s="996"/>
      <c r="DUW89" s="996"/>
      <c r="DUX89" s="996"/>
      <c r="DUY89" s="996"/>
      <c r="DUZ89" s="996"/>
      <c r="DVA89" s="996"/>
      <c r="DVB89" s="996"/>
      <c r="DVC89" s="996"/>
      <c r="DVD89" s="996"/>
      <c r="DVE89" s="996"/>
      <c r="DVF89" s="996"/>
      <c r="DVG89" s="996"/>
      <c r="DVH89" s="996"/>
      <c r="DVI89" s="996"/>
      <c r="DVJ89" s="996"/>
      <c r="DVK89" s="996"/>
      <c r="DVL89" s="996"/>
      <c r="DVM89" s="996"/>
      <c r="DVN89" s="996"/>
      <c r="DVO89" s="996"/>
      <c r="DVP89" s="996"/>
      <c r="DVQ89" s="996"/>
      <c r="DVR89" s="996"/>
      <c r="DVS89" s="996"/>
      <c r="DVT89" s="996"/>
      <c r="DVU89" s="996"/>
      <c r="DVV89" s="996"/>
      <c r="DVW89" s="996"/>
      <c r="DVX89" s="996"/>
      <c r="DVY89" s="996"/>
      <c r="DVZ89" s="996"/>
      <c r="DWA89" s="996"/>
      <c r="DWB89" s="996"/>
      <c r="DWC89" s="996"/>
      <c r="DWD89" s="996"/>
      <c r="DWE89" s="996"/>
      <c r="DWF89" s="996"/>
      <c r="DWG89" s="996"/>
      <c r="DWH89" s="996"/>
      <c r="DWI89" s="996"/>
      <c r="DWJ89" s="996"/>
      <c r="DWK89" s="996"/>
      <c r="DWL89" s="996"/>
      <c r="DWM89" s="996"/>
      <c r="DWN89" s="996"/>
      <c r="DWO89" s="996"/>
      <c r="DWP89" s="996"/>
      <c r="DWQ89" s="996"/>
      <c r="DWR89" s="996"/>
      <c r="DWS89" s="996"/>
      <c r="DWT89" s="996"/>
      <c r="DWU89" s="996"/>
      <c r="DWV89" s="996"/>
      <c r="DWW89" s="996"/>
      <c r="DWX89" s="996"/>
      <c r="DWY89" s="996"/>
      <c r="DWZ89" s="996"/>
      <c r="DXA89" s="996"/>
      <c r="DXB89" s="996"/>
      <c r="DXC89" s="996"/>
      <c r="DXD89" s="996"/>
      <c r="DXE89" s="996"/>
      <c r="DXF89" s="996"/>
      <c r="DXG89" s="996"/>
      <c r="DXH89" s="996"/>
      <c r="DXI89" s="996"/>
      <c r="DXJ89" s="996"/>
      <c r="DXK89" s="996"/>
      <c r="DXL89" s="996"/>
      <c r="DXM89" s="996"/>
      <c r="DXN89" s="996"/>
      <c r="DXO89" s="996"/>
      <c r="DXP89" s="996"/>
      <c r="DXQ89" s="996"/>
      <c r="DXR89" s="996"/>
      <c r="DXS89" s="996"/>
      <c r="DXT89" s="996"/>
      <c r="DXU89" s="996"/>
      <c r="DXV89" s="996"/>
      <c r="DXW89" s="996"/>
      <c r="DXX89" s="996"/>
      <c r="DXY89" s="996"/>
      <c r="DXZ89" s="996"/>
      <c r="DYA89" s="996"/>
      <c r="DYB89" s="996"/>
      <c r="DYC89" s="996"/>
      <c r="DYD89" s="996"/>
      <c r="DYE89" s="996"/>
      <c r="DYF89" s="996"/>
      <c r="DYG89" s="996"/>
      <c r="DYH89" s="996"/>
      <c r="DYI89" s="996"/>
      <c r="DYJ89" s="996"/>
      <c r="DYK89" s="996"/>
      <c r="DYL89" s="996"/>
      <c r="DYM89" s="996"/>
      <c r="DYN89" s="996"/>
      <c r="DYO89" s="996"/>
      <c r="DYP89" s="996"/>
      <c r="DYQ89" s="996"/>
      <c r="DYR89" s="996"/>
      <c r="DYS89" s="996"/>
      <c r="DYT89" s="996"/>
      <c r="DYU89" s="996"/>
      <c r="DYV89" s="996"/>
      <c r="DYW89" s="996"/>
      <c r="DYX89" s="996"/>
      <c r="DYY89" s="996"/>
      <c r="DYZ89" s="996"/>
      <c r="DZA89" s="996"/>
      <c r="DZB89" s="996"/>
      <c r="DZC89" s="996"/>
      <c r="DZD89" s="996"/>
      <c r="DZE89" s="996"/>
      <c r="DZF89" s="996"/>
      <c r="DZG89" s="996"/>
      <c r="DZH89" s="996"/>
      <c r="DZI89" s="996"/>
      <c r="DZJ89" s="996"/>
      <c r="DZK89" s="996"/>
      <c r="DZL89" s="996"/>
      <c r="DZM89" s="996"/>
      <c r="DZN89" s="996"/>
      <c r="DZO89" s="996"/>
      <c r="DZP89" s="996"/>
      <c r="DZQ89" s="996"/>
      <c r="DZR89" s="996"/>
      <c r="DZS89" s="996"/>
      <c r="DZT89" s="996"/>
      <c r="DZU89" s="996"/>
      <c r="DZV89" s="996"/>
      <c r="DZW89" s="996"/>
      <c r="DZX89" s="996"/>
      <c r="DZY89" s="996"/>
      <c r="DZZ89" s="996"/>
      <c r="EAA89" s="996"/>
      <c r="EAB89" s="996"/>
      <c r="EAC89" s="996"/>
      <c r="EAD89" s="996"/>
      <c r="EAE89" s="996"/>
      <c r="EAF89" s="996"/>
      <c r="EAG89" s="996"/>
      <c r="EAH89" s="996"/>
      <c r="EAI89" s="996"/>
      <c r="EAJ89" s="996"/>
      <c r="EAK89" s="996"/>
      <c r="EAL89" s="996"/>
      <c r="EAM89" s="996"/>
      <c r="EAN89" s="996"/>
      <c r="EAO89" s="996"/>
      <c r="EAP89" s="996"/>
      <c r="EAQ89" s="996"/>
      <c r="EAR89" s="996"/>
      <c r="EAS89" s="996"/>
      <c r="EAT89" s="996"/>
      <c r="EAU89" s="996"/>
      <c r="EAV89" s="996"/>
      <c r="EAW89" s="996"/>
      <c r="EAX89" s="996"/>
      <c r="EAY89" s="996"/>
      <c r="EAZ89" s="996"/>
      <c r="EBA89" s="996"/>
      <c r="EBB89" s="996"/>
      <c r="EBC89" s="996"/>
      <c r="EBD89" s="996"/>
      <c r="EBE89" s="996"/>
      <c r="EBF89" s="996"/>
      <c r="EBG89" s="996"/>
      <c r="EBH89" s="996"/>
      <c r="EBI89" s="996"/>
      <c r="EBJ89" s="996"/>
      <c r="EBK89" s="996"/>
      <c r="EBL89" s="996"/>
      <c r="EBM89" s="996"/>
      <c r="EBN89" s="996"/>
      <c r="EBO89" s="996"/>
      <c r="EBP89" s="996"/>
      <c r="EBQ89" s="996"/>
      <c r="EBR89" s="996"/>
      <c r="EBS89" s="996"/>
      <c r="EBT89" s="996"/>
      <c r="EBU89" s="996"/>
      <c r="EBV89" s="996"/>
      <c r="EBW89" s="996"/>
      <c r="EBX89" s="996"/>
      <c r="EBY89" s="996"/>
      <c r="EBZ89" s="996"/>
      <c r="ECA89" s="996"/>
      <c r="ECB89" s="996"/>
      <c r="ECC89" s="996"/>
      <c r="ECD89" s="996"/>
      <c r="ECE89" s="996"/>
      <c r="ECF89" s="996"/>
      <c r="ECG89" s="996"/>
      <c r="ECH89" s="996"/>
      <c r="ECI89" s="996"/>
      <c r="ECJ89" s="996"/>
      <c r="ECK89" s="996"/>
      <c r="ECL89" s="996"/>
      <c r="ECM89" s="996"/>
      <c r="ECN89" s="996"/>
      <c r="ECO89" s="996"/>
      <c r="ECP89" s="996"/>
      <c r="ECQ89" s="996"/>
      <c r="ECR89" s="996"/>
      <c r="ECS89" s="996"/>
      <c r="ECT89" s="996"/>
      <c r="ECU89" s="996"/>
      <c r="ECV89" s="996"/>
      <c r="ECW89" s="996"/>
      <c r="ECX89" s="996"/>
      <c r="ECY89" s="996"/>
      <c r="ECZ89" s="996"/>
      <c r="EDA89" s="996"/>
      <c r="EDB89" s="996"/>
      <c r="EDC89" s="996"/>
      <c r="EDD89" s="996"/>
      <c r="EDE89" s="996"/>
      <c r="EDF89" s="996"/>
      <c r="EDG89" s="996"/>
      <c r="EDH89" s="996"/>
      <c r="EDI89" s="996"/>
      <c r="EDJ89" s="996"/>
      <c r="EDK89" s="996"/>
      <c r="EDL89" s="996"/>
      <c r="EDM89" s="996"/>
      <c r="EDN89" s="996"/>
      <c r="EDO89" s="996"/>
      <c r="EDP89" s="996"/>
      <c r="EDQ89" s="996"/>
      <c r="EDR89" s="996"/>
      <c r="EDS89" s="996"/>
      <c r="EDT89" s="996"/>
      <c r="EDU89" s="996"/>
      <c r="EDV89" s="996"/>
      <c r="EDW89" s="996"/>
      <c r="EDX89" s="996"/>
      <c r="EDY89" s="996"/>
      <c r="EDZ89" s="996"/>
      <c r="EEA89" s="996"/>
      <c r="EEB89" s="996"/>
      <c r="EEC89" s="996"/>
      <c r="EED89" s="996"/>
      <c r="EEE89" s="996"/>
      <c r="EEF89" s="996"/>
      <c r="EEG89" s="996"/>
      <c r="EEH89" s="996"/>
      <c r="EEI89" s="996"/>
      <c r="EEJ89" s="996"/>
      <c r="EEK89" s="996"/>
      <c r="EEL89" s="996"/>
      <c r="EEM89" s="996"/>
      <c r="EEN89" s="996"/>
      <c r="EEO89" s="996"/>
      <c r="EEP89" s="996"/>
      <c r="EEQ89" s="996"/>
      <c r="EER89" s="996"/>
      <c r="EES89" s="996"/>
      <c r="EET89" s="996"/>
      <c r="EEU89" s="996"/>
      <c r="EEV89" s="996"/>
      <c r="EEW89" s="996"/>
      <c r="EEX89" s="996"/>
      <c r="EEY89" s="996"/>
      <c r="EEZ89" s="996"/>
      <c r="EFA89" s="996"/>
      <c r="EFB89" s="996"/>
      <c r="EFC89" s="996"/>
      <c r="EFD89" s="996"/>
      <c r="EFE89" s="996"/>
      <c r="EFF89" s="996"/>
      <c r="EFG89" s="996"/>
      <c r="EFH89" s="996"/>
      <c r="EFI89" s="996"/>
      <c r="EFJ89" s="996"/>
      <c r="EFK89" s="996"/>
      <c r="EFL89" s="996"/>
      <c r="EFM89" s="996"/>
      <c r="EFN89" s="996"/>
      <c r="EFO89" s="996"/>
      <c r="EFP89" s="996"/>
      <c r="EFQ89" s="996"/>
      <c r="EFR89" s="996"/>
      <c r="EFS89" s="996"/>
      <c r="EFT89" s="996"/>
      <c r="EFU89" s="996"/>
      <c r="EFV89" s="996"/>
      <c r="EFW89" s="996"/>
      <c r="EFX89" s="996"/>
      <c r="EFY89" s="996"/>
      <c r="EFZ89" s="996"/>
      <c r="EGA89" s="996"/>
      <c r="EGB89" s="996"/>
      <c r="EGC89" s="996"/>
      <c r="EGD89" s="996"/>
      <c r="EGE89" s="996"/>
      <c r="EGF89" s="996"/>
      <c r="EGG89" s="996"/>
      <c r="EGH89" s="996"/>
      <c r="EGI89" s="996"/>
      <c r="EGJ89" s="996"/>
      <c r="EGK89" s="996"/>
      <c r="EGL89" s="996"/>
      <c r="EGM89" s="996"/>
      <c r="EGN89" s="996"/>
      <c r="EGO89" s="996"/>
      <c r="EGP89" s="996"/>
      <c r="EGQ89" s="996"/>
      <c r="EGR89" s="996"/>
      <c r="EGS89" s="996"/>
      <c r="EGT89" s="996"/>
      <c r="EGU89" s="996"/>
      <c r="EGV89" s="996"/>
      <c r="EGW89" s="996"/>
      <c r="EGX89" s="996"/>
      <c r="EGY89" s="996"/>
      <c r="EGZ89" s="996"/>
      <c r="EHA89" s="996"/>
      <c r="EHB89" s="996"/>
      <c r="EHC89" s="996"/>
      <c r="EHD89" s="996"/>
      <c r="EHE89" s="996"/>
      <c r="EHF89" s="996"/>
      <c r="EHG89" s="996"/>
      <c r="EHH89" s="996"/>
      <c r="EHI89" s="996"/>
      <c r="EHJ89" s="996"/>
      <c r="EHK89" s="996"/>
      <c r="EHL89" s="996"/>
      <c r="EHM89" s="996"/>
      <c r="EHN89" s="996"/>
      <c r="EHO89" s="996"/>
      <c r="EHP89" s="996"/>
      <c r="EHQ89" s="996"/>
      <c r="EHR89" s="996"/>
      <c r="EHS89" s="996"/>
      <c r="EHT89" s="996"/>
      <c r="EHU89" s="996"/>
      <c r="EHV89" s="996"/>
      <c r="EHW89" s="996"/>
      <c r="EHX89" s="996"/>
      <c r="EHY89" s="996"/>
      <c r="EHZ89" s="996"/>
      <c r="EIA89" s="996"/>
      <c r="EIB89" s="996"/>
      <c r="EIC89" s="996"/>
      <c r="EID89" s="996"/>
      <c r="EIE89" s="996"/>
      <c r="EIF89" s="996"/>
      <c r="EIG89" s="996"/>
      <c r="EIH89" s="996"/>
      <c r="EII89" s="996"/>
      <c r="EIJ89" s="996"/>
      <c r="EIK89" s="996"/>
      <c r="EIL89" s="996"/>
      <c r="EIM89" s="996"/>
      <c r="EIN89" s="996"/>
      <c r="EIO89" s="996"/>
      <c r="EIP89" s="996"/>
      <c r="EIQ89" s="996"/>
      <c r="EIR89" s="996"/>
      <c r="EIS89" s="996"/>
      <c r="EIT89" s="996"/>
      <c r="EIU89" s="996"/>
      <c r="EIV89" s="996"/>
      <c r="EIW89" s="996"/>
      <c r="EIX89" s="996"/>
      <c r="EIY89" s="996"/>
      <c r="EIZ89" s="996"/>
      <c r="EJA89" s="996"/>
      <c r="EJB89" s="996"/>
      <c r="EJC89" s="996"/>
      <c r="EJD89" s="996"/>
      <c r="EJE89" s="996"/>
      <c r="EJF89" s="996"/>
      <c r="EJG89" s="996"/>
      <c r="EJH89" s="996"/>
      <c r="EJI89" s="996"/>
      <c r="EJJ89" s="996"/>
      <c r="EJK89" s="996"/>
      <c r="EJL89" s="996"/>
      <c r="EJM89" s="996"/>
      <c r="EJN89" s="996"/>
      <c r="EJO89" s="996"/>
      <c r="EJP89" s="996"/>
      <c r="EJQ89" s="996"/>
      <c r="EJR89" s="996"/>
      <c r="EJS89" s="996"/>
      <c r="EJT89" s="996"/>
      <c r="EJU89" s="996"/>
      <c r="EJV89" s="996"/>
      <c r="EJW89" s="996"/>
      <c r="EJX89" s="996"/>
      <c r="EJY89" s="996"/>
      <c r="EJZ89" s="996"/>
      <c r="EKA89" s="996"/>
      <c r="EKB89" s="996"/>
      <c r="EKC89" s="996"/>
      <c r="EKD89" s="996"/>
      <c r="EKE89" s="996"/>
      <c r="EKF89" s="996"/>
      <c r="EKG89" s="996"/>
      <c r="EKH89" s="996"/>
      <c r="EKI89" s="996"/>
      <c r="EKJ89" s="996"/>
      <c r="EKK89" s="996"/>
      <c r="EKL89" s="996"/>
      <c r="EKM89" s="996"/>
      <c r="EKN89" s="996"/>
      <c r="EKO89" s="996"/>
      <c r="EKP89" s="996"/>
      <c r="EKQ89" s="996"/>
      <c r="EKR89" s="996"/>
      <c r="EKS89" s="996"/>
      <c r="EKT89" s="996"/>
      <c r="EKU89" s="996"/>
      <c r="EKV89" s="996"/>
      <c r="EKW89" s="996"/>
      <c r="EKX89" s="996"/>
      <c r="EKY89" s="996"/>
      <c r="EKZ89" s="996"/>
      <c r="ELA89" s="996"/>
      <c r="ELB89" s="996"/>
      <c r="ELC89" s="996"/>
      <c r="ELD89" s="996"/>
      <c r="ELE89" s="996"/>
      <c r="ELF89" s="996"/>
      <c r="ELG89" s="996"/>
      <c r="ELH89" s="996"/>
      <c r="ELI89" s="996"/>
      <c r="ELJ89" s="996"/>
      <c r="ELK89" s="996"/>
      <c r="ELL89" s="996"/>
      <c r="ELM89" s="996"/>
      <c r="ELN89" s="996"/>
      <c r="ELO89" s="996"/>
      <c r="ELP89" s="996"/>
      <c r="ELQ89" s="996"/>
      <c r="ELR89" s="996"/>
      <c r="ELS89" s="996"/>
      <c r="ELT89" s="996"/>
      <c r="ELU89" s="996"/>
      <c r="ELV89" s="996"/>
      <c r="ELW89" s="996"/>
      <c r="ELX89" s="996"/>
      <c r="ELY89" s="996"/>
      <c r="ELZ89" s="996"/>
      <c r="EMA89" s="996"/>
      <c r="EMB89" s="996"/>
      <c r="EMC89" s="996"/>
      <c r="EMD89" s="996"/>
      <c r="EME89" s="996"/>
      <c r="EMF89" s="996"/>
      <c r="EMG89" s="996"/>
      <c r="EMH89" s="996"/>
      <c r="EMI89" s="996"/>
      <c r="EMJ89" s="996"/>
      <c r="EMK89" s="996"/>
      <c r="EML89" s="996"/>
      <c r="EMM89" s="996"/>
      <c r="EMN89" s="996"/>
      <c r="EMO89" s="996"/>
      <c r="EMP89" s="996"/>
      <c r="EMQ89" s="996"/>
      <c r="EMR89" s="996"/>
      <c r="EMS89" s="996"/>
      <c r="EMT89" s="996"/>
      <c r="EMU89" s="996"/>
      <c r="EMV89" s="996"/>
      <c r="EMW89" s="996"/>
      <c r="EMX89" s="996"/>
      <c r="EMY89" s="996"/>
      <c r="EMZ89" s="996"/>
      <c r="ENA89" s="996"/>
      <c r="ENB89" s="996"/>
      <c r="ENC89" s="996"/>
      <c r="END89" s="996"/>
      <c r="ENE89" s="996"/>
      <c r="ENF89" s="996"/>
      <c r="ENG89" s="996"/>
      <c r="ENH89" s="996"/>
      <c r="ENI89" s="996"/>
      <c r="ENJ89" s="996"/>
      <c r="ENK89" s="996"/>
      <c r="ENL89" s="996"/>
      <c r="ENM89" s="996"/>
      <c r="ENN89" s="996"/>
      <c r="ENO89" s="996"/>
      <c r="ENP89" s="996"/>
      <c r="ENQ89" s="996"/>
      <c r="ENR89" s="996"/>
      <c r="ENS89" s="996"/>
      <c r="ENT89" s="996"/>
      <c r="ENU89" s="996"/>
      <c r="ENV89" s="996"/>
      <c r="ENW89" s="996"/>
      <c r="ENX89" s="996"/>
      <c r="ENY89" s="996"/>
      <c r="ENZ89" s="996"/>
      <c r="EOA89" s="996"/>
      <c r="EOB89" s="996"/>
      <c r="EOC89" s="996"/>
      <c r="EOD89" s="996"/>
      <c r="EOE89" s="996"/>
      <c r="EOF89" s="996"/>
      <c r="EOG89" s="996"/>
      <c r="EOH89" s="996"/>
      <c r="EOI89" s="996"/>
      <c r="EOJ89" s="996"/>
      <c r="EOK89" s="996"/>
      <c r="EOL89" s="996"/>
      <c r="EOM89" s="996"/>
      <c r="EON89" s="996"/>
      <c r="EOO89" s="996"/>
      <c r="EOP89" s="996"/>
      <c r="EOQ89" s="996"/>
      <c r="EOR89" s="996"/>
      <c r="EOS89" s="996"/>
      <c r="EOT89" s="996"/>
      <c r="EOU89" s="996"/>
      <c r="EOV89" s="996"/>
      <c r="EOW89" s="996"/>
      <c r="EOX89" s="996"/>
      <c r="EOY89" s="996"/>
      <c r="EOZ89" s="996"/>
      <c r="EPA89" s="996"/>
      <c r="EPB89" s="996"/>
      <c r="EPC89" s="996"/>
      <c r="EPD89" s="996"/>
      <c r="EPE89" s="996"/>
      <c r="EPF89" s="996"/>
      <c r="EPG89" s="996"/>
      <c r="EPH89" s="996"/>
      <c r="EPI89" s="996"/>
      <c r="EPJ89" s="996"/>
      <c r="EPK89" s="996"/>
      <c r="EPL89" s="996"/>
      <c r="EPM89" s="996"/>
      <c r="EPN89" s="996"/>
      <c r="EPO89" s="996"/>
      <c r="EPP89" s="996"/>
      <c r="EPQ89" s="996"/>
      <c r="EPR89" s="996"/>
      <c r="EPS89" s="996"/>
      <c r="EPT89" s="996"/>
      <c r="EPU89" s="996"/>
      <c r="EPV89" s="996"/>
      <c r="EPW89" s="996"/>
      <c r="EPX89" s="996"/>
      <c r="EPY89" s="996"/>
      <c r="EPZ89" s="996"/>
      <c r="EQA89" s="996"/>
      <c r="EQB89" s="996"/>
      <c r="EQC89" s="996"/>
      <c r="EQD89" s="996"/>
      <c r="EQE89" s="996"/>
      <c r="EQF89" s="996"/>
      <c r="EQG89" s="996"/>
      <c r="EQH89" s="996"/>
      <c r="EQI89" s="996"/>
      <c r="EQJ89" s="996"/>
      <c r="EQK89" s="996"/>
      <c r="EQL89" s="996"/>
      <c r="EQM89" s="996"/>
      <c r="EQN89" s="996"/>
      <c r="EQO89" s="996"/>
      <c r="EQP89" s="996"/>
      <c r="EQQ89" s="996"/>
      <c r="EQR89" s="996"/>
      <c r="EQS89" s="996"/>
      <c r="EQT89" s="996"/>
      <c r="EQU89" s="996"/>
      <c r="EQV89" s="996"/>
      <c r="EQW89" s="996"/>
      <c r="EQX89" s="996"/>
      <c r="EQY89" s="996"/>
      <c r="EQZ89" s="996"/>
      <c r="ERA89" s="996"/>
      <c r="ERB89" s="996"/>
      <c r="ERC89" s="996"/>
      <c r="ERD89" s="996"/>
      <c r="ERE89" s="996"/>
      <c r="ERF89" s="996"/>
      <c r="ERG89" s="996"/>
      <c r="ERH89" s="996"/>
      <c r="ERI89" s="996"/>
      <c r="ERJ89" s="996"/>
      <c r="ERK89" s="996"/>
      <c r="ERL89" s="996"/>
      <c r="ERM89" s="996"/>
      <c r="ERN89" s="996"/>
      <c r="ERO89" s="996"/>
      <c r="ERP89" s="996"/>
      <c r="ERQ89" s="996"/>
      <c r="ERR89" s="996"/>
      <c r="ERS89" s="996"/>
      <c r="ERT89" s="996"/>
      <c r="ERU89" s="996"/>
      <c r="ERV89" s="996"/>
      <c r="ERW89" s="996"/>
      <c r="ERX89" s="996"/>
      <c r="ERY89" s="996"/>
      <c r="ERZ89" s="996"/>
      <c r="ESA89" s="996"/>
      <c r="ESB89" s="996"/>
      <c r="ESC89" s="996"/>
      <c r="ESD89" s="996"/>
      <c r="ESE89" s="996"/>
      <c r="ESF89" s="996"/>
      <c r="ESG89" s="996"/>
      <c r="ESH89" s="996"/>
      <c r="ESI89" s="996"/>
      <c r="ESJ89" s="996"/>
      <c r="ESK89" s="996"/>
      <c r="ESL89" s="996"/>
      <c r="ESM89" s="996"/>
      <c r="ESN89" s="996"/>
      <c r="ESO89" s="996"/>
      <c r="ESP89" s="996"/>
      <c r="ESQ89" s="996"/>
      <c r="ESR89" s="996"/>
      <c r="ESS89" s="996"/>
      <c r="EST89" s="996"/>
      <c r="ESU89" s="996"/>
      <c r="ESV89" s="996"/>
      <c r="ESW89" s="996"/>
      <c r="ESX89" s="996"/>
      <c r="ESY89" s="996"/>
      <c r="ESZ89" s="996"/>
      <c r="ETA89" s="996"/>
      <c r="ETB89" s="996"/>
      <c r="ETC89" s="996"/>
      <c r="ETD89" s="996"/>
      <c r="ETE89" s="996"/>
      <c r="ETF89" s="996"/>
      <c r="ETG89" s="996"/>
      <c r="ETH89" s="996"/>
      <c r="ETI89" s="996"/>
      <c r="ETJ89" s="996"/>
      <c r="ETK89" s="996"/>
      <c r="ETL89" s="996"/>
      <c r="ETM89" s="996"/>
      <c r="ETN89" s="996"/>
      <c r="ETO89" s="996"/>
      <c r="ETP89" s="996"/>
      <c r="ETQ89" s="996"/>
      <c r="ETR89" s="996"/>
      <c r="ETS89" s="996"/>
      <c r="ETT89" s="996"/>
      <c r="ETU89" s="996"/>
      <c r="ETV89" s="996"/>
      <c r="ETW89" s="996"/>
      <c r="ETX89" s="996"/>
      <c r="ETY89" s="996"/>
      <c r="ETZ89" s="996"/>
      <c r="EUA89" s="996"/>
      <c r="EUB89" s="996"/>
      <c r="EUC89" s="996"/>
      <c r="EUD89" s="996"/>
      <c r="EUE89" s="996"/>
      <c r="EUF89" s="996"/>
      <c r="EUG89" s="996"/>
      <c r="EUH89" s="996"/>
      <c r="EUI89" s="996"/>
      <c r="EUJ89" s="996"/>
      <c r="EUK89" s="996"/>
      <c r="EUL89" s="996"/>
      <c r="EUM89" s="996"/>
      <c r="EUN89" s="996"/>
      <c r="EUO89" s="996"/>
      <c r="EUP89" s="996"/>
      <c r="EUQ89" s="996"/>
      <c r="EUR89" s="996"/>
      <c r="EUS89" s="996"/>
      <c r="EUT89" s="996"/>
      <c r="EUU89" s="996"/>
      <c r="EUV89" s="996"/>
      <c r="EUW89" s="996"/>
      <c r="EUX89" s="996"/>
      <c r="EUY89" s="996"/>
      <c r="EUZ89" s="996"/>
      <c r="EVA89" s="996"/>
      <c r="EVB89" s="996"/>
      <c r="EVC89" s="996"/>
      <c r="EVD89" s="996"/>
      <c r="EVE89" s="996"/>
      <c r="EVF89" s="996"/>
      <c r="EVG89" s="996"/>
      <c r="EVH89" s="996"/>
      <c r="EVI89" s="996"/>
      <c r="EVJ89" s="996"/>
      <c r="EVK89" s="996"/>
      <c r="EVL89" s="996"/>
      <c r="EVM89" s="996"/>
      <c r="EVN89" s="996"/>
      <c r="EVO89" s="996"/>
      <c r="EVP89" s="996"/>
      <c r="EVQ89" s="996"/>
      <c r="EVR89" s="996"/>
      <c r="EVS89" s="996"/>
      <c r="EVT89" s="996"/>
      <c r="EVU89" s="996"/>
      <c r="EVV89" s="996"/>
      <c r="EVW89" s="996"/>
      <c r="EVX89" s="996"/>
      <c r="EVY89" s="996"/>
      <c r="EVZ89" s="996"/>
      <c r="EWA89" s="996"/>
      <c r="EWB89" s="996"/>
      <c r="EWC89" s="996"/>
      <c r="EWD89" s="996"/>
      <c r="EWE89" s="996"/>
      <c r="EWF89" s="996"/>
      <c r="EWG89" s="996"/>
      <c r="EWH89" s="996"/>
      <c r="EWI89" s="996"/>
      <c r="EWJ89" s="996"/>
      <c r="EWK89" s="996"/>
      <c r="EWL89" s="996"/>
      <c r="EWM89" s="996"/>
      <c r="EWN89" s="996"/>
      <c r="EWO89" s="996"/>
      <c r="EWP89" s="996"/>
      <c r="EWQ89" s="996"/>
      <c r="EWR89" s="996"/>
      <c r="EWS89" s="996"/>
      <c r="EWT89" s="996"/>
      <c r="EWU89" s="996"/>
      <c r="EWV89" s="996"/>
      <c r="EWW89" s="996"/>
      <c r="EWX89" s="996"/>
      <c r="EWY89" s="996"/>
      <c r="EWZ89" s="996"/>
      <c r="EXA89" s="996"/>
      <c r="EXB89" s="996"/>
      <c r="EXC89" s="996"/>
      <c r="EXD89" s="996"/>
      <c r="EXE89" s="996"/>
      <c r="EXF89" s="996"/>
      <c r="EXG89" s="996"/>
      <c r="EXH89" s="996"/>
      <c r="EXI89" s="996"/>
      <c r="EXJ89" s="996"/>
      <c r="EXK89" s="996"/>
      <c r="EXL89" s="996"/>
      <c r="EXM89" s="996"/>
      <c r="EXN89" s="996"/>
      <c r="EXO89" s="996"/>
      <c r="EXP89" s="996"/>
      <c r="EXQ89" s="996"/>
      <c r="EXR89" s="996"/>
      <c r="EXS89" s="996"/>
      <c r="EXT89" s="996"/>
      <c r="EXU89" s="996"/>
      <c r="EXV89" s="996"/>
      <c r="EXW89" s="996"/>
      <c r="EXX89" s="996"/>
      <c r="EXY89" s="996"/>
      <c r="EXZ89" s="996"/>
      <c r="EYA89" s="996"/>
      <c r="EYB89" s="996"/>
      <c r="EYC89" s="996"/>
      <c r="EYD89" s="996"/>
      <c r="EYE89" s="996"/>
      <c r="EYF89" s="996"/>
      <c r="EYG89" s="996"/>
      <c r="EYH89" s="996"/>
      <c r="EYI89" s="996"/>
      <c r="EYJ89" s="996"/>
      <c r="EYK89" s="996"/>
      <c r="EYL89" s="996"/>
      <c r="EYM89" s="996"/>
      <c r="EYN89" s="996"/>
      <c r="EYO89" s="996"/>
      <c r="EYP89" s="996"/>
      <c r="EYQ89" s="996"/>
      <c r="EYR89" s="996"/>
      <c r="EYS89" s="996"/>
      <c r="EYT89" s="996"/>
      <c r="EYU89" s="996"/>
      <c r="EYV89" s="996"/>
      <c r="EYW89" s="996"/>
      <c r="EYX89" s="996"/>
      <c r="EYY89" s="996"/>
      <c r="EYZ89" s="996"/>
      <c r="EZA89" s="996"/>
      <c r="EZB89" s="996"/>
      <c r="EZC89" s="996"/>
      <c r="EZD89" s="996"/>
      <c r="EZE89" s="996"/>
      <c r="EZF89" s="996"/>
      <c r="EZG89" s="996"/>
      <c r="EZH89" s="996"/>
      <c r="EZI89" s="996"/>
      <c r="EZJ89" s="996"/>
      <c r="EZK89" s="996"/>
      <c r="EZL89" s="996"/>
      <c r="EZM89" s="996"/>
      <c r="EZN89" s="996"/>
      <c r="EZO89" s="996"/>
      <c r="EZP89" s="996"/>
      <c r="EZQ89" s="996"/>
      <c r="EZR89" s="996"/>
      <c r="EZS89" s="996"/>
      <c r="EZT89" s="996"/>
      <c r="EZU89" s="996"/>
      <c r="EZV89" s="996"/>
      <c r="EZW89" s="996"/>
      <c r="EZX89" s="996"/>
      <c r="EZY89" s="996"/>
      <c r="EZZ89" s="996"/>
      <c r="FAA89" s="996"/>
      <c r="FAB89" s="996"/>
      <c r="FAC89" s="996"/>
      <c r="FAD89" s="996"/>
      <c r="FAE89" s="996"/>
      <c r="FAF89" s="996"/>
      <c r="FAG89" s="996"/>
      <c r="FAH89" s="996"/>
      <c r="FAI89" s="996"/>
      <c r="FAJ89" s="996"/>
      <c r="FAK89" s="996"/>
      <c r="FAL89" s="996"/>
      <c r="FAM89" s="996"/>
      <c r="FAN89" s="996"/>
      <c r="FAO89" s="996"/>
      <c r="FAP89" s="996"/>
      <c r="FAQ89" s="996"/>
      <c r="FAR89" s="996"/>
      <c r="FAS89" s="996"/>
      <c r="FAT89" s="996"/>
      <c r="FAU89" s="996"/>
      <c r="FAV89" s="996"/>
      <c r="FAW89" s="996"/>
      <c r="FAX89" s="996"/>
      <c r="FAY89" s="996"/>
      <c r="FAZ89" s="996"/>
      <c r="FBA89" s="996"/>
      <c r="FBB89" s="996"/>
      <c r="FBC89" s="996"/>
      <c r="FBD89" s="996"/>
      <c r="FBE89" s="996"/>
      <c r="FBF89" s="996"/>
      <c r="FBG89" s="996"/>
      <c r="FBH89" s="996"/>
      <c r="FBI89" s="996"/>
      <c r="FBJ89" s="996"/>
      <c r="FBK89" s="996"/>
      <c r="FBL89" s="996"/>
      <c r="FBM89" s="996"/>
      <c r="FBN89" s="996"/>
      <c r="FBO89" s="996"/>
      <c r="FBP89" s="996"/>
      <c r="FBQ89" s="996"/>
      <c r="FBR89" s="996"/>
      <c r="FBS89" s="996"/>
      <c r="FBT89" s="996"/>
      <c r="FBU89" s="996"/>
      <c r="FBV89" s="996"/>
      <c r="FBW89" s="996"/>
      <c r="FBX89" s="996"/>
      <c r="FBY89" s="996"/>
      <c r="FBZ89" s="996"/>
      <c r="FCA89" s="996"/>
      <c r="FCB89" s="996"/>
      <c r="FCC89" s="996"/>
      <c r="FCD89" s="996"/>
      <c r="FCE89" s="996"/>
      <c r="FCF89" s="996"/>
      <c r="FCG89" s="996"/>
      <c r="FCH89" s="996"/>
      <c r="FCI89" s="996"/>
      <c r="FCJ89" s="996"/>
      <c r="FCK89" s="996"/>
      <c r="FCL89" s="996"/>
      <c r="FCM89" s="996"/>
      <c r="FCN89" s="996"/>
      <c r="FCO89" s="996"/>
      <c r="FCP89" s="996"/>
      <c r="FCQ89" s="996"/>
      <c r="FCR89" s="996"/>
      <c r="FCS89" s="996"/>
      <c r="FCT89" s="996"/>
      <c r="FCU89" s="996"/>
      <c r="FCV89" s="996"/>
      <c r="FCW89" s="996"/>
      <c r="FCX89" s="996"/>
      <c r="FCY89" s="996"/>
      <c r="FCZ89" s="996"/>
      <c r="FDA89" s="996"/>
      <c r="FDB89" s="996"/>
      <c r="FDC89" s="996"/>
      <c r="FDD89" s="996"/>
      <c r="FDE89" s="996"/>
      <c r="FDF89" s="996"/>
      <c r="FDG89" s="996"/>
      <c r="FDH89" s="996"/>
      <c r="FDI89" s="996"/>
      <c r="FDJ89" s="996"/>
      <c r="FDK89" s="996"/>
      <c r="FDL89" s="996"/>
      <c r="FDM89" s="996"/>
      <c r="FDN89" s="996"/>
      <c r="FDO89" s="996"/>
      <c r="FDP89" s="996"/>
      <c r="FDQ89" s="996"/>
      <c r="FDR89" s="996"/>
      <c r="FDS89" s="996"/>
      <c r="FDT89" s="996"/>
      <c r="FDU89" s="996"/>
      <c r="FDV89" s="996"/>
      <c r="FDW89" s="996"/>
      <c r="FDX89" s="996"/>
      <c r="FDY89" s="996"/>
      <c r="FDZ89" s="996"/>
      <c r="FEA89" s="996"/>
      <c r="FEB89" s="996"/>
      <c r="FEC89" s="996"/>
      <c r="FED89" s="996"/>
      <c r="FEE89" s="996"/>
      <c r="FEF89" s="996"/>
      <c r="FEG89" s="996"/>
      <c r="FEH89" s="996"/>
      <c r="FEI89" s="996"/>
      <c r="FEJ89" s="996"/>
      <c r="FEK89" s="996"/>
      <c r="FEL89" s="996"/>
      <c r="FEM89" s="996"/>
      <c r="FEN89" s="996"/>
      <c r="FEO89" s="996"/>
      <c r="FEP89" s="996"/>
      <c r="FEQ89" s="996"/>
      <c r="FER89" s="996"/>
      <c r="FES89" s="996"/>
      <c r="FET89" s="996"/>
      <c r="FEU89" s="996"/>
      <c r="FEV89" s="996"/>
      <c r="FEW89" s="996"/>
      <c r="FEX89" s="996"/>
      <c r="FEY89" s="996"/>
      <c r="FEZ89" s="996"/>
      <c r="FFA89" s="996"/>
      <c r="FFB89" s="996"/>
      <c r="FFC89" s="996"/>
      <c r="FFD89" s="996"/>
      <c r="FFE89" s="996"/>
      <c r="FFF89" s="996"/>
      <c r="FFG89" s="996"/>
      <c r="FFH89" s="996"/>
      <c r="FFI89" s="996"/>
      <c r="FFJ89" s="996"/>
      <c r="FFK89" s="996"/>
      <c r="FFL89" s="996"/>
      <c r="FFM89" s="996"/>
      <c r="FFN89" s="996"/>
      <c r="FFO89" s="996"/>
      <c r="FFP89" s="996"/>
      <c r="FFQ89" s="996"/>
      <c r="FFR89" s="996"/>
      <c r="FFS89" s="996"/>
      <c r="FFT89" s="996"/>
      <c r="FFU89" s="996"/>
      <c r="FFV89" s="996"/>
      <c r="FFW89" s="996"/>
      <c r="FFX89" s="996"/>
      <c r="FFY89" s="996"/>
      <c r="FFZ89" s="996"/>
      <c r="FGA89" s="996"/>
      <c r="FGB89" s="996"/>
      <c r="FGC89" s="996"/>
      <c r="FGD89" s="996"/>
      <c r="FGE89" s="996"/>
      <c r="FGF89" s="996"/>
      <c r="FGG89" s="996"/>
      <c r="FGH89" s="996"/>
      <c r="FGI89" s="996"/>
      <c r="FGJ89" s="996"/>
      <c r="FGK89" s="996"/>
      <c r="FGL89" s="996"/>
      <c r="FGM89" s="996"/>
      <c r="FGN89" s="996"/>
      <c r="FGO89" s="996"/>
      <c r="FGP89" s="996"/>
      <c r="FGQ89" s="996"/>
      <c r="FGR89" s="996"/>
      <c r="FGS89" s="996"/>
      <c r="FGT89" s="996"/>
      <c r="FGU89" s="996"/>
      <c r="FGV89" s="996"/>
      <c r="FGW89" s="996"/>
      <c r="FGX89" s="996"/>
      <c r="FGY89" s="996"/>
      <c r="FGZ89" s="996"/>
      <c r="FHA89" s="996"/>
      <c r="FHB89" s="996"/>
      <c r="FHC89" s="996"/>
      <c r="FHD89" s="996"/>
      <c r="FHE89" s="996"/>
      <c r="FHF89" s="996"/>
      <c r="FHG89" s="996"/>
      <c r="FHH89" s="996"/>
      <c r="FHI89" s="996"/>
      <c r="FHJ89" s="996"/>
      <c r="FHK89" s="996"/>
      <c r="FHL89" s="996"/>
      <c r="FHM89" s="996"/>
      <c r="FHN89" s="996"/>
      <c r="FHO89" s="996"/>
      <c r="FHP89" s="996"/>
      <c r="FHQ89" s="996"/>
      <c r="FHR89" s="996"/>
      <c r="FHS89" s="996"/>
      <c r="FHT89" s="996"/>
      <c r="FHU89" s="996"/>
      <c r="FHV89" s="996"/>
      <c r="FHW89" s="996"/>
      <c r="FHX89" s="996"/>
      <c r="FHY89" s="996"/>
      <c r="FHZ89" s="996"/>
      <c r="FIA89" s="996"/>
      <c r="FIB89" s="996"/>
      <c r="FIC89" s="996"/>
      <c r="FID89" s="996"/>
      <c r="FIE89" s="996"/>
      <c r="FIF89" s="996"/>
      <c r="FIG89" s="996"/>
      <c r="FIH89" s="996"/>
      <c r="FII89" s="996"/>
      <c r="FIJ89" s="996"/>
      <c r="FIK89" s="996"/>
      <c r="FIL89" s="996"/>
      <c r="FIM89" s="996"/>
      <c r="FIN89" s="996"/>
      <c r="FIO89" s="996"/>
      <c r="FIP89" s="996"/>
      <c r="FIQ89" s="996"/>
      <c r="FIR89" s="996"/>
      <c r="FIS89" s="996"/>
      <c r="FIT89" s="996"/>
      <c r="FIU89" s="996"/>
      <c r="FIV89" s="996"/>
      <c r="FIW89" s="996"/>
      <c r="FIX89" s="996"/>
      <c r="FIY89" s="996"/>
      <c r="FIZ89" s="996"/>
      <c r="FJA89" s="996"/>
      <c r="FJB89" s="996"/>
      <c r="FJC89" s="996"/>
      <c r="FJD89" s="996"/>
      <c r="FJE89" s="996"/>
      <c r="FJF89" s="996"/>
      <c r="FJG89" s="996"/>
      <c r="FJH89" s="996"/>
      <c r="FJI89" s="996"/>
      <c r="FJJ89" s="996"/>
      <c r="FJK89" s="996"/>
      <c r="FJL89" s="996"/>
      <c r="FJM89" s="996"/>
      <c r="FJN89" s="996"/>
      <c r="FJO89" s="996"/>
      <c r="FJP89" s="996"/>
      <c r="FJQ89" s="996"/>
      <c r="FJR89" s="996"/>
      <c r="FJS89" s="996"/>
      <c r="FJT89" s="996"/>
      <c r="FJU89" s="996"/>
      <c r="FJV89" s="996"/>
      <c r="FJW89" s="996"/>
      <c r="FJX89" s="996"/>
      <c r="FJY89" s="996"/>
      <c r="FJZ89" s="996"/>
      <c r="FKA89" s="996"/>
      <c r="FKB89" s="996"/>
      <c r="FKC89" s="996"/>
      <c r="FKD89" s="996"/>
      <c r="FKE89" s="996"/>
      <c r="FKF89" s="996"/>
      <c r="FKG89" s="996"/>
      <c r="FKH89" s="996"/>
      <c r="FKI89" s="996"/>
      <c r="FKJ89" s="996"/>
      <c r="FKK89" s="996"/>
      <c r="FKL89" s="996"/>
      <c r="FKM89" s="996"/>
      <c r="FKN89" s="996"/>
      <c r="FKO89" s="996"/>
      <c r="FKP89" s="996"/>
      <c r="FKQ89" s="996"/>
      <c r="FKR89" s="996"/>
      <c r="FKS89" s="996"/>
      <c r="FKT89" s="996"/>
      <c r="FKU89" s="996"/>
      <c r="FKV89" s="996"/>
      <c r="FKW89" s="996"/>
      <c r="FKX89" s="996"/>
      <c r="FKY89" s="996"/>
      <c r="FKZ89" s="996"/>
      <c r="FLA89" s="996"/>
      <c r="FLB89" s="996"/>
      <c r="FLC89" s="996"/>
      <c r="FLD89" s="996"/>
      <c r="FLE89" s="996"/>
      <c r="FLF89" s="996"/>
      <c r="FLG89" s="996"/>
      <c r="FLH89" s="996"/>
      <c r="FLI89" s="996"/>
      <c r="FLJ89" s="996"/>
      <c r="FLK89" s="996"/>
      <c r="FLL89" s="996"/>
      <c r="FLM89" s="996"/>
      <c r="FLN89" s="996"/>
      <c r="FLO89" s="996"/>
      <c r="FLP89" s="996"/>
      <c r="FLQ89" s="996"/>
      <c r="FLR89" s="996"/>
      <c r="FLS89" s="996"/>
      <c r="FLT89" s="996"/>
      <c r="FLU89" s="996"/>
      <c r="FLV89" s="996"/>
      <c r="FLW89" s="996"/>
      <c r="FLX89" s="996"/>
      <c r="FLY89" s="996"/>
      <c r="FLZ89" s="996"/>
      <c r="FMA89" s="996"/>
      <c r="FMB89" s="996"/>
      <c r="FMC89" s="996"/>
      <c r="FMD89" s="996"/>
      <c r="FME89" s="996"/>
      <c r="FMF89" s="996"/>
      <c r="FMG89" s="996"/>
      <c r="FMH89" s="996"/>
      <c r="FMI89" s="996"/>
      <c r="FMJ89" s="996"/>
      <c r="FMK89" s="996"/>
      <c r="FML89" s="996"/>
      <c r="FMM89" s="996"/>
      <c r="FMN89" s="996"/>
      <c r="FMO89" s="996"/>
      <c r="FMP89" s="996"/>
      <c r="FMQ89" s="996"/>
      <c r="FMR89" s="996"/>
      <c r="FMS89" s="996"/>
      <c r="FMT89" s="996"/>
      <c r="FMU89" s="996"/>
      <c r="FMV89" s="996"/>
      <c r="FMW89" s="996"/>
      <c r="FMX89" s="996"/>
      <c r="FMY89" s="996"/>
      <c r="FMZ89" s="996"/>
      <c r="FNA89" s="996"/>
      <c r="FNB89" s="996"/>
      <c r="FNC89" s="996"/>
      <c r="FND89" s="996"/>
      <c r="FNE89" s="996"/>
      <c r="FNF89" s="996"/>
      <c r="FNG89" s="996"/>
      <c r="FNH89" s="996"/>
      <c r="FNI89" s="996"/>
      <c r="FNJ89" s="996"/>
      <c r="FNK89" s="996"/>
      <c r="FNL89" s="996"/>
      <c r="FNM89" s="996"/>
      <c r="FNN89" s="996"/>
      <c r="FNO89" s="996"/>
      <c r="FNP89" s="996"/>
      <c r="FNQ89" s="996"/>
      <c r="FNR89" s="996"/>
      <c r="FNS89" s="996"/>
      <c r="FNT89" s="996"/>
      <c r="FNU89" s="996"/>
      <c r="FNV89" s="996"/>
      <c r="FNW89" s="996"/>
      <c r="FNX89" s="996"/>
      <c r="FNY89" s="996"/>
      <c r="FNZ89" s="996"/>
      <c r="FOA89" s="996"/>
      <c r="FOB89" s="996"/>
      <c r="FOC89" s="996"/>
      <c r="FOD89" s="996"/>
      <c r="FOE89" s="996"/>
      <c r="FOF89" s="996"/>
      <c r="FOG89" s="996"/>
      <c r="FOH89" s="996"/>
      <c r="FOI89" s="996"/>
      <c r="FOJ89" s="996"/>
      <c r="FOK89" s="996"/>
      <c r="FOL89" s="996"/>
      <c r="FOM89" s="996"/>
      <c r="FON89" s="996"/>
      <c r="FOO89" s="996"/>
      <c r="FOP89" s="996"/>
      <c r="FOQ89" s="996"/>
      <c r="FOR89" s="996"/>
      <c r="FOS89" s="996"/>
      <c r="FOT89" s="996"/>
      <c r="FOU89" s="996"/>
      <c r="FOV89" s="996"/>
      <c r="FOW89" s="996"/>
      <c r="FOX89" s="996"/>
      <c r="FOY89" s="996"/>
      <c r="FOZ89" s="996"/>
      <c r="FPA89" s="996"/>
      <c r="FPB89" s="996"/>
      <c r="FPC89" s="996"/>
      <c r="FPD89" s="996"/>
      <c r="FPE89" s="996"/>
      <c r="FPF89" s="996"/>
      <c r="FPG89" s="996"/>
      <c r="FPH89" s="996"/>
      <c r="FPI89" s="996"/>
      <c r="FPJ89" s="996"/>
      <c r="FPK89" s="996"/>
      <c r="FPL89" s="996"/>
      <c r="FPM89" s="996"/>
      <c r="FPN89" s="996"/>
      <c r="FPO89" s="996"/>
      <c r="FPP89" s="996"/>
      <c r="FPQ89" s="996"/>
      <c r="FPR89" s="996"/>
      <c r="FPS89" s="996"/>
      <c r="FPT89" s="996"/>
      <c r="FPU89" s="996"/>
      <c r="FPV89" s="996"/>
      <c r="FPW89" s="996"/>
      <c r="FPX89" s="996"/>
      <c r="FPY89" s="996"/>
      <c r="FPZ89" s="996"/>
      <c r="FQA89" s="996"/>
      <c r="FQB89" s="996"/>
      <c r="FQC89" s="996"/>
      <c r="FQD89" s="996"/>
      <c r="FQE89" s="996"/>
      <c r="FQF89" s="996"/>
      <c r="FQG89" s="996"/>
      <c r="FQH89" s="996"/>
      <c r="FQI89" s="996"/>
      <c r="FQJ89" s="996"/>
      <c r="FQK89" s="996"/>
      <c r="FQL89" s="996"/>
      <c r="FQM89" s="996"/>
      <c r="FQN89" s="996"/>
      <c r="FQO89" s="996"/>
      <c r="FQP89" s="996"/>
      <c r="FQQ89" s="996"/>
      <c r="FQR89" s="996"/>
      <c r="FQS89" s="996"/>
      <c r="FQT89" s="996"/>
      <c r="FQU89" s="996"/>
      <c r="FQV89" s="996"/>
      <c r="FQW89" s="996"/>
      <c r="FQX89" s="996"/>
      <c r="FQY89" s="996"/>
      <c r="FQZ89" s="996"/>
      <c r="FRA89" s="996"/>
      <c r="FRB89" s="996"/>
      <c r="FRC89" s="996"/>
      <c r="FRD89" s="996"/>
      <c r="FRE89" s="996"/>
      <c r="FRF89" s="996"/>
      <c r="FRG89" s="996"/>
      <c r="FRH89" s="996"/>
      <c r="FRI89" s="996"/>
      <c r="FRJ89" s="996"/>
      <c r="FRK89" s="996"/>
      <c r="FRL89" s="996"/>
      <c r="FRM89" s="996"/>
      <c r="FRN89" s="996"/>
      <c r="FRO89" s="996"/>
      <c r="FRP89" s="996"/>
      <c r="FRQ89" s="996"/>
      <c r="FRR89" s="996"/>
      <c r="FRS89" s="996"/>
      <c r="FRT89" s="996"/>
      <c r="FRU89" s="996"/>
      <c r="FRV89" s="996"/>
      <c r="FRW89" s="996"/>
      <c r="FRX89" s="996"/>
      <c r="FRY89" s="996"/>
      <c r="FRZ89" s="996"/>
      <c r="FSA89" s="996"/>
      <c r="FSB89" s="996"/>
      <c r="FSC89" s="996"/>
      <c r="FSD89" s="996"/>
      <c r="FSE89" s="996"/>
      <c r="FSF89" s="996"/>
      <c r="FSG89" s="996"/>
      <c r="FSH89" s="996"/>
      <c r="FSI89" s="996"/>
      <c r="FSJ89" s="996"/>
      <c r="FSK89" s="996"/>
      <c r="FSL89" s="996"/>
      <c r="FSM89" s="996"/>
      <c r="FSN89" s="996"/>
      <c r="FSO89" s="996"/>
      <c r="FSP89" s="996"/>
      <c r="FSQ89" s="996"/>
      <c r="FSR89" s="996"/>
      <c r="FSS89" s="996"/>
      <c r="FST89" s="996"/>
      <c r="FSU89" s="996"/>
      <c r="FSV89" s="996"/>
      <c r="FSW89" s="996"/>
      <c r="FSX89" s="996"/>
      <c r="FSY89" s="996"/>
      <c r="FSZ89" s="996"/>
      <c r="FTA89" s="996"/>
      <c r="FTB89" s="996"/>
      <c r="FTC89" s="996"/>
      <c r="FTD89" s="996"/>
      <c r="FTE89" s="996"/>
      <c r="FTF89" s="996"/>
      <c r="FTG89" s="996"/>
      <c r="FTH89" s="996"/>
      <c r="FTI89" s="996"/>
      <c r="FTJ89" s="996"/>
      <c r="FTK89" s="996"/>
      <c r="FTL89" s="996"/>
      <c r="FTM89" s="996"/>
      <c r="FTN89" s="996"/>
      <c r="FTO89" s="996"/>
      <c r="FTP89" s="996"/>
      <c r="FTQ89" s="996"/>
      <c r="FTR89" s="996"/>
      <c r="FTS89" s="996"/>
      <c r="FTT89" s="996"/>
      <c r="FTU89" s="996"/>
      <c r="FTV89" s="996"/>
      <c r="FTW89" s="996"/>
      <c r="FTX89" s="996"/>
      <c r="FTY89" s="996"/>
      <c r="FTZ89" s="996"/>
      <c r="FUA89" s="996"/>
      <c r="FUB89" s="996"/>
      <c r="FUC89" s="996"/>
      <c r="FUD89" s="996"/>
      <c r="FUE89" s="996"/>
      <c r="FUF89" s="996"/>
      <c r="FUG89" s="996"/>
      <c r="FUH89" s="996"/>
      <c r="FUI89" s="996"/>
      <c r="FUJ89" s="996"/>
      <c r="FUK89" s="996"/>
      <c r="FUL89" s="996"/>
      <c r="FUM89" s="996"/>
      <c r="FUN89" s="996"/>
      <c r="FUO89" s="996"/>
      <c r="FUP89" s="996"/>
      <c r="FUQ89" s="996"/>
      <c r="FUR89" s="996"/>
      <c r="FUS89" s="996"/>
      <c r="FUT89" s="996"/>
      <c r="FUU89" s="996"/>
      <c r="FUV89" s="996"/>
      <c r="FUW89" s="996"/>
      <c r="FUX89" s="996"/>
      <c r="FUY89" s="996"/>
      <c r="FUZ89" s="996"/>
      <c r="FVA89" s="996"/>
      <c r="FVB89" s="996"/>
      <c r="FVC89" s="996"/>
      <c r="FVD89" s="996"/>
      <c r="FVE89" s="996"/>
      <c r="FVF89" s="996"/>
      <c r="FVG89" s="996"/>
      <c r="FVH89" s="996"/>
      <c r="FVI89" s="996"/>
      <c r="FVJ89" s="996"/>
      <c r="FVK89" s="996"/>
      <c r="FVL89" s="996"/>
      <c r="FVM89" s="996"/>
      <c r="FVN89" s="996"/>
      <c r="FVO89" s="996"/>
      <c r="FVP89" s="996"/>
      <c r="FVQ89" s="996"/>
      <c r="FVR89" s="996"/>
      <c r="FVS89" s="996"/>
      <c r="FVT89" s="996"/>
      <c r="FVU89" s="996"/>
      <c r="FVV89" s="996"/>
      <c r="FVW89" s="996"/>
      <c r="FVX89" s="996"/>
      <c r="FVY89" s="996"/>
      <c r="FVZ89" s="996"/>
      <c r="FWA89" s="996"/>
      <c r="FWB89" s="996"/>
      <c r="FWC89" s="996"/>
      <c r="FWD89" s="996"/>
      <c r="FWE89" s="996"/>
      <c r="FWF89" s="996"/>
      <c r="FWG89" s="996"/>
      <c r="FWH89" s="996"/>
      <c r="FWI89" s="996"/>
      <c r="FWJ89" s="996"/>
      <c r="FWK89" s="996"/>
      <c r="FWL89" s="996"/>
      <c r="FWM89" s="996"/>
      <c r="FWN89" s="996"/>
      <c r="FWO89" s="996"/>
      <c r="FWP89" s="996"/>
      <c r="FWQ89" s="996"/>
      <c r="FWR89" s="996"/>
      <c r="FWS89" s="996"/>
      <c r="FWT89" s="996"/>
      <c r="FWU89" s="996"/>
      <c r="FWV89" s="996"/>
      <c r="FWW89" s="996"/>
      <c r="FWX89" s="996"/>
      <c r="FWY89" s="996"/>
      <c r="FWZ89" s="996"/>
      <c r="FXA89" s="996"/>
      <c r="FXB89" s="996"/>
      <c r="FXC89" s="996"/>
      <c r="FXD89" s="996"/>
      <c r="FXE89" s="996"/>
      <c r="FXF89" s="996"/>
      <c r="FXG89" s="996"/>
      <c r="FXH89" s="996"/>
      <c r="FXI89" s="996"/>
      <c r="FXJ89" s="996"/>
      <c r="FXK89" s="996"/>
      <c r="FXL89" s="996"/>
      <c r="FXM89" s="996"/>
      <c r="FXN89" s="996"/>
      <c r="FXO89" s="996"/>
      <c r="FXP89" s="996"/>
      <c r="FXQ89" s="996"/>
      <c r="FXR89" s="996"/>
      <c r="FXS89" s="996"/>
      <c r="FXT89" s="996"/>
      <c r="FXU89" s="996"/>
      <c r="FXV89" s="996"/>
      <c r="FXW89" s="996"/>
      <c r="FXX89" s="996"/>
      <c r="FXY89" s="996"/>
      <c r="FXZ89" s="996"/>
      <c r="FYA89" s="996"/>
      <c r="FYB89" s="996"/>
      <c r="FYC89" s="996"/>
      <c r="FYD89" s="996"/>
      <c r="FYE89" s="996"/>
      <c r="FYF89" s="996"/>
      <c r="FYG89" s="996"/>
      <c r="FYH89" s="996"/>
      <c r="FYI89" s="996"/>
      <c r="FYJ89" s="996"/>
      <c r="FYK89" s="996"/>
      <c r="FYL89" s="996"/>
      <c r="FYM89" s="996"/>
      <c r="FYN89" s="996"/>
      <c r="FYO89" s="996"/>
      <c r="FYP89" s="996"/>
      <c r="FYQ89" s="996"/>
      <c r="FYR89" s="996"/>
      <c r="FYS89" s="996"/>
      <c r="FYT89" s="996"/>
      <c r="FYU89" s="996"/>
      <c r="FYV89" s="996"/>
      <c r="FYW89" s="996"/>
      <c r="FYX89" s="996"/>
      <c r="FYY89" s="996"/>
      <c r="FYZ89" s="996"/>
      <c r="FZA89" s="996"/>
      <c r="FZB89" s="996"/>
      <c r="FZC89" s="996"/>
      <c r="FZD89" s="996"/>
      <c r="FZE89" s="996"/>
      <c r="FZF89" s="996"/>
      <c r="FZG89" s="996"/>
      <c r="FZH89" s="996"/>
      <c r="FZI89" s="996"/>
      <c r="FZJ89" s="996"/>
      <c r="FZK89" s="996"/>
      <c r="FZL89" s="996"/>
      <c r="FZM89" s="996"/>
      <c r="FZN89" s="996"/>
      <c r="FZO89" s="996"/>
      <c r="FZP89" s="996"/>
      <c r="FZQ89" s="996"/>
      <c r="FZR89" s="996"/>
      <c r="FZS89" s="996"/>
      <c r="FZT89" s="996"/>
      <c r="FZU89" s="996"/>
      <c r="FZV89" s="996"/>
      <c r="FZW89" s="996"/>
      <c r="FZX89" s="996"/>
      <c r="FZY89" s="996"/>
      <c r="FZZ89" s="996"/>
      <c r="GAA89" s="996"/>
      <c r="GAB89" s="996"/>
      <c r="GAC89" s="996"/>
      <c r="GAD89" s="996"/>
      <c r="GAE89" s="996"/>
      <c r="GAF89" s="996"/>
      <c r="GAG89" s="996"/>
      <c r="GAH89" s="996"/>
      <c r="GAI89" s="996"/>
      <c r="GAJ89" s="996"/>
      <c r="GAK89" s="996"/>
      <c r="GAL89" s="996"/>
      <c r="GAM89" s="996"/>
      <c r="GAN89" s="996"/>
      <c r="GAO89" s="996"/>
      <c r="GAP89" s="996"/>
      <c r="GAQ89" s="996"/>
      <c r="GAR89" s="996"/>
      <c r="GAS89" s="996"/>
      <c r="GAT89" s="996"/>
      <c r="GAU89" s="996"/>
      <c r="GAV89" s="996"/>
      <c r="GAW89" s="996"/>
      <c r="GAX89" s="996"/>
      <c r="GAY89" s="996"/>
      <c r="GAZ89" s="996"/>
      <c r="GBA89" s="996"/>
      <c r="GBB89" s="996"/>
      <c r="GBC89" s="996"/>
      <c r="GBD89" s="996"/>
      <c r="GBE89" s="996"/>
      <c r="GBF89" s="996"/>
      <c r="GBG89" s="996"/>
      <c r="GBH89" s="996"/>
      <c r="GBI89" s="996"/>
      <c r="GBJ89" s="996"/>
      <c r="GBK89" s="996"/>
      <c r="GBL89" s="996"/>
      <c r="GBM89" s="996"/>
      <c r="GBN89" s="996"/>
      <c r="GBO89" s="996"/>
      <c r="GBP89" s="996"/>
      <c r="GBQ89" s="996"/>
      <c r="GBR89" s="996"/>
      <c r="GBS89" s="996"/>
      <c r="GBT89" s="996"/>
      <c r="GBU89" s="996"/>
      <c r="GBV89" s="996"/>
      <c r="GBW89" s="996"/>
      <c r="GBX89" s="996"/>
      <c r="GBY89" s="996"/>
      <c r="GBZ89" s="996"/>
      <c r="GCA89" s="996"/>
      <c r="GCB89" s="996"/>
      <c r="GCC89" s="996"/>
      <c r="GCD89" s="996"/>
      <c r="GCE89" s="996"/>
      <c r="GCF89" s="996"/>
      <c r="GCG89" s="996"/>
      <c r="GCH89" s="996"/>
      <c r="GCI89" s="996"/>
      <c r="GCJ89" s="996"/>
      <c r="GCK89" s="996"/>
      <c r="GCL89" s="996"/>
      <c r="GCM89" s="996"/>
      <c r="GCN89" s="996"/>
      <c r="GCO89" s="996"/>
      <c r="GCP89" s="996"/>
      <c r="GCQ89" s="996"/>
      <c r="GCR89" s="996"/>
      <c r="GCS89" s="996"/>
      <c r="GCT89" s="996"/>
      <c r="GCU89" s="996"/>
      <c r="GCV89" s="996"/>
      <c r="GCW89" s="996"/>
      <c r="GCX89" s="996"/>
      <c r="GCY89" s="996"/>
      <c r="GCZ89" s="996"/>
      <c r="GDA89" s="996"/>
      <c r="GDB89" s="996"/>
      <c r="GDC89" s="996"/>
      <c r="GDD89" s="996"/>
      <c r="GDE89" s="996"/>
      <c r="GDF89" s="996"/>
      <c r="GDG89" s="996"/>
      <c r="GDH89" s="996"/>
      <c r="GDI89" s="996"/>
      <c r="GDJ89" s="996"/>
      <c r="GDK89" s="996"/>
      <c r="GDL89" s="996"/>
      <c r="GDM89" s="996"/>
      <c r="GDN89" s="996"/>
      <c r="GDO89" s="996"/>
      <c r="GDP89" s="996"/>
      <c r="GDQ89" s="996"/>
      <c r="GDR89" s="996"/>
      <c r="GDS89" s="996"/>
      <c r="GDT89" s="996"/>
      <c r="GDU89" s="996"/>
      <c r="GDV89" s="996"/>
      <c r="GDW89" s="996"/>
      <c r="GDX89" s="996"/>
      <c r="GDY89" s="996"/>
      <c r="GDZ89" s="996"/>
      <c r="GEA89" s="996"/>
      <c r="GEB89" s="996"/>
      <c r="GEC89" s="996"/>
      <c r="GED89" s="996"/>
      <c r="GEE89" s="996"/>
      <c r="GEF89" s="996"/>
      <c r="GEG89" s="996"/>
      <c r="GEH89" s="996"/>
      <c r="GEI89" s="996"/>
      <c r="GEJ89" s="996"/>
      <c r="GEK89" s="996"/>
      <c r="GEL89" s="996"/>
      <c r="GEM89" s="996"/>
      <c r="GEN89" s="996"/>
      <c r="GEO89" s="996"/>
      <c r="GEP89" s="996"/>
      <c r="GEQ89" s="996"/>
      <c r="GER89" s="996"/>
      <c r="GES89" s="996"/>
      <c r="GET89" s="996"/>
      <c r="GEU89" s="996"/>
      <c r="GEV89" s="996"/>
      <c r="GEW89" s="996"/>
      <c r="GEX89" s="996"/>
      <c r="GEY89" s="996"/>
      <c r="GEZ89" s="996"/>
      <c r="GFA89" s="996"/>
      <c r="GFB89" s="996"/>
      <c r="GFC89" s="996"/>
      <c r="GFD89" s="996"/>
      <c r="GFE89" s="996"/>
      <c r="GFF89" s="996"/>
      <c r="GFG89" s="996"/>
      <c r="GFH89" s="996"/>
      <c r="GFI89" s="996"/>
      <c r="GFJ89" s="996"/>
      <c r="GFK89" s="996"/>
      <c r="GFL89" s="996"/>
      <c r="GFM89" s="996"/>
      <c r="GFN89" s="996"/>
      <c r="GFO89" s="996"/>
      <c r="GFP89" s="996"/>
      <c r="GFQ89" s="996"/>
      <c r="GFR89" s="996"/>
      <c r="GFS89" s="996"/>
      <c r="GFT89" s="996"/>
      <c r="GFU89" s="996"/>
      <c r="GFV89" s="996"/>
      <c r="GFW89" s="996"/>
      <c r="GFX89" s="996"/>
      <c r="GFY89" s="996"/>
      <c r="GFZ89" s="996"/>
      <c r="GGA89" s="996"/>
      <c r="GGB89" s="996"/>
      <c r="GGC89" s="996"/>
      <c r="GGD89" s="996"/>
      <c r="GGE89" s="996"/>
      <c r="GGF89" s="996"/>
      <c r="GGG89" s="996"/>
      <c r="GGH89" s="996"/>
      <c r="GGI89" s="996"/>
      <c r="GGJ89" s="996"/>
      <c r="GGK89" s="996"/>
      <c r="GGL89" s="996"/>
      <c r="GGM89" s="996"/>
      <c r="GGN89" s="996"/>
      <c r="GGO89" s="996"/>
      <c r="GGP89" s="996"/>
      <c r="GGQ89" s="996"/>
      <c r="GGR89" s="996"/>
      <c r="GGS89" s="996"/>
      <c r="GGT89" s="996"/>
      <c r="GGU89" s="996"/>
      <c r="GGV89" s="996"/>
      <c r="GGW89" s="996"/>
      <c r="GGX89" s="996"/>
      <c r="GGY89" s="996"/>
      <c r="GGZ89" s="996"/>
      <c r="GHA89" s="996"/>
      <c r="GHB89" s="996"/>
      <c r="GHC89" s="996"/>
      <c r="GHD89" s="996"/>
      <c r="GHE89" s="996"/>
      <c r="GHF89" s="996"/>
      <c r="GHG89" s="996"/>
      <c r="GHH89" s="996"/>
      <c r="GHI89" s="996"/>
      <c r="GHJ89" s="996"/>
      <c r="GHK89" s="996"/>
      <c r="GHL89" s="996"/>
      <c r="GHM89" s="996"/>
      <c r="GHN89" s="996"/>
      <c r="GHO89" s="996"/>
      <c r="GHP89" s="996"/>
      <c r="GHQ89" s="996"/>
      <c r="GHR89" s="996"/>
      <c r="GHS89" s="996"/>
      <c r="GHT89" s="996"/>
      <c r="GHU89" s="996"/>
      <c r="GHV89" s="996"/>
      <c r="GHW89" s="996"/>
      <c r="GHX89" s="996"/>
      <c r="GHY89" s="996"/>
      <c r="GHZ89" s="996"/>
      <c r="GIA89" s="996"/>
      <c r="GIB89" s="996"/>
      <c r="GIC89" s="996"/>
      <c r="GID89" s="996"/>
      <c r="GIE89" s="996"/>
      <c r="GIF89" s="996"/>
      <c r="GIG89" s="996"/>
      <c r="GIH89" s="996"/>
      <c r="GII89" s="996"/>
      <c r="GIJ89" s="996"/>
      <c r="GIK89" s="996"/>
      <c r="GIL89" s="996"/>
      <c r="GIM89" s="996"/>
      <c r="GIN89" s="996"/>
      <c r="GIO89" s="996"/>
      <c r="GIP89" s="996"/>
      <c r="GIQ89" s="996"/>
      <c r="GIR89" s="996"/>
      <c r="GIS89" s="996"/>
      <c r="GIT89" s="996"/>
      <c r="GIU89" s="996"/>
      <c r="GIV89" s="996"/>
      <c r="GIW89" s="996"/>
      <c r="GIX89" s="996"/>
      <c r="GIY89" s="996"/>
      <c r="GIZ89" s="996"/>
      <c r="GJA89" s="996"/>
      <c r="GJB89" s="996"/>
      <c r="GJC89" s="996"/>
      <c r="GJD89" s="996"/>
      <c r="GJE89" s="996"/>
      <c r="GJF89" s="996"/>
      <c r="GJG89" s="996"/>
      <c r="GJH89" s="996"/>
      <c r="GJI89" s="996"/>
      <c r="GJJ89" s="996"/>
      <c r="GJK89" s="996"/>
      <c r="GJL89" s="996"/>
      <c r="GJM89" s="996"/>
      <c r="GJN89" s="996"/>
      <c r="GJO89" s="996"/>
      <c r="GJP89" s="996"/>
      <c r="GJQ89" s="996"/>
      <c r="GJR89" s="996"/>
      <c r="GJS89" s="996"/>
      <c r="GJT89" s="996"/>
      <c r="GJU89" s="996"/>
      <c r="GJV89" s="996"/>
      <c r="GJW89" s="996"/>
      <c r="GJX89" s="996"/>
      <c r="GJY89" s="996"/>
      <c r="GJZ89" s="996"/>
      <c r="GKA89" s="996"/>
      <c r="GKB89" s="996"/>
      <c r="GKC89" s="996"/>
      <c r="GKD89" s="996"/>
      <c r="GKE89" s="996"/>
      <c r="GKF89" s="996"/>
      <c r="GKG89" s="996"/>
      <c r="GKH89" s="996"/>
      <c r="GKI89" s="996"/>
      <c r="GKJ89" s="996"/>
      <c r="GKK89" s="996"/>
      <c r="GKL89" s="996"/>
      <c r="GKM89" s="996"/>
      <c r="GKN89" s="996"/>
      <c r="GKO89" s="996"/>
      <c r="GKP89" s="996"/>
      <c r="GKQ89" s="996"/>
      <c r="GKR89" s="996"/>
      <c r="GKS89" s="996"/>
      <c r="GKT89" s="996"/>
      <c r="GKU89" s="996"/>
      <c r="GKV89" s="996"/>
      <c r="GKW89" s="996"/>
      <c r="GKX89" s="996"/>
      <c r="GKY89" s="996"/>
      <c r="GKZ89" s="996"/>
      <c r="GLA89" s="996"/>
      <c r="GLB89" s="996"/>
      <c r="GLC89" s="996"/>
      <c r="GLD89" s="996"/>
      <c r="GLE89" s="996"/>
      <c r="GLF89" s="996"/>
      <c r="GLG89" s="996"/>
      <c r="GLH89" s="996"/>
      <c r="GLI89" s="996"/>
      <c r="GLJ89" s="996"/>
      <c r="GLK89" s="996"/>
      <c r="GLL89" s="996"/>
      <c r="GLM89" s="996"/>
      <c r="GLN89" s="996"/>
      <c r="GLO89" s="996"/>
      <c r="GLP89" s="996"/>
      <c r="GLQ89" s="996"/>
      <c r="GLR89" s="996"/>
      <c r="GLS89" s="996"/>
      <c r="GLT89" s="996"/>
      <c r="GLU89" s="996"/>
      <c r="GLV89" s="996"/>
      <c r="GLW89" s="996"/>
      <c r="GLX89" s="996"/>
      <c r="GLY89" s="996"/>
      <c r="GLZ89" s="996"/>
      <c r="GMA89" s="996"/>
      <c r="GMB89" s="996"/>
      <c r="GMC89" s="996"/>
      <c r="GMD89" s="996"/>
      <c r="GME89" s="996"/>
      <c r="GMF89" s="996"/>
      <c r="GMG89" s="996"/>
      <c r="GMH89" s="996"/>
      <c r="GMI89" s="996"/>
      <c r="GMJ89" s="996"/>
      <c r="GMK89" s="996"/>
      <c r="GML89" s="996"/>
      <c r="GMM89" s="996"/>
      <c r="GMN89" s="996"/>
      <c r="GMO89" s="996"/>
      <c r="GMP89" s="996"/>
      <c r="GMQ89" s="996"/>
      <c r="GMR89" s="996"/>
      <c r="GMS89" s="996"/>
      <c r="GMT89" s="996"/>
      <c r="GMU89" s="996"/>
      <c r="GMV89" s="996"/>
      <c r="GMW89" s="996"/>
      <c r="GMX89" s="996"/>
      <c r="GMY89" s="996"/>
      <c r="GMZ89" s="996"/>
      <c r="GNA89" s="996"/>
      <c r="GNB89" s="996"/>
      <c r="GNC89" s="996"/>
      <c r="GND89" s="996"/>
      <c r="GNE89" s="996"/>
      <c r="GNF89" s="996"/>
      <c r="GNG89" s="996"/>
      <c r="GNH89" s="996"/>
      <c r="GNI89" s="996"/>
      <c r="GNJ89" s="996"/>
      <c r="GNK89" s="996"/>
      <c r="GNL89" s="996"/>
      <c r="GNM89" s="996"/>
      <c r="GNN89" s="996"/>
      <c r="GNO89" s="996"/>
      <c r="GNP89" s="996"/>
      <c r="GNQ89" s="996"/>
      <c r="GNR89" s="996"/>
      <c r="GNS89" s="996"/>
      <c r="GNT89" s="996"/>
      <c r="GNU89" s="996"/>
      <c r="GNV89" s="996"/>
      <c r="GNW89" s="996"/>
      <c r="GNX89" s="996"/>
      <c r="GNY89" s="996"/>
      <c r="GNZ89" s="996"/>
      <c r="GOA89" s="996"/>
      <c r="GOB89" s="996"/>
      <c r="GOC89" s="996"/>
      <c r="GOD89" s="996"/>
      <c r="GOE89" s="996"/>
      <c r="GOF89" s="996"/>
      <c r="GOG89" s="996"/>
      <c r="GOH89" s="996"/>
      <c r="GOI89" s="996"/>
      <c r="GOJ89" s="996"/>
      <c r="GOK89" s="996"/>
      <c r="GOL89" s="996"/>
      <c r="GOM89" s="996"/>
      <c r="GON89" s="996"/>
      <c r="GOO89" s="996"/>
      <c r="GOP89" s="996"/>
      <c r="GOQ89" s="996"/>
      <c r="GOR89" s="996"/>
      <c r="GOS89" s="996"/>
      <c r="GOT89" s="996"/>
      <c r="GOU89" s="996"/>
      <c r="GOV89" s="996"/>
      <c r="GOW89" s="996"/>
      <c r="GOX89" s="996"/>
      <c r="GOY89" s="996"/>
      <c r="GOZ89" s="996"/>
      <c r="GPA89" s="996"/>
      <c r="GPB89" s="996"/>
      <c r="GPC89" s="996"/>
      <c r="GPD89" s="996"/>
      <c r="GPE89" s="996"/>
      <c r="GPF89" s="996"/>
      <c r="GPG89" s="996"/>
      <c r="GPH89" s="996"/>
      <c r="GPI89" s="996"/>
      <c r="GPJ89" s="996"/>
      <c r="GPK89" s="996"/>
      <c r="GPL89" s="996"/>
      <c r="GPM89" s="996"/>
      <c r="GPN89" s="996"/>
      <c r="GPO89" s="996"/>
      <c r="GPP89" s="996"/>
      <c r="GPQ89" s="996"/>
      <c r="GPR89" s="996"/>
      <c r="GPS89" s="996"/>
      <c r="GPT89" s="996"/>
      <c r="GPU89" s="996"/>
      <c r="GPV89" s="996"/>
      <c r="GPW89" s="996"/>
      <c r="GPX89" s="996"/>
      <c r="GPY89" s="996"/>
      <c r="GPZ89" s="996"/>
      <c r="GQA89" s="996"/>
      <c r="GQB89" s="996"/>
      <c r="GQC89" s="996"/>
      <c r="GQD89" s="996"/>
      <c r="GQE89" s="996"/>
      <c r="GQF89" s="996"/>
      <c r="GQG89" s="996"/>
      <c r="GQH89" s="996"/>
      <c r="GQI89" s="996"/>
      <c r="GQJ89" s="996"/>
      <c r="GQK89" s="996"/>
      <c r="GQL89" s="996"/>
      <c r="GQM89" s="996"/>
      <c r="GQN89" s="996"/>
      <c r="GQO89" s="996"/>
      <c r="GQP89" s="996"/>
      <c r="GQQ89" s="996"/>
      <c r="GQR89" s="996"/>
      <c r="GQS89" s="996"/>
      <c r="GQT89" s="996"/>
      <c r="GQU89" s="996"/>
      <c r="GQV89" s="996"/>
      <c r="GQW89" s="996"/>
      <c r="GQX89" s="996"/>
      <c r="GQY89" s="996"/>
      <c r="GQZ89" s="996"/>
      <c r="GRA89" s="996"/>
      <c r="GRB89" s="996"/>
      <c r="GRC89" s="996"/>
      <c r="GRD89" s="996"/>
      <c r="GRE89" s="996"/>
      <c r="GRF89" s="996"/>
      <c r="GRG89" s="996"/>
      <c r="GRH89" s="996"/>
      <c r="GRI89" s="996"/>
      <c r="GRJ89" s="996"/>
      <c r="GRK89" s="996"/>
      <c r="GRL89" s="996"/>
      <c r="GRM89" s="996"/>
      <c r="GRN89" s="996"/>
      <c r="GRO89" s="996"/>
      <c r="GRP89" s="996"/>
      <c r="GRQ89" s="996"/>
      <c r="GRR89" s="996"/>
      <c r="GRS89" s="996"/>
      <c r="GRT89" s="996"/>
      <c r="GRU89" s="996"/>
      <c r="GRV89" s="996"/>
      <c r="GRW89" s="996"/>
      <c r="GRX89" s="996"/>
      <c r="GRY89" s="996"/>
      <c r="GRZ89" s="996"/>
      <c r="GSA89" s="996"/>
      <c r="GSB89" s="996"/>
      <c r="GSC89" s="996"/>
      <c r="GSD89" s="996"/>
      <c r="GSE89" s="996"/>
      <c r="GSF89" s="996"/>
      <c r="GSG89" s="996"/>
      <c r="GSH89" s="996"/>
      <c r="GSI89" s="996"/>
      <c r="GSJ89" s="996"/>
      <c r="GSK89" s="996"/>
      <c r="GSL89" s="996"/>
      <c r="GSM89" s="996"/>
      <c r="GSN89" s="996"/>
      <c r="GSO89" s="996"/>
      <c r="GSP89" s="996"/>
      <c r="GSQ89" s="996"/>
      <c r="GSR89" s="996"/>
      <c r="GSS89" s="996"/>
      <c r="GST89" s="996"/>
      <c r="GSU89" s="996"/>
      <c r="GSV89" s="996"/>
      <c r="GSW89" s="996"/>
      <c r="GSX89" s="996"/>
      <c r="GSY89" s="996"/>
      <c r="GSZ89" s="996"/>
      <c r="GTA89" s="996"/>
      <c r="GTB89" s="996"/>
      <c r="GTC89" s="996"/>
      <c r="GTD89" s="996"/>
      <c r="GTE89" s="996"/>
      <c r="GTF89" s="996"/>
      <c r="GTG89" s="996"/>
      <c r="GTH89" s="996"/>
      <c r="GTI89" s="996"/>
      <c r="GTJ89" s="996"/>
      <c r="GTK89" s="996"/>
      <c r="GTL89" s="996"/>
      <c r="GTM89" s="996"/>
      <c r="GTN89" s="996"/>
      <c r="GTO89" s="996"/>
      <c r="GTP89" s="996"/>
      <c r="GTQ89" s="996"/>
      <c r="GTR89" s="996"/>
      <c r="GTS89" s="996"/>
      <c r="GTT89" s="996"/>
      <c r="GTU89" s="996"/>
      <c r="GTV89" s="996"/>
      <c r="GTW89" s="996"/>
      <c r="GTX89" s="996"/>
      <c r="GTY89" s="996"/>
      <c r="GTZ89" s="996"/>
      <c r="GUA89" s="996"/>
      <c r="GUB89" s="996"/>
      <c r="GUC89" s="996"/>
      <c r="GUD89" s="996"/>
      <c r="GUE89" s="996"/>
      <c r="GUF89" s="996"/>
      <c r="GUG89" s="996"/>
      <c r="GUH89" s="996"/>
      <c r="GUI89" s="996"/>
      <c r="GUJ89" s="996"/>
      <c r="GUK89" s="996"/>
      <c r="GUL89" s="996"/>
      <c r="GUM89" s="996"/>
      <c r="GUN89" s="996"/>
      <c r="GUO89" s="996"/>
      <c r="GUP89" s="996"/>
      <c r="GUQ89" s="996"/>
      <c r="GUR89" s="996"/>
      <c r="GUS89" s="996"/>
      <c r="GUT89" s="996"/>
      <c r="GUU89" s="996"/>
      <c r="GUV89" s="996"/>
      <c r="GUW89" s="996"/>
      <c r="GUX89" s="996"/>
      <c r="GUY89" s="996"/>
      <c r="GUZ89" s="996"/>
      <c r="GVA89" s="996"/>
      <c r="GVB89" s="996"/>
      <c r="GVC89" s="996"/>
      <c r="GVD89" s="996"/>
      <c r="GVE89" s="996"/>
      <c r="GVF89" s="996"/>
      <c r="GVG89" s="996"/>
      <c r="GVH89" s="996"/>
      <c r="GVI89" s="996"/>
      <c r="GVJ89" s="996"/>
      <c r="GVK89" s="996"/>
      <c r="GVL89" s="996"/>
      <c r="GVM89" s="996"/>
      <c r="GVN89" s="996"/>
      <c r="GVO89" s="996"/>
      <c r="GVP89" s="996"/>
      <c r="GVQ89" s="996"/>
      <c r="GVR89" s="996"/>
      <c r="GVS89" s="996"/>
      <c r="GVT89" s="996"/>
      <c r="GVU89" s="996"/>
      <c r="GVV89" s="996"/>
      <c r="GVW89" s="996"/>
      <c r="GVX89" s="996"/>
      <c r="GVY89" s="996"/>
      <c r="GVZ89" s="996"/>
      <c r="GWA89" s="996"/>
      <c r="GWB89" s="996"/>
      <c r="GWC89" s="996"/>
      <c r="GWD89" s="996"/>
      <c r="GWE89" s="996"/>
      <c r="GWF89" s="996"/>
      <c r="GWG89" s="996"/>
      <c r="GWH89" s="996"/>
      <c r="GWI89" s="996"/>
      <c r="GWJ89" s="996"/>
      <c r="GWK89" s="996"/>
      <c r="GWL89" s="996"/>
      <c r="GWM89" s="996"/>
      <c r="GWN89" s="996"/>
      <c r="GWO89" s="996"/>
      <c r="GWP89" s="996"/>
      <c r="GWQ89" s="996"/>
      <c r="GWR89" s="996"/>
      <c r="GWS89" s="996"/>
      <c r="GWT89" s="996"/>
      <c r="GWU89" s="996"/>
      <c r="GWV89" s="996"/>
      <c r="GWW89" s="996"/>
      <c r="GWX89" s="996"/>
      <c r="GWY89" s="996"/>
      <c r="GWZ89" s="996"/>
      <c r="GXA89" s="996"/>
      <c r="GXB89" s="996"/>
      <c r="GXC89" s="996"/>
      <c r="GXD89" s="996"/>
      <c r="GXE89" s="996"/>
      <c r="GXF89" s="996"/>
      <c r="GXG89" s="996"/>
      <c r="GXH89" s="996"/>
      <c r="GXI89" s="996"/>
      <c r="GXJ89" s="996"/>
      <c r="GXK89" s="996"/>
      <c r="GXL89" s="996"/>
      <c r="GXM89" s="996"/>
      <c r="GXN89" s="996"/>
      <c r="GXO89" s="996"/>
      <c r="GXP89" s="996"/>
      <c r="GXQ89" s="996"/>
      <c r="GXR89" s="996"/>
      <c r="GXS89" s="996"/>
      <c r="GXT89" s="996"/>
      <c r="GXU89" s="996"/>
      <c r="GXV89" s="996"/>
      <c r="GXW89" s="996"/>
      <c r="GXX89" s="996"/>
      <c r="GXY89" s="996"/>
      <c r="GXZ89" s="996"/>
      <c r="GYA89" s="996"/>
      <c r="GYB89" s="996"/>
      <c r="GYC89" s="996"/>
      <c r="GYD89" s="996"/>
      <c r="GYE89" s="996"/>
      <c r="GYF89" s="996"/>
      <c r="GYG89" s="996"/>
      <c r="GYH89" s="996"/>
      <c r="GYI89" s="996"/>
      <c r="GYJ89" s="996"/>
      <c r="GYK89" s="996"/>
      <c r="GYL89" s="996"/>
      <c r="GYM89" s="996"/>
      <c r="GYN89" s="996"/>
      <c r="GYO89" s="996"/>
      <c r="GYP89" s="996"/>
      <c r="GYQ89" s="996"/>
      <c r="GYR89" s="996"/>
      <c r="GYS89" s="996"/>
      <c r="GYT89" s="996"/>
      <c r="GYU89" s="996"/>
      <c r="GYV89" s="996"/>
      <c r="GYW89" s="996"/>
      <c r="GYX89" s="996"/>
      <c r="GYY89" s="996"/>
      <c r="GYZ89" s="996"/>
      <c r="GZA89" s="996"/>
      <c r="GZB89" s="996"/>
      <c r="GZC89" s="996"/>
      <c r="GZD89" s="996"/>
      <c r="GZE89" s="996"/>
      <c r="GZF89" s="996"/>
      <c r="GZG89" s="996"/>
      <c r="GZH89" s="996"/>
      <c r="GZI89" s="996"/>
      <c r="GZJ89" s="996"/>
      <c r="GZK89" s="996"/>
      <c r="GZL89" s="996"/>
      <c r="GZM89" s="996"/>
      <c r="GZN89" s="996"/>
      <c r="GZO89" s="996"/>
      <c r="GZP89" s="996"/>
      <c r="GZQ89" s="996"/>
      <c r="GZR89" s="996"/>
      <c r="GZS89" s="996"/>
      <c r="GZT89" s="996"/>
      <c r="GZU89" s="996"/>
      <c r="GZV89" s="996"/>
      <c r="GZW89" s="996"/>
      <c r="GZX89" s="996"/>
      <c r="GZY89" s="996"/>
      <c r="GZZ89" s="996"/>
      <c r="HAA89" s="996"/>
      <c r="HAB89" s="996"/>
      <c r="HAC89" s="996"/>
      <c r="HAD89" s="996"/>
      <c r="HAE89" s="996"/>
      <c r="HAF89" s="996"/>
      <c r="HAG89" s="996"/>
      <c r="HAH89" s="996"/>
      <c r="HAI89" s="996"/>
      <c r="HAJ89" s="996"/>
      <c r="HAK89" s="996"/>
      <c r="HAL89" s="996"/>
      <c r="HAM89" s="996"/>
      <c r="HAN89" s="996"/>
      <c r="HAO89" s="996"/>
      <c r="HAP89" s="996"/>
      <c r="HAQ89" s="996"/>
      <c r="HAR89" s="996"/>
      <c r="HAS89" s="996"/>
      <c r="HAT89" s="996"/>
      <c r="HAU89" s="996"/>
      <c r="HAV89" s="996"/>
      <c r="HAW89" s="996"/>
      <c r="HAX89" s="996"/>
      <c r="HAY89" s="996"/>
      <c r="HAZ89" s="996"/>
      <c r="HBA89" s="996"/>
      <c r="HBB89" s="996"/>
      <c r="HBC89" s="996"/>
      <c r="HBD89" s="996"/>
      <c r="HBE89" s="996"/>
      <c r="HBF89" s="996"/>
      <c r="HBG89" s="996"/>
      <c r="HBH89" s="996"/>
      <c r="HBI89" s="996"/>
      <c r="HBJ89" s="996"/>
      <c r="HBK89" s="996"/>
      <c r="HBL89" s="996"/>
      <c r="HBM89" s="996"/>
      <c r="HBN89" s="996"/>
      <c r="HBO89" s="996"/>
      <c r="HBP89" s="996"/>
      <c r="HBQ89" s="996"/>
      <c r="HBR89" s="996"/>
      <c r="HBS89" s="996"/>
      <c r="HBT89" s="996"/>
      <c r="HBU89" s="996"/>
      <c r="HBV89" s="996"/>
      <c r="HBW89" s="996"/>
      <c r="HBX89" s="996"/>
      <c r="HBY89" s="996"/>
      <c r="HBZ89" s="996"/>
      <c r="HCA89" s="996"/>
      <c r="HCB89" s="996"/>
      <c r="HCC89" s="996"/>
      <c r="HCD89" s="996"/>
      <c r="HCE89" s="996"/>
      <c r="HCF89" s="996"/>
      <c r="HCG89" s="996"/>
      <c r="HCH89" s="996"/>
      <c r="HCI89" s="996"/>
      <c r="HCJ89" s="996"/>
      <c r="HCK89" s="996"/>
      <c r="HCL89" s="996"/>
      <c r="HCM89" s="996"/>
      <c r="HCN89" s="996"/>
      <c r="HCO89" s="996"/>
      <c r="HCP89" s="996"/>
      <c r="HCQ89" s="996"/>
      <c r="HCR89" s="996"/>
      <c r="HCS89" s="996"/>
      <c r="HCT89" s="996"/>
      <c r="HCU89" s="996"/>
      <c r="HCV89" s="996"/>
      <c r="HCW89" s="996"/>
      <c r="HCX89" s="996"/>
      <c r="HCY89" s="996"/>
      <c r="HCZ89" s="996"/>
      <c r="HDA89" s="996"/>
      <c r="HDB89" s="996"/>
      <c r="HDC89" s="996"/>
      <c r="HDD89" s="996"/>
      <c r="HDE89" s="996"/>
      <c r="HDF89" s="996"/>
      <c r="HDG89" s="996"/>
      <c r="HDH89" s="996"/>
      <c r="HDI89" s="996"/>
      <c r="HDJ89" s="996"/>
      <c r="HDK89" s="996"/>
      <c r="HDL89" s="996"/>
      <c r="HDM89" s="996"/>
      <c r="HDN89" s="996"/>
      <c r="HDO89" s="996"/>
      <c r="HDP89" s="996"/>
      <c r="HDQ89" s="996"/>
      <c r="HDR89" s="996"/>
      <c r="HDS89" s="996"/>
      <c r="HDT89" s="996"/>
      <c r="HDU89" s="996"/>
      <c r="HDV89" s="996"/>
      <c r="HDW89" s="996"/>
      <c r="HDX89" s="996"/>
      <c r="HDY89" s="996"/>
      <c r="HDZ89" s="996"/>
      <c r="HEA89" s="996"/>
      <c r="HEB89" s="996"/>
      <c r="HEC89" s="996"/>
      <c r="HED89" s="996"/>
      <c r="HEE89" s="996"/>
      <c r="HEF89" s="996"/>
      <c r="HEG89" s="996"/>
      <c r="HEH89" s="996"/>
      <c r="HEI89" s="996"/>
      <c r="HEJ89" s="996"/>
      <c r="HEK89" s="996"/>
      <c r="HEL89" s="996"/>
      <c r="HEM89" s="996"/>
      <c r="HEN89" s="996"/>
      <c r="HEO89" s="996"/>
      <c r="HEP89" s="996"/>
      <c r="HEQ89" s="996"/>
      <c r="HER89" s="996"/>
      <c r="HES89" s="996"/>
      <c r="HET89" s="996"/>
      <c r="HEU89" s="996"/>
      <c r="HEV89" s="996"/>
      <c r="HEW89" s="996"/>
      <c r="HEX89" s="996"/>
      <c r="HEY89" s="996"/>
      <c r="HEZ89" s="996"/>
      <c r="HFA89" s="996"/>
      <c r="HFB89" s="996"/>
      <c r="HFC89" s="996"/>
      <c r="HFD89" s="996"/>
      <c r="HFE89" s="996"/>
      <c r="HFF89" s="996"/>
      <c r="HFG89" s="996"/>
      <c r="HFH89" s="996"/>
      <c r="HFI89" s="996"/>
      <c r="HFJ89" s="996"/>
      <c r="HFK89" s="996"/>
      <c r="HFL89" s="996"/>
      <c r="HFM89" s="996"/>
      <c r="HFN89" s="996"/>
      <c r="HFO89" s="996"/>
      <c r="HFP89" s="996"/>
      <c r="HFQ89" s="996"/>
      <c r="HFR89" s="996"/>
      <c r="HFS89" s="996"/>
      <c r="HFT89" s="996"/>
      <c r="HFU89" s="996"/>
      <c r="HFV89" s="996"/>
      <c r="HFW89" s="996"/>
      <c r="HFX89" s="996"/>
      <c r="HFY89" s="996"/>
      <c r="HFZ89" s="996"/>
      <c r="HGA89" s="996"/>
      <c r="HGB89" s="996"/>
      <c r="HGC89" s="996"/>
      <c r="HGD89" s="996"/>
      <c r="HGE89" s="996"/>
      <c r="HGF89" s="996"/>
      <c r="HGG89" s="996"/>
      <c r="HGH89" s="996"/>
      <c r="HGI89" s="996"/>
      <c r="HGJ89" s="996"/>
      <c r="HGK89" s="996"/>
      <c r="HGL89" s="996"/>
      <c r="HGM89" s="996"/>
      <c r="HGN89" s="996"/>
      <c r="HGO89" s="996"/>
      <c r="HGP89" s="996"/>
      <c r="HGQ89" s="996"/>
      <c r="HGR89" s="996"/>
      <c r="HGS89" s="996"/>
      <c r="HGT89" s="996"/>
      <c r="HGU89" s="996"/>
      <c r="HGV89" s="996"/>
      <c r="HGW89" s="996"/>
      <c r="HGX89" s="996"/>
      <c r="HGY89" s="996"/>
      <c r="HGZ89" s="996"/>
      <c r="HHA89" s="996"/>
      <c r="HHB89" s="996"/>
      <c r="HHC89" s="996"/>
      <c r="HHD89" s="996"/>
      <c r="HHE89" s="996"/>
      <c r="HHF89" s="996"/>
      <c r="HHG89" s="996"/>
      <c r="HHH89" s="996"/>
      <c r="HHI89" s="996"/>
      <c r="HHJ89" s="996"/>
      <c r="HHK89" s="996"/>
      <c r="HHL89" s="996"/>
      <c r="HHM89" s="996"/>
      <c r="HHN89" s="996"/>
      <c r="HHO89" s="996"/>
      <c r="HHP89" s="996"/>
      <c r="HHQ89" s="996"/>
      <c r="HHR89" s="996"/>
      <c r="HHS89" s="996"/>
      <c r="HHT89" s="996"/>
      <c r="HHU89" s="996"/>
      <c r="HHV89" s="996"/>
      <c r="HHW89" s="996"/>
      <c r="HHX89" s="996"/>
      <c r="HHY89" s="996"/>
      <c r="HHZ89" s="996"/>
      <c r="HIA89" s="996"/>
      <c r="HIB89" s="996"/>
      <c r="HIC89" s="996"/>
      <c r="HID89" s="996"/>
      <c r="HIE89" s="996"/>
      <c r="HIF89" s="996"/>
      <c r="HIG89" s="996"/>
      <c r="HIH89" s="996"/>
      <c r="HII89" s="996"/>
      <c r="HIJ89" s="996"/>
      <c r="HIK89" s="996"/>
      <c r="HIL89" s="996"/>
      <c r="HIM89" s="996"/>
      <c r="HIN89" s="996"/>
      <c r="HIO89" s="996"/>
      <c r="HIP89" s="996"/>
      <c r="HIQ89" s="996"/>
      <c r="HIR89" s="996"/>
      <c r="HIS89" s="996"/>
      <c r="HIT89" s="996"/>
      <c r="HIU89" s="996"/>
      <c r="HIV89" s="996"/>
      <c r="HIW89" s="996"/>
      <c r="HIX89" s="996"/>
      <c r="HIY89" s="996"/>
      <c r="HIZ89" s="996"/>
      <c r="HJA89" s="996"/>
      <c r="HJB89" s="996"/>
      <c r="HJC89" s="996"/>
      <c r="HJD89" s="996"/>
      <c r="HJE89" s="996"/>
      <c r="HJF89" s="996"/>
      <c r="HJG89" s="996"/>
      <c r="HJH89" s="996"/>
      <c r="HJI89" s="996"/>
      <c r="HJJ89" s="996"/>
      <c r="HJK89" s="996"/>
      <c r="HJL89" s="996"/>
      <c r="HJM89" s="996"/>
      <c r="HJN89" s="996"/>
      <c r="HJO89" s="996"/>
      <c r="HJP89" s="996"/>
      <c r="HJQ89" s="996"/>
      <c r="HJR89" s="996"/>
      <c r="HJS89" s="996"/>
      <c r="HJT89" s="996"/>
      <c r="HJU89" s="996"/>
      <c r="HJV89" s="996"/>
      <c r="HJW89" s="996"/>
      <c r="HJX89" s="996"/>
      <c r="HJY89" s="996"/>
      <c r="HJZ89" s="996"/>
      <c r="HKA89" s="996"/>
      <c r="HKB89" s="996"/>
      <c r="HKC89" s="996"/>
      <c r="HKD89" s="996"/>
      <c r="HKE89" s="996"/>
      <c r="HKF89" s="996"/>
      <c r="HKG89" s="996"/>
      <c r="HKH89" s="996"/>
      <c r="HKI89" s="996"/>
      <c r="HKJ89" s="996"/>
      <c r="HKK89" s="996"/>
      <c r="HKL89" s="996"/>
      <c r="HKM89" s="996"/>
      <c r="HKN89" s="996"/>
      <c r="HKO89" s="996"/>
      <c r="HKP89" s="996"/>
      <c r="HKQ89" s="996"/>
      <c r="HKR89" s="996"/>
      <c r="HKS89" s="996"/>
      <c r="HKT89" s="996"/>
      <c r="HKU89" s="996"/>
      <c r="HKV89" s="996"/>
      <c r="HKW89" s="996"/>
      <c r="HKX89" s="996"/>
      <c r="HKY89" s="996"/>
      <c r="HKZ89" s="996"/>
      <c r="HLA89" s="996"/>
      <c r="HLB89" s="996"/>
      <c r="HLC89" s="996"/>
      <c r="HLD89" s="996"/>
      <c r="HLE89" s="996"/>
      <c r="HLF89" s="996"/>
      <c r="HLG89" s="996"/>
      <c r="HLH89" s="996"/>
      <c r="HLI89" s="996"/>
      <c r="HLJ89" s="996"/>
      <c r="HLK89" s="996"/>
      <c r="HLL89" s="996"/>
      <c r="HLM89" s="996"/>
      <c r="HLN89" s="996"/>
      <c r="HLO89" s="996"/>
      <c r="HLP89" s="996"/>
      <c r="HLQ89" s="996"/>
      <c r="HLR89" s="996"/>
      <c r="HLS89" s="996"/>
      <c r="HLT89" s="996"/>
      <c r="HLU89" s="996"/>
      <c r="HLV89" s="996"/>
      <c r="HLW89" s="996"/>
      <c r="HLX89" s="996"/>
      <c r="HLY89" s="996"/>
      <c r="HLZ89" s="996"/>
      <c r="HMA89" s="996"/>
      <c r="HMB89" s="996"/>
      <c r="HMC89" s="996"/>
      <c r="HMD89" s="996"/>
      <c r="HME89" s="996"/>
      <c r="HMF89" s="996"/>
      <c r="HMG89" s="996"/>
      <c r="HMH89" s="996"/>
      <c r="HMI89" s="996"/>
      <c r="HMJ89" s="996"/>
      <c r="HMK89" s="996"/>
      <c r="HML89" s="996"/>
      <c r="HMM89" s="996"/>
      <c r="HMN89" s="996"/>
      <c r="HMO89" s="996"/>
      <c r="HMP89" s="996"/>
      <c r="HMQ89" s="996"/>
      <c r="HMR89" s="996"/>
      <c r="HMS89" s="996"/>
      <c r="HMT89" s="996"/>
      <c r="HMU89" s="996"/>
      <c r="HMV89" s="996"/>
      <c r="HMW89" s="996"/>
      <c r="HMX89" s="996"/>
      <c r="HMY89" s="996"/>
      <c r="HMZ89" s="996"/>
      <c r="HNA89" s="996"/>
      <c r="HNB89" s="996"/>
      <c r="HNC89" s="996"/>
      <c r="HND89" s="996"/>
      <c r="HNE89" s="996"/>
      <c r="HNF89" s="996"/>
      <c r="HNG89" s="996"/>
      <c r="HNH89" s="996"/>
      <c r="HNI89" s="996"/>
      <c r="HNJ89" s="996"/>
      <c r="HNK89" s="996"/>
      <c r="HNL89" s="996"/>
      <c r="HNM89" s="996"/>
      <c r="HNN89" s="996"/>
      <c r="HNO89" s="996"/>
      <c r="HNP89" s="996"/>
      <c r="HNQ89" s="996"/>
      <c r="HNR89" s="996"/>
      <c r="HNS89" s="996"/>
      <c r="HNT89" s="996"/>
      <c r="HNU89" s="996"/>
      <c r="HNV89" s="996"/>
      <c r="HNW89" s="996"/>
      <c r="HNX89" s="996"/>
      <c r="HNY89" s="996"/>
      <c r="HNZ89" s="996"/>
      <c r="HOA89" s="996"/>
      <c r="HOB89" s="996"/>
      <c r="HOC89" s="996"/>
      <c r="HOD89" s="996"/>
      <c r="HOE89" s="996"/>
      <c r="HOF89" s="996"/>
      <c r="HOG89" s="996"/>
      <c r="HOH89" s="996"/>
      <c r="HOI89" s="996"/>
      <c r="HOJ89" s="996"/>
      <c r="HOK89" s="996"/>
      <c r="HOL89" s="996"/>
      <c r="HOM89" s="996"/>
      <c r="HON89" s="996"/>
      <c r="HOO89" s="996"/>
      <c r="HOP89" s="996"/>
      <c r="HOQ89" s="996"/>
      <c r="HOR89" s="996"/>
      <c r="HOS89" s="996"/>
      <c r="HOT89" s="996"/>
      <c r="HOU89" s="996"/>
      <c r="HOV89" s="996"/>
      <c r="HOW89" s="996"/>
      <c r="HOX89" s="996"/>
      <c r="HOY89" s="996"/>
      <c r="HOZ89" s="996"/>
      <c r="HPA89" s="996"/>
      <c r="HPB89" s="996"/>
      <c r="HPC89" s="996"/>
      <c r="HPD89" s="996"/>
      <c r="HPE89" s="996"/>
      <c r="HPF89" s="996"/>
      <c r="HPG89" s="996"/>
      <c r="HPH89" s="996"/>
      <c r="HPI89" s="996"/>
      <c r="HPJ89" s="996"/>
      <c r="HPK89" s="996"/>
      <c r="HPL89" s="996"/>
      <c r="HPM89" s="996"/>
      <c r="HPN89" s="996"/>
      <c r="HPO89" s="996"/>
      <c r="HPP89" s="996"/>
      <c r="HPQ89" s="996"/>
      <c r="HPR89" s="996"/>
      <c r="HPS89" s="996"/>
      <c r="HPT89" s="996"/>
      <c r="HPU89" s="996"/>
      <c r="HPV89" s="996"/>
      <c r="HPW89" s="996"/>
      <c r="HPX89" s="996"/>
      <c r="HPY89" s="996"/>
      <c r="HPZ89" s="996"/>
      <c r="HQA89" s="996"/>
      <c r="HQB89" s="996"/>
      <c r="HQC89" s="996"/>
      <c r="HQD89" s="996"/>
      <c r="HQE89" s="996"/>
      <c r="HQF89" s="996"/>
      <c r="HQG89" s="996"/>
      <c r="HQH89" s="996"/>
      <c r="HQI89" s="996"/>
      <c r="HQJ89" s="996"/>
      <c r="HQK89" s="996"/>
      <c r="HQL89" s="996"/>
      <c r="HQM89" s="996"/>
      <c r="HQN89" s="996"/>
      <c r="HQO89" s="996"/>
      <c r="HQP89" s="996"/>
      <c r="HQQ89" s="996"/>
      <c r="HQR89" s="996"/>
      <c r="HQS89" s="996"/>
      <c r="HQT89" s="996"/>
      <c r="HQU89" s="996"/>
      <c r="HQV89" s="996"/>
      <c r="HQW89" s="996"/>
      <c r="HQX89" s="996"/>
      <c r="HQY89" s="996"/>
      <c r="HQZ89" s="996"/>
      <c r="HRA89" s="996"/>
      <c r="HRB89" s="996"/>
      <c r="HRC89" s="996"/>
      <c r="HRD89" s="996"/>
      <c r="HRE89" s="996"/>
      <c r="HRF89" s="996"/>
      <c r="HRG89" s="996"/>
      <c r="HRH89" s="996"/>
      <c r="HRI89" s="996"/>
      <c r="HRJ89" s="996"/>
      <c r="HRK89" s="996"/>
      <c r="HRL89" s="996"/>
      <c r="HRM89" s="996"/>
      <c r="HRN89" s="996"/>
      <c r="HRO89" s="996"/>
      <c r="HRP89" s="996"/>
      <c r="HRQ89" s="996"/>
      <c r="HRR89" s="996"/>
      <c r="HRS89" s="996"/>
      <c r="HRT89" s="996"/>
      <c r="HRU89" s="996"/>
      <c r="HRV89" s="996"/>
      <c r="HRW89" s="996"/>
      <c r="HRX89" s="996"/>
      <c r="HRY89" s="996"/>
      <c r="HRZ89" s="996"/>
      <c r="HSA89" s="996"/>
      <c r="HSB89" s="996"/>
      <c r="HSC89" s="996"/>
      <c r="HSD89" s="996"/>
      <c r="HSE89" s="996"/>
      <c r="HSF89" s="996"/>
      <c r="HSG89" s="996"/>
      <c r="HSH89" s="996"/>
      <c r="HSI89" s="996"/>
      <c r="HSJ89" s="996"/>
      <c r="HSK89" s="996"/>
      <c r="HSL89" s="996"/>
      <c r="HSM89" s="996"/>
      <c r="HSN89" s="996"/>
      <c r="HSO89" s="996"/>
      <c r="HSP89" s="996"/>
      <c r="HSQ89" s="996"/>
      <c r="HSR89" s="996"/>
      <c r="HSS89" s="996"/>
      <c r="HST89" s="996"/>
      <c r="HSU89" s="996"/>
      <c r="HSV89" s="996"/>
      <c r="HSW89" s="996"/>
      <c r="HSX89" s="996"/>
      <c r="HSY89" s="996"/>
      <c r="HSZ89" s="996"/>
      <c r="HTA89" s="996"/>
      <c r="HTB89" s="996"/>
      <c r="HTC89" s="996"/>
      <c r="HTD89" s="996"/>
      <c r="HTE89" s="996"/>
      <c r="HTF89" s="996"/>
      <c r="HTG89" s="996"/>
      <c r="HTH89" s="996"/>
      <c r="HTI89" s="996"/>
      <c r="HTJ89" s="996"/>
      <c r="HTK89" s="996"/>
      <c r="HTL89" s="996"/>
      <c r="HTM89" s="996"/>
      <c r="HTN89" s="996"/>
      <c r="HTO89" s="996"/>
      <c r="HTP89" s="996"/>
      <c r="HTQ89" s="996"/>
      <c r="HTR89" s="996"/>
      <c r="HTS89" s="996"/>
      <c r="HTT89" s="996"/>
      <c r="HTU89" s="996"/>
      <c r="HTV89" s="996"/>
      <c r="HTW89" s="996"/>
      <c r="HTX89" s="996"/>
      <c r="HTY89" s="996"/>
      <c r="HTZ89" s="996"/>
      <c r="HUA89" s="996"/>
      <c r="HUB89" s="996"/>
      <c r="HUC89" s="996"/>
      <c r="HUD89" s="996"/>
      <c r="HUE89" s="996"/>
      <c r="HUF89" s="996"/>
      <c r="HUG89" s="996"/>
      <c r="HUH89" s="996"/>
      <c r="HUI89" s="996"/>
      <c r="HUJ89" s="996"/>
      <c r="HUK89" s="996"/>
      <c r="HUL89" s="996"/>
      <c r="HUM89" s="996"/>
      <c r="HUN89" s="996"/>
      <c r="HUO89" s="996"/>
      <c r="HUP89" s="996"/>
      <c r="HUQ89" s="996"/>
      <c r="HUR89" s="996"/>
      <c r="HUS89" s="996"/>
      <c r="HUT89" s="996"/>
      <c r="HUU89" s="996"/>
      <c r="HUV89" s="996"/>
      <c r="HUW89" s="996"/>
      <c r="HUX89" s="996"/>
      <c r="HUY89" s="996"/>
      <c r="HUZ89" s="996"/>
      <c r="HVA89" s="996"/>
      <c r="HVB89" s="996"/>
      <c r="HVC89" s="996"/>
      <c r="HVD89" s="996"/>
      <c r="HVE89" s="996"/>
      <c r="HVF89" s="996"/>
      <c r="HVG89" s="996"/>
      <c r="HVH89" s="996"/>
      <c r="HVI89" s="996"/>
      <c r="HVJ89" s="996"/>
      <c r="HVK89" s="996"/>
      <c r="HVL89" s="996"/>
      <c r="HVM89" s="996"/>
      <c r="HVN89" s="996"/>
      <c r="HVO89" s="996"/>
      <c r="HVP89" s="996"/>
      <c r="HVQ89" s="996"/>
      <c r="HVR89" s="996"/>
      <c r="HVS89" s="996"/>
      <c r="HVT89" s="996"/>
      <c r="HVU89" s="996"/>
      <c r="HVV89" s="996"/>
      <c r="HVW89" s="996"/>
      <c r="HVX89" s="996"/>
      <c r="HVY89" s="996"/>
      <c r="HVZ89" s="996"/>
      <c r="HWA89" s="996"/>
      <c r="HWB89" s="996"/>
      <c r="HWC89" s="996"/>
      <c r="HWD89" s="996"/>
      <c r="HWE89" s="996"/>
      <c r="HWF89" s="996"/>
      <c r="HWG89" s="996"/>
      <c r="HWH89" s="996"/>
      <c r="HWI89" s="996"/>
      <c r="HWJ89" s="996"/>
      <c r="HWK89" s="996"/>
      <c r="HWL89" s="996"/>
      <c r="HWM89" s="996"/>
      <c r="HWN89" s="996"/>
      <c r="HWO89" s="996"/>
      <c r="HWP89" s="996"/>
      <c r="HWQ89" s="996"/>
      <c r="HWR89" s="996"/>
      <c r="HWS89" s="996"/>
      <c r="HWT89" s="996"/>
      <c r="HWU89" s="996"/>
      <c r="HWV89" s="996"/>
      <c r="HWW89" s="996"/>
      <c r="HWX89" s="996"/>
      <c r="HWY89" s="996"/>
      <c r="HWZ89" s="996"/>
      <c r="HXA89" s="996"/>
      <c r="HXB89" s="996"/>
      <c r="HXC89" s="996"/>
      <c r="HXD89" s="996"/>
      <c r="HXE89" s="996"/>
      <c r="HXF89" s="996"/>
      <c r="HXG89" s="996"/>
      <c r="HXH89" s="996"/>
      <c r="HXI89" s="996"/>
      <c r="HXJ89" s="996"/>
      <c r="HXK89" s="996"/>
      <c r="HXL89" s="996"/>
      <c r="HXM89" s="996"/>
      <c r="HXN89" s="996"/>
      <c r="HXO89" s="996"/>
      <c r="HXP89" s="996"/>
      <c r="HXQ89" s="996"/>
      <c r="HXR89" s="996"/>
      <c r="HXS89" s="996"/>
      <c r="HXT89" s="996"/>
      <c r="HXU89" s="996"/>
      <c r="HXV89" s="996"/>
      <c r="HXW89" s="996"/>
      <c r="HXX89" s="996"/>
      <c r="HXY89" s="996"/>
      <c r="HXZ89" s="996"/>
      <c r="HYA89" s="996"/>
      <c r="HYB89" s="996"/>
      <c r="HYC89" s="996"/>
      <c r="HYD89" s="996"/>
      <c r="HYE89" s="996"/>
      <c r="HYF89" s="996"/>
      <c r="HYG89" s="996"/>
      <c r="HYH89" s="996"/>
      <c r="HYI89" s="996"/>
      <c r="HYJ89" s="996"/>
      <c r="HYK89" s="996"/>
      <c r="HYL89" s="996"/>
      <c r="HYM89" s="996"/>
      <c r="HYN89" s="996"/>
      <c r="HYO89" s="996"/>
      <c r="HYP89" s="996"/>
      <c r="HYQ89" s="996"/>
      <c r="HYR89" s="996"/>
      <c r="HYS89" s="996"/>
      <c r="HYT89" s="996"/>
      <c r="HYU89" s="996"/>
      <c r="HYV89" s="996"/>
      <c r="HYW89" s="996"/>
      <c r="HYX89" s="996"/>
      <c r="HYY89" s="996"/>
      <c r="HYZ89" s="996"/>
      <c r="HZA89" s="996"/>
      <c r="HZB89" s="996"/>
      <c r="HZC89" s="996"/>
      <c r="HZD89" s="996"/>
      <c r="HZE89" s="996"/>
      <c r="HZF89" s="996"/>
      <c r="HZG89" s="996"/>
      <c r="HZH89" s="996"/>
      <c r="HZI89" s="996"/>
      <c r="HZJ89" s="996"/>
      <c r="HZK89" s="996"/>
      <c r="HZL89" s="996"/>
      <c r="HZM89" s="996"/>
      <c r="HZN89" s="996"/>
      <c r="HZO89" s="996"/>
      <c r="HZP89" s="996"/>
      <c r="HZQ89" s="996"/>
      <c r="HZR89" s="996"/>
      <c r="HZS89" s="996"/>
      <c r="HZT89" s="996"/>
      <c r="HZU89" s="996"/>
      <c r="HZV89" s="996"/>
      <c r="HZW89" s="996"/>
      <c r="HZX89" s="996"/>
      <c r="HZY89" s="996"/>
      <c r="HZZ89" s="996"/>
      <c r="IAA89" s="996"/>
      <c r="IAB89" s="996"/>
      <c r="IAC89" s="996"/>
      <c r="IAD89" s="996"/>
      <c r="IAE89" s="996"/>
      <c r="IAF89" s="996"/>
      <c r="IAG89" s="996"/>
      <c r="IAH89" s="996"/>
      <c r="IAI89" s="996"/>
      <c r="IAJ89" s="996"/>
      <c r="IAK89" s="996"/>
      <c r="IAL89" s="996"/>
      <c r="IAM89" s="996"/>
      <c r="IAN89" s="996"/>
      <c r="IAO89" s="996"/>
      <c r="IAP89" s="996"/>
      <c r="IAQ89" s="996"/>
      <c r="IAR89" s="996"/>
      <c r="IAS89" s="996"/>
      <c r="IAT89" s="996"/>
      <c r="IAU89" s="996"/>
      <c r="IAV89" s="996"/>
      <c r="IAW89" s="996"/>
      <c r="IAX89" s="996"/>
      <c r="IAY89" s="996"/>
      <c r="IAZ89" s="996"/>
      <c r="IBA89" s="996"/>
      <c r="IBB89" s="996"/>
      <c r="IBC89" s="996"/>
      <c r="IBD89" s="996"/>
      <c r="IBE89" s="996"/>
      <c r="IBF89" s="996"/>
      <c r="IBG89" s="996"/>
      <c r="IBH89" s="996"/>
      <c r="IBI89" s="996"/>
      <c r="IBJ89" s="996"/>
      <c r="IBK89" s="996"/>
      <c r="IBL89" s="996"/>
      <c r="IBM89" s="996"/>
      <c r="IBN89" s="996"/>
      <c r="IBO89" s="996"/>
      <c r="IBP89" s="996"/>
      <c r="IBQ89" s="996"/>
      <c r="IBR89" s="996"/>
      <c r="IBS89" s="996"/>
      <c r="IBT89" s="996"/>
      <c r="IBU89" s="996"/>
      <c r="IBV89" s="996"/>
      <c r="IBW89" s="996"/>
      <c r="IBX89" s="996"/>
      <c r="IBY89" s="996"/>
      <c r="IBZ89" s="996"/>
      <c r="ICA89" s="996"/>
      <c r="ICB89" s="996"/>
      <c r="ICC89" s="996"/>
      <c r="ICD89" s="996"/>
      <c r="ICE89" s="996"/>
      <c r="ICF89" s="996"/>
      <c r="ICG89" s="996"/>
      <c r="ICH89" s="996"/>
      <c r="ICI89" s="996"/>
      <c r="ICJ89" s="996"/>
      <c r="ICK89" s="996"/>
      <c r="ICL89" s="996"/>
      <c r="ICM89" s="996"/>
      <c r="ICN89" s="996"/>
      <c r="ICO89" s="996"/>
      <c r="ICP89" s="996"/>
      <c r="ICQ89" s="996"/>
      <c r="ICR89" s="996"/>
      <c r="ICS89" s="996"/>
      <c r="ICT89" s="996"/>
      <c r="ICU89" s="996"/>
      <c r="ICV89" s="996"/>
      <c r="ICW89" s="996"/>
      <c r="ICX89" s="996"/>
      <c r="ICY89" s="996"/>
      <c r="ICZ89" s="996"/>
      <c r="IDA89" s="996"/>
      <c r="IDB89" s="996"/>
      <c r="IDC89" s="996"/>
      <c r="IDD89" s="996"/>
      <c r="IDE89" s="996"/>
      <c r="IDF89" s="996"/>
      <c r="IDG89" s="996"/>
      <c r="IDH89" s="996"/>
      <c r="IDI89" s="996"/>
      <c r="IDJ89" s="996"/>
      <c r="IDK89" s="996"/>
      <c r="IDL89" s="996"/>
      <c r="IDM89" s="996"/>
      <c r="IDN89" s="996"/>
      <c r="IDO89" s="996"/>
      <c r="IDP89" s="996"/>
      <c r="IDQ89" s="996"/>
      <c r="IDR89" s="996"/>
      <c r="IDS89" s="996"/>
      <c r="IDT89" s="996"/>
      <c r="IDU89" s="996"/>
      <c r="IDV89" s="996"/>
      <c r="IDW89" s="996"/>
      <c r="IDX89" s="996"/>
      <c r="IDY89" s="996"/>
      <c r="IDZ89" s="996"/>
      <c r="IEA89" s="996"/>
      <c r="IEB89" s="996"/>
      <c r="IEC89" s="996"/>
      <c r="IED89" s="996"/>
      <c r="IEE89" s="996"/>
      <c r="IEF89" s="996"/>
      <c r="IEG89" s="996"/>
      <c r="IEH89" s="996"/>
      <c r="IEI89" s="996"/>
      <c r="IEJ89" s="996"/>
      <c r="IEK89" s="996"/>
      <c r="IEL89" s="996"/>
      <c r="IEM89" s="996"/>
      <c r="IEN89" s="996"/>
      <c r="IEO89" s="996"/>
      <c r="IEP89" s="996"/>
      <c r="IEQ89" s="996"/>
      <c r="IER89" s="996"/>
      <c r="IES89" s="996"/>
      <c r="IET89" s="996"/>
      <c r="IEU89" s="996"/>
      <c r="IEV89" s="996"/>
      <c r="IEW89" s="996"/>
      <c r="IEX89" s="996"/>
      <c r="IEY89" s="996"/>
      <c r="IEZ89" s="996"/>
      <c r="IFA89" s="996"/>
      <c r="IFB89" s="996"/>
      <c r="IFC89" s="996"/>
      <c r="IFD89" s="996"/>
      <c r="IFE89" s="996"/>
      <c r="IFF89" s="996"/>
      <c r="IFG89" s="996"/>
      <c r="IFH89" s="996"/>
      <c r="IFI89" s="996"/>
      <c r="IFJ89" s="996"/>
      <c r="IFK89" s="996"/>
      <c r="IFL89" s="996"/>
      <c r="IFM89" s="996"/>
      <c r="IFN89" s="996"/>
      <c r="IFO89" s="996"/>
      <c r="IFP89" s="996"/>
      <c r="IFQ89" s="996"/>
      <c r="IFR89" s="996"/>
      <c r="IFS89" s="996"/>
      <c r="IFT89" s="996"/>
      <c r="IFU89" s="996"/>
      <c r="IFV89" s="996"/>
      <c r="IFW89" s="996"/>
      <c r="IFX89" s="996"/>
      <c r="IFY89" s="996"/>
      <c r="IFZ89" s="996"/>
      <c r="IGA89" s="996"/>
      <c r="IGB89" s="996"/>
      <c r="IGC89" s="996"/>
      <c r="IGD89" s="996"/>
      <c r="IGE89" s="996"/>
      <c r="IGF89" s="996"/>
      <c r="IGG89" s="996"/>
      <c r="IGH89" s="996"/>
      <c r="IGI89" s="996"/>
      <c r="IGJ89" s="996"/>
      <c r="IGK89" s="996"/>
      <c r="IGL89" s="996"/>
      <c r="IGM89" s="996"/>
      <c r="IGN89" s="996"/>
      <c r="IGO89" s="996"/>
      <c r="IGP89" s="996"/>
      <c r="IGQ89" s="996"/>
      <c r="IGR89" s="996"/>
      <c r="IGS89" s="996"/>
      <c r="IGT89" s="996"/>
      <c r="IGU89" s="996"/>
      <c r="IGV89" s="996"/>
      <c r="IGW89" s="996"/>
      <c r="IGX89" s="996"/>
      <c r="IGY89" s="996"/>
      <c r="IGZ89" s="996"/>
      <c r="IHA89" s="996"/>
      <c r="IHB89" s="996"/>
      <c r="IHC89" s="996"/>
      <c r="IHD89" s="996"/>
      <c r="IHE89" s="996"/>
      <c r="IHF89" s="996"/>
      <c r="IHG89" s="996"/>
      <c r="IHH89" s="996"/>
      <c r="IHI89" s="996"/>
      <c r="IHJ89" s="996"/>
      <c r="IHK89" s="996"/>
      <c r="IHL89" s="996"/>
      <c r="IHM89" s="996"/>
      <c r="IHN89" s="996"/>
      <c r="IHO89" s="996"/>
      <c r="IHP89" s="996"/>
      <c r="IHQ89" s="996"/>
      <c r="IHR89" s="996"/>
      <c r="IHS89" s="996"/>
      <c r="IHT89" s="996"/>
      <c r="IHU89" s="996"/>
      <c r="IHV89" s="996"/>
      <c r="IHW89" s="996"/>
      <c r="IHX89" s="996"/>
      <c r="IHY89" s="996"/>
      <c r="IHZ89" s="996"/>
      <c r="IIA89" s="996"/>
      <c r="IIB89" s="996"/>
      <c r="IIC89" s="996"/>
      <c r="IID89" s="996"/>
      <c r="IIE89" s="996"/>
      <c r="IIF89" s="996"/>
      <c r="IIG89" s="996"/>
      <c r="IIH89" s="996"/>
      <c r="III89" s="996"/>
      <c r="IIJ89" s="996"/>
      <c r="IIK89" s="996"/>
      <c r="IIL89" s="996"/>
      <c r="IIM89" s="996"/>
      <c r="IIN89" s="996"/>
      <c r="IIO89" s="996"/>
      <c r="IIP89" s="996"/>
      <c r="IIQ89" s="996"/>
      <c r="IIR89" s="996"/>
      <c r="IIS89" s="996"/>
      <c r="IIT89" s="996"/>
      <c r="IIU89" s="996"/>
      <c r="IIV89" s="996"/>
      <c r="IIW89" s="996"/>
      <c r="IIX89" s="996"/>
      <c r="IIY89" s="996"/>
      <c r="IIZ89" s="996"/>
      <c r="IJA89" s="996"/>
      <c r="IJB89" s="996"/>
      <c r="IJC89" s="996"/>
      <c r="IJD89" s="996"/>
      <c r="IJE89" s="996"/>
      <c r="IJF89" s="996"/>
      <c r="IJG89" s="996"/>
      <c r="IJH89" s="996"/>
      <c r="IJI89" s="996"/>
      <c r="IJJ89" s="996"/>
      <c r="IJK89" s="996"/>
      <c r="IJL89" s="996"/>
      <c r="IJM89" s="996"/>
      <c r="IJN89" s="996"/>
      <c r="IJO89" s="996"/>
      <c r="IJP89" s="996"/>
      <c r="IJQ89" s="996"/>
      <c r="IJR89" s="996"/>
      <c r="IJS89" s="996"/>
      <c r="IJT89" s="996"/>
      <c r="IJU89" s="996"/>
      <c r="IJV89" s="996"/>
      <c r="IJW89" s="996"/>
      <c r="IJX89" s="996"/>
      <c r="IJY89" s="996"/>
      <c r="IJZ89" s="996"/>
      <c r="IKA89" s="996"/>
      <c r="IKB89" s="996"/>
      <c r="IKC89" s="996"/>
      <c r="IKD89" s="996"/>
      <c r="IKE89" s="996"/>
      <c r="IKF89" s="996"/>
      <c r="IKG89" s="996"/>
      <c r="IKH89" s="996"/>
      <c r="IKI89" s="996"/>
      <c r="IKJ89" s="996"/>
      <c r="IKK89" s="996"/>
      <c r="IKL89" s="996"/>
      <c r="IKM89" s="996"/>
      <c r="IKN89" s="996"/>
      <c r="IKO89" s="996"/>
      <c r="IKP89" s="996"/>
      <c r="IKQ89" s="996"/>
      <c r="IKR89" s="996"/>
      <c r="IKS89" s="996"/>
      <c r="IKT89" s="996"/>
      <c r="IKU89" s="996"/>
      <c r="IKV89" s="996"/>
      <c r="IKW89" s="996"/>
      <c r="IKX89" s="996"/>
      <c r="IKY89" s="996"/>
      <c r="IKZ89" s="996"/>
      <c r="ILA89" s="996"/>
      <c r="ILB89" s="996"/>
      <c r="ILC89" s="996"/>
      <c r="ILD89" s="996"/>
      <c r="ILE89" s="996"/>
      <c r="ILF89" s="996"/>
      <c r="ILG89" s="996"/>
      <c r="ILH89" s="996"/>
      <c r="ILI89" s="996"/>
      <c r="ILJ89" s="996"/>
      <c r="ILK89" s="996"/>
      <c r="ILL89" s="996"/>
      <c r="ILM89" s="996"/>
      <c r="ILN89" s="996"/>
      <c r="ILO89" s="996"/>
      <c r="ILP89" s="996"/>
      <c r="ILQ89" s="996"/>
      <c r="ILR89" s="996"/>
      <c r="ILS89" s="996"/>
      <c r="ILT89" s="996"/>
      <c r="ILU89" s="996"/>
      <c r="ILV89" s="996"/>
      <c r="ILW89" s="996"/>
      <c r="ILX89" s="996"/>
      <c r="ILY89" s="996"/>
      <c r="ILZ89" s="996"/>
      <c r="IMA89" s="996"/>
      <c r="IMB89" s="996"/>
      <c r="IMC89" s="996"/>
      <c r="IMD89" s="996"/>
      <c r="IME89" s="996"/>
      <c r="IMF89" s="996"/>
      <c r="IMG89" s="996"/>
      <c r="IMH89" s="996"/>
      <c r="IMI89" s="996"/>
      <c r="IMJ89" s="996"/>
      <c r="IMK89" s="996"/>
      <c r="IML89" s="996"/>
      <c r="IMM89" s="996"/>
      <c r="IMN89" s="996"/>
      <c r="IMO89" s="996"/>
      <c r="IMP89" s="996"/>
      <c r="IMQ89" s="996"/>
      <c r="IMR89" s="996"/>
      <c r="IMS89" s="996"/>
      <c r="IMT89" s="996"/>
      <c r="IMU89" s="996"/>
      <c r="IMV89" s="996"/>
      <c r="IMW89" s="996"/>
      <c r="IMX89" s="996"/>
      <c r="IMY89" s="996"/>
      <c r="IMZ89" s="996"/>
      <c r="INA89" s="996"/>
      <c r="INB89" s="996"/>
      <c r="INC89" s="996"/>
      <c r="IND89" s="996"/>
      <c r="INE89" s="996"/>
      <c r="INF89" s="996"/>
      <c r="ING89" s="996"/>
      <c r="INH89" s="996"/>
      <c r="INI89" s="996"/>
      <c r="INJ89" s="996"/>
      <c r="INK89" s="996"/>
      <c r="INL89" s="996"/>
      <c r="INM89" s="996"/>
      <c r="INN89" s="996"/>
      <c r="INO89" s="996"/>
      <c r="INP89" s="996"/>
      <c r="INQ89" s="996"/>
      <c r="INR89" s="996"/>
      <c r="INS89" s="996"/>
      <c r="INT89" s="996"/>
      <c r="INU89" s="996"/>
      <c r="INV89" s="996"/>
      <c r="INW89" s="996"/>
      <c r="INX89" s="996"/>
      <c r="INY89" s="996"/>
      <c r="INZ89" s="996"/>
      <c r="IOA89" s="996"/>
      <c r="IOB89" s="996"/>
      <c r="IOC89" s="996"/>
      <c r="IOD89" s="996"/>
      <c r="IOE89" s="996"/>
      <c r="IOF89" s="996"/>
      <c r="IOG89" s="996"/>
      <c r="IOH89" s="996"/>
      <c r="IOI89" s="996"/>
      <c r="IOJ89" s="996"/>
      <c r="IOK89" s="996"/>
      <c r="IOL89" s="996"/>
      <c r="IOM89" s="996"/>
      <c r="ION89" s="996"/>
      <c r="IOO89" s="996"/>
      <c r="IOP89" s="996"/>
      <c r="IOQ89" s="996"/>
      <c r="IOR89" s="996"/>
      <c r="IOS89" s="996"/>
      <c r="IOT89" s="996"/>
      <c r="IOU89" s="996"/>
      <c r="IOV89" s="996"/>
      <c r="IOW89" s="996"/>
      <c r="IOX89" s="996"/>
      <c r="IOY89" s="996"/>
      <c r="IOZ89" s="996"/>
      <c r="IPA89" s="996"/>
      <c r="IPB89" s="996"/>
      <c r="IPC89" s="996"/>
      <c r="IPD89" s="996"/>
      <c r="IPE89" s="996"/>
      <c r="IPF89" s="996"/>
      <c r="IPG89" s="996"/>
      <c r="IPH89" s="996"/>
      <c r="IPI89" s="996"/>
      <c r="IPJ89" s="996"/>
      <c r="IPK89" s="996"/>
      <c r="IPL89" s="996"/>
      <c r="IPM89" s="996"/>
      <c r="IPN89" s="996"/>
      <c r="IPO89" s="996"/>
      <c r="IPP89" s="996"/>
      <c r="IPQ89" s="996"/>
      <c r="IPR89" s="996"/>
      <c r="IPS89" s="996"/>
      <c r="IPT89" s="996"/>
      <c r="IPU89" s="996"/>
      <c r="IPV89" s="996"/>
      <c r="IPW89" s="996"/>
      <c r="IPX89" s="996"/>
      <c r="IPY89" s="996"/>
      <c r="IPZ89" s="996"/>
      <c r="IQA89" s="996"/>
      <c r="IQB89" s="996"/>
      <c r="IQC89" s="996"/>
      <c r="IQD89" s="996"/>
      <c r="IQE89" s="996"/>
      <c r="IQF89" s="996"/>
      <c r="IQG89" s="996"/>
      <c r="IQH89" s="996"/>
      <c r="IQI89" s="996"/>
      <c r="IQJ89" s="996"/>
      <c r="IQK89" s="996"/>
      <c r="IQL89" s="996"/>
      <c r="IQM89" s="996"/>
      <c r="IQN89" s="996"/>
      <c r="IQO89" s="996"/>
      <c r="IQP89" s="996"/>
      <c r="IQQ89" s="996"/>
      <c r="IQR89" s="996"/>
      <c r="IQS89" s="996"/>
      <c r="IQT89" s="996"/>
      <c r="IQU89" s="996"/>
      <c r="IQV89" s="996"/>
      <c r="IQW89" s="996"/>
      <c r="IQX89" s="996"/>
      <c r="IQY89" s="996"/>
      <c r="IQZ89" s="996"/>
      <c r="IRA89" s="996"/>
      <c r="IRB89" s="996"/>
      <c r="IRC89" s="996"/>
      <c r="IRD89" s="996"/>
      <c r="IRE89" s="996"/>
      <c r="IRF89" s="996"/>
      <c r="IRG89" s="996"/>
      <c r="IRH89" s="996"/>
      <c r="IRI89" s="996"/>
      <c r="IRJ89" s="996"/>
      <c r="IRK89" s="996"/>
      <c r="IRL89" s="996"/>
      <c r="IRM89" s="996"/>
      <c r="IRN89" s="996"/>
      <c r="IRO89" s="996"/>
      <c r="IRP89" s="996"/>
      <c r="IRQ89" s="996"/>
      <c r="IRR89" s="996"/>
      <c r="IRS89" s="996"/>
      <c r="IRT89" s="996"/>
      <c r="IRU89" s="996"/>
      <c r="IRV89" s="996"/>
      <c r="IRW89" s="996"/>
      <c r="IRX89" s="996"/>
      <c r="IRY89" s="996"/>
      <c r="IRZ89" s="996"/>
      <c r="ISA89" s="996"/>
      <c r="ISB89" s="996"/>
      <c r="ISC89" s="996"/>
      <c r="ISD89" s="996"/>
      <c r="ISE89" s="996"/>
      <c r="ISF89" s="996"/>
      <c r="ISG89" s="996"/>
      <c r="ISH89" s="996"/>
      <c r="ISI89" s="996"/>
      <c r="ISJ89" s="996"/>
      <c r="ISK89" s="996"/>
      <c r="ISL89" s="996"/>
      <c r="ISM89" s="996"/>
      <c r="ISN89" s="996"/>
      <c r="ISO89" s="996"/>
      <c r="ISP89" s="996"/>
      <c r="ISQ89" s="996"/>
      <c r="ISR89" s="996"/>
      <c r="ISS89" s="996"/>
      <c r="IST89" s="996"/>
      <c r="ISU89" s="996"/>
      <c r="ISV89" s="996"/>
      <c r="ISW89" s="996"/>
      <c r="ISX89" s="996"/>
      <c r="ISY89" s="996"/>
      <c r="ISZ89" s="996"/>
      <c r="ITA89" s="996"/>
      <c r="ITB89" s="996"/>
      <c r="ITC89" s="996"/>
      <c r="ITD89" s="996"/>
      <c r="ITE89" s="996"/>
      <c r="ITF89" s="996"/>
      <c r="ITG89" s="996"/>
      <c r="ITH89" s="996"/>
      <c r="ITI89" s="996"/>
      <c r="ITJ89" s="996"/>
      <c r="ITK89" s="996"/>
      <c r="ITL89" s="996"/>
      <c r="ITM89" s="996"/>
      <c r="ITN89" s="996"/>
      <c r="ITO89" s="996"/>
      <c r="ITP89" s="996"/>
      <c r="ITQ89" s="996"/>
      <c r="ITR89" s="996"/>
      <c r="ITS89" s="996"/>
      <c r="ITT89" s="996"/>
      <c r="ITU89" s="996"/>
      <c r="ITV89" s="996"/>
      <c r="ITW89" s="996"/>
      <c r="ITX89" s="996"/>
      <c r="ITY89" s="996"/>
      <c r="ITZ89" s="996"/>
      <c r="IUA89" s="996"/>
      <c r="IUB89" s="996"/>
      <c r="IUC89" s="996"/>
      <c r="IUD89" s="996"/>
      <c r="IUE89" s="996"/>
      <c r="IUF89" s="996"/>
      <c r="IUG89" s="996"/>
      <c r="IUH89" s="996"/>
      <c r="IUI89" s="996"/>
      <c r="IUJ89" s="996"/>
      <c r="IUK89" s="996"/>
      <c r="IUL89" s="996"/>
      <c r="IUM89" s="996"/>
      <c r="IUN89" s="996"/>
      <c r="IUO89" s="996"/>
      <c r="IUP89" s="996"/>
      <c r="IUQ89" s="996"/>
      <c r="IUR89" s="996"/>
      <c r="IUS89" s="996"/>
      <c r="IUT89" s="996"/>
      <c r="IUU89" s="996"/>
      <c r="IUV89" s="996"/>
      <c r="IUW89" s="996"/>
      <c r="IUX89" s="996"/>
      <c r="IUY89" s="996"/>
      <c r="IUZ89" s="996"/>
      <c r="IVA89" s="996"/>
      <c r="IVB89" s="996"/>
      <c r="IVC89" s="996"/>
      <c r="IVD89" s="996"/>
      <c r="IVE89" s="996"/>
      <c r="IVF89" s="996"/>
      <c r="IVG89" s="996"/>
      <c r="IVH89" s="996"/>
      <c r="IVI89" s="996"/>
      <c r="IVJ89" s="996"/>
      <c r="IVK89" s="996"/>
      <c r="IVL89" s="996"/>
      <c r="IVM89" s="996"/>
      <c r="IVN89" s="996"/>
      <c r="IVO89" s="996"/>
      <c r="IVP89" s="996"/>
      <c r="IVQ89" s="996"/>
      <c r="IVR89" s="996"/>
      <c r="IVS89" s="996"/>
      <c r="IVT89" s="996"/>
      <c r="IVU89" s="996"/>
      <c r="IVV89" s="996"/>
      <c r="IVW89" s="996"/>
      <c r="IVX89" s="996"/>
      <c r="IVY89" s="996"/>
      <c r="IVZ89" s="996"/>
      <c r="IWA89" s="996"/>
      <c r="IWB89" s="996"/>
      <c r="IWC89" s="996"/>
      <c r="IWD89" s="996"/>
      <c r="IWE89" s="996"/>
      <c r="IWF89" s="996"/>
      <c r="IWG89" s="996"/>
      <c r="IWH89" s="996"/>
      <c r="IWI89" s="996"/>
      <c r="IWJ89" s="996"/>
      <c r="IWK89" s="996"/>
      <c r="IWL89" s="996"/>
      <c r="IWM89" s="996"/>
      <c r="IWN89" s="996"/>
      <c r="IWO89" s="996"/>
      <c r="IWP89" s="996"/>
      <c r="IWQ89" s="996"/>
      <c r="IWR89" s="996"/>
      <c r="IWS89" s="996"/>
      <c r="IWT89" s="996"/>
      <c r="IWU89" s="996"/>
      <c r="IWV89" s="996"/>
      <c r="IWW89" s="996"/>
      <c r="IWX89" s="996"/>
      <c r="IWY89" s="996"/>
      <c r="IWZ89" s="996"/>
      <c r="IXA89" s="996"/>
      <c r="IXB89" s="996"/>
      <c r="IXC89" s="996"/>
      <c r="IXD89" s="996"/>
      <c r="IXE89" s="996"/>
      <c r="IXF89" s="996"/>
      <c r="IXG89" s="996"/>
      <c r="IXH89" s="996"/>
      <c r="IXI89" s="996"/>
      <c r="IXJ89" s="996"/>
      <c r="IXK89" s="996"/>
      <c r="IXL89" s="996"/>
      <c r="IXM89" s="996"/>
      <c r="IXN89" s="996"/>
      <c r="IXO89" s="996"/>
      <c r="IXP89" s="996"/>
      <c r="IXQ89" s="996"/>
      <c r="IXR89" s="996"/>
      <c r="IXS89" s="996"/>
      <c r="IXT89" s="996"/>
      <c r="IXU89" s="996"/>
      <c r="IXV89" s="996"/>
      <c r="IXW89" s="996"/>
      <c r="IXX89" s="996"/>
      <c r="IXY89" s="996"/>
      <c r="IXZ89" s="996"/>
      <c r="IYA89" s="996"/>
      <c r="IYB89" s="996"/>
      <c r="IYC89" s="996"/>
      <c r="IYD89" s="996"/>
      <c r="IYE89" s="996"/>
      <c r="IYF89" s="996"/>
      <c r="IYG89" s="996"/>
      <c r="IYH89" s="996"/>
      <c r="IYI89" s="996"/>
      <c r="IYJ89" s="996"/>
      <c r="IYK89" s="996"/>
      <c r="IYL89" s="996"/>
      <c r="IYM89" s="996"/>
      <c r="IYN89" s="996"/>
      <c r="IYO89" s="996"/>
      <c r="IYP89" s="996"/>
      <c r="IYQ89" s="996"/>
      <c r="IYR89" s="996"/>
      <c r="IYS89" s="996"/>
      <c r="IYT89" s="996"/>
      <c r="IYU89" s="996"/>
      <c r="IYV89" s="996"/>
      <c r="IYW89" s="996"/>
      <c r="IYX89" s="996"/>
      <c r="IYY89" s="996"/>
      <c r="IYZ89" s="996"/>
      <c r="IZA89" s="996"/>
      <c r="IZB89" s="996"/>
      <c r="IZC89" s="996"/>
      <c r="IZD89" s="996"/>
      <c r="IZE89" s="996"/>
      <c r="IZF89" s="996"/>
      <c r="IZG89" s="996"/>
      <c r="IZH89" s="996"/>
      <c r="IZI89" s="996"/>
      <c r="IZJ89" s="996"/>
      <c r="IZK89" s="996"/>
      <c r="IZL89" s="996"/>
      <c r="IZM89" s="996"/>
      <c r="IZN89" s="996"/>
      <c r="IZO89" s="996"/>
      <c r="IZP89" s="996"/>
      <c r="IZQ89" s="996"/>
      <c r="IZR89" s="996"/>
      <c r="IZS89" s="996"/>
      <c r="IZT89" s="996"/>
      <c r="IZU89" s="996"/>
      <c r="IZV89" s="996"/>
      <c r="IZW89" s="996"/>
      <c r="IZX89" s="996"/>
      <c r="IZY89" s="996"/>
      <c r="IZZ89" s="996"/>
      <c r="JAA89" s="996"/>
      <c r="JAB89" s="996"/>
      <c r="JAC89" s="996"/>
      <c r="JAD89" s="996"/>
      <c r="JAE89" s="996"/>
      <c r="JAF89" s="996"/>
      <c r="JAG89" s="996"/>
      <c r="JAH89" s="996"/>
      <c r="JAI89" s="996"/>
      <c r="JAJ89" s="996"/>
      <c r="JAK89" s="996"/>
      <c r="JAL89" s="996"/>
      <c r="JAM89" s="996"/>
      <c r="JAN89" s="996"/>
      <c r="JAO89" s="996"/>
      <c r="JAP89" s="996"/>
      <c r="JAQ89" s="996"/>
      <c r="JAR89" s="996"/>
      <c r="JAS89" s="996"/>
      <c r="JAT89" s="996"/>
      <c r="JAU89" s="996"/>
      <c r="JAV89" s="996"/>
      <c r="JAW89" s="996"/>
      <c r="JAX89" s="996"/>
      <c r="JAY89" s="996"/>
      <c r="JAZ89" s="996"/>
      <c r="JBA89" s="996"/>
      <c r="JBB89" s="996"/>
      <c r="JBC89" s="996"/>
      <c r="JBD89" s="996"/>
      <c r="JBE89" s="996"/>
      <c r="JBF89" s="996"/>
      <c r="JBG89" s="996"/>
      <c r="JBH89" s="996"/>
      <c r="JBI89" s="996"/>
      <c r="JBJ89" s="996"/>
      <c r="JBK89" s="996"/>
      <c r="JBL89" s="996"/>
      <c r="JBM89" s="996"/>
      <c r="JBN89" s="996"/>
      <c r="JBO89" s="996"/>
      <c r="JBP89" s="996"/>
      <c r="JBQ89" s="996"/>
      <c r="JBR89" s="996"/>
      <c r="JBS89" s="996"/>
      <c r="JBT89" s="996"/>
      <c r="JBU89" s="996"/>
      <c r="JBV89" s="996"/>
      <c r="JBW89" s="996"/>
      <c r="JBX89" s="996"/>
      <c r="JBY89" s="996"/>
      <c r="JBZ89" s="996"/>
      <c r="JCA89" s="996"/>
      <c r="JCB89" s="996"/>
      <c r="JCC89" s="996"/>
      <c r="JCD89" s="996"/>
      <c r="JCE89" s="996"/>
      <c r="JCF89" s="996"/>
      <c r="JCG89" s="996"/>
      <c r="JCH89" s="996"/>
      <c r="JCI89" s="996"/>
      <c r="JCJ89" s="996"/>
      <c r="JCK89" s="996"/>
      <c r="JCL89" s="996"/>
      <c r="JCM89" s="996"/>
      <c r="JCN89" s="996"/>
      <c r="JCO89" s="996"/>
      <c r="JCP89" s="996"/>
      <c r="JCQ89" s="996"/>
      <c r="JCR89" s="996"/>
      <c r="JCS89" s="996"/>
      <c r="JCT89" s="996"/>
      <c r="JCU89" s="996"/>
      <c r="JCV89" s="996"/>
      <c r="JCW89" s="996"/>
      <c r="JCX89" s="996"/>
      <c r="JCY89" s="996"/>
      <c r="JCZ89" s="996"/>
      <c r="JDA89" s="996"/>
      <c r="JDB89" s="996"/>
      <c r="JDC89" s="996"/>
      <c r="JDD89" s="996"/>
      <c r="JDE89" s="996"/>
      <c r="JDF89" s="996"/>
      <c r="JDG89" s="996"/>
      <c r="JDH89" s="996"/>
      <c r="JDI89" s="996"/>
      <c r="JDJ89" s="996"/>
      <c r="JDK89" s="996"/>
      <c r="JDL89" s="996"/>
      <c r="JDM89" s="996"/>
      <c r="JDN89" s="996"/>
      <c r="JDO89" s="996"/>
      <c r="JDP89" s="996"/>
      <c r="JDQ89" s="996"/>
      <c r="JDR89" s="996"/>
      <c r="JDS89" s="996"/>
      <c r="JDT89" s="996"/>
      <c r="JDU89" s="996"/>
      <c r="JDV89" s="996"/>
      <c r="JDW89" s="996"/>
      <c r="JDX89" s="996"/>
      <c r="JDY89" s="996"/>
      <c r="JDZ89" s="996"/>
      <c r="JEA89" s="996"/>
      <c r="JEB89" s="996"/>
      <c r="JEC89" s="996"/>
      <c r="JED89" s="996"/>
      <c r="JEE89" s="996"/>
      <c r="JEF89" s="996"/>
      <c r="JEG89" s="996"/>
      <c r="JEH89" s="996"/>
      <c r="JEI89" s="996"/>
      <c r="JEJ89" s="996"/>
      <c r="JEK89" s="996"/>
      <c r="JEL89" s="996"/>
      <c r="JEM89" s="996"/>
      <c r="JEN89" s="996"/>
      <c r="JEO89" s="996"/>
      <c r="JEP89" s="996"/>
      <c r="JEQ89" s="996"/>
      <c r="JER89" s="996"/>
      <c r="JES89" s="996"/>
      <c r="JET89" s="996"/>
      <c r="JEU89" s="996"/>
      <c r="JEV89" s="996"/>
      <c r="JEW89" s="996"/>
      <c r="JEX89" s="996"/>
      <c r="JEY89" s="996"/>
      <c r="JEZ89" s="996"/>
      <c r="JFA89" s="996"/>
      <c r="JFB89" s="996"/>
      <c r="JFC89" s="996"/>
      <c r="JFD89" s="996"/>
      <c r="JFE89" s="996"/>
      <c r="JFF89" s="996"/>
      <c r="JFG89" s="996"/>
      <c r="JFH89" s="996"/>
      <c r="JFI89" s="996"/>
      <c r="JFJ89" s="996"/>
      <c r="JFK89" s="996"/>
      <c r="JFL89" s="996"/>
      <c r="JFM89" s="996"/>
      <c r="JFN89" s="996"/>
      <c r="JFO89" s="996"/>
      <c r="JFP89" s="996"/>
      <c r="JFQ89" s="996"/>
      <c r="JFR89" s="996"/>
      <c r="JFS89" s="996"/>
      <c r="JFT89" s="996"/>
      <c r="JFU89" s="996"/>
      <c r="JFV89" s="996"/>
      <c r="JFW89" s="996"/>
      <c r="JFX89" s="996"/>
      <c r="JFY89" s="996"/>
      <c r="JFZ89" s="996"/>
      <c r="JGA89" s="996"/>
      <c r="JGB89" s="996"/>
      <c r="JGC89" s="996"/>
      <c r="JGD89" s="996"/>
      <c r="JGE89" s="996"/>
      <c r="JGF89" s="996"/>
      <c r="JGG89" s="996"/>
      <c r="JGH89" s="996"/>
      <c r="JGI89" s="996"/>
      <c r="JGJ89" s="996"/>
      <c r="JGK89" s="996"/>
      <c r="JGL89" s="996"/>
      <c r="JGM89" s="996"/>
      <c r="JGN89" s="996"/>
      <c r="JGO89" s="996"/>
      <c r="JGP89" s="996"/>
      <c r="JGQ89" s="996"/>
      <c r="JGR89" s="996"/>
      <c r="JGS89" s="996"/>
      <c r="JGT89" s="996"/>
      <c r="JGU89" s="996"/>
      <c r="JGV89" s="996"/>
      <c r="JGW89" s="996"/>
      <c r="JGX89" s="996"/>
      <c r="JGY89" s="996"/>
      <c r="JGZ89" s="996"/>
      <c r="JHA89" s="996"/>
      <c r="JHB89" s="996"/>
      <c r="JHC89" s="996"/>
      <c r="JHD89" s="996"/>
      <c r="JHE89" s="996"/>
      <c r="JHF89" s="996"/>
      <c r="JHG89" s="996"/>
      <c r="JHH89" s="996"/>
      <c r="JHI89" s="996"/>
      <c r="JHJ89" s="996"/>
      <c r="JHK89" s="996"/>
      <c r="JHL89" s="996"/>
      <c r="JHM89" s="996"/>
      <c r="JHN89" s="996"/>
      <c r="JHO89" s="996"/>
      <c r="JHP89" s="996"/>
      <c r="JHQ89" s="996"/>
      <c r="JHR89" s="996"/>
      <c r="JHS89" s="996"/>
      <c r="JHT89" s="996"/>
      <c r="JHU89" s="996"/>
      <c r="JHV89" s="996"/>
      <c r="JHW89" s="996"/>
      <c r="JHX89" s="996"/>
      <c r="JHY89" s="996"/>
      <c r="JHZ89" s="996"/>
      <c r="JIA89" s="996"/>
      <c r="JIB89" s="996"/>
      <c r="JIC89" s="996"/>
      <c r="JID89" s="996"/>
      <c r="JIE89" s="996"/>
      <c r="JIF89" s="996"/>
      <c r="JIG89" s="996"/>
      <c r="JIH89" s="996"/>
      <c r="JII89" s="996"/>
      <c r="JIJ89" s="996"/>
      <c r="JIK89" s="996"/>
      <c r="JIL89" s="996"/>
      <c r="JIM89" s="996"/>
      <c r="JIN89" s="996"/>
      <c r="JIO89" s="996"/>
      <c r="JIP89" s="996"/>
      <c r="JIQ89" s="996"/>
      <c r="JIR89" s="996"/>
      <c r="JIS89" s="996"/>
      <c r="JIT89" s="996"/>
      <c r="JIU89" s="996"/>
      <c r="JIV89" s="996"/>
      <c r="JIW89" s="996"/>
      <c r="JIX89" s="996"/>
      <c r="JIY89" s="996"/>
      <c r="JIZ89" s="996"/>
      <c r="JJA89" s="996"/>
      <c r="JJB89" s="996"/>
      <c r="JJC89" s="996"/>
      <c r="JJD89" s="996"/>
      <c r="JJE89" s="996"/>
      <c r="JJF89" s="996"/>
      <c r="JJG89" s="996"/>
      <c r="JJH89" s="996"/>
      <c r="JJI89" s="996"/>
      <c r="JJJ89" s="996"/>
      <c r="JJK89" s="996"/>
      <c r="JJL89" s="996"/>
      <c r="JJM89" s="996"/>
      <c r="JJN89" s="996"/>
      <c r="JJO89" s="996"/>
      <c r="JJP89" s="996"/>
      <c r="JJQ89" s="996"/>
      <c r="JJR89" s="996"/>
      <c r="JJS89" s="996"/>
      <c r="JJT89" s="996"/>
      <c r="JJU89" s="996"/>
      <c r="JJV89" s="996"/>
      <c r="JJW89" s="996"/>
      <c r="JJX89" s="996"/>
      <c r="JJY89" s="996"/>
      <c r="JJZ89" s="996"/>
      <c r="JKA89" s="996"/>
      <c r="JKB89" s="996"/>
      <c r="JKC89" s="996"/>
      <c r="JKD89" s="996"/>
      <c r="JKE89" s="996"/>
      <c r="JKF89" s="996"/>
      <c r="JKG89" s="996"/>
      <c r="JKH89" s="996"/>
      <c r="JKI89" s="996"/>
      <c r="JKJ89" s="996"/>
      <c r="JKK89" s="996"/>
      <c r="JKL89" s="996"/>
      <c r="JKM89" s="996"/>
      <c r="JKN89" s="996"/>
      <c r="JKO89" s="996"/>
      <c r="JKP89" s="996"/>
      <c r="JKQ89" s="996"/>
      <c r="JKR89" s="996"/>
      <c r="JKS89" s="996"/>
      <c r="JKT89" s="996"/>
      <c r="JKU89" s="996"/>
      <c r="JKV89" s="996"/>
      <c r="JKW89" s="996"/>
      <c r="JKX89" s="996"/>
      <c r="JKY89" s="996"/>
      <c r="JKZ89" s="996"/>
      <c r="JLA89" s="996"/>
      <c r="JLB89" s="996"/>
      <c r="JLC89" s="996"/>
      <c r="JLD89" s="996"/>
      <c r="JLE89" s="996"/>
      <c r="JLF89" s="996"/>
      <c r="JLG89" s="996"/>
      <c r="JLH89" s="996"/>
      <c r="JLI89" s="996"/>
      <c r="JLJ89" s="996"/>
      <c r="JLK89" s="996"/>
      <c r="JLL89" s="996"/>
      <c r="JLM89" s="996"/>
      <c r="JLN89" s="996"/>
      <c r="JLO89" s="996"/>
      <c r="JLP89" s="996"/>
      <c r="JLQ89" s="996"/>
      <c r="JLR89" s="996"/>
      <c r="JLS89" s="996"/>
      <c r="JLT89" s="996"/>
      <c r="JLU89" s="996"/>
      <c r="JLV89" s="996"/>
      <c r="JLW89" s="996"/>
      <c r="JLX89" s="996"/>
      <c r="JLY89" s="996"/>
      <c r="JLZ89" s="996"/>
      <c r="JMA89" s="996"/>
      <c r="JMB89" s="996"/>
      <c r="JMC89" s="996"/>
      <c r="JMD89" s="996"/>
      <c r="JME89" s="996"/>
      <c r="JMF89" s="996"/>
      <c r="JMG89" s="996"/>
      <c r="JMH89" s="996"/>
      <c r="JMI89" s="996"/>
      <c r="JMJ89" s="996"/>
      <c r="JMK89" s="996"/>
      <c r="JML89" s="996"/>
      <c r="JMM89" s="996"/>
      <c r="JMN89" s="996"/>
      <c r="JMO89" s="996"/>
      <c r="JMP89" s="996"/>
      <c r="JMQ89" s="996"/>
      <c r="JMR89" s="996"/>
      <c r="JMS89" s="996"/>
      <c r="JMT89" s="996"/>
      <c r="JMU89" s="996"/>
      <c r="JMV89" s="996"/>
      <c r="JMW89" s="996"/>
      <c r="JMX89" s="996"/>
      <c r="JMY89" s="996"/>
      <c r="JMZ89" s="996"/>
      <c r="JNA89" s="996"/>
      <c r="JNB89" s="996"/>
      <c r="JNC89" s="996"/>
      <c r="JND89" s="996"/>
      <c r="JNE89" s="996"/>
      <c r="JNF89" s="996"/>
      <c r="JNG89" s="996"/>
      <c r="JNH89" s="996"/>
      <c r="JNI89" s="996"/>
      <c r="JNJ89" s="996"/>
      <c r="JNK89" s="996"/>
      <c r="JNL89" s="996"/>
      <c r="JNM89" s="996"/>
      <c r="JNN89" s="996"/>
      <c r="JNO89" s="996"/>
      <c r="JNP89" s="996"/>
      <c r="JNQ89" s="996"/>
      <c r="JNR89" s="996"/>
      <c r="JNS89" s="996"/>
      <c r="JNT89" s="996"/>
      <c r="JNU89" s="996"/>
      <c r="JNV89" s="996"/>
      <c r="JNW89" s="996"/>
      <c r="JNX89" s="996"/>
      <c r="JNY89" s="996"/>
      <c r="JNZ89" s="996"/>
      <c r="JOA89" s="996"/>
      <c r="JOB89" s="996"/>
      <c r="JOC89" s="996"/>
      <c r="JOD89" s="996"/>
      <c r="JOE89" s="996"/>
      <c r="JOF89" s="996"/>
      <c r="JOG89" s="996"/>
      <c r="JOH89" s="996"/>
      <c r="JOI89" s="996"/>
      <c r="JOJ89" s="996"/>
      <c r="JOK89" s="996"/>
      <c r="JOL89" s="996"/>
      <c r="JOM89" s="996"/>
      <c r="JON89" s="996"/>
      <c r="JOO89" s="996"/>
      <c r="JOP89" s="996"/>
      <c r="JOQ89" s="996"/>
      <c r="JOR89" s="996"/>
      <c r="JOS89" s="996"/>
      <c r="JOT89" s="996"/>
      <c r="JOU89" s="996"/>
      <c r="JOV89" s="996"/>
      <c r="JOW89" s="996"/>
      <c r="JOX89" s="996"/>
      <c r="JOY89" s="996"/>
      <c r="JOZ89" s="996"/>
      <c r="JPA89" s="996"/>
      <c r="JPB89" s="996"/>
      <c r="JPC89" s="996"/>
      <c r="JPD89" s="996"/>
      <c r="JPE89" s="996"/>
      <c r="JPF89" s="996"/>
      <c r="JPG89" s="996"/>
      <c r="JPH89" s="996"/>
      <c r="JPI89" s="996"/>
      <c r="JPJ89" s="996"/>
      <c r="JPK89" s="996"/>
      <c r="JPL89" s="996"/>
      <c r="JPM89" s="996"/>
      <c r="JPN89" s="996"/>
      <c r="JPO89" s="996"/>
      <c r="JPP89" s="996"/>
      <c r="JPQ89" s="996"/>
      <c r="JPR89" s="996"/>
      <c r="JPS89" s="996"/>
      <c r="JPT89" s="996"/>
      <c r="JPU89" s="996"/>
      <c r="JPV89" s="996"/>
      <c r="JPW89" s="996"/>
      <c r="JPX89" s="996"/>
      <c r="JPY89" s="996"/>
      <c r="JPZ89" s="996"/>
      <c r="JQA89" s="996"/>
      <c r="JQB89" s="996"/>
      <c r="JQC89" s="996"/>
      <c r="JQD89" s="996"/>
      <c r="JQE89" s="996"/>
      <c r="JQF89" s="996"/>
      <c r="JQG89" s="996"/>
      <c r="JQH89" s="996"/>
      <c r="JQI89" s="996"/>
      <c r="JQJ89" s="996"/>
      <c r="JQK89" s="996"/>
      <c r="JQL89" s="996"/>
      <c r="JQM89" s="996"/>
      <c r="JQN89" s="996"/>
      <c r="JQO89" s="996"/>
      <c r="JQP89" s="996"/>
      <c r="JQQ89" s="996"/>
      <c r="JQR89" s="996"/>
      <c r="JQS89" s="996"/>
      <c r="JQT89" s="996"/>
      <c r="JQU89" s="996"/>
      <c r="JQV89" s="996"/>
      <c r="JQW89" s="996"/>
      <c r="JQX89" s="996"/>
      <c r="JQY89" s="996"/>
      <c r="JQZ89" s="996"/>
      <c r="JRA89" s="996"/>
      <c r="JRB89" s="996"/>
      <c r="JRC89" s="996"/>
      <c r="JRD89" s="996"/>
      <c r="JRE89" s="996"/>
      <c r="JRF89" s="996"/>
      <c r="JRG89" s="996"/>
      <c r="JRH89" s="996"/>
      <c r="JRI89" s="996"/>
      <c r="JRJ89" s="996"/>
      <c r="JRK89" s="996"/>
      <c r="JRL89" s="996"/>
      <c r="JRM89" s="996"/>
      <c r="JRN89" s="996"/>
      <c r="JRO89" s="996"/>
      <c r="JRP89" s="996"/>
      <c r="JRQ89" s="996"/>
      <c r="JRR89" s="996"/>
      <c r="JRS89" s="996"/>
      <c r="JRT89" s="996"/>
      <c r="JRU89" s="996"/>
      <c r="JRV89" s="996"/>
      <c r="JRW89" s="996"/>
      <c r="JRX89" s="996"/>
      <c r="JRY89" s="996"/>
      <c r="JRZ89" s="996"/>
      <c r="JSA89" s="996"/>
      <c r="JSB89" s="996"/>
      <c r="JSC89" s="996"/>
      <c r="JSD89" s="996"/>
      <c r="JSE89" s="996"/>
      <c r="JSF89" s="996"/>
      <c r="JSG89" s="996"/>
      <c r="JSH89" s="996"/>
      <c r="JSI89" s="996"/>
      <c r="JSJ89" s="996"/>
      <c r="JSK89" s="996"/>
      <c r="JSL89" s="996"/>
      <c r="JSM89" s="996"/>
      <c r="JSN89" s="996"/>
      <c r="JSO89" s="996"/>
      <c r="JSP89" s="996"/>
      <c r="JSQ89" s="996"/>
      <c r="JSR89" s="996"/>
      <c r="JSS89" s="996"/>
      <c r="JST89" s="996"/>
      <c r="JSU89" s="996"/>
      <c r="JSV89" s="996"/>
      <c r="JSW89" s="996"/>
      <c r="JSX89" s="996"/>
      <c r="JSY89" s="996"/>
      <c r="JSZ89" s="996"/>
      <c r="JTA89" s="996"/>
      <c r="JTB89" s="996"/>
      <c r="JTC89" s="996"/>
      <c r="JTD89" s="996"/>
      <c r="JTE89" s="996"/>
      <c r="JTF89" s="996"/>
      <c r="JTG89" s="996"/>
      <c r="JTH89" s="996"/>
      <c r="JTI89" s="996"/>
      <c r="JTJ89" s="996"/>
      <c r="JTK89" s="996"/>
      <c r="JTL89" s="996"/>
      <c r="JTM89" s="996"/>
      <c r="JTN89" s="996"/>
      <c r="JTO89" s="996"/>
      <c r="JTP89" s="996"/>
      <c r="JTQ89" s="996"/>
      <c r="JTR89" s="996"/>
      <c r="JTS89" s="996"/>
      <c r="JTT89" s="996"/>
      <c r="JTU89" s="996"/>
      <c r="JTV89" s="996"/>
      <c r="JTW89" s="996"/>
      <c r="JTX89" s="996"/>
      <c r="JTY89" s="996"/>
      <c r="JTZ89" s="996"/>
      <c r="JUA89" s="996"/>
      <c r="JUB89" s="996"/>
      <c r="JUC89" s="996"/>
      <c r="JUD89" s="996"/>
      <c r="JUE89" s="996"/>
      <c r="JUF89" s="996"/>
      <c r="JUG89" s="996"/>
      <c r="JUH89" s="996"/>
      <c r="JUI89" s="996"/>
      <c r="JUJ89" s="996"/>
      <c r="JUK89" s="996"/>
      <c r="JUL89" s="996"/>
      <c r="JUM89" s="996"/>
      <c r="JUN89" s="996"/>
      <c r="JUO89" s="996"/>
      <c r="JUP89" s="996"/>
      <c r="JUQ89" s="996"/>
      <c r="JUR89" s="996"/>
      <c r="JUS89" s="996"/>
      <c r="JUT89" s="996"/>
      <c r="JUU89" s="996"/>
      <c r="JUV89" s="996"/>
      <c r="JUW89" s="996"/>
      <c r="JUX89" s="996"/>
      <c r="JUY89" s="996"/>
      <c r="JUZ89" s="996"/>
      <c r="JVA89" s="996"/>
      <c r="JVB89" s="996"/>
      <c r="JVC89" s="996"/>
      <c r="JVD89" s="996"/>
      <c r="JVE89" s="996"/>
      <c r="JVF89" s="996"/>
      <c r="JVG89" s="996"/>
      <c r="JVH89" s="996"/>
      <c r="JVI89" s="996"/>
      <c r="JVJ89" s="996"/>
      <c r="JVK89" s="996"/>
      <c r="JVL89" s="996"/>
      <c r="JVM89" s="996"/>
      <c r="JVN89" s="996"/>
      <c r="JVO89" s="996"/>
      <c r="JVP89" s="996"/>
      <c r="JVQ89" s="996"/>
      <c r="JVR89" s="996"/>
      <c r="JVS89" s="996"/>
      <c r="JVT89" s="996"/>
      <c r="JVU89" s="996"/>
      <c r="JVV89" s="996"/>
      <c r="JVW89" s="996"/>
      <c r="JVX89" s="996"/>
      <c r="JVY89" s="996"/>
      <c r="JVZ89" s="996"/>
      <c r="JWA89" s="996"/>
      <c r="JWB89" s="996"/>
      <c r="JWC89" s="996"/>
      <c r="JWD89" s="996"/>
      <c r="JWE89" s="996"/>
      <c r="JWF89" s="996"/>
      <c r="JWG89" s="996"/>
      <c r="JWH89" s="996"/>
      <c r="JWI89" s="996"/>
      <c r="JWJ89" s="996"/>
      <c r="JWK89" s="996"/>
      <c r="JWL89" s="996"/>
      <c r="JWM89" s="996"/>
      <c r="JWN89" s="996"/>
      <c r="JWO89" s="996"/>
      <c r="JWP89" s="996"/>
      <c r="JWQ89" s="996"/>
      <c r="JWR89" s="996"/>
      <c r="JWS89" s="996"/>
      <c r="JWT89" s="996"/>
      <c r="JWU89" s="996"/>
      <c r="JWV89" s="996"/>
      <c r="JWW89" s="996"/>
      <c r="JWX89" s="996"/>
      <c r="JWY89" s="996"/>
      <c r="JWZ89" s="996"/>
      <c r="JXA89" s="996"/>
      <c r="JXB89" s="996"/>
      <c r="JXC89" s="996"/>
      <c r="JXD89" s="996"/>
      <c r="JXE89" s="996"/>
      <c r="JXF89" s="996"/>
      <c r="JXG89" s="996"/>
      <c r="JXH89" s="996"/>
      <c r="JXI89" s="996"/>
      <c r="JXJ89" s="996"/>
      <c r="JXK89" s="996"/>
      <c r="JXL89" s="996"/>
      <c r="JXM89" s="996"/>
      <c r="JXN89" s="996"/>
      <c r="JXO89" s="996"/>
      <c r="JXP89" s="996"/>
      <c r="JXQ89" s="996"/>
      <c r="JXR89" s="996"/>
      <c r="JXS89" s="996"/>
      <c r="JXT89" s="996"/>
      <c r="JXU89" s="996"/>
      <c r="JXV89" s="996"/>
      <c r="JXW89" s="996"/>
      <c r="JXX89" s="996"/>
      <c r="JXY89" s="996"/>
      <c r="JXZ89" s="996"/>
      <c r="JYA89" s="996"/>
      <c r="JYB89" s="996"/>
      <c r="JYC89" s="996"/>
      <c r="JYD89" s="996"/>
      <c r="JYE89" s="996"/>
      <c r="JYF89" s="996"/>
      <c r="JYG89" s="996"/>
      <c r="JYH89" s="996"/>
      <c r="JYI89" s="996"/>
      <c r="JYJ89" s="996"/>
      <c r="JYK89" s="996"/>
      <c r="JYL89" s="996"/>
      <c r="JYM89" s="996"/>
      <c r="JYN89" s="996"/>
      <c r="JYO89" s="996"/>
      <c r="JYP89" s="996"/>
      <c r="JYQ89" s="996"/>
      <c r="JYR89" s="996"/>
      <c r="JYS89" s="996"/>
      <c r="JYT89" s="996"/>
      <c r="JYU89" s="996"/>
      <c r="JYV89" s="996"/>
      <c r="JYW89" s="996"/>
      <c r="JYX89" s="996"/>
      <c r="JYY89" s="996"/>
      <c r="JYZ89" s="996"/>
      <c r="JZA89" s="996"/>
      <c r="JZB89" s="996"/>
      <c r="JZC89" s="996"/>
      <c r="JZD89" s="996"/>
      <c r="JZE89" s="996"/>
      <c r="JZF89" s="996"/>
      <c r="JZG89" s="996"/>
      <c r="JZH89" s="996"/>
      <c r="JZI89" s="996"/>
      <c r="JZJ89" s="996"/>
      <c r="JZK89" s="996"/>
      <c r="JZL89" s="996"/>
      <c r="JZM89" s="996"/>
      <c r="JZN89" s="996"/>
      <c r="JZO89" s="996"/>
      <c r="JZP89" s="996"/>
      <c r="JZQ89" s="996"/>
      <c r="JZR89" s="996"/>
      <c r="JZS89" s="996"/>
      <c r="JZT89" s="996"/>
      <c r="JZU89" s="996"/>
      <c r="JZV89" s="996"/>
      <c r="JZW89" s="996"/>
      <c r="JZX89" s="996"/>
      <c r="JZY89" s="996"/>
      <c r="JZZ89" s="996"/>
      <c r="KAA89" s="996"/>
      <c r="KAB89" s="996"/>
      <c r="KAC89" s="996"/>
      <c r="KAD89" s="996"/>
      <c r="KAE89" s="996"/>
      <c r="KAF89" s="996"/>
      <c r="KAG89" s="996"/>
      <c r="KAH89" s="996"/>
      <c r="KAI89" s="996"/>
      <c r="KAJ89" s="996"/>
      <c r="KAK89" s="996"/>
      <c r="KAL89" s="996"/>
      <c r="KAM89" s="996"/>
      <c r="KAN89" s="996"/>
      <c r="KAO89" s="996"/>
      <c r="KAP89" s="996"/>
      <c r="KAQ89" s="996"/>
      <c r="KAR89" s="996"/>
      <c r="KAS89" s="996"/>
      <c r="KAT89" s="996"/>
      <c r="KAU89" s="996"/>
      <c r="KAV89" s="996"/>
      <c r="KAW89" s="996"/>
      <c r="KAX89" s="996"/>
      <c r="KAY89" s="996"/>
      <c r="KAZ89" s="996"/>
      <c r="KBA89" s="996"/>
      <c r="KBB89" s="996"/>
      <c r="KBC89" s="996"/>
      <c r="KBD89" s="996"/>
      <c r="KBE89" s="996"/>
      <c r="KBF89" s="996"/>
      <c r="KBG89" s="996"/>
      <c r="KBH89" s="996"/>
      <c r="KBI89" s="996"/>
      <c r="KBJ89" s="996"/>
      <c r="KBK89" s="996"/>
      <c r="KBL89" s="996"/>
      <c r="KBM89" s="996"/>
      <c r="KBN89" s="996"/>
      <c r="KBO89" s="996"/>
      <c r="KBP89" s="996"/>
      <c r="KBQ89" s="996"/>
      <c r="KBR89" s="996"/>
      <c r="KBS89" s="996"/>
      <c r="KBT89" s="996"/>
      <c r="KBU89" s="996"/>
      <c r="KBV89" s="996"/>
      <c r="KBW89" s="996"/>
      <c r="KBX89" s="996"/>
      <c r="KBY89" s="996"/>
      <c r="KBZ89" s="996"/>
      <c r="KCA89" s="996"/>
      <c r="KCB89" s="996"/>
      <c r="KCC89" s="996"/>
      <c r="KCD89" s="996"/>
      <c r="KCE89" s="996"/>
      <c r="KCF89" s="996"/>
      <c r="KCG89" s="996"/>
      <c r="KCH89" s="996"/>
      <c r="KCI89" s="996"/>
      <c r="KCJ89" s="996"/>
      <c r="KCK89" s="996"/>
      <c r="KCL89" s="996"/>
      <c r="KCM89" s="996"/>
      <c r="KCN89" s="996"/>
      <c r="KCO89" s="996"/>
      <c r="KCP89" s="996"/>
      <c r="KCQ89" s="996"/>
      <c r="KCR89" s="996"/>
      <c r="KCS89" s="996"/>
      <c r="KCT89" s="996"/>
      <c r="KCU89" s="996"/>
      <c r="KCV89" s="996"/>
      <c r="KCW89" s="996"/>
      <c r="KCX89" s="996"/>
      <c r="KCY89" s="996"/>
      <c r="KCZ89" s="996"/>
      <c r="KDA89" s="996"/>
      <c r="KDB89" s="996"/>
      <c r="KDC89" s="996"/>
      <c r="KDD89" s="996"/>
      <c r="KDE89" s="996"/>
      <c r="KDF89" s="996"/>
      <c r="KDG89" s="996"/>
      <c r="KDH89" s="996"/>
      <c r="KDI89" s="996"/>
      <c r="KDJ89" s="996"/>
      <c r="KDK89" s="996"/>
      <c r="KDL89" s="996"/>
      <c r="KDM89" s="996"/>
      <c r="KDN89" s="996"/>
      <c r="KDO89" s="996"/>
      <c r="KDP89" s="996"/>
      <c r="KDQ89" s="996"/>
      <c r="KDR89" s="996"/>
      <c r="KDS89" s="996"/>
      <c r="KDT89" s="996"/>
      <c r="KDU89" s="996"/>
      <c r="KDV89" s="996"/>
      <c r="KDW89" s="996"/>
      <c r="KDX89" s="996"/>
      <c r="KDY89" s="996"/>
      <c r="KDZ89" s="996"/>
      <c r="KEA89" s="996"/>
      <c r="KEB89" s="996"/>
      <c r="KEC89" s="996"/>
      <c r="KED89" s="996"/>
      <c r="KEE89" s="996"/>
      <c r="KEF89" s="996"/>
      <c r="KEG89" s="996"/>
      <c r="KEH89" s="996"/>
      <c r="KEI89" s="996"/>
      <c r="KEJ89" s="996"/>
      <c r="KEK89" s="996"/>
      <c r="KEL89" s="996"/>
      <c r="KEM89" s="996"/>
      <c r="KEN89" s="996"/>
      <c r="KEO89" s="996"/>
      <c r="KEP89" s="996"/>
      <c r="KEQ89" s="996"/>
      <c r="KER89" s="996"/>
      <c r="KES89" s="996"/>
      <c r="KET89" s="996"/>
      <c r="KEU89" s="996"/>
      <c r="KEV89" s="996"/>
      <c r="KEW89" s="996"/>
      <c r="KEX89" s="996"/>
      <c r="KEY89" s="996"/>
      <c r="KEZ89" s="996"/>
      <c r="KFA89" s="996"/>
      <c r="KFB89" s="996"/>
      <c r="KFC89" s="996"/>
      <c r="KFD89" s="996"/>
      <c r="KFE89" s="996"/>
      <c r="KFF89" s="996"/>
      <c r="KFG89" s="996"/>
      <c r="KFH89" s="996"/>
      <c r="KFI89" s="996"/>
      <c r="KFJ89" s="996"/>
      <c r="KFK89" s="996"/>
      <c r="KFL89" s="996"/>
      <c r="KFM89" s="996"/>
      <c r="KFN89" s="996"/>
      <c r="KFO89" s="996"/>
      <c r="KFP89" s="996"/>
      <c r="KFQ89" s="996"/>
      <c r="KFR89" s="996"/>
      <c r="KFS89" s="996"/>
      <c r="KFT89" s="996"/>
      <c r="KFU89" s="996"/>
      <c r="KFV89" s="996"/>
      <c r="KFW89" s="996"/>
      <c r="KFX89" s="996"/>
      <c r="KFY89" s="996"/>
      <c r="KFZ89" s="996"/>
      <c r="KGA89" s="996"/>
      <c r="KGB89" s="996"/>
      <c r="KGC89" s="996"/>
      <c r="KGD89" s="996"/>
      <c r="KGE89" s="996"/>
      <c r="KGF89" s="996"/>
      <c r="KGG89" s="996"/>
      <c r="KGH89" s="996"/>
      <c r="KGI89" s="996"/>
      <c r="KGJ89" s="996"/>
      <c r="KGK89" s="996"/>
      <c r="KGL89" s="996"/>
      <c r="KGM89" s="996"/>
      <c r="KGN89" s="996"/>
      <c r="KGO89" s="996"/>
      <c r="KGP89" s="996"/>
      <c r="KGQ89" s="996"/>
      <c r="KGR89" s="996"/>
      <c r="KGS89" s="996"/>
      <c r="KGT89" s="996"/>
      <c r="KGU89" s="996"/>
      <c r="KGV89" s="996"/>
      <c r="KGW89" s="996"/>
      <c r="KGX89" s="996"/>
      <c r="KGY89" s="996"/>
      <c r="KGZ89" s="996"/>
      <c r="KHA89" s="996"/>
      <c r="KHB89" s="996"/>
      <c r="KHC89" s="996"/>
      <c r="KHD89" s="996"/>
      <c r="KHE89" s="996"/>
      <c r="KHF89" s="996"/>
      <c r="KHG89" s="996"/>
      <c r="KHH89" s="996"/>
      <c r="KHI89" s="996"/>
      <c r="KHJ89" s="996"/>
      <c r="KHK89" s="996"/>
      <c r="KHL89" s="996"/>
      <c r="KHM89" s="996"/>
      <c r="KHN89" s="996"/>
      <c r="KHO89" s="996"/>
      <c r="KHP89" s="996"/>
      <c r="KHQ89" s="996"/>
      <c r="KHR89" s="996"/>
      <c r="KHS89" s="996"/>
      <c r="KHT89" s="996"/>
      <c r="KHU89" s="996"/>
      <c r="KHV89" s="996"/>
      <c r="KHW89" s="996"/>
      <c r="KHX89" s="996"/>
      <c r="KHY89" s="996"/>
      <c r="KHZ89" s="996"/>
      <c r="KIA89" s="996"/>
      <c r="KIB89" s="996"/>
      <c r="KIC89" s="996"/>
      <c r="KID89" s="996"/>
      <c r="KIE89" s="996"/>
      <c r="KIF89" s="996"/>
      <c r="KIG89" s="996"/>
      <c r="KIH89" s="996"/>
      <c r="KII89" s="996"/>
      <c r="KIJ89" s="996"/>
      <c r="KIK89" s="996"/>
      <c r="KIL89" s="996"/>
      <c r="KIM89" s="996"/>
      <c r="KIN89" s="996"/>
      <c r="KIO89" s="996"/>
      <c r="KIP89" s="996"/>
      <c r="KIQ89" s="996"/>
      <c r="KIR89" s="996"/>
      <c r="KIS89" s="996"/>
      <c r="KIT89" s="996"/>
      <c r="KIU89" s="996"/>
      <c r="KIV89" s="996"/>
      <c r="KIW89" s="996"/>
      <c r="KIX89" s="996"/>
      <c r="KIY89" s="996"/>
      <c r="KIZ89" s="996"/>
      <c r="KJA89" s="996"/>
      <c r="KJB89" s="996"/>
      <c r="KJC89" s="996"/>
      <c r="KJD89" s="996"/>
      <c r="KJE89" s="996"/>
      <c r="KJF89" s="996"/>
      <c r="KJG89" s="996"/>
      <c r="KJH89" s="996"/>
      <c r="KJI89" s="996"/>
      <c r="KJJ89" s="996"/>
      <c r="KJK89" s="996"/>
      <c r="KJL89" s="996"/>
      <c r="KJM89" s="996"/>
      <c r="KJN89" s="996"/>
      <c r="KJO89" s="996"/>
      <c r="KJP89" s="996"/>
      <c r="KJQ89" s="996"/>
      <c r="KJR89" s="996"/>
      <c r="KJS89" s="996"/>
      <c r="KJT89" s="996"/>
      <c r="KJU89" s="996"/>
      <c r="KJV89" s="996"/>
      <c r="KJW89" s="996"/>
      <c r="KJX89" s="996"/>
      <c r="KJY89" s="996"/>
      <c r="KJZ89" s="996"/>
      <c r="KKA89" s="996"/>
      <c r="KKB89" s="996"/>
      <c r="KKC89" s="996"/>
      <c r="KKD89" s="996"/>
      <c r="KKE89" s="996"/>
      <c r="KKF89" s="996"/>
      <c r="KKG89" s="996"/>
      <c r="KKH89" s="996"/>
      <c r="KKI89" s="996"/>
      <c r="KKJ89" s="996"/>
      <c r="KKK89" s="996"/>
      <c r="KKL89" s="996"/>
      <c r="KKM89" s="996"/>
      <c r="KKN89" s="996"/>
      <c r="KKO89" s="996"/>
      <c r="KKP89" s="996"/>
      <c r="KKQ89" s="996"/>
      <c r="KKR89" s="996"/>
      <c r="KKS89" s="996"/>
      <c r="KKT89" s="996"/>
      <c r="KKU89" s="996"/>
      <c r="KKV89" s="996"/>
      <c r="KKW89" s="996"/>
      <c r="KKX89" s="996"/>
      <c r="KKY89" s="996"/>
      <c r="KKZ89" s="996"/>
      <c r="KLA89" s="996"/>
      <c r="KLB89" s="996"/>
      <c r="KLC89" s="996"/>
      <c r="KLD89" s="996"/>
      <c r="KLE89" s="996"/>
      <c r="KLF89" s="996"/>
      <c r="KLG89" s="996"/>
      <c r="KLH89" s="996"/>
      <c r="KLI89" s="996"/>
      <c r="KLJ89" s="996"/>
      <c r="KLK89" s="996"/>
      <c r="KLL89" s="996"/>
      <c r="KLM89" s="996"/>
      <c r="KLN89" s="996"/>
      <c r="KLO89" s="996"/>
      <c r="KLP89" s="996"/>
      <c r="KLQ89" s="996"/>
      <c r="KLR89" s="996"/>
      <c r="KLS89" s="996"/>
      <c r="KLT89" s="996"/>
      <c r="KLU89" s="996"/>
      <c r="KLV89" s="996"/>
      <c r="KLW89" s="996"/>
      <c r="KLX89" s="996"/>
      <c r="KLY89" s="996"/>
      <c r="KLZ89" s="996"/>
      <c r="KMA89" s="996"/>
      <c r="KMB89" s="996"/>
      <c r="KMC89" s="996"/>
      <c r="KMD89" s="996"/>
      <c r="KME89" s="996"/>
      <c r="KMF89" s="996"/>
      <c r="KMG89" s="996"/>
      <c r="KMH89" s="996"/>
      <c r="KMI89" s="996"/>
      <c r="KMJ89" s="996"/>
      <c r="KMK89" s="996"/>
      <c r="KML89" s="996"/>
      <c r="KMM89" s="996"/>
      <c r="KMN89" s="996"/>
      <c r="KMO89" s="996"/>
      <c r="KMP89" s="996"/>
      <c r="KMQ89" s="996"/>
      <c r="KMR89" s="996"/>
      <c r="KMS89" s="996"/>
      <c r="KMT89" s="996"/>
      <c r="KMU89" s="996"/>
      <c r="KMV89" s="996"/>
      <c r="KMW89" s="996"/>
      <c r="KMX89" s="996"/>
      <c r="KMY89" s="996"/>
      <c r="KMZ89" s="996"/>
      <c r="KNA89" s="996"/>
      <c r="KNB89" s="996"/>
      <c r="KNC89" s="996"/>
      <c r="KND89" s="996"/>
      <c r="KNE89" s="996"/>
      <c r="KNF89" s="996"/>
      <c r="KNG89" s="996"/>
      <c r="KNH89" s="996"/>
      <c r="KNI89" s="996"/>
      <c r="KNJ89" s="996"/>
      <c r="KNK89" s="996"/>
      <c r="KNL89" s="996"/>
      <c r="KNM89" s="996"/>
      <c r="KNN89" s="996"/>
      <c r="KNO89" s="996"/>
      <c r="KNP89" s="996"/>
      <c r="KNQ89" s="996"/>
      <c r="KNR89" s="996"/>
      <c r="KNS89" s="996"/>
      <c r="KNT89" s="996"/>
      <c r="KNU89" s="996"/>
      <c r="KNV89" s="996"/>
      <c r="KNW89" s="996"/>
      <c r="KNX89" s="996"/>
      <c r="KNY89" s="996"/>
      <c r="KNZ89" s="996"/>
      <c r="KOA89" s="996"/>
      <c r="KOB89" s="996"/>
      <c r="KOC89" s="996"/>
      <c r="KOD89" s="996"/>
      <c r="KOE89" s="996"/>
      <c r="KOF89" s="996"/>
      <c r="KOG89" s="996"/>
      <c r="KOH89" s="996"/>
      <c r="KOI89" s="996"/>
      <c r="KOJ89" s="996"/>
      <c r="KOK89" s="996"/>
      <c r="KOL89" s="996"/>
      <c r="KOM89" s="996"/>
      <c r="KON89" s="996"/>
      <c r="KOO89" s="996"/>
      <c r="KOP89" s="996"/>
      <c r="KOQ89" s="996"/>
      <c r="KOR89" s="996"/>
      <c r="KOS89" s="996"/>
      <c r="KOT89" s="996"/>
      <c r="KOU89" s="996"/>
      <c r="KOV89" s="996"/>
      <c r="KOW89" s="996"/>
      <c r="KOX89" s="996"/>
      <c r="KOY89" s="996"/>
      <c r="KOZ89" s="996"/>
      <c r="KPA89" s="996"/>
      <c r="KPB89" s="996"/>
      <c r="KPC89" s="996"/>
      <c r="KPD89" s="996"/>
      <c r="KPE89" s="996"/>
      <c r="KPF89" s="996"/>
      <c r="KPG89" s="996"/>
      <c r="KPH89" s="996"/>
      <c r="KPI89" s="996"/>
      <c r="KPJ89" s="996"/>
      <c r="KPK89" s="996"/>
      <c r="KPL89" s="996"/>
      <c r="KPM89" s="996"/>
      <c r="KPN89" s="996"/>
      <c r="KPO89" s="996"/>
      <c r="KPP89" s="996"/>
      <c r="KPQ89" s="996"/>
      <c r="KPR89" s="996"/>
      <c r="KPS89" s="996"/>
      <c r="KPT89" s="996"/>
      <c r="KPU89" s="996"/>
      <c r="KPV89" s="996"/>
      <c r="KPW89" s="996"/>
      <c r="KPX89" s="996"/>
      <c r="KPY89" s="996"/>
      <c r="KPZ89" s="996"/>
      <c r="KQA89" s="996"/>
      <c r="KQB89" s="996"/>
      <c r="KQC89" s="996"/>
      <c r="KQD89" s="996"/>
      <c r="KQE89" s="996"/>
      <c r="KQF89" s="996"/>
      <c r="KQG89" s="996"/>
      <c r="KQH89" s="996"/>
      <c r="KQI89" s="996"/>
      <c r="KQJ89" s="996"/>
      <c r="KQK89" s="996"/>
      <c r="KQL89" s="996"/>
      <c r="KQM89" s="996"/>
      <c r="KQN89" s="996"/>
      <c r="KQO89" s="996"/>
      <c r="KQP89" s="996"/>
      <c r="KQQ89" s="996"/>
      <c r="KQR89" s="996"/>
      <c r="KQS89" s="996"/>
      <c r="KQT89" s="996"/>
      <c r="KQU89" s="996"/>
      <c r="KQV89" s="996"/>
      <c r="KQW89" s="996"/>
      <c r="KQX89" s="996"/>
      <c r="KQY89" s="996"/>
      <c r="KQZ89" s="996"/>
      <c r="KRA89" s="996"/>
      <c r="KRB89" s="996"/>
      <c r="KRC89" s="996"/>
      <c r="KRD89" s="996"/>
      <c r="KRE89" s="996"/>
      <c r="KRF89" s="996"/>
      <c r="KRG89" s="996"/>
      <c r="KRH89" s="996"/>
      <c r="KRI89" s="996"/>
      <c r="KRJ89" s="996"/>
      <c r="KRK89" s="996"/>
      <c r="KRL89" s="996"/>
      <c r="KRM89" s="996"/>
      <c r="KRN89" s="996"/>
      <c r="KRO89" s="996"/>
      <c r="KRP89" s="996"/>
      <c r="KRQ89" s="996"/>
      <c r="KRR89" s="996"/>
      <c r="KRS89" s="996"/>
      <c r="KRT89" s="996"/>
      <c r="KRU89" s="996"/>
      <c r="KRV89" s="996"/>
      <c r="KRW89" s="996"/>
      <c r="KRX89" s="996"/>
      <c r="KRY89" s="996"/>
      <c r="KRZ89" s="996"/>
      <c r="KSA89" s="996"/>
      <c r="KSB89" s="996"/>
      <c r="KSC89" s="996"/>
      <c r="KSD89" s="996"/>
      <c r="KSE89" s="996"/>
      <c r="KSF89" s="996"/>
      <c r="KSG89" s="996"/>
      <c r="KSH89" s="996"/>
      <c r="KSI89" s="996"/>
      <c r="KSJ89" s="996"/>
      <c r="KSK89" s="996"/>
      <c r="KSL89" s="996"/>
      <c r="KSM89" s="996"/>
      <c r="KSN89" s="996"/>
      <c r="KSO89" s="996"/>
      <c r="KSP89" s="996"/>
      <c r="KSQ89" s="996"/>
      <c r="KSR89" s="996"/>
      <c r="KSS89" s="996"/>
      <c r="KST89" s="996"/>
      <c r="KSU89" s="996"/>
      <c r="KSV89" s="996"/>
      <c r="KSW89" s="996"/>
      <c r="KSX89" s="996"/>
      <c r="KSY89" s="996"/>
      <c r="KSZ89" s="996"/>
      <c r="KTA89" s="996"/>
      <c r="KTB89" s="996"/>
      <c r="KTC89" s="996"/>
      <c r="KTD89" s="996"/>
      <c r="KTE89" s="996"/>
      <c r="KTF89" s="996"/>
      <c r="KTG89" s="996"/>
      <c r="KTH89" s="996"/>
      <c r="KTI89" s="996"/>
      <c r="KTJ89" s="996"/>
      <c r="KTK89" s="996"/>
      <c r="KTL89" s="996"/>
      <c r="KTM89" s="996"/>
      <c r="KTN89" s="996"/>
      <c r="KTO89" s="996"/>
      <c r="KTP89" s="996"/>
      <c r="KTQ89" s="996"/>
      <c r="KTR89" s="996"/>
      <c r="KTS89" s="996"/>
      <c r="KTT89" s="996"/>
      <c r="KTU89" s="996"/>
      <c r="KTV89" s="996"/>
      <c r="KTW89" s="996"/>
      <c r="KTX89" s="996"/>
      <c r="KTY89" s="996"/>
      <c r="KTZ89" s="996"/>
      <c r="KUA89" s="996"/>
      <c r="KUB89" s="996"/>
      <c r="KUC89" s="996"/>
      <c r="KUD89" s="996"/>
      <c r="KUE89" s="996"/>
      <c r="KUF89" s="996"/>
      <c r="KUG89" s="996"/>
      <c r="KUH89" s="996"/>
      <c r="KUI89" s="996"/>
      <c r="KUJ89" s="996"/>
      <c r="KUK89" s="996"/>
      <c r="KUL89" s="996"/>
      <c r="KUM89" s="996"/>
      <c r="KUN89" s="996"/>
      <c r="KUO89" s="996"/>
      <c r="KUP89" s="996"/>
      <c r="KUQ89" s="996"/>
      <c r="KUR89" s="996"/>
      <c r="KUS89" s="996"/>
      <c r="KUT89" s="996"/>
      <c r="KUU89" s="996"/>
      <c r="KUV89" s="996"/>
      <c r="KUW89" s="996"/>
      <c r="KUX89" s="996"/>
      <c r="KUY89" s="996"/>
      <c r="KUZ89" s="996"/>
      <c r="KVA89" s="996"/>
      <c r="KVB89" s="996"/>
      <c r="KVC89" s="996"/>
      <c r="KVD89" s="996"/>
      <c r="KVE89" s="996"/>
      <c r="KVF89" s="996"/>
      <c r="KVG89" s="996"/>
      <c r="KVH89" s="996"/>
      <c r="KVI89" s="996"/>
      <c r="KVJ89" s="996"/>
      <c r="KVK89" s="996"/>
      <c r="KVL89" s="996"/>
      <c r="KVM89" s="996"/>
      <c r="KVN89" s="996"/>
      <c r="KVO89" s="996"/>
      <c r="KVP89" s="996"/>
      <c r="KVQ89" s="996"/>
      <c r="KVR89" s="996"/>
      <c r="KVS89" s="996"/>
      <c r="KVT89" s="996"/>
      <c r="KVU89" s="996"/>
      <c r="KVV89" s="996"/>
      <c r="KVW89" s="996"/>
      <c r="KVX89" s="996"/>
      <c r="KVY89" s="996"/>
      <c r="KVZ89" s="996"/>
      <c r="KWA89" s="996"/>
      <c r="KWB89" s="996"/>
      <c r="KWC89" s="996"/>
      <c r="KWD89" s="996"/>
      <c r="KWE89" s="996"/>
      <c r="KWF89" s="996"/>
      <c r="KWG89" s="996"/>
      <c r="KWH89" s="996"/>
      <c r="KWI89" s="996"/>
      <c r="KWJ89" s="996"/>
      <c r="KWK89" s="996"/>
      <c r="KWL89" s="996"/>
      <c r="KWM89" s="996"/>
      <c r="KWN89" s="996"/>
      <c r="KWO89" s="996"/>
      <c r="KWP89" s="996"/>
      <c r="KWQ89" s="996"/>
      <c r="KWR89" s="996"/>
      <c r="KWS89" s="996"/>
      <c r="KWT89" s="996"/>
      <c r="KWU89" s="996"/>
      <c r="KWV89" s="996"/>
      <c r="KWW89" s="996"/>
      <c r="KWX89" s="996"/>
      <c r="KWY89" s="996"/>
      <c r="KWZ89" s="996"/>
      <c r="KXA89" s="996"/>
      <c r="KXB89" s="996"/>
      <c r="KXC89" s="996"/>
      <c r="KXD89" s="996"/>
      <c r="KXE89" s="996"/>
      <c r="KXF89" s="996"/>
      <c r="KXG89" s="996"/>
      <c r="KXH89" s="996"/>
      <c r="KXI89" s="996"/>
      <c r="KXJ89" s="996"/>
      <c r="KXK89" s="996"/>
      <c r="KXL89" s="996"/>
      <c r="KXM89" s="996"/>
      <c r="KXN89" s="996"/>
      <c r="KXO89" s="996"/>
      <c r="KXP89" s="996"/>
      <c r="KXQ89" s="996"/>
      <c r="KXR89" s="996"/>
      <c r="KXS89" s="996"/>
      <c r="KXT89" s="996"/>
      <c r="KXU89" s="996"/>
      <c r="KXV89" s="996"/>
      <c r="KXW89" s="996"/>
      <c r="KXX89" s="996"/>
      <c r="KXY89" s="996"/>
      <c r="KXZ89" s="996"/>
      <c r="KYA89" s="996"/>
      <c r="KYB89" s="996"/>
      <c r="KYC89" s="996"/>
      <c r="KYD89" s="996"/>
      <c r="KYE89" s="996"/>
      <c r="KYF89" s="996"/>
      <c r="KYG89" s="996"/>
      <c r="KYH89" s="996"/>
      <c r="KYI89" s="996"/>
      <c r="KYJ89" s="996"/>
      <c r="KYK89" s="996"/>
      <c r="KYL89" s="996"/>
      <c r="KYM89" s="996"/>
      <c r="KYN89" s="996"/>
      <c r="KYO89" s="996"/>
      <c r="KYP89" s="996"/>
      <c r="KYQ89" s="996"/>
      <c r="KYR89" s="996"/>
      <c r="KYS89" s="996"/>
      <c r="KYT89" s="996"/>
      <c r="KYU89" s="996"/>
      <c r="KYV89" s="996"/>
      <c r="KYW89" s="996"/>
      <c r="KYX89" s="996"/>
      <c r="KYY89" s="996"/>
      <c r="KYZ89" s="996"/>
      <c r="KZA89" s="996"/>
      <c r="KZB89" s="996"/>
      <c r="KZC89" s="996"/>
      <c r="KZD89" s="996"/>
      <c r="KZE89" s="996"/>
      <c r="KZF89" s="996"/>
      <c r="KZG89" s="996"/>
      <c r="KZH89" s="996"/>
      <c r="KZI89" s="996"/>
      <c r="KZJ89" s="996"/>
      <c r="KZK89" s="996"/>
      <c r="KZL89" s="996"/>
      <c r="KZM89" s="996"/>
      <c r="KZN89" s="996"/>
      <c r="KZO89" s="996"/>
      <c r="KZP89" s="996"/>
      <c r="KZQ89" s="996"/>
      <c r="KZR89" s="996"/>
      <c r="KZS89" s="996"/>
      <c r="KZT89" s="996"/>
      <c r="KZU89" s="996"/>
      <c r="KZV89" s="996"/>
      <c r="KZW89" s="996"/>
      <c r="KZX89" s="996"/>
      <c r="KZY89" s="996"/>
      <c r="KZZ89" s="996"/>
      <c r="LAA89" s="996"/>
      <c r="LAB89" s="996"/>
      <c r="LAC89" s="996"/>
      <c r="LAD89" s="996"/>
      <c r="LAE89" s="996"/>
      <c r="LAF89" s="996"/>
      <c r="LAG89" s="996"/>
      <c r="LAH89" s="996"/>
      <c r="LAI89" s="996"/>
      <c r="LAJ89" s="996"/>
      <c r="LAK89" s="996"/>
      <c r="LAL89" s="996"/>
      <c r="LAM89" s="996"/>
      <c r="LAN89" s="996"/>
      <c r="LAO89" s="996"/>
      <c r="LAP89" s="996"/>
      <c r="LAQ89" s="996"/>
      <c r="LAR89" s="996"/>
      <c r="LAS89" s="996"/>
      <c r="LAT89" s="996"/>
      <c r="LAU89" s="996"/>
      <c r="LAV89" s="996"/>
      <c r="LAW89" s="996"/>
      <c r="LAX89" s="996"/>
      <c r="LAY89" s="996"/>
      <c r="LAZ89" s="996"/>
      <c r="LBA89" s="996"/>
      <c r="LBB89" s="996"/>
      <c r="LBC89" s="996"/>
      <c r="LBD89" s="996"/>
      <c r="LBE89" s="996"/>
      <c r="LBF89" s="996"/>
      <c r="LBG89" s="996"/>
      <c r="LBH89" s="996"/>
      <c r="LBI89" s="996"/>
      <c r="LBJ89" s="996"/>
      <c r="LBK89" s="996"/>
      <c r="LBL89" s="996"/>
      <c r="LBM89" s="996"/>
      <c r="LBN89" s="996"/>
      <c r="LBO89" s="996"/>
      <c r="LBP89" s="996"/>
      <c r="LBQ89" s="996"/>
      <c r="LBR89" s="996"/>
      <c r="LBS89" s="996"/>
      <c r="LBT89" s="996"/>
      <c r="LBU89" s="996"/>
      <c r="LBV89" s="996"/>
      <c r="LBW89" s="996"/>
      <c r="LBX89" s="996"/>
      <c r="LBY89" s="996"/>
      <c r="LBZ89" s="996"/>
      <c r="LCA89" s="996"/>
      <c r="LCB89" s="996"/>
      <c r="LCC89" s="996"/>
      <c r="LCD89" s="996"/>
      <c r="LCE89" s="996"/>
      <c r="LCF89" s="996"/>
      <c r="LCG89" s="996"/>
      <c r="LCH89" s="996"/>
      <c r="LCI89" s="996"/>
      <c r="LCJ89" s="996"/>
      <c r="LCK89" s="996"/>
      <c r="LCL89" s="996"/>
      <c r="LCM89" s="996"/>
      <c r="LCN89" s="996"/>
      <c r="LCO89" s="996"/>
      <c r="LCP89" s="996"/>
      <c r="LCQ89" s="996"/>
      <c r="LCR89" s="996"/>
      <c r="LCS89" s="996"/>
      <c r="LCT89" s="996"/>
      <c r="LCU89" s="996"/>
      <c r="LCV89" s="996"/>
      <c r="LCW89" s="996"/>
      <c r="LCX89" s="996"/>
      <c r="LCY89" s="996"/>
      <c r="LCZ89" s="996"/>
      <c r="LDA89" s="996"/>
      <c r="LDB89" s="996"/>
      <c r="LDC89" s="996"/>
      <c r="LDD89" s="996"/>
      <c r="LDE89" s="996"/>
      <c r="LDF89" s="996"/>
      <c r="LDG89" s="996"/>
      <c r="LDH89" s="996"/>
      <c r="LDI89" s="996"/>
      <c r="LDJ89" s="996"/>
      <c r="LDK89" s="996"/>
      <c r="LDL89" s="996"/>
      <c r="LDM89" s="996"/>
      <c r="LDN89" s="996"/>
      <c r="LDO89" s="996"/>
      <c r="LDP89" s="996"/>
      <c r="LDQ89" s="996"/>
      <c r="LDR89" s="996"/>
      <c r="LDS89" s="996"/>
      <c r="LDT89" s="996"/>
      <c r="LDU89" s="996"/>
      <c r="LDV89" s="996"/>
      <c r="LDW89" s="996"/>
      <c r="LDX89" s="996"/>
      <c r="LDY89" s="996"/>
      <c r="LDZ89" s="996"/>
      <c r="LEA89" s="996"/>
      <c r="LEB89" s="996"/>
      <c r="LEC89" s="996"/>
      <c r="LED89" s="996"/>
      <c r="LEE89" s="996"/>
      <c r="LEF89" s="996"/>
      <c r="LEG89" s="996"/>
      <c r="LEH89" s="996"/>
      <c r="LEI89" s="996"/>
      <c r="LEJ89" s="996"/>
      <c r="LEK89" s="996"/>
      <c r="LEL89" s="996"/>
      <c r="LEM89" s="996"/>
      <c r="LEN89" s="996"/>
      <c r="LEO89" s="996"/>
      <c r="LEP89" s="996"/>
      <c r="LEQ89" s="996"/>
      <c r="LER89" s="996"/>
      <c r="LES89" s="996"/>
      <c r="LET89" s="996"/>
      <c r="LEU89" s="996"/>
      <c r="LEV89" s="996"/>
      <c r="LEW89" s="996"/>
      <c r="LEX89" s="996"/>
      <c r="LEY89" s="996"/>
      <c r="LEZ89" s="996"/>
      <c r="LFA89" s="996"/>
      <c r="LFB89" s="996"/>
      <c r="LFC89" s="996"/>
      <c r="LFD89" s="996"/>
      <c r="LFE89" s="996"/>
      <c r="LFF89" s="996"/>
      <c r="LFG89" s="996"/>
      <c r="LFH89" s="996"/>
      <c r="LFI89" s="996"/>
      <c r="LFJ89" s="996"/>
      <c r="LFK89" s="996"/>
      <c r="LFL89" s="996"/>
      <c r="LFM89" s="996"/>
      <c r="LFN89" s="996"/>
      <c r="LFO89" s="996"/>
      <c r="LFP89" s="996"/>
      <c r="LFQ89" s="996"/>
      <c r="LFR89" s="996"/>
      <c r="LFS89" s="996"/>
      <c r="LFT89" s="996"/>
      <c r="LFU89" s="996"/>
      <c r="LFV89" s="996"/>
      <c r="LFW89" s="996"/>
      <c r="LFX89" s="996"/>
      <c r="LFY89" s="996"/>
      <c r="LFZ89" s="996"/>
      <c r="LGA89" s="996"/>
      <c r="LGB89" s="996"/>
      <c r="LGC89" s="996"/>
      <c r="LGD89" s="996"/>
      <c r="LGE89" s="996"/>
      <c r="LGF89" s="996"/>
      <c r="LGG89" s="996"/>
      <c r="LGH89" s="996"/>
      <c r="LGI89" s="996"/>
      <c r="LGJ89" s="996"/>
      <c r="LGK89" s="996"/>
      <c r="LGL89" s="996"/>
      <c r="LGM89" s="996"/>
      <c r="LGN89" s="996"/>
      <c r="LGO89" s="996"/>
      <c r="LGP89" s="996"/>
      <c r="LGQ89" s="996"/>
      <c r="LGR89" s="996"/>
      <c r="LGS89" s="996"/>
      <c r="LGT89" s="996"/>
      <c r="LGU89" s="996"/>
      <c r="LGV89" s="996"/>
      <c r="LGW89" s="996"/>
      <c r="LGX89" s="996"/>
      <c r="LGY89" s="996"/>
      <c r="LGZ89" s="996"/>
      <c r="LHA89" s="996"/>
      <c r="LHB89" s="996"/>
      <c r="LHC89" s="996"/>
      <c r="LHD89" s="996"/>
      <c r="LHE89" s="996"/>
      <c r="LHF89" s="996"/>
      <c r="LHG89" s="996"/>
      <c r="LHH89" s="996"/>
      <c r="LHI89" s="996"/>
      <c r="LHJ89" s="996"/>
      <c r="LHK89" s="996"/>
      <c r="LHL89" s="996"/>
      <c r="LHM89" s="996"/>
      <c r="LHN89" s="996"/>
      <c r="LHO89" s="996"/>
      <c r="LHP89" s="996"/>
      <c r="LHQ89" s="996"/>
      <c r="LHR89" s="996"/>
      <c r="LHS89" s="996"/>
      <c r="LHT89" s="996"/>
      <c r="LHU89" s="996"/>
      <c r="LHV89" s="996"/>
      <c r="LHW89" s="996"/>
      <c r="LHX89" s="996"/>
      <c r="LHY89" s="996"/>
      <c r="LHZ89" s="996"/>
      <c r="LIA89" s="996"/>
      <c r="LIB89" s="996"/>
      <c r="LIC89" s="996"/>
      <c r="LID89" s="996"/>
      <c r="LIE89" s="996"/>
      <c r="LIF89" s="996"/>
      <c r="LIG89" s="996"/>
      <c r="LIH89" s="996"/>
      <c r="LII89" s="996"/>
      <c r="LIJ89" s="996"/>
      <c r="LIK89" s="996"/>
      <c r="LIL89" s="996"/>
      <c r="LIM89" s="996"/>
      <c r="LIN89" s="996"/>
      <c r="LIO89" s="996"/>
      <c r="LIP89" s="996"/>
      <c r="LIQ89" s="996"/>
      <c r="LIR89" s="996"/>
      <c r="LIS89" s="996"/>
      <c r="LIT89" s="996"/>
      <c r="LIU89" s="996"/>
      <c r="LIV89" s="996"/>
      <c r="LIW89" s="996"/>
      <c r="LIX89" s="996"/>
      <c r="LIY89" s="996"/>
      <c r="LIZ89" s="996"/>
      <c r="LJA89" s="996"/>
      <c r="LJB89" s="996"/>
      <c r="LJC89" s="996"/>
      <c r="LJD89" s="996"/>
      <c r="LJE89" s="996"/>
      <c r="LJF89" s="996"/>
      <c r="LJG89" s="996"/>
      <c r="LJH89" s="996"/>
      <c r="LJI89" s="996"/>
      <c r="LJJ89" s="996"/>
      <c r="LJK89" s="996"/>
      <c r="LJL89" s="996"/>
      <c r="LJM89" s="996"/>
      <c r="LJN89" s="996"/>
      <c r="LJO89" s="996"/>
      <c r="LJP89" s="996"/>
      <c r="LJQ89" s="996"/>
      <c r="LJR89" s="996"/>
      <c r="LJS89" s="996"/>
      <c r="LJT89" s="996"/>
      <c r="LJU89" s="996"/>
      <c r="LJV89" s="996"/>
      <c r="LJW89" s="996"/>
      <c r="LJX89" s="996"/>
      <c r="LJY89" s="996"/>
      <c r="LJZ89" s="996"/>
      <c r="LKA89" s="996"/>
      <c r="LKB89" s="996"/>
      <c r="LKC89" s="996"/>
      <c r="LKD89" s="996"/>
      <c r="LKE89" s="996"/>
      <c r="LKF89" s="996"/>
      <c r="LKG89" s="996"/>
      <c r="LKH89" s="996"/>
      <c r="LKI89" s="996"/>
      <c r="LKJ89" s="996"/>
      <c r="LKK89" s="996"/>
      <c r="LKL89" s="996"/>
      <c r="LKM89" s="996"/>
      <c r="LKN89" s="996"/>
      <c r="LKO89" s="996"/>
      <c r="LKP89" s="996"/>
      <c r="LKQ89" s="996"/>
      <c r="LKR89" s="996"/>
      <c r="LKS89" s="996"/>
      <c r="LKT89" s="996"/>
      <c r="LKU89" s="996"/>
      <c r="LKV89" s="996"/>
      <c r="LKW89" s="996"/>
      <c r="LKX89" s="996"/>
      <c r="LKY89" s="996"/>
      <c r="LKZ89" s="996"/>
      <c r="LLA89" s="996"/>
      <c r="LLB89" s="996"/>
      <c r="LLC89" s="996"/>
      <c r="LLD89" s="996"/>
      <c r="LLE89" s="996"/>
      <c r="LLF89" s="996"/>
      <c r="LLG89" s="996"/>
      <c r="LLH89" s="996"/>
      <c r="LLI89" s="996"/>
      <c r="LLJ89" s="996"/>
      <c r="LLK89" s="996"/>
      <c r="LLL89" s="996"/>
      <c r="LLM89" s="996"/>
      <c r="LLN89" s="996"/>
      <c r="LLO89" s="996"/>
      <c r="LLP89" s="996"/>
      <c r="LLQ89" s="996"/>
      <c r="LLR89" s="996"/>
      <c r="LLS89" s="996"/>
      <c r="LLT89" s="996"/>
      <c r="LLU89" s="996"/>
      <c r="LLV89" s="996"/>
      <c r="LLW89" s="996"/>
      <c r="LLX89" s="996"/>
      <c r="LLY89" s="996"/>
      <c r="LLZ89" s="996"/>
      <c r="LMA89" s="996"/>
      <c r="LMB89" s="996"/>
      <c r="LMC89" s="996"/>
      <c r="LMD89" s="996"/>
      <c r="LME89" s="996"/>
      <c r="LMF89" s="996"/>
      <c r="LMG89" s="996"/>
      <c r="LMH89" s="996"/>
      <c r="LMI89" s="996"/>
      <c r="LMJ89" s="996"/>
      <c r="LMK89" s="996"/>
      <c r="LML89" s="996"/>
      <c r="LMM89" s="996"/>
      <c r="LMN89" s="996"/>
      <c r="LMO89" s="996"/>
      <c r="LMP89" s="996"/>
      <c r="LMQ89" s="996"/>
      <c r="LMR89" s="996"/>
      <c r="LMS89" s="996"/>
      <c r="LMT89" s="996"/>
      <c r="LMU89" s="996"/>
      <c r="LMV89" s="996"/>
      <c r="LMW89" s="996"/>
      <c r="LMX89" s="996"/>
      <c r="LMY89" s="996"/>
      <c r="LMZ89" s="996"/>
      <c r="LNA89" s="996"/>
      <c r="LNB89" s="996"/>
      <c r="LNC89" s="996"/>
      <c r="LND89" s="996"/>
      <c r="LNE89" s="996"/>
      <c r="LNF89" s="996"/>
      <c r="LNG89" s="996"/>
      <c r="LNH89" s="996"/>
      <c r="LNI89" s="996"/>
      <c r="LNJ89" s="996"/>
      <c r="LNK89" s="996"/>
      <c r="LNL89" s="996"/>
      <c r="LNM89" s="996"/>
      <c r="LNN89" s="996"/>
      <c r="LNO89" s="996"/>
      <c r="LNP89" s="996"/>
      <c r="LNQ89" s="996"/>
      <c r="LNR89" s="996"/>
      <c r="LNS89" s="996"/>
      <c r="LNT89" s="996"/>
      <c r="LNU89" s="996"/>
      <c r="LNV89" s="996"/>
      <c r="LNW89" s="996"/>
      <c r="LNX89" s="996"/>
      <c r="LNY89" s="996"/>
      <c r="LNZ89" s="996"/>
      <c r="LOA89" s="996"/>
      <c r="LOB89" s="996"/>
      <c r="LOC89" s="996"/>
      <c r="LOD89" s="996"/>
      <c r="LOE89" s="996"/>
      <c r="LOF89" s="996"/>
      <c r="LOG89" s="996"/>
      <c r="LOH89" s="996"/>
      <c r="LOI89" s="996"/>
      <c r="LOJ89" s="996"/>
      <c r="LOK89" s="996"/>
      <c r="LOL89" s="996"/>
      <c r="LOM89" s="996"/>
      <c r="LON89" s="996"/>
      <c r="LOO89" s="996"/>
      <c r="LOP89" s="996"/>
      <c r="LOQ89" s="996"/>
      <c r="LOR89" s="996"/>
      <c r="LOS89" s="996"/>
      <c r="LOT89" s="996"/>
      <c r="LOU89" s="996"/>
      <c r="LOV89" s="996"/>
      <c r="LOW89" s="996"/>
      <c r="LOX89" s="996"/>
      <c r="LOY89" s="996"/>
      <c r="LOZ89" s="996"/>
      <c r="LPA89" s="996"/>
      <c r="LPB89" s="996"/>
      <c r="LPC89" s="996"/>
      <c r="LPD89" s="996"/>
      <c r="LPE89" s="996"/>
      <c r="LPF89" s="996"/>
      <c r="LPG89" s="996"/>
      <c r="LPH89" s="996"/>
      <c r="LPI89" s="996"/>
      <c r="LPJ89" s="996"/>
      <c r="LPK89" s="996"/>
      <c r="LPL89" s="996"/>
      <c r="LPM89" s="996"/>
      <c r="LPN89" s="996"/>
      <c r="LPO89" s="996"/>
      <c r="LPP89" s="996"/>
      <c r="LPQ89" s="996"/>
      <c r="LPR89" s="996"/>
      <c r="LPS89" s="996"/>
      <c r="LPT89" s="996"/>
      <c r="LPU89" s="996"/>
      <c r="LPV89" s="996"/>
      <c r="LPW89" s="996"/>
      <c r="LPX89" s="996"/>
      <c r="LPY89" s="996"/>
      <c r="LPZ89" s="996"/>
      <c r="LQA89" s="996"/>
      <c r="LQB89" s="996"/>
      <c r="LQC89" s="996"/>
      <c r="LQD89" s="996"/>
      <c r="LQE89" s="996"/>
      <c r="LQF89" s="996"/>
      <c r="LQG89" s="996"/>
      <c r="LQH89" s="996"/>
      <c r="LQI89" s="996"/>
      <c r="LQJ89" s="996"/>
      <c r="LQK89" s="996"/>
      <c r="LQL89" s="996"/>
      <c r="LQM89" s="996"/>
      <c r="LQN89" s="996"/>
      <c r="LQO89" s="996"/>
      <c r="LQP89" s="996"/>
      <c r="LQQ89" s="996"/>
      <c r="LQR89" s="996"/>
      <c r="LQS89" s="996"/>
      <c r="LQT89" s="996"/>
      <c r="LQU89" s="996"/>
      <c r="LQV89" s="996"/>
      <c r="LQW89" s="996"/>
      <c r="LQX89" s="996"/>
      <c r="LQY89" s="996"/>
      <c r="LQZ89" s="996"/>
      <c r="LRA89" s="996"/>
      <c r="LRB89" s="996"/>
      <c r="LRC89" s="996"/>
      <c r="LRD89" s="996"/>
      <c r="LRE89" s="996"/>
      <c r="LRF89" s="996"/>
      <c r="LRG89" s="996"/>
      <c r="LRH89" s="996"/>
      <c r="LRI89" s="996"/>
      <c r="LRJ89" s="996"/>
      <c r="LRK89" s="996"/>
      <c r="LRL89" s="996"/>
      <c r="LRM89" s="996"/>
      <c r="LRN89" s="996"/>
      <c r="LRO89" s="996"/>
      <c r="LRP89" s="996"/>
      <c r="LRQ89" s="996"/>
      <c r="LRR89" s="996"/>
      <c r="LRS89" s="996"/>
      <c r="LRT89" s="996"/>
      <c r="LRU89" s="996"/>
      <c r="LRV89" s="996"/>
      <c r="LRW89" s="996"/>
      <c r="LRX89" s="996"/>
      <c r="LRY89" s="996"/>
      <c r="LRZ89" s="996"/>
      <c r="LSA89" s="996"/>
      <c r="LSB89" s="996"/>
      <c r="LSC89" s="996"/>
      <c r="LSD89" s="996"/>
      <c r="LSE89" s="996"/>
      <c r="LSF89" s="996"/>
      <c r="LSG89" s="996"/>
      <c r="LSH89" s="996"/>
      <c r="LSI89" s="996"/>
      <c r="LSJ89" s="996"/>
      <c r="LSK89" s="996"/>
      <c r="LSL89" s="996"/>
      <c r="LSM89" s="996"/>
      <c r="LSN89" s="996"/>
      <c r="LSO89" s="996"/>
      <c r="LSP89" s="996"/>
      <c r="LSQ89" s="996"/>
      <c r="LSR89" s="996"/>
      <c r="LSS89" s="996"/>
      <c r="LST89" s="996"/>
      <c r="LSU89" s="996"/>
      <c r="LSV89" s="996"/>
      <c r="LSW89" s="996"/>
      <c r="LSX89" s="996"/>
      <c r="LSY89" s="996"/>
      <c r="LSZ89" s="996"/>
      <c r="LTA89" s="996"/>
      <c r="LTB89" s="996"/>
      <c r="LTC89" s="996"/>
      <c r="LTD89" s="996"/>
      <c r="LTE89" s="996"/>
      <c r="LTF89" s="996"/>
      <c r="LTG89" s="996"/>
      <c r="LTH89" s="996"/>
      <c r="LTI89" s="996"/>
      <c r="LTJ89" s="996"/>
      <c r="LTK89" s="996"/>
      <c r="LTL89" s="996"/>
      <c r="LTM89" s="996"/>
      <c r="LTN89" s="996"/>
      <c r="LTO89" s="996"/>
      <c r="LTP89" s="996"/>
      <c r="LTQ89" s="996"/>
      <c r="LTR89" s="996"/>
      <c r="LTS89" s="996"/>
      <c r="LTT89" s="996"/>
      <c r="LTU89" s="996"/>
      <c r="LTV89" s="996"/>
      <c r="LTW89" s="996"/>
      <c r="LTX89" s="996"/>
      <c r="LTY89" s="996"/>
      <c r="LTZ89" s="996"/>
      <c r="LUA89" s="996"/>
      <c r="LUB89" s="996"/>
      <c r="LUC89" s="996"/>
      <c r="LUD89" s="996"/>
      <c r="LUE89" s="996"/>
      <c r="LUF89" s="996"/>
      <c r="LUG89" s="996"/>
      <c r="LUH89" s="996"/>
      <c r="LUI89" s="996"/>
      <c r="LUJ89" s="996"/>
      <c r="LUK89" s="996"/>
      <c r="LUL89" s="996"/>
      <c r="LUM89" s="996"/>
      <c r="LUN89" s="996"/>
      <c r="LUO89" s="996"/>
      <c r="LUP89" s="996"/>
      <c r="LUQ89" s="996"/>
      <c r="LUR89" s="996"/>
      <c r="LUS89" s="996"/>
      <c r="LUT89" s="996"/>
      <c r="LUU89" s="996"/>
      <c r="LUV89" s="996"/>
      <c r="LUW89" s="996"/>
      <c r="LUX89" s="996"/>
      <c r="LUY89" s="996"/>
      <c r="LUZ89" s="996"/>
      <c r="LVA89" s="996"/>
      <c r="LVB89" s="996"/>
      <c r="LVC89" s="996"/>
      <c r="LVD89" s="996"/>
      <c r="LVE89" s="996"/>
      <c r="LVF89" s="996"/>
      <c r="LVG89" s="996"/>
      <c r="LVH89" s="996"/>
      <c r="LVI89" s="996"/>
      <c r="LVJ89" s="996"/>
      <c r="LVK89" s="996"/>
      <c r="LVL89" s="996"/>
      <c r="LVM89" s="996"/>
      <c r="LVN89" s="996"/>
      <c r="LVO89" s="996"/>
      <c r="LVP89" s="996"/>
      <c r="LVQ89" s="996"/>
      <c r="LVR89" s="996"/>
      <c r="LVS89" s="996"/>
      <c r="LVT89" s="996"/>
      <c r="LVU89" s="996"/>
      <c r="LVV89" s="996"/>
      <c r="LVW89" s="996"/>
      <c r="LVX89" s="996"/>
      <c r="LVY89" s="996"/>
      <c r="LVZ89" s="996"/>
      <c r="LWA89" s="996"/>
      <c r="LWB89" s="996"/>
      <c r="LWC89" s="996"/>
      <c r="LWD89" s="996"/>
      <c r="LWE89" s="996"/>
      <c r="LWF89" s="996"/>
      <c r="LWG89" s="996"/>
      <c r="LWH89" s="996"/>
      <c r="LWI89" s="996"/>
      <c r="LWJ89" s="996"/>
      <c r="LWK89" s="996"/>
      <c r="LWL89" s="996"/>
      <c r="LWM89" s="996"/>
      <c r="LWN89" s="996"/>
      <c r="LWO89" s="996"/>
      <c r="LWP89" s="996"/>
      <c r="LWQ89" s="996"/>
      <c r="LWR89" s="996"/>
      <c r="LWS89" s="996"/>
      <c r="LWT89" s="996"/>
      <c r="LWU89" s="996"/>
      <c r="LWV89" s="996"/>
      <c r="LWW89" s="996"/>
      <c r="LWX89" s="996"/>
      <c r="LWY89" s="996"/>
      <c r="LWZ89" s="996"/>
      <c r="LXA89" s="996"/>
      <c r="LXB89" s="996"/>
      <c r="LXC89" s="996"/>
      <c r="LXD89" s="996"/>
      <c r="LXE89" s="996"/>
      <c r="LXF89" s="996"/>
      <c r="LXG89" s="996"/>
      <c r="LXH89" s="996"/>
      <c r="LXI89" s="996"/>
      <c r="LXJ89" s="996"/>
      <c r="LXK89" s="996"/>
      <c r="LXL89" s="996"/>
      <c r="LXM89" s="996"/>
      <c r="LXN89" s="996"/>
      <c r="LXO89" s="996"/>
      <c r="LXP89" s="996"/>
      <c r="LXQ89" s="996"/>
      <c r="LXR89" s="996"/>
      <c r="LXS89" s="996"/>
      <c r="LXT89" s="996"/>
      <c r="LXU89" s="996"/>
      <c r="LXV89" s="996"/>
      <c r="LXW89" s="996"/>
      <c r="LXX89" s="996"/>
      <c r="LXY89" s="996"/>
      <c r="LXZ89" s="996"/>
      <c r="LYA89" s="996"/>
      <c r="LYB89" s="996"/>
      <c r="LYC89" s="996"/>
      <c r="LYD89" s="996"/>
      <c r="LYE89" s="996"/>
      <c r="LYF89" s="996"/>
      <c r="LYG89" s="996"/>
      <c r="LYH89" s="996"/>
      <c r="LYI89" s="996"/>
      <c r="LYJ89" s="996"/>
      <c r="LYK89" s="996"/>
      <c r="LYL89" s="996"/>
      <c r="LYM89" s="996"/>
      <c r="LYN89" s="996"/>
      <c r="LYO89" s="996"/>
      <c r="LYP89" s="996"/>
      <c r="LYQ89" s="996"/>
      <c r="LYR89" s="996"/>
      <c r="LYS89" s="996"/>
      <c r="LYT89" s="996"/>
      <c r="LYU89" s="996"/>
      <c r="LYV89" s="996"/>
      <c r="LYW89" s="996"/>
      <c r="LYX89" s="996"/>
      <c r="LYY89" s="996"/>
      <c r="LYZ89" s="996"/>
      <c r="LZA89" s="996"/>
      <c r="LZB89" s="996"/>
      <c r="LZC89" s="996"/>
      <c r="LZD89" s="996"/>
      <c r="LZE89" s="996"/>
      <c r="LZF89" s="996"/>
      <c r="LZG89" s="996"/>
      <c r="LZH89" s="996"/>
      <c r="LZI89" s="996"/>
      <c r="LZJ89" s="996"/>
      <c r="LZK89" s="996"/>
      <c r="LZL89" s="996"/>
      <c r="LZM89" s="996"/>
      <c r="LZN89" s="996"/>
      <c r="LZO89" s="996"/>
      <c r="LZP89" s="996"/>
      <c r="LZQ89" s="996"/>
      <c r="LZR89" s="996"/>
      <c r="LZS89" s="996"/>
      <c r="LZT89" s="996"/>
      <c r="LZU89" s="996"/>
      <c r="LZV89" s="996"/>
      <c r="LZW89" s="996"/>
      <c r="LZX89" s="996"/>
      <c r="LZY89" s="996"/>
      <c r="LZZ89" s="996"/>
      <c r="MAA89" s="996"/>
      <c r="MAB89" s="996"/>
      <c r="MAC89" s="996"/>
      <c r="MAD89" s="996"/>
      <c r="MAE89" s="996"/>
      <c r="MAF89" s="996"/>
      <c r="MAG89" s="996"/>
      <c r="MAH89" s="996"/>
      <c r="MAI89" s="996"/>
      <c r="MAJ89" s="996"/>
      <c r="MAK89" s="996"/>
      <c r="MAL89" s="996"/>
      <c r="MAM89" s="996"/>
      <c r="MAN89" s="996"/>
      <c r="MAO89" s="996"/>
      <c r="MAP89" s="996"/>
      <c r="MAQ89" s="996"/>
      <c r="MAR89" s="996"/>
      <c r="MAS89" s="996"/>
      <c r="MAT89" s="996"/>
      <c r="MAU89" s="996"/>
      <c r="MAV89" s="996"/>
      <c r="MAW89" s="996"/>
      <c r="MAX89" s="996"/>
      <c r="MAY89" s="996"/>
      <c r="MAZ89" s="996"/>
      <c r="MBA89" s="996"/>
      <c r="MBB89" s="996"/>
      <c r="MBC89" s="996"/>
      <c r="MBD89" s="996"/>
      <c r="MBE89" s="996"/>
      <c r="MBF89" s="996"/>
      <c r="MBG89" s="996"/>
      <c r="MBH89" s="996"/>
      <c r="MBI89" s="996"/>
      <c r="MBJ89" s="996"/>
      <c r="MBK89" s="996"/>
      <c r="MBL89" s="996"/>
      <c r="MBM89" s="996"/>
      <c r="MBN89" s="996"/>
      <c r="MBO89" s="996"/>
      <c r="MBP89" s="996"/>
      <c r="MBQ89" s="996"/>
      <c r="MBR89" s="996"/>
      <c r="MBS89" s="996"/>
      <c r="MBT89" s="996"/>
      <c r="MBU89" s="996"/>
      <c r="MBV89" s="996"/>
      <c r="MBW89" s="996"/>
      <c r="MBX89" s="996"/>
      <c r="MBY89" s="996"/>
      <c r="MBZ89" s="996"/>
      <c r="MCA89" s="996"/>
      <c r="MCB89" s="996"/>
      <c r="MCC89" s="996"/>
      <c r="MCD89" s="996"/>
      <c r="MCE89" s="996"/>
      <c r="MCF89" s="996"/>
      <c r="MCG89" s="996"/>
      <c r="MCH89" s="996"/>
      <c r="MCI89" s="996"/>
      <c r="MCJ89" s="996"/>
      <c r="MCK89" s="996"/>
      <c r="MCL89" s="996"/>
      <c r="MCM89" s="996"/>
      <c r="MCN89" s="996"/>
      <c r="MCO89" s="996"/>
      <c r="MCP89" s="996"/>
      <c r="MCQ89" s="996"/>
      <c r="MCR89" s="996"/>
      <c r="MCS89" s="996"/>
      <c r="MCT89" s="996"/>
      <c r="MCU89" s="996"/>
      <c r="MCV89" s="996"/>
      <c r="MCW89" s="996"/>
      <c r="MCX89" s="996"/>
      <c r="MCY89" s="996"/>
      <c r="MCZ89" s="996"/>
      <c r="MDA89" s="996"/>
      <c r="MDB89" s="996"/>
      <c r="MDC89" s="996"/>
      <c r="MDD89" s="996"/>
      <c r="MDE89" s="996"/>
      <c r="MDF89" s="996"/>
      <c r="MDG89" s="996"/>
      <c r="MDH89" s="996"/>
      <c r="MDI89" s="996"/>
      <c r="MDJ89" s="996"/>
      <c r="MDK89" s="996"/>
      <c r="MDL89" s="996"/>
      <c r="MDM89" s="996"/>
      <c r="MDN89" s="996"/>
      <c r="MDO89" s="996"/>
      <c r="MDP89" s="996"/>
      <c r="MDQ89" s="996"/>
      <c r="MDR89" s="996"/>
      <c r="MDS89" s="996"/>
      <c r="MDT89" s="996"/>
      <c r="MDU89" s="996"/>
      <c r="MDV89" s="996"/>
      <c r="MDW89" s="996"/>
      <c r="MDX89" s="996"/>
      <c r="MDY89" s="996"/>
      <c r="MDZ89" s="996"/>
      <c r="MEA89" s="996"/>
      <c r="MEB89" s="996"/>
      <c r="MEC89" s="996"/>
      <c r="MED89" s="996"/>
      <c r="MEE89" s="996"/>
      <c r="MEF89" s="996"/>
      <c r="MEG89" s="996"/>
      <c r="MEH89" s="996"/>
      <c r="MEI89" s="996"/>
      <c r="MEJ89" s="996"/>
      <c r="MEK89" s="996"/>
      <c r="MEL89" s="996"/>
      <c r="MEM89" s="996"/>
      <c r="MEN89" s="996"/>
      <c r="MEO89" s="996"/>
      <c r="MEP89" s="996"/>
      <c r="MEQ89" s="996"/>
      <c r="MER89" s="996"/>
      <c r="MES89" s="996"/>
      <c r="MET89" s="996"/>
      <c r="MEU89" s="996"/>
      <c r="MEV89" s="996"/>
      <c r="MEW89" s="996"/>
      <c r="MEX89" s="996"/>
      <c r="MEY89" s="996"/>
      <c r="MEZ89" s="996"/>
      <c r="MFA89" s="996"/>
      <c r="MFB89" s="996"/>
      <c r="MFC89" s="996"/>
      <c r="MFD89" s="996"/>
      <c r="MFE89" s="996"/>
      <c r="MFF89" s="996"/>
      <c r="MFG89" s="996"/>
      <c r="MFH89" s="996"/>
      <c r="MFI89" s="996"/>
      <c r="MFJ89" s="996"/>
      <c r="MFK89" s="996"/>
      <c r="MFL89" s="996"/>
      <c r="MFM89" s="996"/>
      <c r="MFN89" s="996"/>
      <c r="MFO89" s="996"/>
      <c r="MFP89" s="996"/>
      <c r="MFQ89" s="996"/>
      <c r="MFR89" s="996"/>
      <c r="MFS89" s="996"/>
      <c r="MFT89" s="996"/>
      <c r="MFU89" s="996"/>
      <c r="MFV89" s="996"/>
      <c r="MFW89" s="996"/>
      <c r="MFX89" s="996"/>
      <c r="MFY89" s="996"/>
      <c r="MFZ89" s="996"/>
      <c r="MGA89" s="996"/>
      <c r="MGB89" s="996"/>
      <c r="MGC89" s="996"/>
      <c r="MGD89" s="996"/>
      <c r="MGE89" s="996"/>
      <c r="MGF89" s="996"/>
      <c r="MGG89" s="996"/>
      <c r="MGH89" s="996"/>
      <c r="MGI89" s="996"/>
      <c r="MGJ89" s="996"/>
      <c r="MGK89" s="996"/>
      <c r="MGL89" s="996"/>
      <c r="MGM89" s="996"/>
      <c r="MGN89" s="996"/>
      <c r="MGO89" s="996"/>
      <c r="MGP89" s="996"/>
      <c r="MGQ89" s="996"/>
      <c r="MGR89" s="996"/>
      <c r="MGS89" s="996"/>
      <c r="MGT89" s="996"/>
      <c r="MGU89" s="996"/>
      <c r="MGV89" s="996"/>
      <c r="MGW89" s="996"/>
      <c r="MGX89" s="996"/>
      <c r="MGY89" s="996"/>
      <c r="MGZ89" s="996"/>
      <c r="MHA89" s="996"/>
      <c r="MHB89" s="996"/>
      <c r="MHC89" s="996"/>
      <c r="MHD89" s="996"/>
      <c r="MHE89" s="996"/>
      <c r="MHF89" s="996"/>
      <c r="MHG89" s="996"/>
      <c r="MHH89" s="996"/>
      <c r="MHI89" s="996"/>
      <c r="MHJ89" s="996"/>
      <c r="MHK89" s="996"/>
      <c r="MHL89" s="996"/>
      <c r="MHM89" s="996"/>
      <c r="MHN89" s="996"/>
      <c r="MHO89" s="996"/>
      <c r="MHP89" s="996"/>
      <c r="MHQ89" s="996"/>
      <c r="MHR89" s="996"/>
      <c r="MHS89" s="996"/>
      <c r="MHT89" s="996"/>
      <c r="MHU89" s="996"/>
      <c r="MHV89" s="996"/>
      <c r="MHW89" s="996"/>
      <c r="MHX89" s="996"/>
      <c r="MHY89" s="996"/>
      <c r="MHZ89" s="996"/>
      <c r="MIA89" s="996"/>
      <c r="MIB89" s="996"/>
      <c r="MIC89" s="996"/>
      <c r="MID89" s="996"/>
      <c r="MIE89" s="996"/>
      <c r="MIF89" s="996"/>
      <c r="MIG89" s="996"/>
      <c r="MIH89" s="996"/>
      <c r="MII89" s="996"/>
      <c r="MIJ89" s="996"/>
      <c r="MIK89" s="996"/>
      <c r="MIL89" s="996"/>
      <c r="MIM89" s="996"/>
      <c r="MIN89" s="996"/>
      <c r="MIO89" s="996"/>
      <c r="MIP89" s="996"/>
      <c r="MIQ89" s="996"/>
      <c r="MIR89" s="996"/>
      <c r="MIS89" s="996"/>
      <c r="MIT89" s="996"/>
      <c r="MIU89" s="996"/>
      <c r="MIV89" s="996"/>
      <c r="MIW89" s="996"/>
      <c r="MIX89" s="996"/>
      <c r="MIY89" s="996"/>
      <c r="MIZ89" s="996"/>
      <c r="MJA89" s="996"/>
      <c r="MJB89" s="996"/>
      <c r="MJC89" s="996"/>
      <c r="MJD89" s="996"/>
      <c r="MJE89" s="996"/>
      <c r="MJF89" s="996"/>
      <c r="MJG89" s="996"/>
      <c r="MJH89" s="996"/>
      <c r="MJI89" s="996"/>
      <c r="MJJ89" s="996"/>
      <c r="MJK89" s="996"/>
      <c r="MJL89" s="996"/>
      <c r="MJM89" s="996"/>
      <c r="MJN89" s="996"/>
      <c r="MJO89" s="996"/>
      <c r="MJP89" s="996"/>
      <c r="MJQ89" s="996"/>
      <c r="MJR89" s="996"/>
      <c r="MJS89" s="996"/>
      <c r="MJT89" s="996"/>
      <c r="MJU89" s="996"/>
      <c r="MJV89" s="996"/>
      <c r="MJW89" s="996"/>
      <c r="MJX89" s="996"/>
      <c r="MJY89" s="996"/>
      <c r="MJZ89" s="996"/>
      <c r="MKA89" s="996"/>
      <c r="MKB89" s="996"/>
      <c r="MKC89" s="996"/>
      <c r="MKD89" s="996"/>
      <c r="MKE89" s="996"/>
      <c r="MKF89" s="996"/>
      <c r="MKG89" s="996"/>
      <c r="MKH89" s="996"/>
      <c r="MKI89" s="996"/>
      <c r="MKJ89" s="996"/>
      <c r="MKK89" s="996"/>
      <c r="MKL89" s="996"/>
      <c r="MKM89" s="996"/>
      <c r="MKN89" s="996"/>
      <c r="MKO89" s="996"/>
      <c r="MKP89" s="996"/>
      <c r="MKQ89" s="996"/>
      <c r="MKR89" s="996"/>
      <c r="MKS89" s="996"/>
      <c r="MKT89" s="996"/>
      <c r="MKU89" s="996"/>
      <c r="MKV89" s="996"/>
      <c r="MKW89" s="996"/>
      <c r="MKX89" s="996"/>
      <c r="MKY89" s="996"/>
      <c r="MKZ89" s="996"/>
      <c r="MLA89" s="996"/>
      <c r="MLB89" s="996"/>
      <c r="MLC89" s="996"/>
      <c r="MLD89" s="996"/>
      <c r="MLE89" s="996"/>
      <c r="MLF89" s="996"/>
      <c r="MLG89" s="996"/>
      <c r="MLH89" s="996"/>
      <c r="MLI89" s="996"/>
      <c r="MLJ89" s="996"/>
      <c r="MLK89" s="996"/>
      <c r="MLL89" s="996"/>
      <c r="MLM89" s="996"/>
      <c r="MLN89" s="996"/>
      <c r="MLO89" s="996"/>
      <c r="MLP89" s="996"/>
      <c r="MLQ89" s="996"/>
      <c r="MLR89" s="996"/>
      <c r="MLS89" s="996"/>
      <c r="MLT89" s="996"/>
      <c r="MLU89" s="996"/>
      <c r="MLV89" s="996"/>
      <c r="MLW89" s="996"/>
      <c r="MLX89" s="996"/>
      <c r="MLY89" s="996"/>
      <c r="MLZ89" s="996"/>
      <c r="MMA89" s="996"/>
      <c r="MMB89" s="996"/>
      <c r="MMC89" s="996"/>
      <c r="MMD89" s="996"/>
      <c r="MME89" s="996"/>
      <c r="MMF89" s="996"/>
      <c r="MMG89" s="996"/>
      <c r="MMH89" s="996"/>
      <c r="MMI89" s="996"/>
      <c r="MMJ89" s="996"/>
      <c r="MMK89" s="996"/>
      <c r="MML89" s="996"/>
      <c r="MMM89" s="996"/>
      <c r="MMN89" s="996"/>
      <c r="MMO89" s="996"/>
      <c r="MMP89" s="996"/>
      <c r="MMQ89" s="996"/>
      <c r="MMR89" s="996"/>
      <c r="MMS89" s="996"/>
      <c r="MMT89" s="996"/>
      <c r="MMU89" s="996"/>
      <c r="MMV89" s="996"/>
      <c r="MMW89" s="996"/>
      <c r="MMX89" s="996"/>
      <c r="MMY89" s="996"/>
      <c r="MMZ89" s="996"/>
      <c r="MNA89" s="996"/>
      <c r="MNB89" s="996"/>
      <c r="MNC89" s="996"/>
      <c r="MND89" s="996"/>
      <c r="MNE89" s="996"/>
      <c r="MNF89" s="996"/>
      <c r="MNG89" s="996"/>
      <c r="MNH89" s="996"/>
      <c r="MNI89" s="996"/>
      <c r="MNJ89" s="996"/>
      <c r="MNK89" s="996"/>
      <c r="MNL89" s="996"/>
      <c r="MNM89" s="996"/>
      <c r="MNN89" s="996"/>
      <c r="MNO89" s="996"/>
      <c r="MNP89" s="996"/>
      <c r="MNQ89" s="996"/>
      <c r="MNR89" s="996"/>
      <c r="MNS89" s="996"/>
      <c r="MNT89" s="996"/>
      <c r="MNU89" s="996"/>
      <c r="MNV89" s="996"/>
      <c r="MNW89" s="996"/>
      <c r="MNX89" s="996"/>
      <c r="MNY89" s="996"/>
      <c r="MNZ89" s="996"/>
      <c r="MOA89" s="996"/>
      <c r="MOB89" s="996"/>
      <c r="MOC89" s="996"/>
      <c r="MOD89" s="996"/>
      <c r="MOE89" s="996"/>
      <c r="MOF89" s="996"/>
      <c r="MOG89" s="996"/>
      <c r="MOH89" s="996"/>
      <c r="MOI89" s="996"/>
      <c r="MOJ89" s="996"/>
      <c r="MOK89" s="996"/>
      <c r="MOL89" s="996"/>
      <c r="MOM89" s="996"/>
      <c r="MON89" s="996"/>
      <c r="MOO89" s="996"/>
      <c r="MOP89" s="996"/>
      <c r="MOQ89" s="996"/>
      <c r="MOR89" s="996"/>
      <c r="MOS89" s="996"/>
      <c r="MOT89" s="996"/>
      <c r="MOU89" s="996"/>
      <c r="MOV89" s="996"/>
      <c r="MOW89" s="996"/>
      <c r="MOX89" s="996"/>
      <c r="MOY89" s="996"/>
      <c r="MOZ89" s="996"/>
      <c r="MPA89" s="996"/>
      <c r="MPB89" s="996"/>
      <c r="MPC89" s="996"/>
      <c r="MPD89" s="996"/>
      <c r="MPE89" s="996"/>
      <c r="MPF89" s="996"/>
      <c r="MPG89" s="996"/>
      <c r="MPH89" s="996"/>
      <c r="MPI89" s="996"/>
      <c r="MPJ89" s="996"/>
      <c r="MPK89" s="996"/>
      <c r="MPL89" s="996"/>
      <c r="MPM89" s="996"/>
      <c r="MPN89" s="996"/>
      <c r="MPO89" s="996"/>
      <c r="MPP89" s="996"/>
      <c r="MPQ89" s="996"/>
      <c r="MPR89" s="996"/>
      <c r="MPS89" s="996"/>
      <c r="MPT89" s="996"/>
      <c r="MPU89" s="996"/>
      <c r="MPV89" s="996"/>
      <c r="MPW89" s="996"/>
      <c r="MPX89" s="996"/>
      <c r="MPY89" s="996"/>
      <c r="MPZ89" s="996"/>
      <c r="MQA89" s="996"/>
      <c r="MQB89" s="996"/>
      <c r="MQC89" s="996"/>
      <c r="MQD89" s="996"/>
      <c r="MQE89" s="996"/>
      <c r="MQF89" s="996"/>
      <c r="MQG89" s="996"/>
      <c r="MQH89" s="996"/>
      <c r="MQI89" s="996"/>
      <c r="MQJ89" s="996"/>
      <c r="MQK89" s="996"/>
      <c r="MQL89" s="996"/>
      <c r="MQM89" s="996"/>
      <c r="MQN89" s="996"/>
      <c r="MQO89" s="996"/>
      <c r="MQP89" s="996"/>
      <c r="MQQ89" s="996"/>
      <c r="MQR89" s="996"/>
      <c r="MQS89" s="996"/>
      <c r="MQT89" s="996"/>
      <c r="MQU89" s="996"/>
      <c r="MQV89" s="996"/>
      <c r="MQW89" s="996"/>
      <c r="MQX89" s="996"/>
      <c r="MQY89" s="996"/>
      <c r="MQZ89" s="996"/>
      <c r="MRA89" s="996"/>
      <c r="MRB89" s="996"/>
      <c r="MRC89" s="996"/>
      <c r="MRD89" s="996"/>
      <c r="MRE89" s="996"/>
      <c r="MRF89" s="996"/>
      <c r="MRG89" s="996"/>
      <c r="MRH89" s="996"/>
      <c r="MRI89" s="996"/>
      <c r="MRJ89" s="996"/>
      <c r="MRK89" s="996"/>
      <c r="MRL89" s="996"/>
      <c r="MRM89" s="996"/>
      <c r="MRN89" s="996"/>
      <c r="MRO89" s="996"/>
      <c r="MRP89" s="996"/>
      <c r="MRQ89" s="996"/>
      <c r="MRR89" s="996"/>
      <c r="MRS89" s="996"/>
      <c r="MRT89" s="996"/>
      <c r="MRU89" s="996"/>
      <c r="MRV89" s="996"/>
      <c r="MRW89" s="996"/>
      <c r="MRX89" s="996"/>
      <c r="MRY89" s="996"/>
      <c r="MRZ89" s="996"/>
      <c r="MSA89" s="996"/>
      <c r="MSB89" s="996"/>
      <c r="MSC89" s="996"/>
      <c r="MSD89" s="996"/>
      <c r="MSE89" s="996"/>
      <c r="MSF89" s="996"/>
      <c r="MSG89" s="996"/>
      <c r="MSH89" s="996"/>
      <c r="MSI89" s="996"/>
      <c r="MSJ89" s="996"/>
      <c r="MSK89" s="996"/>
      <c r="MSL89" s="996"/>
      <c r="MSM89" s="996"/>
      <c r="MSN89" s="996"/>
      <c r="MSO89" s="996"/>
      <c r="MSP89" s="996"/>
      <c r="MSQ89" s="996"/>
      <c r="MSR89" s="996"/>
      <c r="MSS89" s="996"/>
      <c r="MST89" s="996"/>
      <c r="MSU89" s="996"/>
      <c r="MSV89" s="996"/>
      <c r="MSW89" s="996"/>
      <c r="MSX89" s="996"/>
      <c r="MSY89" s="996"/>
      <c r="MSZ89" s="996"/>
      <c r="MTA89" s="996"/>
      <c r="MTB89" s="996"/>
      <c r="MTC89" s="996"/>
      <c r="MTD89" s="996"/>
      <c r="MTE89" s="996"/>
      <c r="MTF89" s="996"/>
      <c r="MTG89" s="996"/>
      <c r="MTH89" s="996"/>
      <c r="MTI89" s="996"/>
      <c r="MTJ89" s="996"/>
      <c r="MTK89" s="996"/>
      <c r="MTL89" s="996"/>
      <c r="MTM89" s="996"/>
      <c r="MTN89" s="996"/>
      <c r="MTO89" s="996"/>
      <c r="MTP89" s="996"/>
      <c r="MTQ89" s="996"/>
      <c r="MTR89" s="996"/>
      <c r="MTS89" s="996"/>
      <c r="MTT89" s="996"/>
      <c r="MTU89" s="996"/>
      <c r="MTV89" s="996"/>
      <c r="MTW89" s="996"/>
      <c r="MTX89" s="996"/>
      <c r="MTY89" s="996"/>
      <c r="MTZ89" s="996"/>
      <c r="MUA89" s="996"/>
      <c r="MUB89" s="996"/>
      <c r="MUC89" s="996"/>
      <c r="MUD89" s="996"/>
      <c r="MUE89" s="996"/>
      <c r="MUF89" s="996"/>
      <c r="MUG89" s="996"/>
      <c r="MUH89" s="996"/>
      <c r="MUI89" s="996"/>
      <c r="MUJ89" s="996"/>
      <c r="MUK89" s="996"/>
      <c r="MUL89" s="996"/>
      <c r="MUM89" s="996"/>
      <c r="MUN89" s="996"/>
      <c r="MUO89" s="996"/>
      <c r="MUP89" s="996"/>
      <c r="MUQ89" s="996"/>
      <c r="MUR89" s="996"/>
      <c r="MUS89" s="996"/>
      <c r="MUT89" s="996"/>
      <c r="MUU89" s="996"/>
      <c r="MUV89" s="996"/>
      <c r="MUW89" s="996"/>
      <c r="MUX89" s="996"/>
      <c r="MUY89" s="996"/>
      <c r="MUZ89" s="996"/>
      <c r="MVA89" s="996"/>
      <c r="MVB89" s="996"/>
      <c r="MVC89" s="996"/>
      <c r="MVD89" s="996"/>
      <c r="MVE89" s="996"/>
      <c r="MVF89" s="996"/>
      <c r="MVG89" s="996"/>
      <c r="MVH89" s="996"/>
      <c r="MVI89" s="996"/>
      <c r="MVJ89" s="996"/>
      <c r="MVK89" s="996"/>
      <c r="MVL89" s="996"/>
      <c r="MVM89" s="996"/>
      <c r="MVN89" s="996"/>
      <c r="MVO89" s="996"/>
      <c r="MVP89" s="996"/>
      <c r="MVQ89" s="996"/>
      <c r="MVR89" s="996"/>
      <c r="MVS89" s="996"/>
      <c r="MVT89" s="996"/>
      <c r="MVU89" s="996"/>
      <c r="MVV89" s="996"/>
      <c r="MVW89" s="996"/>
      <c r="MVX89" s="996"/>
      <c r="MVY89" s="996"/>
      <c r="MVZ89" s="996"/>
      <c r="MWA89" s="996"/>
      <c r="MWB89" s="996"/>
      <c r="MWC89" s="996"/>
      <c r="MWD89" s="996"/>
      <c r="MWE89" s="996"/>
      <c r="MWF89" s="996"/>
      <c r="MWG89" s="996"/>
      <c r="MWH89" s="996"/>
      <c r="MWI89" s="996"/>
      <c r="MWJ89" s="996"/>
      <c r="MWK89" s="996"/>
      <c r="MWL89" s="996"/>
      <c r="MWM89" s="996"/>
      <c r="MWN89" s="996"/>
      <c r="MWO89" s="996"/>
      <c r="MWP89" s="996"/>
      <c r="MWQ89" s="996"/>
      <c r="MWR89" s="996"/>
      <c r="MWS89" s="996"/>
      <c r="MWT89" s="996"/>
      <c r="MWU89" s="996"/>
      <c r="MWV89" s="996"/>
      <c r="MWW89" s="996"/>
      <c r="MWX89" s="996"/>
      <c r="MWY89" s="996"/>
      <c r="MWZ89" s="996"/>
      <c r="MXA89" s="996"/>
      <c r="MXB89" s="996"/>
      <c r="MXC89" s="996"/>
      <c r="MXD89" s="996"/>
      <c r="MXE89" s="996"/>
      <c r="MXF89" s="996"/>
      <c r="MXG89" s="996"/>
      <c r="MXH89" s="996"/>
      <c r="MXI89" s="996"/>
      <c r="MXJ89" s="996"/>
      <c r="MXK89" s="996"/>
      <c r="MXL89" s="996"/>
      <c r="MXM89" s="996"/>
      <c r="MXN89" s="996"/>
      <c r="MXO89" s="996"/>
      <c r="MXP89" s="996"/>
      <c r="MXQ89" s="996"/>
      <c r="MXR89" s="996"/>
      <c r="MXS89" s="996"/>
      <c r="MXT89" s="996"/>
      <c r="MXU89" s="996"/>
      <c r="MXV89" s="996"/>
      <c r="MXW89" s="996"/>
      <c r="MXX89" s="996"/>
      <c r="MXY89" s="996"/>
      <c r="MXZ89" s="996"/>
      <c r="MYA89" s="996"/>
      <c r="MYB89" s="996"/>
      <c r="MYC89" s="996"/>
      <c r="MYD89" s="996"/>
      <c r="MYE89" s="996"/>
      <c r="MYF89" s="996"/>
      <c r="MYG89" s="996"/>
      <c r="MYH89" s="996"/>
      <c r="MYI89" s="996"/>
      <c r="MYJ89" s="996"/>
      <c r="MYK89" s="996"/>
      <c r="MYL89" s="996"/>
      <c r="MYM89" s="996"/>
      <c r="MYN89" s="996"/>
      <c r="MYO89" s="996"/>
      <c r="MYP89" s="996"/>
      <c r="MYQ89" s="996"/>
      <c r="MYR89" s="996"/>
      <c r="MYS89" s="996"/>
      <c r="MYT89" s="996"/>
      <c r="MYU89" s="996"/>
      <c r="MYV89" s="996"/>
      <c r="MYW89" s="996"/>
      <c r="MYX89" s="996"/>
      <c r="MYY89" s="996"/>
      <c r="MYZ89" s="996"/>
      <c r="MZA89" s="996"/>
      <c r="MZB89" s="996"/>
      <c r="MZC89" s="996"/>
      <c r="MZD89" s="996"/>
      <c r="MZE89" s="996"/>
      <c r="MZF89" s="996"/>
      <c r="MZG89" s="996"/>
      <c r="MZH89" s="996"/>
      <c r="MZI89" s="996"/>
      <c r="MZJ89" s="996"/>
      <c r="MZK89" s="996"/>
      <c r="MZL89" s="996"/>
      <c r="MZM89" s="996"/>
      <c r="MZN89" s="996"/>
      <c r="MZO89" s="996"/>
      <c r="MZP89" s="996"/>
      <c r="MZQ89" s="996"/>
      <c r="MZR89" s="996"/>
      <c r="MZS89" s="996"/>
      <c r="MZT89" s="996"/>
      <c r="MZU89" s="996"/>
      <c r="MZV89" s="996"/>
      <c r="MZW89" s="996"/>
      <c r="MZX89" s="996"/>
      <c r="MZY89" s="996"/>
      <c r="MZZ89" s="996"/>
      <c r="NAA89" s="996"/>
      <c r="NAB89" s="996"/>
      <c r="NAC89" s="996"/>
      <c r="NAD89" s="996"/>
      <c r="NAE89" s="996"/>
      <c r="NAF89" s="996"/>
      <c r="NAG89" s="996"/>
      <c r="NAH89" s="996"/>
      <c r="NAI89" s="996"/>
      <c r="NAJ89" s="996"/>
      <c r="NAK89" s="996"/>
      <c r="NAL89" s="996"/>
      <c r="NAM89" s="996"/>
      <c r="NAN89" s="996"/>
      <c r="NAO89" s="996"/>
      <c r="NAP89" s="996"/>
      <c r="NAQ89" s="996"/>
      <c r="NAR89" s="996"/>
      <c r="NAS89" s="996"/>
      <c r="NAT89" s="996"/>
      <c r="NAU89" s="996"/>
      <c r="NAV89" s="996"/>
      <c r="NAW89" s="996"/>
      <c r="NAX89" s="996"/>
      <c r="NAY89" s="996"/>
      <c r="NAZ89" s="996"/>
      <c r="NBA89" s="996"/>
      <c r="NBB89" s="996"/>
      <c r="NBC89" s="996"/>
      <c r="NBD89" s="996"/>
      <c r="NBE89" s="996"/>
      <c r="NBF89" s="996"/>
      <c r="NBG89" s="996"/>
      <c r="NBH89" s="996"/>
      <c r="NBI89" s="996"/>
      <c r="NBJ89" s="996"/>
      <c r="NBK89" s="996"/>
      <c r="NBL89" s="996"/>
      <c r="NBM89" s="996"/>
      <c r="NBN89" s="996"/>
      <c r="NBO89" s="996"/>
      <c r="NBP89" s="996"/>
      <c r="NBQ89" s="996"/>
      <c r="NBR89" s="996"/>
      <c r="NBS89" s="996"/>
      <c r="NBT89" s="996"/>
      <c r="NBU89" s="996"/>
      <c r="NBV89" s="996"/>
      <c r="NBW89" s="996"/>
      <c r="NBX89" s="996"/>
      <c r="NBY89" s="996"/>
      <c r="NBZ89" s="996"/>
      <c r="NCA89" s="996"/>
      <c r="NCB89" s="996"/>
      <c r="NCC89" s="996"/>
      <c r="NCD89" s="996"/>
      <c r="NCE89" s="996"/>
      <c r="NCF89" s="996"/>
      <c r="NCG89" s="996"/>
      <c r="NCH89" s="996"/>
      <c r="NCI89" s="996"/>
      <c r="NCJ89" s="996"/>
      <c r="NCK89" s="996"/>
      <c r="NCL89" s="996"/>
      <c r="NCM89" s="996"/>
      <c r="NCN89" s="996"/>
      <c r="NCO89" s="996"/>
      <c r="NCP89" s="996"/>
      <c r="NCQ89" s="996"/>
      <c r="NCR89" s="996"/>
      <c r="NCS89" s="996"/>
      <c r="NCT89" s="996"/>
      <c r="NCU89" s="996"/>
      <c r="NCV89" s="996"/>
      <c r="NCW89" s="996"/>
      <c r="NCX89" s="996"/>
      <c r="NCY89" s="996"/>
      <c r="NCZ89" s="996"/>
      <c r="NDA89" s="996"/>
      <c r="NDB89" s="996"/>
      <c r="NDC89" s="996"/>
      <c r="NDD89" s="996"/>
      <c r="NDE89" s="996"/>
      <c r="NDF89" s="996"/>
      <c r="NDG89" s="996"/>
      <c r="NDH89" s="996"/>
      <c r="NDI89" s="996"/>
      <c r="NDJ89" s="996"/>
      <c r="NDK89" s="996"/>
      <c r="NDL89" s="996"/>
      <c r="NDM89" s="996"/>
      <c r="NDN89" s="996"/>
      <c r="NDO89" s="996"/>
      <c r="NDP89" s="996"/>
      <c r="NDQ89" s="996"/>
      <c r="NDR89" s="996"/>
      <c r="NDS89" s="996"/>
      <c r="NDT89" s="996"/>
      <c r="NDU89" s="996"/>
      <c r="NDV89" s="996"/>
      <c r="NDW89" s="996"/>
      <c r="NDX89" s="996"/>
      <c r="NDY89" s="996"/>
      <c r="NDZ89" s="996"/>
      <c r="NEA89" s="996"/>
      <c r="NEB89" s="996"/>
      <c r="NEC89" s="996"/>
      <c r="NED89" s="996"/>
      <c r="NEE89" s="996"/>
      <c r="NEF89" s="996"/>
      <c r="NEG89" s="996"/>
      <c r="NEH89" s="996"/>
      <c r="NEI89" s="996"/>
      <c r="NEJ89" s="996"/>
      <c r="NEK89" s="996"/>
      <c r="NEL89" s="996"/>
      <c r="NEM89" s="996"/>
      <c r="NEN89" s="996"/>
      <c r="NEO89" s="996"/>
      <c r="NEP89" s="996"/>
      <c r="NEQ89" s="996"/>
      <c r="NER89" s="996"/>
      <c r="NES89" s="996"/>
      <c r="NET89" s="996"/>
      <c r="NEU89" s="996"/>
      <c r="NEV89" s="996"/>
      <c r="NEW89" s="996"/>
      <c r="NEX89" s="996"/>
      <c r="NEY89" s="996"/>
      <c r="NEZ89" s="996"/>
      <c r="NFA89" s="996"/>
      <c r="NFB89" s="996"/>
      <c r="NFC89" s="996"/>
      <c r="NFD89" s="996"/>
      <c r="NFE89" s="996"/>
      <c r="NFF89" s="996"/>
      <c r="NFG89" s="996"/>
      <c r="NFH89" s="996"/>
      <c r="NFI89" s="996"/>
      <c r="NFJ89" s="996"/>
      <c r="NFK89" s="996"/>
      <c r="NFL89" s="996"/>
      <c r="NFM89" s="996"/>
      <c r="NFN89" s="996"/>
      <c r="NFO89" s="996"/>
      <c r="NFP89" s="996"/>
      <c r="NFQ89" s="996"/>
      <c r="NFR89" s="996"/>
      <c r="NFS89" s="996"/>
      <c r="NFT89" s="996"/>
      <c r="NFU89" s="996"/>
      <c r="NFV89" s="996"/>
      <c r="NFW89" s="996"/>
      <c r="NFX89" s="996"/>
      <c r="NFY89" s="996"/>
      <c r="NFZ89" s="996"/>
      <c r="NGA89" s="996"/>
      <c r="NGB89" s="996"/>
      <c r="NGC89" s="996"/>
      <c r="NGD89" s="996"/>
      <c r="NGE89" s="996"/>
      <c r="NGF89" s="996"/>
      <c r="NGG89" s="996"/>
      <c r="NGH89" s="996"/>
      <c r="NGI89" s="996"/>
      <c r="NGJ89" s="996"/>
      <c r="NGK89" s="996"/>
      <c r="NGL89" s="996"/>
      <c r="NGM89" s="996"/>
      <c r="NGN89" s="996"/>
      <c r="NGO89" s="996"/>
      <c r="NGP89" s="996"/>
      <c r="NGQ89" s="996"/>
      <c r="NGR89" s="996"/>
      <c r="NGS89" s="996"/>
      <c r="NGT89" s="996"/>
      <c r="NGU89" s="996"/>
      <c r="NGV89" s="996"/>
      <c r="NGW89" s="996"/>
      <c r="NGX89" s="996"/>
      <c r="NGY89" s="996"/>
      <c r="NGZ89" s="996"/>
      <c r="NHA89" s="996"/>
      <c r="NHB89" s="996"/>
      <c r="NHC89" s="996"/>
      <c r="NHD89" s="996"/>
      <c r="NHE89" s="996"/>
      <c r="NHF89" s="996"/>
      <c r="NHG89" s="996"/>
      <c r="NHH89" s="996"/>
      <c r="NHI89" s="996"/>
      <c r="NHJ89" s="996"/>
      <c r="NHK89" s="996"/>
      <c r="NHL89" s="996"/>
      <c r="NHM89" s="996"/>
      <c r="NHN89" s="996"/>
      <c r="NHO89" s="996"/>
      <c r="NHP89" s="996"/>
      <c r="NHQ89" s="996"/>
      <c r="NHR89" s="996"/>
      <c r="NHS89" s="996"/>
      <c r="NHT89" s="996"/>
      <c r="NHU89" s="996"/>
      <c r="NHV89" s="996"/>
      <c r="NHW89" s="996"/>
      <c r="NHX89" s="996"/>
      <c r="NHY89" s="996"/>
      <c r="NHZ89" s="996"/>
      <c r="NIA89" s="996"/>
      <c r="NIB89" s="996"/>
      <c r="NIC89" s="996"/>
      <c r="NID89" s="996"/>
      <c r="NIE89" s="996"/>
      <c r="NIF89" s="996"/>
      <c r="NIG89" s="996"/>
      <c r="NIH89" s="996"/>
      <c r="NII89" s="996"/>
      <c r="NIJ89" s="996"/>
      <c r="NIK89" s="996"/>
      <c r="NIL89" s="996"/>
      <c r="NIM89" s="996"/>
      <c r="NIN89" s="996"/>
      <c r="NIO89" s="996"/>
      <c r="NIP89" s="996"/>
      <c r="NIQ89" s="996"/>
      <c r="NIR89" s="996"/>
      <c r="NIS89" s="996"/>
      <c r="NIT89" s="996"/>
      <c r="NIU89" s="996"/>
      <c r="NIV89" s="996"/>
      <c r="NIW89" s="996"/>
      <c r="NIX89" s="996"/>
      <c r="NIY89" s="996"/>
      <c r="NIZ89" s="996"/>
      <c r="NJA89" s="996"/>
      <c r="NJB89" s="996"/>
      <c r="NJC89" s="996"/>
      <c r="NJD89" s="996"/>
      <c r="NJE89" s="996"/>
      <c r="NJF89" s="996"/>
      <c r="NJG89" s="996"/>
      <c r="NJH89" s="996"/>
      <c r="NJI89" s="996"/>
      <c r="NJJ89" s="996"/>
      <c r="NJK89" s="996"/>
      <c r="NJL89" s="996"/>
      <c r="NJM89" s="996"/>
      <c r="NJN89" s="996"/>
      <c r="NJO89" s="996"/>
      <c r="NJP89" s="996"/>
      <c r="NJQ89" s="996"/>
      <c r="NJR89" s="996"/>
      <c r="NJS89" s="996"/>
      <c r="NJT89" s="996"/>
      <c r="NJU89" s="996"/>
      <c r="NJV89" s="996"/>
      <c r="NJW89" s="996"/>
      <c r="NJX89" s="996"/>
      <c r="NJY89" s="996"/>
      <c r="NJZ89" s="996"/>
      <c r="NKA89" s="996"/>
      <c r="NKB89" s="996"/>
      <c r="NKC89" s="996"/>
      <c r="NKD89" s="996"/>
      <c r="NKE89" s="996"/>
      <c r="NKF89" s="996"/>
      <c r="NKG89" s="996"/>
      <c r="NKH89" s="996"/>
      <c r="NKI89" s="996"/>
      <c r="NKJ89" s="996"/>
      <c r="NKK89" s="996"/>
      <c r="NKL89" s="996"/>
      <c r="NKM89" s="996"/>
      <c r="NKN89" s="996"/>
      <c r="NKO89" s="996"/>
      <c r="NKP89" s="996"/>
      <c r="NKQ89" s="996"/>
      <c r="NKR89" s="996"/>
      <c r="NKS89" s="996"/>
      <c r="NKT89" s="996"/>
      <c r="NKU89" s="996"/>
      <c r="NKV89" s="996"/>
      <c r="NKW89" s="996"/>
      <c r="NKX89" s="996"/>
      <c r="NKY89" s="996"/>
      <c r="NKZ89" s="996"/>
      <c r="NLA89" s="996"/>
      <c r="NLB89" s="996"/>
      <c r="NLC89" s="996"/>
      <c r="NLD89" s="996"/>
      <c r="NLE89" s="996"/>
      <c r="NLF89" s="996"/>
      <c r="NLG89" s="996"/>
      <c r="NLH89" s="996"/>
      <c r="NLI89" s="996"/>
      <c r="NLJ89" s="996"/>
      <c r="NLK89" s="996"/>
      <c r="NLL89" s="996"/>
      <c r="NLM89" s="996"/>
      <c r="NLN89" s="996"/>
      <c r="NLO89" s="996"/>
      <c r="NLP89" s="996"/>
      <c r="NLQ89" s="996"/>
      <c r="NLR89" s="996"/>
      <c r="NLS89" s="996"/>
      <c r="NLT89" s="996"/>
      <c r="NLU89" s="996"/>
      <c r="NLV89" s="996"/>
      <c r="NLW89" s="996"/>
      <c r="NLX89" s="996"/>
      <c r="NLY89" s="996"/>
      <c r="NLZ89" s="996"/>
      <c r="NMA89" s="996"/>
      <c r="NMB89" s="996"/>
      <c r="NMC89" s="996"/>
      <c r="NMD89" s="996"/>
      <c r="NME89" s="996"/>
      <c r="NMF89" s="996"/>
      <c r="NMG89" s="996"/>
      <c r="NMH89" s="996"/>
      <c r="NMI89" s="996"/>
      <c r="NMJ89" s="996"/>
      <c r="NMK89" s="996"/>
      <c r="NML89" s="996"/>
      <c r="NMM89" s="996"/>
      <c r="NMN89" s="996"/>
      <c r="NMO89" s="996"/>
      <c r="NMP89" s="996"/>
      <c r="NMQ89" s="996"/>
      <c r="NMR89" s="996"/>
      <c r="NMS89" s="996"/>
      <c r="NMT89" s="996"/>
      <c r="NMU89" s="996"/>
      <c r="NMV89" s="996"/>
      <c r="NMW89" s="996"/>
      <c r="NMX89" s="996"/>
      <c r="NMY89" s="996"/>
      <c r="NMZ89" s="996"/>
      <c r="NNA89" s="996"/>
      <c r="NNB89" s="996"/>
      <c r="NNC89" s="996"/>
      <c r="NND89" s="996"/>
      <c r="NNE89" s="996"/>
      <c r="NNF89" s="996"/>
      <c r="NNG89" s="996"/>
      <c r="NNH89" s="996"/>
      <c r="NNI89" s="996"/>
      <c r="NNJ89" s="996"/>
      <c r="NNK89" s="996"/>
      <c r="NNL89" s="996"/>
      <c r="NNM89" s="996"/>
      <c r="NNN89" s="996"/>
      <c r="NNO89" s="996"/>
      <c r="NNP89" s="996"/>
      <c r="NNQ89" s="996"/>
      <c r="NNR89" s="996"/>
      <c r="NNS89" s="996"/>
      <c r="NNT89" s="996"/>
      <c r="NNU89" s="996"/>
      <c r="NNV89" s="996"/>
      <c r="NNW89" s="996"/>
      <c r="NNX89" s="996"/>
      <c r="NNY89" s="996"/>
      <c r="NNZ89" s="996"/>
      <c r="NOA89" s="996"/>
      <c r="NOB89" s="996"/>
      <c r="NOC89" s="996"/>
      <c r="NOD89" s="996"/>
      <c r="NOE89" s="996"/>
      <c r="NOF89" s="996"/>
      <c r="NOG89" s="996"/>
      <c r="NOH89" s="996"/>
      <c r="NOI89" s="996"/>
      <c r="NOJ89" s="996"/>
      <c r="NOK89" s="996"/>
      <c r="NOL89" s="996"/>
      <c r="NOM89" s="996"/>
      <c r="NON89" s="996"/>
      <c r="NOO89" s="996"/>
      <c r="NOP89" s="996"/>
      <c r="NOQ89" s="996"/>
      <c r="NOR89" s="996"/>
      <c r="NOS89" s="996"/>
      <c r="NOT89" s="996"/>
      <c r="NOU89" s="996"/>
      <c r="NOV89" s="996"/>
      <c r="NOW89" s="996"/>
      <c r="NOX89" s="996"/>
      <c r="NOY89" s="996"/>
      <c r="NOZ89" s="996"/>
      <c r="NPA89" s="996"/>
      <c r="NPB89" s="996"/>
      <c r="NPC89" s="996"/>
      <c r="NPD89" s="996"/>
      <c r="NPE89" s="996"/>
      <c r="NPF89" s="996"/>
      <c r="NPG89" s="996"/>
      <c r="NPH89" s="996"/>
      <c r="NPI89" s="996"/>
      <c r="NPJ89" s="996"/>
      <c r="NPK89" s="996"/>
      <c r="NPL89" s="996"/>
      <c r="NPM89" s="996"/>
      <c r="NPN89" s="996"/>
      <c r="NPO89" s="996"/>
      <c r="NPP89" s="996"/>
      <c r="NPQ89" s="996"/>
      <c r="NPR89" s="996"/>
      <c r="NPS89" s="996"/>
      <c r="NPT89" s="996"/>
      <c r="NPU89" s="996"/>
      <c r="NPV89" s="996"/>
      <c r="NPW89" s="996"/>
      <c r="NPX89" s="996"/>
      <c r="NPY89" s="996"/>
      <c r="NPZ89" s="996"/>
      <c r="NQA89" s="996"/>
      <c r="NQB89" s="996"/>
      <c r="NQC89" s="996"/>
      <c r="NQD89" s="996"/>
      <c r="NQE89" s="996"/>
      <c r="NQF89" s="996"/>
      <c r="NQG89" s="996"/>
      <c r="NQH89" s="996"/>
      <c r="NQI89" s="996"/>
      <c r="NQJ89" s="996"/>
      <c r="NQK89" s="996"/>
      <c r="NQL89" s="996"/>
      <c r="NQM89" s="996"/>
      <c r="NQN89" s="996"/>
      <c r="NQO89" s="996"/>
      <c r="NQP89" s="996"/>
      <c r="NQQ89" s="996"/>
      <c r="NQR89" s="996"/>
      <c r="NQS89" s="996"/>
      <c r="NQT89" s="996"/>
      <c r="NQU89" s="996"/>
      <c r="NQV89" s="996"/>
      <c r="NQW89" s="996"/>
      <c r="NQX89" s="996"/>
      <c r="NQY89" s="996"/>
      <c r="NQZ89" s="996"/>
      <c r="NRA89" s="996"/>
      <c r="NRB89" s="996"/>
      <c r="NRC89" s="996"/>
      <c r="NRD89" s="996"/>
      <c r="NRE89" s="996"/>
      <c r="NRF89" s="996"/>
      <c r="NRG89" s="996"/>
      <c r="NRH89" s="996"/>
      <c r="NRI89" s="996"/>
      <c r="NRJ89" s="996"/>
      <c r="NRK89" s="996"/>
      <c r="NRL89" s="996"/>
      <c r="NRM89" s="996"/>
      <c r="NRN89" s="996"/>
      <c r="NRO89" s="996"/>
      <c r="NRP89" s="996"/>
      <c r="NRQ89" s="996"/>
      <c r="NRR89" s="996"/>
      <c r="NRS89" s="996"/>
      <c r="NRT89" s="996"/>
      <c r="NRU89" s="996"/>
      <c r="NRV89" s="996"/>
      <c r="NRW89" s="996"/>
      <c r="NRX89" s="996"/>
      <c r="NRY89" s="996"/>
      <c r="NRZ89" s="996"/>
      <c r="NSA89" s="996"/>
      <c r="NSB89" s="996"/>
      <c r="NSC89" s="996"/>
      <c r="NSD89" s="996"/>
      <c r="NSE89" s="996"/>
      <c r="NSF89" s="996"/>
      <c r="NSG89" s="996"/>
      <c r="NSH89" s="996"/>
      <c r="NSI89" s="996"/>
      <c r="NSJ89" s="996"/>
      <c r="NSK89" s="996"/>
      <c r="NSL89" s="996"/>
      <c r="NSM89" s="996"/>
      <c r="NSN89" s="996"/>
      <c r="NSO89" s="996"/>
      <c r="NSP89" s="996"/>
      <c r="NSQ89" s="996"/>
      <c r="NSR89" s="996"/>
      <c r="NSS89" s="996"/>
      <c r="NST89" s="996"/>
      <c r="NSU89" s="996"/>
      <c r="NSV89" s="996"/>
      <c r="NSW89" s="996"/>
      <c r="NSX89" s="996"/>
      <c r="NSY89" s="996"/>
      <c r="NSZ89" s="996"/>
      <c r="NTA89" s="996"/>
      <c r="NTB89" s="996"/>
      <c r="NTC89" s="996"/>
      <c r="NTD89" s="996"/>
      <c r="NTE89" s="996"/>
      <c r="NTF89" s="996"/>
      <c r="NTG89" s="996"/>
      <c r="NTH89" s="996"/>
      <c r="NTI89" s="996"/>
      <c r="NTJ89" s="996"/>
      <c r="NTK89" s="996"/>
      <c r="NTL89" s="996"/>
      <c r="NTM89" s="996"/>
      <c r="NTN89" s="996"/>
      <c r="NTO89" s="996"/>
      <c r="NTP89" s="996"/>
      <c r="NTQ89" s="996"/>
      <c r="NTR89" s="996"/>
      <c r="NTS89" s="996"/>
      <c r="NTT89" s="996"/>
      <c r="NTU89" s="996"/>
      <c r="NTV89" s="996"/>
      <c r="NTW89" s="996"/>
      <c r="NTX89" s="996"/>
      <c r="NTY89" s="996"/>
      <c r="NTZ89" s="996"/>
      <c r="NUA89" s="996"/>
      <c r="NUB89" s="996"/>
      <c r="NUC89" s="996"/>
      <c r="NUD89" s="996"/>
      <c r="NUE89" s="996"/>
      <c r="NUF89" s="996"/>
      <c r="NUG89" s="996"/>
      <c r="NUH89" s="996"/>
      <c r="NUI89" s="996"/>
      <c r="NUJ89" s="996"/>
      <c r="NUK89" s="996"/>
      <c r="NUL89" s="996"/>
      <c r="NUM89" s="996"/>
      <c r="NUN89" s="996"/>
      <c r="NUO89" s="996"/>
      <c r="NUP89" s="996"/>
      <c r="NUQ89" s="996"/>
      <c r="NUR89" s="996"/>
      <c r="NUS89" s="996"/>
      <c r="NUT89" s="996"/>
      <c r="NUU89" s="996"/>
      <c r="NUV89" s="996"/>
      <c r="NUW89" s="996"/>
      <c r="NUX89" s="996"/>
      <c r="NUY89" s="996"/>
      <c r="NUZ89" s="996"/>
      <c r="NVA89" s="996"/>
      <c r="NVB89" s="996"/>
      <c r="NVC89" s="996"/>
      <c r="NVD89" s="996"/>
      <c r="NVE89" s="996"/>
      <c r="NVF89" s="996"/>
      <c r="NVG89" s="996"/>
      <c r="NVH89" s="996"/>
      <c r="NVI89" s="996"/>
      <c r="NVJ89" s="996"/>
      <c r="NVK89" s="996"/>
      <c r="NVL89" s="996"/>
      <c r="NVM89" s="996"/>
      <c r="NVN89" s="996"/>
      <c r="NVO89" s="996"/>
      <c r="NVP89" s="996"/>
      <c r="NVQ89" s="996"/>
      <c r="NVR89" s="996"/>
      <c r="NVS89" s="996"/>
      <c r="NVT89" s="996"/>
      <c r="NVU89" s="996"/>
      <c r="NVV89" s="996"/>
      <c r="NVW89" s="996"/>
      <c r="NVX89" s="996"/>
      <c r="NVY89" s="996"/>
      <c r="NVZ89" s="996"/>
      <c r="NWA89" s="996"/>
      <c r="NWB89" s="996"/>
      <c r="NWC89" s="996"/>
      <c r="NWD89" s="996"/>
      <c r="NWE89" s="996"/>
      <c r="NWF89" s="996"/>
      <c r="NWG89" s="996"/>
      <c r="NWH89" s="996"/>
      <c r="NWI89" s="996"/>
      <c r="NWJ89" s="996"/>
      <c r="NWK89" s="996"/>
      <c r="NWL89" s="996"/>
      <c r="NWM89" s="996"/>
      <c r="NWN89" s="996"/>
      <c r="NWO89" s="996"/>
      <c r="NWP89" s="996"/>
      <c r="NWQ89" s="996"/>
      <c r="NWR89" s="996"/>
      <c r="NWS89" s="996"/>
      <c r="NWT89" s="996"/>
      <c r="NWU89" s="996"/>
      <c r="NWV89" s="996"/>
      <c r="NWW89" s="996"/>
      <c r="NWX89" s="996"/>
      <c r="NWY89" s="996"/>
      <c r="NWZ89" s="996"/>
      <c r="NXA89" s="996"/>
      <c r="NXB89" s="996"/>
      <c r="NXC89" s="996"/>
      <c r="NXD89" s="996"/>
      <c r="NXE89" s="996"/>
      <c r="NXF89" s="996"/>
      <c r="NXG89" s="996"/>
      <c r="NXH89" s="996"/>
      <c r="NXI89" s="996"/>
      <c r="NXJ89" s="996"/>
      <c r="NXK89" s="996"/>
      <c r="NXL89" s="996"/>
      <c r="NXM89" s="996"/>
      <c r="NXN89" s="996"/>
      <c r="NXO89" s="996"/>
      <c r="NXP89" s="996"/>
      <c r="NXQ89" s="996"/>
      <c r="NXR89" s="996"/>
      <c r="NXS89" s="996"/>
      <c r="NXT89" s="996"/>
      <c r="NXU89" s="996"/>
      <c r="NXV89" s="996"/>
      <c r="NXW89" s="996"/>
      <c r="NXX89" s="996"/>
      <c r="NXY89" s="996"/>
      <c r="NXZ89" s="996"/>
      <c r="NYA89" s="996"/>
      <c r="NYB89" s="996"/>
      <c r="NYC89" s="996"/>
      <c r="NYD89" s="996"/>
      <c r="NYE89" s="996"/>
      <c r="NYF89" s="996"/>
      <c r="NYG89" s="996"/>
      <c r="NYH89" s="996"/>
      <c r="NYI89" s="996"/>
      <c r="NYJ89" s="996"/>
      <c r="NYK89" s="996"/>
      <c r="NYL89" s="996"/>
      <c r="NYM89" s="996"/>
      <c r="NYN89" s="996"/>
      <c r="NYO89" s="996"/>
      <c r="NYP89" s="996"/>
      <c r="NYQ89" s="996"/>
      <c r="NYR89" s="996"/>
      <c r="NYS89" s="996"/>
      <c r="NYT89" s="996"/>
      <c r="NYU89" s="996"/>
      <c r="NYV89" s="996"/>
      <c r="NYW89" s="996"/>
      <c r="NYX89" s="996"/>
      <c r="NYY89" s="996"/>
      <c r="NYZ89" s="996"/>
      <c r="NZA89" s="996"/>
      <c r="NZB89" s="996"/>
      <c r="NZC89" s="996"/>
      <c r="NZD89" s="996"/>
      <c r="NZE89" s="996"/>
      <c r="NZF89" s="996"/>
      <c r="NZG89" s="996"/>
      <c r="NZH89" s="996"/>
      <c r="NZI89" s="996"/>
      <c r="NZJ89" s="996"/>
      <c r="NZK89" s="996"/>
      <c r="NZL89" s="996"/>
      <c r="NZM89" s="996"/>
      <c r="NZN89" s="996"/>
      <c r="NZO89" s="996"/>
      <c r="NZP89" s="996"/>
      <c r="NZQ89" s="996"/>
      <c r="NZR89" s="996"/>
      <c r="NZS89" s="996"/>
      <c r="NZT89" s="996"/>
      <c r="NZU89" s="996"/>
      <c r="NZV89" s="996"/>
      <c r="NZW89" s="996"/>
      <c r="NZX89" s="996"/>
      <c r="NZY89" s="996"/>
      <c r="NZZ89" s="996"/>
      <c r="OAA89" s="996"/>
      <c r="OAB89" s="996"/>
      <c r="OAC89" s="996"/>
      <c r="OAD89" s="996"/>
      <c r="OAE89" s="996"/>
      <c r="OAF89" s="996"/>
      <c r="OAG89" s="996"/>
      <c r="OAH89" s="996"/>
      <c r="OAI89" s="996"/>
      <c r="OAJ89" s="996"/>
      <c r="OAK89" s="996"/>
      <c r="OAL89" s="996"/>
      <c r="OAM89" s="996"/>
      <c r="OAN89" s="996"/>
      <c r="OAO89" s="996"/>
      <c r="OAP89" s="996"/>
      <c r="OAQ89" s="996"/>
      <c r="OAR89" s="996"/>
      <c r="OAS89" s="996"/>
      <c r="OAT89" s="996"/>
      <c r="OAU89" s="996"/>
      <c r="OAV89" s="996"/>
      <c r="OAW89" s="996"/>
      <c r="OAX89" s="996"/>
      <c r="OAY89" s="996"/>
      <c r="OAZ89" s="996"/>
      <c r="OBA89" s="996"/>
      <c r="OBB89" s="996"/>
      <c r="OBC89" s="996"/>
      <c r="OBD89" s="996"/>
      <c r="OBE89" s="996"/>
      <c r="OBF89" s="996"/>
      <c r="OBG89" s="996"/>
      <c r="OBH89" s="996"/>
      <c r="OBI89" s="996"/>
      <c r="OBJ89" s="996"/>
      <c r="OBK89" s="996"/>
      <c r="OBL89" s="996"/>
      <c r="OBM89" s="996"/>
      <c r="OBN89" s="996"/>
      <c r="OBO89" s="996"/>
      <c r="OBP89" s="996"/>
      <c r="OBQ89" s="996"/>
      <c r="OBR89" s="996"/>
      <c r="OBS89" s="996"/>
      <c r="OBT89" s="996"/>
      <c r="OBU89" s="996"/>
      <c r="OBV89" s="996"/>
      <c r="OBW89" s="996"/>
      <c r="OBX89" s="996"/>
      <c r="OBY89" s="996"/>
      <c r="OBZ89" s="996"/>
      <c r="OCA89" s="996"/>
      <c r="OCB89" s="996"/>
      <c r="OCC89" s="996"/>
      <c r="OCD89" s="996"/>
      <c r="OCE89" s="996"/>
      <c r="OCF89" s="996"/>
      <c r="OCG89" s="996"/>
      <c r="OCH89" s="996"/>
      <c r="OCI89" s="996"/>
      <c r="OCJ89" s="996"/>
      <c r="OCK89" s="996"/>
      <c r="OCL89" s="996"/>
      <c r="OCM89" s="996"/>
      <c r="OCN89" s="996"/>
      <c r="OCO89" s="996"/>
      <c r="OCP89" s="996"/>
      <c r="OCQ89" s="996"/>
      <c r="OCR89" s="996"/>
      <c r="OCS89" s="996"/>
      <c r="OCT89" s="996"/>
      <c r="OCU89" s="996"/>
      <c r="OCV89" s="996"/>
      <c r="OCW89" s="996"/>
      <c r="OCX89" s="996"/>
      <c r="OCY89" s="996"/>
      <c r="OCZ89" s="996"/>
      <c r="ODA89" s="996"/>
      <c r="ODB89" s="996"/>
      <c r="ODC89" s="996"/>
      <c r="ODD89" s="996"/>
      <c r="ODE89" s="996"/>
      <c r="ODF89" s="996"/>
      <c r="ODG89" s="996"/>
      <c r="ODH89" s="996"/>
      <c r="ODI89" s="996"/>
      <c r="ODJ89" s="996"/>
      <c r="ODK89" s="996"/>
      <c r="ODL89" s="996"/>
      <c r="ODM89" s="996"/>
      <c r="ODN89" s="996"/>
      <c r="ODO89" s="996"/>
      <c r="ODP89" s="996"/>
      <c r="ODQ89" s="996"/>
      <c r="ODR89" s="996"/>
      <c r="ODS89" s="996"/>
      <c r="ODT89" s="996"/>
      <c r="ODU89" s="996"/>
      <c r="ODV89" s="996"/>
      <c r="ODW89" s="996"/>
      <c r="ODX89" s="996"/>
      <c r="ODY89" s="996"/>
      <c r="ODZ89" s="996"/>
      <c r="OEA89" s="996"/>
      <c r="OEB89" s="996"/>
      <c r="OEC89" s="996"/>
      <c r="OED89" s="996"/>
      <c r="OEE89" s="996"/>
      <c r="OEF89" s="996"/>
      <c r="OEG89" s="996"/>
      <c r="OEH89" s="996"/>
      <c r="OEI89" s="996"/>
      <c r="OEJ89" s="996"/>
      <c r="OEK89" s="996"/>
      <c r="OEL89" s="996"/>
      <c r="OEM89" s="996"/>
      <c r="OEN89" s="996"/>
      <c r="OEO89" s="996"/>
      <c r="OEP89" s="996"/>
      <c r="OEQ89" s="996"/>
      <c r="OER89" s="996"/>
      <c r="OES89" s="996"/>
      <c r="OET89" s="996"/>
      <c r="OEU89" s="996"/>
      <c r="OEV89" s="996"/>
      <c r="OEW89" s="996"/>
      <c r="OEX89" s="996"/>
      <c r="OEY89" s="996"/>
      <c r="OEZ89" s="996"/>
      <c r="OFA89" s="996"/>
      <c r="OFB89" s="996"/>
      <c r="OFC89" s="996"/>
      <c r="OFD89" s="996"/>
      <c r="OFE89" s="996"/>
      <c r="OFF89" s="996"/>
      <c r="OFG89" s="996"/>
      <c r="OFH89" s="996"/>
      <c r="OFI89" s="996"/>
      <c r="OFJ89" s="996"/>
      <c r="OFK89" s="996"/>
      <c r="OFL89" s="996"/>
      <c r="OFM89" s="996"/>
      <c r="OFN89" s="996"/>
      <c r="OFO89" s="996"/>
      <c r="OFP89" s="996"/>
      <c r="OFQ89" s="996"/>
      <c r="OFR89" s="996"/>
      <c r="OFS89" s="996"/>
      <c r="OFT89" s="996"/>
      <c r="OFU89" s="996"/>
      <c r="OFV89" s="996"/>
      <c r="OFW89" s="996"/>
      <c r="OFX89" s="996"/>
      <c r="OFY89" s="996"/>
      <c r="OFZ89" s="996"/>
      <c r="OGA89" s="996"/>
      <c r="OGB89" s="996"/>
      <c r="OGC89" s="996"/>
      <c r="OGD89" s="996"/>
      <c r="OGE89" s="996"/>
      <c r="OGF89" s="996"/>
      <c r="OGG89" s="996"/>
      <c r="OGH89" s="996"/>
      <c r="OGI89" s="996"/>
      <c r="OGJ89" s="996"/>
      <c r="OGK89" s="996"/>
      <c r="OGL89" s="996"/>
      <c r="OGM89" s="996"/>
      <c r="OGN89" s="996"/>
      <c r="OGO89" s="996"/>
      <c r="OGP89" s="996"/>
      <c r="OGQ89" s="996"/>
      <c r="OGR89" s="996"/>
      <c r="OGS89" s="996"/>
      <c r="OGT89" s="996"/>
      <c r="OGU89" s="996"/>
      <c r="OGV89" s="996"/>
      <c r="OGW89" s="996"/>
      <c r="OGX89" s="996"/>
      <c r="OGY89" s="996"/>
      <c r="OGZ89" s="996"/>
      <c r="OHA89" s="996"/>
      <c r="OHB89" s="996"/>
      <c r="OHC89" s="996"/>
      <c r="OHD89" s="996"/>
      <c r="OHE89" s="996"/>
      <c r="OHF89" s="996"/>
      <c r="OHG89" s="996"/>
      <c r="OHH89" s="996"/>
      <c r="OHI89" s="996"/>
      <c r="OHJ89" s="996"/>
      <c r="OHK89" s="996"/>
      <c r="OHL89" s="996"/>
      <c r="OHM89" s="996"/>
      <c r="OHN89" s="996"/>
      <c r="OHO89" s="996"/>
      <c r="OHP89" s="996"/>
      <c r="OHQ89" s="996"/>
      <c r="OHR89" s="996"/>
      <c r="OHS89" s="996"/>
      <c r="OHT89" s="996"/>
      <c r="OHU89" s="996"/>
      <c r="OHV89" s="996"/>
      <c r="OHW89" s="996"/>
      <c r="OHX89" s="996"/>
      <c r="OHY89" s="996"/>
      <c r="OHZ89" s="996"/>
      <c r="OIA89" s="996"/>
      <c r="OIB89" s="996"/>
      <c r="OIC89" s="996"/>
      <c r="OID89" s="996"/>
      <c r="OIE89" s="996"/>
      <c r="OIF89" s="996"/>
      <c r="OIG89" s="996"/>
      <c r="OIH89" s="996"/>
      <c r="OII89" s="996"/>
      <c r="OIJ89" s="996"/>
      <c r="OIK89" s="996"/>
      <c r="OIL89" s="996"/>
      <c r="OIM89" s="996"/>
      <c r="OIN89" s="996"/>
      <c r="OIO89" s="996"/>
      <c r="OIP89" s="996"/>
      <c r="OIQ89" s="996"/>
      <c r="OIR89" s="996"/>
      <c r="OIS89" s="996"/>
      <c r="OIT89" s="996"/>
      <c r="OIU89" s="996"/>
      <c r="OIV89" s="996"/>
      <c r="OIW89" s="996"/>
      <c r="OIX89" s="996"/>
      <c r="OIY89" s="996"/>
      <c r="OIZ89" s="996"/>
      <c r="OJA89" s="996"/>
      <c r="OJB89" s="996"/>
      <c r="OJC89" s="996"/>
      <c r="OJD89" s="996"/>
      <c r="OJE89" s="996"/>
      <c r="OJF89" s="996"/>
      <c r="OJG89" s="996"/>
      <c r="OJH89" s="996"/>
      <c r="OJI89" s="996"/>
      <c r="OJJ89" s="996"/>
      <c r="OJK89" s="996"/>
      <c r="OJL89" s="996"/>
      <c r="OJM89" s="996"/>
      <c r="OJN89" s="996"/>
      <c r="OJO89" s="996"/>
      <c r="OJP89" s="996"/>
      <c r="OJQ89" s="996"/>
      <c r="OJR89" s="996"/>
      <c r="OJS89" s="996"/>
      <c r="OJT89" s="996"/>
      <c r="OJU89" s="996"/>
      <c r="OJV89" s="996"/>
      <c r="OJW89" s="996"/>
      <c r="OJX89" s="996"/>
      <c r="OJY89" s="996"/>
      <c r="OJZ89" s="996"/>
      <c r="OKA89" s="996"/>
      <c r="OKB89" s="996"/>
      <c r="OKC89" s="996"/>
      <c r="OKD89" s="996"/>
      <c r="OKE89" s="996"/>
      <c r="OKF89" s="996"/>
      <c r="OKG89" s="996"/>
      <c r="OKH89" s="996"/>
      <c r="OKI89" s="996"/>
      <c r="OKJ89" s="996"/>
      <c r="OKK89" s="996"/>
      <c r="OKL89" s="996"/>
      <c r="OKM89" s="996"/>
      <c r="OKN89" s="996"/>
      <c r="OKO89" s="996"/>
      <c r="OKP89" s="996"/>
      <c r="OKQ89" s="996"/>
      <c r="OKR89" s="996"/>
      <c r="OKS89" s="996"/>
      <c r="OKT89" s="996"/>
      <c r="OKU89" s="996"/>
      <c r="OKV89" s="996"/>
      <c r="OKW89" s="996"/>
      <c r="OKX89" s="996"/>
      <c r="OKY89" s="996"/>
      <c r="OKZ89" s="996"/>
      <c r="OLA89" s="996"/>
      <c r="OLB89" s="996"/>
      <c r="OLC89" s="996"/>
      <c r="OLD89" s="996"/>
      <c r="OLE89" s="996"/>
      <c r="OLF89" s="996"/>
      <c r="OLG89" s="996"/>
      <c r="OLH89" s="996"/>
      <c r="OLI89" s="996"/>
      <c r="OLJ89" s="996"/>
      <c r="OLK89" s="996"/>
      <c r="OLL89" s="996"/>
      <c r="OLM89" s="996"/>
      <c r="OLN89" s="996"/>
      <c r="OLO89" s="996"/>
      <c r="OLP89" s="996"/>
      <c r="OLQ89" s="996"/>
      <c r="OLR89" s="996"/>
      <c r="OLS89" s="996"/>
      <c r="OLT89" s="996"/>
      <c r="OLU89" s="996"/>
      <c r="OLV89" s="996"/>
      <c r="OLW89" s="996"/>
      <c r="OLX89" s="996"/>
      <c r="OLY89" s="996"/>
      <c r="OLZ89" s="996"/>
      <c r="OMA89" s="996"/>
      <c r="OMB89" s="996"/>
      <c r="OMC89" s="996"/>
      <c r="OMD89" s="996"/>
      <c r="OME89" s="996"/>
      <c r="OMF89" s="996"/>
      <c r="OMG89" s="996"/>
      <c r="OMH89" s="996"/>
      <c r="OMI89" s="996"/>
      <c r="OMJ89" s="996"/>
      <c r="OMK89" s="996"/>
      <c r="OML89" s="996"/>
      <c r="OMM89" s="996"/>
      <c r="OMN89" s="996"/>
      <c r="OMO89" s="996"/>
      <c r="OMP89" s="996"/>
      <c r="OMQ89" s="996"/>
      <c r="OMR89" s="996"/>
      <c r="OMS89" s="996"/>
      <c r="OMT89" s="996"/>
      <c r="OMU89" s="996"/>
      <c r="OMV89" s="996"/>
      <c r="OMW89" s="996"/>
      <c r="OMX89" s="996"/>
      <c r="OMY89" s="996"/>
      <c r="OMZ89" s="996"/>
      <c r="ONA89" s="996"/>
      <c r="ONB89" s="996"/>
      <c r="ONC89" s="996"/>
      <c r="OND89" s="996"/>
      <c r="ONE89" s="996"/>
      <c r="ONF89" s="996"/>
      <c r="ONG89" s="996"/>
      <c r="ONH89" s="996"/>
      <c r="ONI89" s="996"/>
      <c r="ONJ89" s="996"/>
      <c r="ONK89" s="996"/>
      <c r="ONL89" s="996"/>
      <c r="ONM89" s="996"/>
      <c r="ONN89" s="996"/>
      <c r="ONO89" s="996"/>
      <c r="ONP89" s="996"/>
      <c r="ONQ89" s="996"/>
      <c r="ONR89" s="996"/>
      <c r="ONS89" s="996"/>
      <c r="ONT89" s="996"/>
      <c r="ONU89" s="996"/>
      <c r="ONV89" s="996"/>
      <c r="ONW89" s="996"/>
      <c r="ONX89" s="996"/>
      <c r="ONY89" s="996"/>
      <c r="ONZ89" s="996"/>
      <c r="OOA89" s="996"/>
      <c r="OOB89" s="996"/>
      <c r="OOC89" s="996"/>
      <c r="OOD89" s="996"/>
      <c r="OOE89" s="996"/>
      <c r="OOF89" s="996"/>
      <c r="OOG89" s="996"/>
      <c r="OOH89" s="996"/>
      <c r="OOI89" s="996"/>
      <c r="OOJ89" s="996"/>
      <c r="OOK89" s="996"/>
      <c r="OOL89" s="996"/>
      <c r="OOM89" s="996"/>
      <c r="OON89" s="996"/>
      <c r="OOO89" s="996"/>
      <c r="OOP89" s="996"/>
      <c r="OOQ89" s="996"/>
      <c r="OOR89" s="996"/>
      <c r="OOS89" s="996"/>
      <c r="OOT89" s="996"/>
      <c r="OOU89" s="996"/>
      <c r="OOV89" s="996"/>
      <c r="OOW89" s="996"/>
      <c r="OOX89" s="996"/>
      <c r="OOY89" s="996"/>
      <c r="OOZ89" s="996"/>
      <c r="OPA89" s="996"/>
      <c r="OPB89" s="996"/>
      <c r="OPC89" s="996"/>
      <c r="OPD89" s="996"/>
      <c r="OPE89" s="996"/>
      <c r="OPF89" s="996"/>
      <c r="OPG89" s="996"/>
      <c r="OPH89" s="996"/>
      <c r="OPI89" s="996"/>
      <c r="OPJ89" s="996"/>
      <c r="OPK89" s="996"/>
      <c r="OPL89" s="996"/>
      <c r="OPM89" s="996"/>
      <c r="OPN89" s="996"/>
      <c r="OPO89" s="996"/>
      <c r="OPP89" s="996"/>
      <c r="OPQ89" s="996"/>
      <c r="OPR89" s="996"/>
      <c r="OPS89" s="996"/>
      <c r="OPT89" s="996"/>
      <c r="OPU89" s="996"/>
      <c r="OPV89" s="996"/>
      <c r="OPW89" s="996"/>
      <c r="OPX89" s="996"/>
      <c r="OPY89" s="996"/>
      <c r="OPZ89" s="996"/>
      <c r="OQA89" s="996"/>
      <c r="OQB89" s="996"/>
      <c r="OQC89" s="996"/>
      <c r="OQD89" s="996"/>
      <c r="OQE89" s="996"/>
      <c r="OQF89" s="996"/>
      <c r="OQG89" s="996"/>
      <c r="OQH89" s="996"/>
      <c r="OQI89" s="996"/>
      <c r="OQJ89" s="996"/>
      <c r="OQK89" s="996"/>
      <c r="OQL89" s="996"/>
      <c r="OQM89" s="996"/>
      <c r="OQN89" s="996"/>
      <c r="OQO89" s="996"/>
      <c r="OQP89" s="996"/>
      <c r="OQQ89" s="996"/>
      <c r="OQR89" s="996"/>
      <c r="OQS89" s="996"/>
      <c r="OQT89" s="996"/>
      <c r="OQU89" s="996"/>
      <c r="OQV89" s="996"/>
      <c r="OQW89" s="996"/>
      <c r="OQX89" s="996"/>
      <c r="OQY89" s="996"/>
      <c r="OQZ89" s="996"/>
      <c r="ORA89" s="996"/>
      <c r="ORB89" s="996"/>
      <c r="ORC89" s="996"/>
      <c r="ORD89" s="996"/>
      <c r="ORE89" s="996"/>
      <c r="ORF89" s="996"/>
      <c r="ORG89" s="996"/>
      <c r="ORH89" s="996"/>
      <c r="ORI89" s="996"/>
      <c r="ORJ89" s="996"/>
      <c r="ORK89" s="996"/>
      <c r="ORL89" s="996"/>
      <c r="ORM89" s="996"/>
      <c r="ORN89" s="996"/>
      <c r="ORO89" s="996"/>
      <c r="ORP89" s="996"/>
      <c r="ORQ89" s="996"/>
      <c r="ORR89" s="996"/>
      <c r="ORS89" s="996"/>
      <c r="ORT89" s="996"/>
      <c r="ORU89" s="996"/>
      <c r="ORV89" s="996"/>
      <c r="ORW89" s="996"/>
      <c r="ORX89" s="996"/>
      <c r="ORY89" s="996"/>
      <c r="ORZ89" s="996"/>
      <c r="OSA89" s="996"/>
      <c r="OSB89" s="996"/>
      <c r="OSC89" s="996"/>
      <c r="OSD89" s="996"/>
      <c r="OSE89" s="996"/>
      <c r="OSF89" s="996"/>
      <c r="OSG89" s="996"/>
      <c r="OSH89" s="996"/>
      <c r="OSI89" s="996"/>
      <c r="OSJ89" s="996"/>
      <c r="OSK89" s="996"/>
      <c r="OSL89" s="996"/>
      <c r="OSM89" s="996"/>
      <c r="OSN89" s="996"/>
      <c r="OSO89" s="996"/>
      <c r="OSP89" s="996"/>
      <c r="OSQ89" s="996"/>
      <c r="OSR89" s="996"/>
      <c r="OSS89" s="996"/>
      <c r="OST89" s="996"/>
      <c r="OSU89" s="996"/>
      <c r="OSV89" s="996"/>
      <c r="OSW89" s="996"/>
      <c r="OSX89" s="996"/>
      <c r="OSY89" s="996"/>
      <c r="OSZ89" s="996"/>
      <c r="OTA89" s="996"/>
      <c r="OTB89" s="996"/>
      <c r="OTC89" s="996"/>
      <c r="OTD89" s="996"/>
      <c r="OTE89" s="996"/>
      <c r="OTF89" s="996"/>
      <c r="OTG89" s="996"/>
      <c r="OTH89" s="996"/>
      <c r="OTI89" s="996"/>
      <c r="OTJ89" s="996"/>
      <c r="OTK89" s="996"/>
      <c r="OTL89" s="996"/>
      <c r="OTM89" s="996"/>
      <c r="OTN89" s="996"/>
      <c r="OTO89" s="996"/>
      <c r="OTP89" s="996"/>
      <c r="OTQ89" s="996"/>
      <c r="OTR89" s="996"/>
      <c r="OTS89" s="996"/>
      <c r="OTT89" s="996"/>
      <c r="OTU89" s="996"/>
      <c r="OTV89" s="996"/>
      <c r="OTW89" s="996"/>
      <c r="OTX89" s="996"/>
      <c r="OTY89" s="996"/>
      <c r="OTZ89" s="996"/>
      <c r="OUA89" s="996"/>
      <c r="OUB89" s="996"/>
      <c r="OUC89" s="996"/>
      <c r="OUD89" s="996"/>
      <c r="OUE89" s="996"/>
      <c r="OUF89" s="996"/>
      <c r="OUG89" s="996"/>
      <c r="OUH89" s="996"/>
      <c r="OUI89" s="996"/>
      <c r="OUJ89" s="996"/>
      <c r="OUK89" s="996"/>
      <c r="OUL89" s="996"/>
      <c r="OUM89" s="996"/>
      <c r="OUN89" s="996"/>
      <c r="OUO89" s="996"/>
      <c r="OUP89" s="996"/>
      <c r="OUQ89" s="996"/>
      <c r="OUR89" s="996"/>
      <c r="OUS89" s="996"/>
      <c r="OUT89" s="996"/>
      <c r="OUU89" s="996"/>
      <c r="OUV89" s="996"/>
      <c r="OUW89" s="996"/>
      <c r="OUX89" s="996"/>
      <c r="OUY89" s="996"/>
      <c r="OUZ89" s="996"/>
      <c r="OVA89" s="996"/>
      <c r="OVB89" s="996"/>
      <c r="OVC89" s="996"/>
      <c r="OVD89" s="996"/>
      <c r="OVE89" s="996"/>
      <c r="OVF89" s="996"/>
      <c r="OVG89" s="996"/>
      <c r="OVH89" s="996"/>
      <c r="OVI89" s="996"/>
      <c r="OVJ89" s="996"/>
      <c r="OVK89" s="996"/>
      <c r="OVL89" s="996"/>
      <c r="OVM89" s="996"/>
      <c r="OVN89" s="996"/>
      <c r="OVO89" s="996"/>
      <c r="OVP89" s="996"/>
      <c r="OVQ89" s="996"/>
      <c r="OVR89" s="996"/>
      <c r="OVS89" s="996"/>
      <c r="OVT89" s="996"/>
      <c r="OVU89" s="996"/>
      <c r="OVV89" s="996"/>
      <c r="OVW89" s="996"/>
      <c r="OVX89" s="996"/>
      <c r="OVY89" s="996"/>
      <c r="OVZ89" s="996"/>
      <c r="OWA89" s="996"/>
      <c r="OWB89" s="996"/>
      <c r="OWC89" s="996"/>
      <c r="OWD89" s="996"/>
      <c r="OWE89" s="996"/>
      <c r="OWF89" s="996"/>
      <c r="OWG89" s="996"/>
      <c r="OWH89" s="996"/>
      <c r="OWI89" s="996"/>
      <c r="OWJ89" s="996"/>
      <c r="OWK89" s="996"/>
      <c r="OWL89" s="996"/>
      <c r="OWM89" s="996"/>
      <c r="OWN89" s="996"/>
      <c r="OWO89" s="996"/>
      <c r="OWP89" s="996"/>
      <c r="OWQ89" s="996"/>
      <c r="OWR89" s="996"/>
      <c r="OWS89" s="996"/>
      <c r="OWT89" s="996"/>
      <c r="OWU89" s="996"/>
      <c r="OWV89" s="996"/>
      <c r="OWW89" s="996"/>
      <c r="OWX89" s="996"/>
      <c r="OWY89" s="996"/>
      <c r="OWZ89" s="996"/>
      <c r="OXA89" s="996"/>
      <c r="OXB89" s="996"/>
      <c r="OXC89" s="996"/>
      <c r="OXD89" s="996"/>
      <c r="OXE89" s="996"/>
      <c r="OXF89" s="996"/>
      <c r="OXG89" s="996"/>
      <c r="OXH89" s="996"/>
      <c r="OXI89" s="996"/>
      <c r="OXJ89" s="996"/>
      <c r="OXK89" s="996"/>
      <c r="OXL89" s="996"/>
      <c r="OXM89" s="996"/>
      <c r="OXN89" s="996"/>
      <c r="OXO89" s="996"/>
      <c r="OXP89" s="996"/>
      <c r="OXQ89" s="996"/>
      <c r="OXR89" s="996"/>
      <c r="OXS89" s="996"/>
      <c r="OXT89" s="996"/>
      <c r="OXU89" s="996"/>
      <c r="OXV89" s="996"/>
      <c r="OXW89" s="996"/>
      <c r="OXX89" s="996"/>
      <c r="OXY89" s="996"/>
      <c r="OXZ89" s="996"/>
      <c r="OYA89" s="996"/>
      <c r="OYB89" s="996"/>
      <c r="OYC89" s="996"/>
      <c r="OYD89" s="996"/>
      <c r="OYE89" s="996"/>
      <c r="OYF89" s="996"/>
      <c r="OYG89" s="996"/>
      <c r="OYH89" s="996"/>
      <c r="OYI89" s="996"/>
      <c r="OYJ89" s="996"/>
      <c r="OYK89" s="996"/>
      <c r="OYL89" s="996"/>
      <c r="OYM89" s="996"/>
      <c r="OYN89" s="996"/>
      <c r="OYO89" s="996"/>
      <c r="OYP89" s="996"/>
      <c r="OYQ89" s="996"/>
      <c r="OYR89" s="996"/>
      <c r="OYS89" s="996"/>
      <c r="OYT89" s="996"/>
      <c r="OYU89" s="996"/>
      <c r="OYV89" s="996"/>
      <c r="OYW89" s="996"/>
      <c r="OYX89" s="996"/>
      <c r="OYY89" s="996"/>
      <c r="OYZ89" s="996"/>
      <c r="OZA89" s="996"/>
      <c r="OZB89" s="996"/>
      <c r="OZC89" s="996"/>
      <c r="OZD89" s="996"/>
      <c r="OZE89" s="996"/>
      <c r="OZF89" s="996"/>
      <c r="OZG89" s="996"/>
      <c r="OZH89" s="996"/>
      <c r="OZI89" s="996"/>
      <c r="OZJ89" s="996"/>
      <c r="OZK89" s="996"/>
      <c r="OZL89" s="996"/>
      <c r="OZM89" s="996"/>
      <c r="OZN89" s="996"/>
      <c r="OZO89" s="996"/>
      <c r="OZP89" s="996"/>
      <c r="OZQ89" s="996"/>
      <c r="OZR89" s="996"/>
      <c r="OZS89" s="996"/>
      <c r="OZT89" s="996"/>
      <c r="OZU89" s="996"/>
      <c r="OZV89" s="996"/>
      <c r="OZW89" s="996"/>
      <c r="OZX89" s="996"/>
      <c r="OZY89" s="996"/>
      <c r="OZZ89" s="996"/>
      <c r="PAA89" s="996"/>
      <c r="PAB89" s="996"/>
      <c r="PAC89" s="996"/>
      <c r="PAD89" s="996"/>
      <c r="PAE89" s="996"/>
      <c r="PAF89" s="996"/>
      <c r="PAG89" s="996"/>
      <c r="PAH89" s="996"/>
      <c r="PAI89" s="996"/>
      <c r="PAJ89" s="996"/>
      <c r="PAK89" s="996"/>
      <c r="PAL89" s="996"/>
      <c r="PAM89" s="996"/>
      <c r="PAN89" s="996"/>
      <c r="PAO89" s="996"/>
      <c r="PAP89" s="996"/>
      <c r="PAQ89" s="996"/>
      <c r="PAR89" s="996"/>
      <c r="PAS89" s="996"/>
      <c r="PAT89" s="996"/>
      <c r="PAU89" s="996"/>
      <c r="PAV89" s="996"/>
      <c r="PAW89" s="996"/>
      <c r="PAX89" s="996"/>
      <c r="PAY89" s="996"/>
      <c r="PAZ89" s="996"/>
      <c r="PBA89" s="996"/>
      <c r="PBB89" s="996"/>
      <c r="PBC89" s="996"/>
      <c r="PBD89" s="996"/>
      <c r="PBE89" s="996"/>
      <c r="PBF89" s="996"/>
      <c r="PBG89" s="996"/>
      <c r="PBH89" s="996"/>
      <c r="PBI89" s="996"/>
      <c r="PBJ89" s="996"/>
      <c r="PBK89" s="996"/>
      <c r="PBL89" s="996"/>
      <c r="PBM89" s="996"/>
      <c r="PBN89" s="996"/>
      <c r="PBO89" s="996"/>
      <c r="PBP89" s="996"/>
      <c r="PBQ89" s="996"/>
      <c r="PBR89" s="996"/>
      <c r="PBS89" s="996"/>
      <c r="PBT89" s="996"/>
      <c r="PBU89" s="996"/>
      <c r="PBV89" s="996"/>
      <c r="PBW89" s="996"/>
      <c r="PBX89" s="996"/>
      <c r="PBY89" s="996"/>
      <c r="PBZ89" s="996"/>
      <c r="PCA89" s="996"/>
      <c r="PCB89" s="996"/>
      <c r="PCC89" s="996"/>
      <c r="PCD89" s="996"/>
      <c r="PCE89" s="996"/>
      <c r="PCF89" s="996"/>
      <c r="PCG89" s="996"/>
      <c r="PCH89" s="996"/>
      <c r="PCI89" s="996"/>
      <c r="PCJ89" s="996"/>
      <c r="PCK89" s="996"/>
      <c r="PCL89" s="996"/>
      <c r="PCM89" s="996"/>
      <c r="PCN89" s="996"/>
      <c r="PCO89" s="996"/>
      <c r="PCP89" s="996"/>
      <c r="PCQ89" s="996"/>
      <c r="PCR89" s="996"/>
      <c r="PCS89" s="996"/>
      <c r="PCT89" s="996"/>
      <c r="PCU89" s="996"/>
      <c r="PCV89" s="996"/>
      <c r="PCW89" s="996"/>
      <c r="PCX89" s="996"/>
      <c r="PCY89" s="996"/>
      <c r="PCZ89" s="996"/>
      <c r="PDA89" s="996"/>
      <c r="PDB89" s="996"/>
      <c r="PDC89" s="996"/>
      <c r="PDD89" s="996"/>
      <c r="PDE89" s="996"/>
      <c r="PDF89" s="996"/>
      <c r="PDG89" s="996"/>
      <c r="PDH89" s="996"/>
      <c r="PDI89" s="996"/>
      <c r="PDJ89" s="996"/>
      <c r="PDK89" s="996"/>
      <c r="PDL89" s="996"/>
      <c r="PDM89" s="996"/>
      <c r="PDN89" s="996"/>
      <c r="PDO89" s="996"/>
      <c r="PDP89" s="996"/>
      <c r="PDQ89" s="996"/>
      <c r="PDR89" s="996"/>
      <c r="PDS89" s="996"/>
      <c r="PDT89" s="996"/>
      <c r="PDU89" s="996"/>
      <c r="PDV89" s="996"/>
      <c r="PDW89" s="996"/>
      <c r="PDX89" s="996"/>
      <c r="PDY89" s="996"/>
      <c r="PDZ89" s="996"/>
      <c r="PEA89" s="996"/>
      <c r="PEB89" s="996"/>
      <c r="PEC89" s="996"/>
      <c r="PED89" s="996"/>
      <c r="PEE89" s="996"/>
      <c r="PEF89" s="996"/>
      <c r="PEG89" s="996"/>
      <c r="PEH89" s="996"/>
      <c r="PEI89" s="996"/>
      <c r="PEJ89" s="996"/>
      <c r="PEK89" s="996"/>
      <c r="PEL89" s="996"/>
      <c r="PEM89" s="996"/>
      <c r="PEN89" s="996"/>
      <c r="PEO89" s="996"/>
      <c r="PEP89" s="996"/>
      <c r="PEQ89" s="996"/>
      <c r="PER89" s="996"/>
      <c r="PES89" s="996"/>
      <c r="PET89" s="996"/>
      <c r="PEU89" s="996"/>
      <c r="PEV89" s="996"/>
      <c r="PEW89" s="996"/>
      <c r="PEX89" s="996"/>
      <c r="PEY89" s="996"/>
      <c r="PEZ89" s="996"/>
      <c r="PFA89" s="996"/>
      <c r="PFB89" s="996"/>
      <c r="PFC89" s="996"/>
      <c r="PFD89" s="996"/>
      <c r="PFE89" s="996"/>
      <c r="PFF89" s="996"/>
      <c r="PFG89" s="996"/>
      <c r="PFH89" s="996"/>
      <c r="PFI89" s="996"/>
      <c r="PFJ89" s="996"/>
      <c r="PFK89" s="996"/>
      <c r="PFL89" s="996"/>
      <c r="PFM89" s="996"/>
      <c r="PFN89" s="996"/>
      <c r="PFO89" s="996"/>
      <c r="PFP89" s="996"/>
      <c r="PFQ89" s="996"/>
      <c r="PFR89" s="996"/>
      <c r="PFS89" s="996"/>
      <c r="PFT89" s="996"/>
      <c r="PFU89" s="996"/>
      <c r="PFV89" s="996"/>
      <c r="PFW89" s="996"/>
      <c r="PFX89" s="996"/>
      <c r="PFY89" s="996"/>
      <c r="PFZ89" s="996"/>
      <c r="PGA89" s="996"/>
      <c r="PGB89" s="996"/>
      <c r="PGC89" s="996"/>
      <c r="PGD89" s="996"/>
      <c r="PGE89" s="996"/>
      <c r="PGF89" s="996"/>
      <c r="PGG89" s="996"/>
      <c r="PGH89" s="996"/>
      <c r="PGI89" s="996"/>
      <c r="PGJ89" s="996"/>
      <c r="PGK89" s="996"/>
      <c r="PGL89" s="996"/>
      <c r="PGM89" s="996"/>
      <c r="PGN89" s="996"/>
      <c r="PGO89" s="996"/>
      <c r="PGP89" s="996"/>
      <c r="PGQ89" s="996"/>
      <c r="PGR89" s="996"/>
      <c r="PGS89" s="996"/>
      <c r="PGT89" s="996"/>
      <c r="PGU89" s="996"/>
      <c r="PGV89" s="996"/>
      <c r="PGW89" s="996"/>
      <c r="PGX89" s="996"/>
      <c r="PGY89" s="996"/>
      <c r="PGZ89" s="996"/>
      <c r="PHA89" s="996"/>
      <c r="PHB89" s="996"/>
      <c r="PHC89" s="996"/>
      <c r="PHD89" s="996"/>
      <c r="PHE89" s="996"/>
      <c r="PHF89" s="996"/>
      <c r="PHG89" s="996"/>
      <c r="PHH89" s="996"/>
      <c r="PHI89" s="996"/>
      <c r="PHJ89" s="996"/>
      <c r="PHK89" s="996"/>
      <c r="PHL89" s="996"/>
      <c r="PHM89" s="996"/>
      <c r="PHN89" s="996"/>
      <c r="PHO89" s="996"/>
      <c r="PHP89" s="996"/>
      <c r="PHQ89" s="996"/>
      <c r="PHR89" s="996"/>
      <c r="PHS89" s="996"/>
      <c r="PHT89" s="996"/>
      <c r="PHU89" s="996"/>
      <c r="PHV89" s="996"/>
      <c r="PHW89" s="996"/>
      <c r="PHX89" s="996"/>
      <c r="PHY89" s="996"/>
      <c r="PHZ89" s="996"/>
      <c r="PIA89" s="996"/>
      <c r="PIB89" s="996"/>
      <c r="PIC89" s="996"/>
      <c r="PID89" s="996"/>
      <c r="PIE89" s="996"/>
      <c r="PIF89" s="996"/>
      <c r="PIG89" s="996"/>
      <c r="PIH89" s="996"/>
      <c r="PII89" s="996"/>
      <c r="PIJ89" s="996"/>
      <c r="PIK89" s="996"/>
      <c r="PIL89" s="996"/>
      <c r="PIM89" s="996"/>
      <c r="PIN89" s="996"/>
      <c r="PIO89" s="996"/>
      <c r="PIP89" s="996"/>
      <c r="PIQ89" s="996"/>
      <c r="PIR89" s="996"/>
      <c r="PIS89" s="996"/>
      <c r="PIT89" s="996"/>
      <c r="PIU89" s="996"/>
      <c r="PIV89" s="996"/>
      <c r="PIW89" s="996"/>
      <c r="PIX89" s="996"/>
      <c r="PIY89" s="996"/>
      <c r="PIZ89" s="996"/>
      <c r="PJA89" s="996"/>
      <c r="PJB89" s="996"/>
      <c r="PJC89" s="996"/>
      <c r="PJD89" s="996"/>
      <c r="PJE89" s="996"/>
      <c r="PJF89" s="996"/>
      <c r="PJG89" s="996"/>
      <c r="PJH89" s="996"/>
      <c r="PJI89" s="996"/>
      <c r="PJJ89" s="996"/>
      <c r="PJK89" s="996"/>
      <c r="PJL89" s="996"/>
      <c r="PJM89" s="996"/>
      <c r="PJN89" s="996"/>
      <c r="PJO89" s="996"/>
      <c r="PJP89" s="996"/>
      <c r="PJQ89" s="996"/>
      <c r="PJR89" s="996"/>
      <c r="PJS89" s="996"/>
      <c r="PJT89" s="996"/>
      <c r="PJU89" s="996"/>
      <c r="PJV89" s="996"/>
      <c r="PJW89" s="996"/>
      <c r="PJX89" s="996"/>
      <c r="PJY89" s="996"/>
      <c r="PJZ89" s="996"/>
      <c r="PKA89" s="996"/>
      <c r="PKB89" s="996"/>
      <c r="PKC89" s="996"/>
      <c r="PKD89" s="996"/>
      <c r="PKE89" s="996"/>
      <c r="PKF89" s="996"/>
      <c r="PKG89" s="996"/>
      <c r="PKH89" s="996"/>
      <c r="PKI89" s="996"/>
      <c r="PKJ89" s="996"/>
      <c r="PKK89" s="996"/>
      <c r="PKL89" s="996"/>
      <c r="PKM89" s="996"/>
      <c r="PKN89" s="996"/>
      <c r="PKO89" s="996"/>
      <c r="PKP89" s="996"/>
      <c r="PKQ89" s="996"/>
      <c r="PKR89" s="996"/>
      <c r="PKS89" s="996"/>
      <c r="PKT89" s="996"/>
      <c r="PKU89" s="996"/>
      <c r="PKV89" s="996"/>
      <c r="PKW89" s="996"/>
      <c r="PKX89" s="996"/>
      <c r="PKY89" s="996"/>
      <c r="PKZ89" s="996"/>
      <c r="PLA89" s="996"/>
      <c r="PLB89" s="996"/>
      <c r="PLC89" s="996"/>
      <c r="PLD89" s="996"/>
      <c r="PLE89" s="996"/>
      <c r="PLF89" s="996"/>
      <c r="PLG89" s="996"/>
      <c r="PLH89" s="996"/>
      <c r="PLI89" s="996"/>
      <c r="PLJ89" s="996"/>
      <c r="PLK89" s="996"/>
      <c r="PLL89" s="996"/>
      <c r="PLM89" s="996"/>
      <c r="PLN89" s="996"/>
      <c r="PLO89" s="996"/>
      <c r="PLP89" s="996"/>
      <c r="PLQ89" s="996"/>
      <c r="PLR89" s="996"/>
      <c r="PLS89" s="996"/>
      <c r="PLT89" s="996"/>
      <c r="PLU89" s="996"/>
      <c r="PLV89" s="996"/>
      <c r="PLW89" s="996"/>
      <c r="PLX89" s="996"/>
      <c r="PLY89" s="996"/>
      <c r="PLZ89" s="996"/>
      <c r="PMA89" s="996"/>
      <c r="PMB89" s="996"/>
      <c r="PMC89" s="996"/>
      <c r="PMD89" s="996"/>
      <c r="PME89" s="996"/>
      <c r="PMF89" s="996"/>
      <c r="PMG89" s="996"/>
      <c r="PMH89" s="996"/>
      <c r="PMI89" s="996"/>
      <c r="PMJ89" s="996"/>
      <c r="PMK89" s="996"/>
      <c r="PML89" s="996"/>
      <c r="PMM89" s="996"/>
      <c r="PMN89" s="996"/>
      <c r="PMO89" s="996"/>
      <c r="PMP89" s="996"/>
      <c r="PMQ89" s="996"/>
      <c r="PMR89" s="996"/>
      <c r="PMS89" s="996"/>
      <c r="PMT89" s="996"/>
      <c r="PMU89" s="996"/>
      <c r="PMV89" s="996"/>
      <c r="PMW89" s="996"/>
      <c r="PMX89" s="996"/>
      <c r="PMY89" s="996"/>
      <c r="PMZ89" s="996"/>
      <c r="PNA89" s="996"/>
      <c r="PNB89" s="996"/>
      <c r="PNC89" s="996"/>
      <c r="PND89" s="996"/>
      <c r="PNE89" s="996"/>
      <c r="PNF89" s="996"/>
      <c r="PNG89" s="996"/>
      <c r="PNH89" s="996"/>
      <c r="PNI89" s="996"/>
      <c r="PNJ89" s="996"/>
      <c r="PNK89" s="996"/>
      <c r="PNL89" s="996"/>
      <c r="PNM89" s="996"/>
      <c r="PNN89" s="996"/>
      <c r="PNO89" s="996"/>
      <c r="PNP89" s="996"/>
      <c r="PNQ89" s="996"/>
      <c r="PNR89" s="996"/>
      <c r="PNS89" s="996"/>
      <c r="PNT89" s="996"/>
      <c r="PNU89" s="996"/>
      <c r="PNV89" s="996"/>
      <c r="PNW89" s="996"/>
      <c r="PNX89" s="996"/>
      <c r="PNY89" s="996"/>
      <c r="PNZ89" s="996"/>
      <c r="POA89" s="996"/>
      <c r="POB89" s="996"/>
      <c r="POC89" s="996"/>
      <c r="POD89" s="996"/>
      <c r="POE89" s="996"/>
      <c r="POF89" s="996"/>
      <c r="POG89" s="996"/>
      <c r="POH89" s="996"/>
      <c r="POI89" s="996"/>
      <c r="POJ89" s="996"/>
      <c r="POK89" s="996"/>
      <c r="POL89" s="996"/>
      <c r="POM89" s="996"/>
      <c r="PON89" s="996"/>
      <c r="POO89" s="996"/>
      <c r="POP89" s="996"/>
      <c r="POQ89" s="996"/>
      <c r="POR89" s="996"/>
      <c r="POS89" s="996"/>
      <c r="POT89" s="996"/>
      <c r="POU89" s="996"/>
      <c r="POV89" s="996"/>
      <c r="POW89" s="996"/>
      <c r="POX89" s="996"/>
      <c r="POY89" s="996"/>
      <c r="POZ89" s="996"/>
      <c r="PPA89" s="996"/>
      <c r="PPB89" s="996"/>
      <c r="PPC89" s="996"/>
      <c r="PPD89" s="996"/>
      <c r="PPE89" s="996"/>
      <c r="PPF89" s="996"/>
      <c r="PPG89" s="996"/>
      <c r="PPH89" s="996"/>
      <c r="PPI89" s="996"/>
      <c r="PPJ89" s="996"/>
      <c r="PPK89" s="996"/>
      <c r="PPL89" s="996"/>
      <c r="PPM89" s="996"/>
      <c r="PPN89" s="996"/>
      <c r="PPO89" s="996"/>
      <c r="PPP89" s="996"/>
      <c r="PPQ89" s="996"/>
      <c r="PPR89" s="996"/>
      <c r="PPS89" s="996"/>
      <c r="PPT89" s="996"/>
      <c r="PPU89" s="996"/>
      <c r="PPV89" s="996"/>
      <c r="PPW89" s="996"/>
      <c r="PPX89" s="996"/>
      <c r="PPY89" s="996"/>
      <c r="PPZ89" s="996"/>
      <c r="PQA89" s="996"/>
      <c r="PQB89" s="996"/>
      <c r="PQC89" s="996"/>
      <c r="PQD89" s="996"/>
      <c r="PQE89" s="996"/>
      <c r="PQF89" s="996"/>
      <c r="PQG89" s="996"/>
      <c r="PQH89" s="996"/>
      <c r="PQI89" s="996"/>
      <c r="PQJ89" s="996"/>
      <c r="PQK89" s="996"/>
      <c r="PQL89" s="996"/>
      <c r="PQM89" s="996"/>
      <c r="PQN89" s="996"/>
      <c r="PQO89" s="996"/>
      <c r="PQP89" s="996"/>
      <c r="PQQ89" s="996"/>
      <c r="PQR89" s="996"/>
      <c r="PQS89" s="996"/>
      <c r="PQT89" s="996"/>
      <c r="PQU89" s="996"/>
      <c r="PQV89" s="996"/>
      <c r="PQW89" s="996"/>
      <c r="PQX89" s="996"/>
      <c r="PQY89" s="996"/>
      <c r="PQZ89" s="996"/>
      <c r="PRA89" s="996"/>
      <c r="PRB89" s="996"/>
      <c r="PRC89" s="996"/>
      <c r="PRD89" s="996"/>
      <c r="PRE89" s="996"/>
      <c r="PRF89" s="996"/>
      <c r="PRG89" s="996"/>
      <c r="PRH89" s="996"/>
      <c r="PRI89" s="996"/>
      <c r="PRJ89" s="996"/>
      <c r="PRK89" s="996"/>
      <c r="PRL89" s="996"/>
      <c r="PRM89" s="996"/>
      <c r="PRN89" s="996"/>
      <c r="PRO89" s="996"/>
      <c r="PRP89" s="996"/>
      <c r="PRQ89" s="996"/>
      <c r="PRR89" s="996"/>
      <c r="PRS89" s="996"/>
      <c r="PRT89" s="996"/>
      <c r="PRU89" s="996"/>
      <c r="PRV89" s="996"/>
      <c r="PRW89" s="996"/>
      <c r="PRX89" s="996"/>
      <c r="PRY89" s="996"/>
      <c r="PRZ89" s="996"/>
      <c r="PSA89" s="996"/>
      <c r="PSB89" s="996"/>
      <c r="PSC89" s="996"/>
      <c r="PSD89" s="996"/>
      <c r="PSE89" s="996"/>
      <c r="PSF89" s="996"/>
      <c r="PSG89" s="996"/>
      <c r="PSH89" s="996"/>
      <c r="PSI89" s="996"/>
      <c r="PSJ89" s="996"/>
      <c r="PSK89" s="996"/>
      <c r="PSL89" s="996"/>
      <c r="PSM89" s="996"/>
      <c r="PSN89" s="996"/>
      <c r="PSO89" s="996"/>
      <c r="PSP89" s="996"/>
      <c r="PSQ89" s="996"/>
      <c r="PSR89" s="996"/>
      <c r="PSS89" s="996"/>
      <c r="PST89" s="996"/>
      <c r="PSU89" s="996"/>
      <c r="PSV89" s="996"/>
      <c r="PSW89" s="996"/>
      <c r="PSX89" s="996"/>
      <c r="PSY89" s="996"/>
      <c r="PSZ89" s="996"/>
      <c r="PTA89" s="996"/>
      <c r="PTB89" s="996"/>
      <c r="PTC89" s="996"/>
      <c r="PTD89" s="996"/>
      <c r="PTE89" s="996"/>
      <c r="PTF89" s="996"/>
      <c r="PTG89" s="996"/>
      <c r="PTH89" s="996"/>
      <c r="PTI89" s="996"/>
      <c r="PTJ89" s="996"/>
      <c r="PTK89" s="996"/>
      <c r="PTL89" s="996"/>
      <c r="PTM89" s="996"/>
      <c r="PTN89" s="996"/>
      <c r="PTO89" s="996"/>
      <c r="PTP89" s="996"/>
      <c r="PTQ89" s="996"/>
      <c r="PTR89" s="996"/>
      <c r="PTS89" s="996"/>
      <c r="PTT89" s="996"/>
      <c r="PTU89" s="996"/>
      <c r="PTV89" s="996"/>
      <c r="PTW89" s="996"/>
      <c r="PTX89" s="996"/>
      <c r="PTY89" s="996"/>
      <c r="PTZ89" s="996"/>
      <c r="PUA89" s="996"/>
      <c r="PUB89" s="996"/>
      <c r="PUC89" s="996"/>
      <c r="PUD89" s="996"/>
      <c r="PUE89" s="996"/>
      <c r="PUF89" s="996"/>
      <c r="PUG89" s="996"/>
      <c r="PUH89" s="996"/>
      <c r="PUI89" s="996"/>
      <c r="PUJ89" s="996"/>
      <c r="PUK89" s="996"/>
      <c r="PUL89" s="996"/>
      <c r="PUM89" s="996"/>
      <c r="PUN89" s="996"/>
      <c r="PUO89" s="996"/>
      <c r="PUP89" s="996"/>
      <c r="PUQ89" s="996"/>
      <c r="PUR89" s="996"/>
      <c r="PUS89" s="996"/>
      <c r="PUT89" s="996"/>
      <c r="PUU89" s="996"/>
      <c r="PUV89" s="996"/>
      <c r="PUW89" s="996"/>
      <c r="PUX89" s="996"/>
      <c r="PUY89" s="996"/>
      <c r="PUZ89" s="996"/>
      <c r="PVA89" s="996"/>
      <c r="PVB89" s="996"/>
      <c r="PVC89" s="996"/>
      <c r="PVD89" s="996"/>
      <c r="PVE89" s="996"/>
      <c r="PVF89" s="996"/>
      <c r="PVG89" s="996"/>
      <c r="PVH89" s="996"/>
      <c r="PVI89" s="996"/>
      <c r="PVJ89" s="996"/>
      <c r="PVK89" s="996"/>
      <c r="PVL89" s="996"/>
      <c r="PVM89" s="996"/>
      <c r="PVN89" s="996"/>
      <c r="PVO89" s="996"/>
      <c r="PVP89" s="996"/>
      <c r="PVQ89" s="996"/>
      <c r="PVR89" s="996"/>
      <c r="PVS89" s="996"/>
      <c r="PVT89" s="996"/>
      <c r="PVU89" s="996"/>
      <c r="PVV89" s="996"/>
      <c r="PVW89" s="996"/>
      <c r="PVX89" s="996"/>
      <c r="PVY89" s="996"/>
      <c r="PVZ89" s="996"/>
      <c r="PWA89" s="996"/>
      <c r="PWB89" s="996"/>
      <c r="PWC89" s="996"/>
      <c r="PWD89" s="996"/>
      <c r="PWE89" s="996"/>
      <c r="PWF89" s="996"/>
      <c r="PWG89" s="996"/>
      <c r="PWH89" s="996"/>
      <c r="PWI89" s="996"/>
      <c r="PWJ89" s="996"/>
      <c r="PWK89" s="996"/>
      <c r="PWL89" s="996"/>
      <c r="PWM89" s="996"/>
      <c r="PWN89" s="996"/>
      <c r="PWO89" s="996"/>
      <c r="PWP89" s="996"/>
      <c r="PWQ89" s="996"/>
      <c r="PWR89" s="996"/>
      <c r="PWS89" s="996"/>
      <c r="PWT89" s="996"/>
      <c r="PWU89" s="996"/>
      <c r="PWV89" s="996"/>
      <c r="PWW89" s="996"/>
      <c r="PWX89" s="996"/>
      <c r="PWY89" s="996"/>
      <c r="PWZ89" s="996"/>
      <c r="PXA89" s="996"/>
      <c r="PXB89" s="996"/>
      <c r="PXC89" s="996"/>
      <c r="PXD89" s="996"/>
      <c r="PXE89" s="996"/>
      <c r="PXF89" s="996"/>
      <c r="PXG89" s="996"/>
      <c r="PXH89" s="996"/>
      <c r="PXI89" s="996"/>
      <c r="PXJ89" s="996"/>
      <c r="PXK89" s="996"/>
      <c r="PXL89" s="996"/>
      <c r="PXM89" s="996"/>
      <c r="PXN89" s="996"/>
      <c r="PXO89" s="996"/>
      <c r="PXP89" s="996"/>
      <c r="PXQ89" s="996"/>
      <c r="PXR89" s="996"/>
      <c r="PXS89" s="996"/>
      <c r="PXT89" s="996"/>
      <c r="PXU89" s="996"/>
      <c r="PXV89" s="996"/>
      <c r="PXW89" s="996"/>
      <c r="PXX89" s="996"/>
      <c r="PXY89" s="996"/>
      <c r="PXZ89" s="996"/>
      <c r="PYA89" s="996"/>
      <c r="PYB89" s="996"/>
      <c r="PYC89" s="996"/>
      <c r="PYD89" s="996"/>
      <c r="PYE89" s="996"/>
      <c r="PYF89" s="996"/>
      <c r="PYG89" s="996"/>
      <c r="PYH89" s="996"/>
      <c r="PYI89" s="996"/>
      <c r="PYJ89" s="996"/>
      <c r="PYK89" s="996"/>
      <c r="PYL89" s="996"/>
      <c r="PYM89" s="996"/>
      <c r="PYN89" s="996"/>
      <c r="PYO89" s="996"/>
      <c r="PYP89" s="996"/>
      <c r="PYQ89" s="996"/>
      <c r="PYR89" s="996"/>
      <c r="PYS89" s="996"/>
      <c r="PYT89" s="996"/>
      <c r="PYU89" s="996"/>
      <c r="PYV89" s="996"/>
      <c r="PYW89" s="996"/>
      <c r="PYX89" s="996"/>
      <c r="PYY89" s="996"/>
      <c r="PYZ89" s="996"/>
      <c r="PZA89" s="996"/>
      <c r="PZB89" s="996"/>
      <c r="PZC89" s="996"/>
      <c r="PZD89" s="996"/>
      <c r="PZE89" s="996"/>
      <c r="PZF89" s="996"/>
      <c r="PZG89" s="996"/>
      <c r="PZH89" s="996"/>
      <c r="PZI89" s="996"/>
      <c r="PZJ89" s="996"/>
      <c r="PZK89" s="996"/>
      <c r="PZL89" s="996"/>
      <c r="PZM89" s="996"/>
      <c r="PZN89" s="996"/>
      <c r="PZO89" s="996"/>
      <c r="PZP89" s="996"/>
      <c r="PZQ89" s="996"/>
      <c r="PZR89" s="996"/>
      <c r="PZS89" s="996"/>
      <c r="PZT89" s="996"/>
      <c r="PZU89" s="996"/>
      <c r="PZV89" s="996"/>
      <c r="PZW89" s="996"/>
      <c r="PZX89" s="996"/>
      <c r="PZY89" s="996"/>
      <c r="PZZ89" s="996"/>
      <c r="QAA89" s="996"/>
      <c r="QAB89" s="996"/>
      <c r="QAC89" s="996"/>
      <c r="QAD89" s="996"/>
      <c r="QAE89" s="996"/>
      <c r="QAF89" s="996"/>
      <c r="QAG89" s="996"/>
      <c r="QAH89" s="996"/>
      <c r="QAI89" s="996"/>
      <c r="QAJ89" s="996"/>
      <c r="QAK89" s="996"/>
      <c r="QAL89" s="996"/>
      <c r="QAM89" s="996"/>
      <c r="QAN89" s="996"/>
      <c r="QAO89" s="996"/>
      <c r="QAP89" s="996"/>
      <c r="QAQ89" s="996"/>
      <c r="QAR89" s="996"/>
      <c r="QAS89" s="996"/>
      <c r="QAT89" s="996"/>
      <c r="QAU89" s="996"/>
      <c r="QAV89" s="996"/>
      <c r="QAW89" s="996"/>
      <c r="QAX89" s="996"/>
      <c r="QAY89" s="996"/>
      <c r="QAZ89" s="996"/>
      <c r="QBA89" s="996"/>
      <c r="QBB89" s="996"/>
      <c r="QBC89" s="996"/>
      <c r="QBD89" s="996"/>
      <c r="QBE89" s="996"/>
      <c r="QBF89" s="996"/>
      <c r="QBG89" s="996"/>
      <c r="QBH89" s="996"/>
      <c r="QBI89" s="996"/>
      <c r="QBJ89" s="996"/>
      <c r="QBK89" s="996"/>
      <c r="QBL89" s="996"/>
      <c r="QBM89" s="996"/>
      <c r="QBN89" s="996"/>
      <c r="QBO89" s="996"/>
      <c r="QBP89" s="996"/>
      <c r="QBQ89" s="996"/>
      <c r="QBR89" s="996"/>
      <c r="QBS89" s="996"/>
      <c r="QBT89" s="996"/>
      <c r="QBU89" s="996"/>
      <c r="QBV89" s="996"/>
      <c r="QBW89" s="996"/>
      <c r="QBX89" s="996"/>
      <c r="QBY89" s="996"/>
      <c r="QBZ89" s="996"/>
      <c r="QCA89" s="996"/>
      <c r="QCB89" s="996"/>
      <c r="QCC89" s="996"/>
      <c r="QCD89" s="996"/>
      <c r="QCE89" s="996"/>
      <c r="QCF89" s="996"/>
      <c r="QCG89" s="996"/>
      <c r="QCH89" s="996"/>
      <c r="QCI89" s="996"/>
      <c r="QCJ89" s="996"/>
      <c r="QCK89" s="996"/>
      <c r="QCL89" s="996"/>
      <c r="QCM89" s="996"/>
      <c r="QCN89" s="996"/>
      <c r="QCO89" s="996"/>
      <c r="QCP89" s="996"/>
      <c r="QCQ89" s="996"/>
      <c r="QCR89" s="996"/>
      <c r="QCS89" s="996"/>
      <c r="QCT89" s="996"/>
      <c r="QCU89" s="996"/>
      <c r="QCV89" s="996"/>
      <c r="QCW89" s="996"/>
      <c r="QCX89" s="996"/>
      <c r="QCY89" s="996"/>
      <c r="QCZ89" s="996"/>
      <c r="QDA89" s="996"/>
      <c r="QDB89" s="996"/>
      <c r="QDC89" s="996"/>
      <c r="QDD89" s="996"/>
      <c r="QDE89" s="996"/>
      <c r="QDF89" s="996"/>
      <c r="QDG89" s="996"/>
      <c r="QDH89" s="996"/>
      <c r="QDI89" s="996"/>
      <c r="QDJ89" s="996"/>
      <c r="QDK89" s="996"/>
      <c r="QDL89" s="996"/>
      <c r="QDM89" s="996"/>
      <c r="QDN89" s="996"/>
      <c r="QDO89" s="996"/>
      <c r="QDP89" s="996"/>
      <c r="QDQ89" s="996"/>
      <c r="QDR89" s="996"/>
      <c r="QDS89" s="996"/>
      <c r="QDT89" s="996"/>
      <c r="QDU89" s="996"/>
      <c r="QDV89" s="996"/>
      <c r="QDW89" s="996"/>
      <c r="QDX89" s="996"/>
      <c r="QDY89" s="996"/>
      <c r="QDZ89" s="996"/>
      <c r="QEA89" s="996"/>
      <c r="QEB89" s="996"/>
      <c r="QEC89" s="996"/>
      <c r="QED89" s="996"/>
      <c r="QEE89" s="996"/>
      <c r="QEF89" s="996"/>
      <c r="QEG89" s="996"/>
      <c r="QEH89" s="996"/>
      <c r="QEI89" s="996"/>
      <c r="QEJ89" s="996"/>
      <c r="QEK89" s="996"/>
      <c r="QEL89" s="996"/>
      <c r="QEM89" s="996"/>
      <c r="QEN89" s="996"/>
      <c r="QEO89" s="996"/>
      <c r="QEP89" s="996"/>
      <c r="QEQ89" s="996"/>
      <c r="QER89" s="996"/>
      <c r="QES89" s="996"/>
      <c r="QET89" s="996"/>
      <c r="QEU89" s="996"/>
      <c r="QEV89" s="996"/>
      <c r="QEW89" s="996"/>
      <c r="QEX89" s="996"/>
      <c r="QEY89" s="996"/>
      <c r="QEZ89" s="996"/>
      <c r="QFA89" s="996"/>
      <c r="QFB89" s="996"/>
      <c r="QFC89" s="996"/>
      <c r="QFD89" s="996"/>
      <c r="QFE89" s="996"/>
      <c r="QFF89" s="996"/>
      <c r="QFG89" s="996"/>
      <c r="QFH89" s="996"/>
      <c r="QFI89" s="996"/>
      <c r="QFJ89" s="996"/>
      <c r="QFK89" s="996"/>
      <c r="QFL89" s="996"/>
      <c r="QFM89" s="996"/>
      <c r="QFN89" s="996"/>
      <c r="QFO89" s="996"/>
      <c r="QFP89" s="996"/>
      <c r="QFQ89" s="996"/>
      <c r="QFR89" s="996"/>
      <c r="QFS89" s="996"/>
      <c r="QFT89" s="996"/>
      <c r="QFU89" s="996"/>
      <c r="QFV89" s="996"/>
      <c r="QFW89" s="996"/>
      <c r="QFX89" s="996"/>
      <c r="QFY89" s="996"/>
      <c r="QFZ89" s="996"/>
      <c r="QGA89" s="996"/>
      <c r="QGB89" s="996"/>
      <c r="QGC89" s="996"/>
      <c r="QGD89" s="996"/>
      <c r="QGE89" s="996"/>
      <c r="QGF89" s="996"/>
      <c r="QGG89" s="996"/>
      <c r="QGH89" s="996"/>
      <c r="QGI89" s="996"/>
      <c r="QGJ89" s="996"/>
      <c r="QGK89" s="996"/>
      <c r="QGL89" s="996"/>
      <c r="QGM89" s="996"/>
      <c r="QGN89" s="996"/>
      <c r="QGO89" s="996"/>
      <c r="QGP89" s="996"/>
      <c r="QGQ89" s="996"/>
      <c r="QGR89" s="996"/>
      <c r="QGS89" s="996"/>
      <c r="QGT89" s="996"/>
      <c r="QGU89" s="996"/>
      <c r="QGV89" s="996"/>
      <c r="QGW89" s="996"/>
      <c r="QGX89" s="996"/>
      <c r="QGY89" s="996"/>
      <c r="QGZ89" s="996"/>
      <c r="QHA89" s="996"/>
      <c r="QHB89" s="996"/>
      <c r="QHC89" s="996"/>
      <c r="QHD89" s="996"/>
      <c r="QHE89" s="996"/>
      <c r="QHF89" s="996"/>
      <c r="QHG89" s="996"/>
      <c r="QHH89" s="996"/>
      <c r="QHI89" s="996"/>
      <c r="QHJ89" s="996"/>
      <c r="QHK89" s="996"/>
      <c r="QHL89" s="996"/>
      <c r="QHM89" s="996"/>
      <c r="QHN89" s="996"/>
      <c r="QHO89" s="996"/>
      <c r="QHP89" s="996"/>
      <c r="QHQ89" s="996"/>
      <c r="QHR89" s="996"/>
      <c r="QHS89" s="996"/>
      <c r="QHT89" s="996"/>
      <c r="QHU89" s="996"/>
      <c r="QHV89" s="996"/>
      <c r="QHW89" s="996"/>
      <c r="QHX89" s="996"/>
      <c r="QHY89" s="996"/>
      <c r="QHZ89" s="996"/>
      <c r="QIA89" s="996"/>
      <c r="QIB89" s="996"/>
      <c r="QIC89" s="996"/>
      <c r="QID89" s="996"/>
      <c r="QIE89" s="996"/>
      <c r="QIF89" s="996"/>
      <c r="QIG89" s="996"/>
      <c r="QIH89" s="996"/>
      <c r="QII89" s="996"/>
      <c r="QIJ89" s="996"/>
      <c r="QIK89" s="996"/>
      <c r="QIL89" s="996"/>
      <c r="QIM89" s="996"/>
      <c r="QIN89" s="996"/>
      <c r="QIO89" s="996"/>
      <c r="QIP89" s="996"/>
      <c r="QIQ89" s="996"/>
      <c r="QIR89" s="996"/>
      <c r="QIS89" s="996"/>
      <c r="QIT89" s="996"/>
      <c r="QIU89" s="996"/>
      <c r="QIV89" s="996"/>
      <c r="QIW89" s="996"/>
      <c r="QIX89" s="996"/>
      <c r="QIY89" s="996"/>
      <c r="QIZ89" s="996"/>
      <c r="QJA89" s="996"/>
      <c r="QJB89" s="996"/>
      <c r="QJC89" s="996"/>
      <c r="QJD89" s="996"/>
      <c r="QJE89" s="996"/>
      <c r="QJF89" s="996"/>
      <c r="QJG89" s="996"/>
      <c r="QJH89" s="996"/>
      <c r="QJI89" s="996"/>
      <c r="QJJ89" s="996"/>
      <c r="QJK89" s="996"/>
      <c r="QJL89" s="996"/>
      <c r="QJM89" s="996"/>
      <c r="QJN89" s="996"/>
      <c r="QJO89" s="996"/>
      <c r="QJP89" s="996"/>
      <c r="QJQ89" s="996"/>
      <c r="QJR89" s="996"/>
      <c r="QJS89" s="996"/>
      <c r="QJT89" s="996"/>
      <c r="QJU89" s="996"/>
      <c r="QJV89" s="996"/>
      <c r="QJW89" s="996"/>
      <c r="QJX89" s="996"/>
      <c r="QJY89" s="996"/>
      <c r="QJZ89" s="996"/>
      <c r="QKA89" s="996"/>
      <c r="QKB89" s="996"/>
      <c r="QKC89" s="996"/>
      <c r="QKD89" s="996"/>
      <c r="QKE89" s="996"/>
      <c r="QKF89" s="996"/>
      <c r="QKG89" s="996"/>
      <c r="QKH89" s="996"/>
      <c r="QKI89" s="996"/>
      <c r="QKJ89" s="996"/>
      <c r="QKK89" s="996"/>
      <c r="QKL89" s="996"/>
      <c r="QKM89" s="996"/>
      <c r="QKN89" s="996"/>
      <c r="QKO89" s="996"/>
      <c r="QKP89" s="996"/>
      <c r="QKQ89" s="996"/>
      <c r="QKR89" s="996"/>
      <c r="QKS89" s="996"/>
      <c r="QKT89" s="996"/>
      <c r="QKU89" s="996"/>
      <c r="QKV89" s="996"/>
      <c r="QKW89" s="996"/>
      <c r="QKX89" s="996"/>
      <c r="QKY89" s="996"/>
      <c r="QKZ89" s="996"/>
      <c r="QLA89" s="996"/>
      <c r="QLB89" s="996"/>
      <c r="QLC89" s="996"/>
      <c r="QLD89" s="996"/>
      <c r="QLE89" s="996"/>
      <c r="QLF89" s="996"/>
      <c r="QLG89" s="996"/>
      <c r="QLH89" s="996"/>
      <c r="QLI89" s="996"/>
      <c r="QLJ89" s="996"/>
      <c r="QLK89" s="996"/>
      <c r="QLL89" s="996"/>
      <c r="QLM89" s="996"/>
      <c r="QLN89" s="996"/>
      <c r="QLO89" s="996"/>
      <c r="QLP89" s="996"/>
      <c r="QLQ89" s="996"/>
      <c r="QLR89" s="996"/>
      <c r="QLS89" s="996"/>
      <c r="QLT89" s="996"/>
      <c r="QLU89" s="996"/>
      <c r="QLV89" s="996"/>
      <c r="QLW89" s="996"/>
      <c r="QLX89" s="996"/>
      <c r="QLY89" s="996"/>
      <c r="QLZ89" s="996"/>
      <c r="QMA89" s="996"/>
      <c r="QMB89" s="996"/>
      <c r="QMC89" s="996"/>
      <c r="QMD89" s="996"/>
      <c r="QME89" s="996"/>
      <c r="QMF89" s="996"/>
      <c r="QMG89" s="996"/>
      <c r="QMH89" s="996"/>
      <c r="QMI89" s="996"/>
      <c r="QMJ89" s="996"/>
      <c r="QMK89" s="996"/>
      <c r="QML89" s="996"/>
      <c r="QMM89" s="996"/>
      <c r="QMN89" s="996"/>
      <c r="QMO89" s="996"/>
      <c r="QMP89" s="996"/>
      <c r="QMQ89" s="996"/>
      <c r="QMR89" s="996"/>
      <c r="QMS89" s="996"/>
      <c r="QMT89" s="996"/>
      <c r="QMU89" s="996"/>
      <c r="QMV89" s="996"/>
      <c r="QMW89" s="996"/>
      <c r="QMX89" s="996"/>
      <c r="QMY89" s="996"/>
      <c r="QMZ89" s="996"/>
      <c r="QNA89" s="996"/>
      <c r="QNB89" s="996"/>
      <c r="QNC89" s="996"/>
      <c r="QND89" s="996"/>
      <c r="QNE89" s="996"/>
      <c r="QNF89" s="996"/>
      <c r="QNG89" s="996"/>
      <c r="QNH89" s="996"/>
      <c r="QNI89" s="996"/>
      <c r="QNJ89" s="996"/>
      <c r="QNK89" s="996"/>
      <c r="QNL89" s="996"/>
      <c r="QNM89" s="996"/>
      <c r="QNN89" s="996"/>
      <c r="QNO89" s="996"/>
      <c r="QNP89" s="996"/>
      <c r="QNQ89" s="996"/>
      <c r="QNR89" s="996"/>
      <c r="QNS89" s="996"/>
      <c r="QNT89" s="996"/>
      <c r="QNU89" s="996"/>
      <c r="QNV89" s="996"/>
      <c r="QNW89" s="996"/>
      <c r="QNX89" s="996"/>
      <c r="QNY89" s="996"/>
      <c r="QNZ89" s="996"/>
      <c r="QOA89" s="996"/>
      <c r="QOB89" s="996"/>
      <c r="QOC89" s="996"/>
      <c r="QOD89" s="996"/>
      <c r="QOE89" s="996"/>
      <c r="QOF89" s="996"/>
      <c r="QOG89" s="996"/>
      <c r="QOH89" s="996"/>
      <c r="QOI89" s="996"/>
      <c r="QOJ89" s="996"/>
      <c r="QOK89" s="996"/>
      <c r="QOL89" s="996"/>
      <c r="QOM89" s="996"/>
      <c r="QON89" s="996"/>
      <c r="QOO89" s="996"/>
      <c r="QOP89" s="996"/>
      <c r="QOQ89" s="996"/>
      <c r="QOR89" s="996"/>
      <c r="QOS89" s="996"/>
      <c r="QOT89" s="996"/>
      <c r="QOU89" s="996"/>
      <c r="QOV89" s="996"/>
      <c r="QOW89" s="996"/>
      <c r="QOX89" s="996"/>
      <c r="QOY89" s="996"/>
      <c r="QOZ89" s="996"/>
      <c r="QPA89" s="996"/>
      <c r="QPB89" s="996"/>
      <c r="QPC89" s="996"/>
      <c r="QPD89" s="996"/>
      <c r="QPE89" s="996"/>
      <c r="QPF89" s="996"/>
      <c r="QPG89" s="996"/>
      <c r="QPH89" s="996"/>
      <c r="QPI89" s="996"/>
      <c r="QPJ89" s="996"/>
      <c r="QPK89" s="996"/>
      <c r="QPL89" s="996"/>
      <c r="QPM89" s="996"/>
      <c r="QPN89" s="996"/>
      <c r="QPO89" s="996"/>
      <c r="QPP89" s="996"/>
      <c r="QPQ89" s="996"/>
      <c r="QPR89" s="996"/>
      <c r="QPS89" s="996"/>
      <c r="QPT89" s="996"/>
      <c r="QPU89" s="996"/>
      <c r="QPV89" s="996"/>
      <c r="QPW89" s="996"/>
      <c r="QPX89" s="996"/>
      <c r="QPY89" s="996"/>
      <c r="QPZ89" s="996"/>
      <c r="QQA89" s="996"/>
      <c r="QQB89" s="996"/>
      <c r="QQC89" s="996"/>
      <c r="QQD89" s="996"/>
      <c r="QQE89" s="996"/>
      <c r="QQF89" s="996"/>
      <c r="QQG89" s="996"/>
      <c r="QQH89" s="996"/>
      <c r="QQI89" s="996"/>
      <c r="QQJ89" s="996"/>
      <c r="QQK89" s="996"/>
      <c r="QQL89" s="996"/>
      <c r="QQM89" s="996"/>
      <c r="QQN89" s="996"/>
      <c r="QQO89" s="996"/>
      <c r="QQP89" s="996"/>
      <c r="QQQ89" s="996"/>
      <c r="QQR89" s="996"/>
      <c r="QQS89" s="996"/>
      <c r="QQT89" s="996"/>
      <c r="QQU89" s="996"/>
      <c r="QQV89" s="996"/>
      <c r="QQW89" s="996"/>
      <c r="QQX89" s="996"/>
      <c r="QQY89" s="996"/>
      <c r="QQZ89" s="996"/>
      <c r="QRA89" s="996"/>
      <c r="QRB89" s="996"/>
      <c r="QRC89" s="996"/>
      <c r="QRD89" s="996"/>
      <c r="QRE89" s="996"/>
      <c r="QRF89" s="996"/>
      <c r="QRG89" s="996"/>
      <c r="QRH89" s="996"/>
      <c r="QRI89" s="996"/>
      <c r="QRJ89" s="996"/>
      <c r="QRK89" s="996"/>
      <c r="QRL89" s="996"/>
      <c r="QRM89" s="996"/>
      <c r="QRN89" s="996"/>
      <c r="QRO89" s="996"/>
      <c r="QRP89" s="996"/>
      <c r="QRQ89" s="996"/>
      <c r="QRR89" s="996"/>
      <c r="QRS89" s="996"/>
      <c r="QRT89" s="996"/>
      <c r="QRU89" s="996"/>
      <c r="QRV89" s="996"/>
      <c r="QRW89" s="996"/>
      <c r="QRX89" s="996"/>
      <c r="QRY89" s="996"/>
      <c r="QRZ89" s="996"/>
      <c r="QSA89" s="996"/>
      <c r="QSB89" s="996"/>
      <c r="QSC89" s="996"/>
      <c r="QSD89" s="996"/>
      <c r="QSE89" s="996"/>
      <c r="QSF89" s="996"/>
      <c r="QSG89" s="996"/>
      <c r="QSH89" s="996"/>
      <c r="QSI89" s="996"/>
      <c r="QSJ89" s="996"/>
      <c r="QSK89" s="996"/>
      <c r="QSL89" s="996"/>
      <c r="QSM89" s="996"/>
      <c r="QSN89" s="996"/>
      <c r="QSO89" s="996"/>
      <c r="QSP89" s="996"/>
      <c r="QSQ89" s="996"/>
      <c r="QSR89" s="996"/>
      <c r="QSS89" s="996"/>
      <c r="QST89" s="996"/>
      <c r="QSU89" s="996"/>
      <c r="QSV89" s="996"/>
      <c r="QSW89" s="996"/>
      <c r="QSX89" s="996"/>
      <c r="QSY89" s="996"/>
      <c r="QSZ89" s="996"/>
      <c r="QTA89" s="996"/>
      <c r="QTB89" s="996"/>
      <c r="QTC89" s="996"/>
      <c r="QTD89" s="996"/>
      <c r="QTE89" s="996"/>
      <c r="QTF89" s="996"/>
      <c r="QTG89" s="996"/>
      <c r="QTH89" s="996"/>
      <c r="QTI89" s="996"/>
      <c r="QTJ89" s="996"/>
      <c r="QTK89" s="996"/>
      <c r="QTL89" s="996"/>
      <c r="QTM89" s="996"/>
      <c r="QTN89" s="996"/>
      <c r="QTO89" s="996"/>
      <c r="QTP89" s="996"/>
      <c r="QTQ89" s="996"/>
      <c r="QTR89" s="996"/>
      <c r="QTS89" s="996"/>
      <c r="QTT89" s="996"/>
      <c r="QTU89" s="996"/>
      <c r="QTV89" s="996"/>
      <c r="QTW89" s="996"/>
      <c r="QTX89" s="996"/>
      <c r="QTY89" s="996"/>
      <c r="QTZ89" s="996"/>
      <c r="QUA89" s="996"/>
      <c r="QUB89" s="996"/>
      <c r="QUC89" s="996"/>
      <c r="QUD89" s="996"/>
      <c r="QUE89" s="996"/>
      <c r="QUF89" s="996"/>
      <c r="QUG89" s="996"/>
      <c r="QUH89" s="996"/>
      <c r="QUI89" s="996"/>
      <c r="QUJ89" s="996"/>
      <c r="QUK89" s="996"/>
      <c r="QUL89" s="996"/>
      <c r="QUM89" s="996"/>
      <c r="QUN89" s="996"/>
      <c r="QUO89" s="996"/>
      <c r="QUP89" s="996"/>
      <c r="QUQ89" s="996"/>
      <c r="QUR89" s="996"/>
      <c r="QUS89" s="996"/>
      <c r="QUT89" s="996"/>
      <c r="QUU89" s="996"/>
      <c r="QUV89" s="996"/>
      <c r="QUW89" s="996"/>
      <c r="QUX89" s="996"/>
      <c r="QUY89" s="996"/>
      <c r="QUZ89" s="996"/>
      <c r="QVA89" s="996"/>
      <c r="QVB89" s="996"/>
      <c r="QVC89" s="996"/>
      <c r="QVD89" s="996"/>
      <c r="QVE89" s="996"/>
      <c r="QVF89" s="996"/>
      <c r="QVG89" s="996"/>
      <c r="QVH89" s="996"/>
      <c r="QVI89" s="996"/>
      <c r="QVJ89" s="996"/>
      <c r="QVK89" s="996"/>
      <c r="QVL89" s="996"/>
      <c r="QVM89" s="996"/>
      <c r="QVN89" s="996"/>
      <c r="QVO89" s="996"/>
      <c r="QVP89" s="996"/>
      <c r="QVQ89" s="996"/>
      <c r="QVR89" s="996"/>
      <c r="QVS89" s="996"/>
      <c r="QVT89" s="996"/>
      <c r="QVU89" s="996"/>
      <c r="QVV89" s="996"/>
      <c r="QVW89" s="996"/>
      <c r="QVX89" s="996"/>
      <c r="QVY89" s="996"/>
      <c r="QVZ89" s="996"/>
      <c r="QWA89" s="996"/>
      <c r="QWB89" s="996"/>
      <c r="QWC89" s="996"/>
      <c r="QWD89" s="996"/>
      <c r="QWE89" s="996"/>
      <c r="QWF89" s="996"/>
      <c r="QWG89" s="996"/>
      <c r="QWH89" s="996"/>
      <c r="QWI89" s="996"/>
      <c r="QWJ89" s="996"/>
      <c r="QWK89" s="996"/>
      <c r="QWL89" s="996"/>
      <c r="QWM89" s="996"/>
      <c r="QWN89" s="996"/>
      <c r="QWO89" s="996"/>
      <c r="QWP89" s="996"/>
      <c r="QWQ89" s="996"/>
      <c r="QWR89" s="996"/>
      <c r="QWS89" s="996"/>
      <c r="QWT89" s="996"/>
      <c r="QWU89" s="996"/>
      <c r="QWV89" s="996"/>
      <c r="QWW89" s="996"/>
      <c r="QWX89" s="996"/>
      <c r="QWY89" s="996"/>
      <c r="QWZ89" s="996"/>
      <c r="QXA89" s="996"/>
      <c r="QXB89" s="996"/>
      <c r="QXC89" s="996"/>
      <c r="QXD89" s="996"/>
      <c r="QXE89" s="996"/>
      <c r="QXF89" s="996"/>
      <c r="QXG89" s="996"/>
      <c r="QXH89" s="996"/>
      <c r="QXI89" s="996"/>
      <c r="QXJ89" s="996"/>
      <c r="QXK89" s="996"/>
      <c r="QXL89" s="996"/>
      <c r="QXM89" s="996"/>
      <c r="QXN89" s="996"/>
      <c r="QXO89" s="996"/>
      <c r="QXP89" s="996"/>
      <c r="QXQ89" s="996"/>
      <c r="QXR89" s="996"/>
      <c r="QXS89" s="996"/>
      <c r="QXT89" s="996"/>
      <c r="QXU89" s="996"/>
      <c r="QXV89" s="996"/>
      <c r="QXW89" s="996"/>
      <c r="QXX89" s="996"/>
      <c r="QXY89" s="996"/>
      <c r="QXZ89" s="996"/>
      <c r="QYA89" s="996"/>
      <c r="QYB89" s="996"/>
      <c r="QYC89" s="996"/>
      <c r="QYD89" s="996"/>
      <c r="QYE89" s="996"/>
      <c r="QYF89" s="996"/>
      <c r="QYG89" s="996"/>
      <c r="QYH89" s="996"/>
      <c r="QYI89" s="996"/>
      <c r="QYJ89" s="996"/>
      <c r="QYK89" s="996"/>
      <c r="QYL89" s="996"/>
      <c r="QYM89" s="996"/>
      <c r="QYN89" s="996"/>
      <c r="QYO89" s="996"/>
      <c r="QYP89" s="996"/>
      <c r="QYQ89" s="996"/>
      <c r="QYR89" s="996"/>
      <c r="QYS89" s="996"/>
      <c r="QYT89" s="996"/>
      <c r="QYU89" s="996"/>
      <c r="QYV89" s="996"/>
      <c r="QYW89" s="996"/>
      <c r="QYX89" s="996"/>
      <c r="QYY89" s="996"/>
      <c r="QYZ89" s="996"/>
      <c r="QZA89" s="996"/>
      <c r="QZB89" s="996"/>
      <c r="QZC89" s="996"/>
      <c r="QZD89" s="996"/>
      <c r="QZE89" s="996"/>
      <c r="QZF89" s="996"/>
      <c r="QZG89" s="996"/>
      <c r="QZH89" s="996"/>
      <c r="QZI89" s="996"/>
      <c r="QZJ89" s="996"/>
      <c r="QZK89" s="996"/>
      <c r="QZL89" s="996"/>
      <c r="QZM89" s="996"/>
      <c r="QZN89" s="996"/>
      <c r="QZO89" s="996"/>
      <c r="QZP89" s="996"/>
      <c r="QZQ89" s="996"/>
      <c r="QZR89" s="996"/>
      <c r="QZS89" s="996"/>
      <c r="QZT89" s="996"/>
      <c r="QZU89" s="996"/>
      <c r="QZV89" s="996"/>
      <c r="QZW89" s="996"/>
      <c r="QZX89" s="996"/>
      <c r="QZY89" s="996"/>
      <c r="QZZ89" s="996"/>
      <c r="RAA89" s="996"/>
      <c r="RAB89" s="996"/>
      <c r="RAC89" s="996"/>
      <c r="RAD89" s="996"/>
      <c r="RAE89" s="996"/>
      <c r="RAF89" s="996"/>
      <c r="RAG89" s="996"/>
      <c r="RAH89" s="996"/>
      <c r="RAI89" s="996"/>
      <c r="RAJ89" s="996"/>
      <c r="RAK89" s="996"/>
      <c r="RAL89" s="996"/>
      <c r="RAM89" s="996"/>
      <c r="RAN89" s="996"/>
      <c r="RAO89" s="996"/>
      <c r="RAP89" s="996"/>
      <c r="RAQ89" s="996"/>
      <c r="RAR89" s="996"/>
      <c r="RAS89" s="996"/>
      <c r="RAT89" s="996"/>
      <c r="RAU89" s="996"/>
      <c r="RAV89" s="996"/>
      <c r="RAW89" s="996"/>
      <c r="RAX89" s="996"/>
      <c r="RAY89" s="996"/>
      <c r="RAZ89" s="996"/>
      <c r="RBA89" s="996"/>
      <c r="RBB89" s="996"/>
      <c r="RBC89" s="996"/>
      <c r="RBD89" s="996"/>
      <c r="RBE89" s="996"/>
      <c r="RBF89" s="996"/>
      <c r="RBG89" s="996"/>
      <c r="RBH89" s="996"/>
      <c r="RBI89" s="996"/>
      <c r="RBJ89" s="996"/>
      <c r="RBK89" s="996"/>
      <c r="RBL89" s="996"/>
      <c r="RBM89" s="996"/>
      <c r="RBN89" s="996"/>
      <c r="RBO89" s="996"/>
      <c r="RBP89" s="996"/>
      <c r="RBQ89" s="996"/>
      <c r="RBR89" s="996"/>
      <c r="RBS89" s="996"/>
      <c r="RBT89" s="996"/>
      <c r="RBU89" s="996"/>
      <c r="RBV89" s="996"/>
      <c r="RBW89" s="996"/>
      <c r="RBX89" s="996"/>
      <c r="RBY89" s="996"/>
      <c r="RBZ89" s="996"/>
      <c r="RCA89" s="996"/>
      <c r="RCB89" s="996"/>
      <c r="RCC89" s="996"/>
      <c r="RCD89" s="996"/>
      <c r="RCE89" s="996"/>
      <c r="RCF89" s="996"/>
      <c r="RCG89" s="996"/>
      <c r="RCH89" s="996"/>
      <c r="RCI89" s="996"/>
      <c r="RCJ89" s="996"/>
      <c r="RCK89" s="996"/>
      <c r="RCL89" s="996"/>
      <c r="RCM89" s="996"/>
      <c r="RCN89" s="996"/>
      <c r="RCO89" s="996"/>
      <c r="RCP89" s="996"/>
      <c r="RCQ89" s="996"/>
      <c r="RCR89" s="996"/>
      <c r="RCS89" s="996"/>
      <c r="RCT89" s="996"/>
      <c r="RCU89" s="996"/>
      <c r="RCV89" s="996"/>
      <c r="RCW89" s="996"/>
      <c r="RCX89" s="996"/>
      <c r="RCY89" s="996"/>
      <c r="RCZ89" s="996"/>
      <c r="RDA89" s="996"/>
      <c r="RDB89" s="996"/>
      <c r="RDC89" s="996"/>
      <c r="RDD89" s="996"/>
      <c r="RDE89" s="996"/>
      <c r="RDF89" s="996"/>
      <c r="RDG89" s="996"/>
      <c r="RDH89" s="996"/>
      <c r="RDI89" s="996"/>
      <c r="RDJ89" s="996"/>
      <c r="RDK89" s="996"/>
      <c r="RDL89" s="996"/>
      <c r="RDM89" s="996"/>
      <c r="RDN89" s="996"/>
      <c r="RDO89" s="996"/>
      <c r="RDP89" s="996"/>
      <c r="RDQ89" s="996"/>
      <c r="RDR89" s="996"/>
      <c r="RDS89" s="996"/>
      <c r="RDT89" s="996"/>
      <c r="RDU89" s="996"/>
      <c r="RDV89" s="996"/>
      <c r="RDW89" s="996"/>
      <c r="RDX89" s="996"/>
      <c r="RDY89" s="996"/>
      <c r="RDZ89" s="996"/>
      <c r="REA89" s="996"/>
      <c r="REB89" s="996"/>
      <c r="REC89" s="996"/>
      <c r="RED89" s="996"/>
      <c r="REE89" s="996"/>
      <c r="REF89" s="996"/>
      <c r="REG89" s="996"/>
      <c r="REH89" s="996"/>
      <c r="REI89" s="996"/>
      <c r="REJ89" s="996"/>
      <c r="REK89" s="996"/>
      <c r="REL89" s="996"/>
      <c r="REM89" s="996"/>
      <c r="REN89" s="996"/>
      <c r="REO89" s="996"/>
      <c r="REP89" s="996"/>
      <c r="REQ89" s="996"/>
      <c r="RER89" s="996"/>
      <c r="RES89" s="996"/>
      <c r="RET89" s="996"/>
      <c r="REU89" s="996"/>
      <c r="REV89" s="996"/>
      <c r="REW89" s="996"/>
      <c r="REX89" s="996"/>
      <c r="REY89" s="996"/>
      <c r="REZ89" s="996"/>
      <c r="RFA89" s="996"/>
      <c r="RFB89" s="996"/>
      <c r="RFC89" s="996"/>
      <c r="RFD89" s="996"/>
      <c r="RFE89" s="996"/>
      <c r="RFF89" s="996"/>
      <c r="RFG89" s="996"/>
      <c r="RFH89" s="996"/>
      <c r="RFI89" s="996"/>
      <c r="RFJ89" s="996"/>
      <c r="RFK89" s="996"/>
      <c r="RFL89" s="996"/>
      <c r="RFM89" s="996"/>
      <c r="RFN89" s="996"/>
      <c r="RFO89" s="996"/>
      <c r="RFP89" s="996"/>
      <c r="RFQ89" s="996"/>
      <c r="RFR89" s="996"/>
      <c r="RFS89" s="996"/>
      <c r="RFT89" s="996"/>
      <c r="RFU89" s="996"/>
      <c r="RFV89" s="996"/>
      <c r="RFW89" s="996"/>
      <c r="RFX89" s="996"/>
      <c r="RFY89" s="996"/>
      <c r="RFZ89" s="996"/>
      <c r="RGA89" s="996"/>
      <c r="RGB89" s="996"/>
      <c r="RGC89" s="996"/>
      <c r="RGD89" s="996"/>
      <c r="RGE89" s="996"/>
      <c r="RGF89" s="996"/>
      <c r="RGG89" s="996"/>
      <c r="RGH89" s="996"/>
      <c r="RGI89" s="996"/>
      <c r="RGJ89" s="996"/>
      <c r="RGK89" s="996"/>
      <c r="RGL89" s="996"/>
      <c r="RGM89" s="996"/>
      <c r="RGN89" s="996"/>
      <c r="RGO89" s="996"/>
      <c r="RGP89" s="996"/>
      <c r="RGQ89" s="996"/>
      <c r="RGR89" s="996"/>
      <c r="RGS89" s="996"/>
      <c r="RGT89" s="996"/>
      <c r="RGU89" s="996"/>
      <c r="RGV89" s="996"/>
      <c r="RGW89" s="996"/>
      <c r="RGX89" s="996"/>
      <c r="RGY89" s="996"/>
      <c r="RGZ89" s="996"/>
      <c r="RHA89" s="996"/>
      <c r="RHB89" s="996"/>
      <c r="RHC89" s="996"/>
      <c r="RHD89" s="996"/>
      <c r="RHE89" s="996"/>
      <c r="RHF89" s="996"/>
      <c r="RHG89" s="996"/>
      <c r="RHH89" s="996"/>
      <c r="RHI89" s="996"/>
      <c r="RHJ89" s="996"/>
      <c r="RHK89" s="996"/>
      <c r="RHL89" s="996"/>
      <c r="RHM89" s="996"/>
      <c r="RHN89" s="996"/>
      <c r="RHO89" s="996"/>
      <c r="RHP89" s="996"/>
      <c r="RHQ89" s="996"/>
      <c r="RHR89" s="996"/>
      <c r="RHS89" s="996"/>
      <c r="RHT89" s="996"/>
      <c r="RHU89" s="996"/>
      <c r="RHV89" s="996"/>
      <c r="RHW89" s="996"/>
      <c r="RHX89" s="996"/>
      <c r="RHY89" s="996"/>
      <c r="RHZ89" s="996"/>
      <c r="RIA89" s="996"/>
      <c r="RIB89" s="996"/>
      <c r="RIC89" s="996"/>
      <c r="RID89" s="996"/>
      <c r="RIE89" s="996"/>
      <c r="RIF89" s="996"/>
      <c r="RIG89" s="996"/>
      <c r="RIH89" s="996"/>
      <c r="RII89" s="996"/>
      <c r="RIJ89" s="996"/>
      <c r="RIK89" s="996"/>
      <c r="RIL89" s="996"/>
      <c r="RIM89" s="996"/>
      <c r="RIN89" s="996"/>
      <c r="RIO89" s="996"/>
      <c r="RIP89" s="996"/>
      <c r="RIQ89" s="996"/>
      <c r="RIR89" s="996"/>
      <c r="RIS89" s="996"/>
      <c r="RIT89" s="996"/>
      <c r="RIU89" s="996"/>
      <c r="RIV89" s="996"/>
      <c r="RIW89" s="996"/>
      <c r="RIX89" s="996"/>
      <c r="RIY89" s="996"/>
      <c r="RIZ89" s="996"/>
      <c r="RJA89" s="996"/>
      <c r="RJB89" s="996"/>
      <c r="RJC89" s="996"/>
      <c r="RJD89" s="996"/>
      <c r="RJE89" s="996"/>
      <c r="RJF89" s="996"/>
      <c r="RJG89" s="996"/>
      <c r="RJH89" s="996"/>
      <c r="RJI89" s="996"/>
      <c r="RJJ89" s="996"/>
      <c r="RJK89" s="996"/>
      <c r="RJL89" s="996"/>
      <c r="RJM89" s="996"/>
      <c r="RJN89" s="996"/>
      <c r="RJO89" s="996"/>
      <c r="RJP89" s="996"/>
      <c r="RJQ89" s="996"/>
      <c r="RJR89" s="996"/>
      <c r="RJS89" s="996"/>
      <c r="RJT89" s="996"/>
      <c r="RJU89" s="996"/>
      <c r="RJV89" s="996"/>
      <c r="RJW89" s="996"/>
      <c r="RJX89" s="996"/>
      <c r="RJY89" s="996"/>
      <c r="RJZ89" s="996"/>
      <c r="RKA89" s="996"/>
      <c r="RKB89" s="996"/>
      <c r="RKC89" s="996"/>
      <c r="RKD89" s="996"/>
      <c r="RKE89" s="996"/>
      <c r="RKF89" s="996"/>
      <c r="RKG89" s="996"/>
      <c r="RKH89" s="996"/>
      <c r="RKI89" s="996"/>
      <c r="RKJ89" s="996"/>
      <c r="RKK89" s="996"/>
      <c r="RKL89" s="996"/>
      <c r="RKM89" s="996"/>
      <c r="RKN89" s="996"/>
      <c r="RKO89" s="996"/>
      <c r="RKP89" s="996"/>
      <c r="RKQ89" s="996"/>
      <c r="RKR89" s="996"/>
      <c r="RKS89" s="996"/>
      <c r="RKT89" s="996"/>
      <c r="RKU89" s="996"/>
      <c r="RKV89" s="996"/>
      <c r="RKW89" s="996"/>
      <c r="RKX89" s="996"/>
      <c r="RKY89" s="996"/>
      <c r="RKZ89" s="996"/>
      <c r="RLA89" s="996"/>
      <c r="RLB89" s="996"/>
      <c r="RLC89" s="996"/>
      <c r="RLD89" s="996"/>
      <c r="RLE89" s="996"/>
      <c r="RLF89" s="996"/>
      <c r="RLG89" s="996"/>
      <c r="RLH89" s="996"/>
      <c r="RLI89" s="996"/>
      <c r="RLJ89" s="996"/>
      <c r="RLK89" s="996"/>
      <c r="RLL89" s="996"/>
      <c r="RLM89" s="996"/>
      <c r="RLN89" s="996"/>
      <c r="RLO89" s="996"/>
      <c r="RLP89" s="996"/>
      <c r="RLQ89" s="996"/>
      <c r="RLR89" s="996"/>
      <c r="RLS89" s="996"/>
      <c r="RLT89" s="996"/>
      <c r="RLU89" s="996"/>
      <c r="RLV89" s="996"/>
      <c r="RLW89" s="996"/>
      <c r="RLX89" s="996"/>
      <c r="RLY89" s="996"/>
      <c r="RLZ89" s="996"/>
      <c r="RMA89" s="996"/>
      <c r="RMB89" s="996"/>
      <c r="RMC89" s="996"/>
      <c r="RMD89" s="996"/>
      <c r="RME89" s="996"/>
      <c r="RMF89" s="996"/>
      <c r="RMG89" s="996"/>
      <c r="RMH89" s="996"/>
      <c r="RMI89" s="996"/>
      <c r="RMJ89" s="996"/>
      <c r="RMK89" s="996"/>
      <c r="RML89" s="996"/>
      <c r="RMM89" s="996"/>
      <c r="RMN89" s="996"/>
      <c r="RMO89" s="996"/>
      <c r="RMP89" s="996"/>
      <c r="RMQ89" s="996"/>
      <c r="RMR89" s="996"/>
      <c r="RMS89" s="996"/>
      <c r="RMT89" s="996"/>
      <c r="RMU89" s="996"/>
      <c r="RMV89" s="996"/>
      <c r="RMW89" s="996"/>
      <c r="RMX89" s="996"/>
      <c r="RMY89" s="996"/>
      <c r="RMZ89" s="996"/>
      <c r="RNA89" s="996"/>
      <c r="RNB89" s="996"/>
      <c r="RNC89" s="996"/>
      <c r="RND89" s="996"/>
      <c r="RNE89" s="996"/>
      <c r="RNF89" s="996"/>
      <c r="RNG89" s="996"/>
      <c r="RNH89" s="996"/>
      <c r="RNI89" s="996"/>
      <c r="RNJ89" s="996"/>
      <c r="RNK89" s="996"/>
      <c r="RNL89" s="996"/>
      <c r="RNM89" s="996"/>
      <c r="RNN89" s="996"/>
      <c r="RNO89" s="996"/>
      <c r="RNP89" s="996"/>
      <c r="RNQ89" s="996"/>
      <c r="RNR89" s="996"/>
      <c r="RNS89" s="996"/>
      <c r="RNT89" s="996"/>
      <c r="RNU89" s="996"/>
      <c r="RNV89" s="996"/>
      <c r="RNW89" s="996"/>
      <c r="RNX89" s="996"/>
      <c r="RNY89" s="996"/>
      <c r="RNZ89" s="996"/>
      <c r="ROA89" s="996"/>
      <c r="ROB89" s="996"/>
      <c r="ROC89" s="996"/>
      <c r="ROD89" s="996"/>
      <c r="ROE89" s="996"/>
      <c r="ROF89" s="996"/>
      <c r="ROG89" s="996"/>
      <c r="ROH89" s="996"/>
      <c r="ROI89" s="996"/>
      <c r="ROJ89" s="996"/>
      <c r="ROK89" s="996"/>
      <c r="ROL89" s="996"/>
      <c r="ROM89" s="996"/>
      <c r="RON89" s="996"/>
      <c r="ROO89" s="996"/>
      <c r="ROP89" s="996"/>
      <c r="ROQ89" s="996"/>
      <c r="ROR89" s="996"/>
      <c r="ROS89" s="996"/>
      <c r="ROT89" s="996"/>
      <c r="ROU89" s="996"/>
      <c r="ROV89" s="996"/>
      <c r="ROW89" s="996"/>
      <c r="ROX89" s="996"/>
      <c r="ROY89" s="996"/>
      <c r="ROZ89" s="996"/>
      <c r="RPA89" s="996"/>
      <c r="RPB89" s="996"/>
      <c r="RPC89" s="996"/>
      <c r="RPD89" s="996"/>
      <c r="RPE89" s="996"/>
      <c r="RPF89" s="996"/>
      <c r="RPG89" s="996"/>
      <c r="RPH89" s="996"/>
      <c r="RPI89" s="996"/>
      <c r="RPJ89" s="996"/>
      <c r="RPK89" s="996"/>
      <c r="RPL89" s="996"/>
      <c r="RPM89" s="996"/>
      <c r="RPN89" s="996"/>
      <c r="RPO89" s="996"/>
      <c r="RPP89" s="996"/>
      <c r="RPQ89" s="996"/>
      <c r="RPR89" s="996"/>
      <c r="RPS89" s="996"/>
      <c r="RPT89" s="996"/>
      <c r="RPU89" s="996"/>
      <c r="RPV89" s="996"/>
      <c r="RPW89" s="996"/>
      <c r="RPX89" s="996"/>
      <c r="RPY89" s="996"/>
      <c r="RPZ89" s="996"/>
      <c r="RQA89" s="996"/>
      <c r="RQB89" s="996"/>
      <c r="RQC89" s="996"/>
      <c r="RQD89" s="996"/>
      <c r="RQE89" s="996"/>
      <c r="RQF89" s="996"/>
      <c r="RQG89" s="996"/>
      <c r="RQH89" s="996"/>
      <c r="RQI89" s="996"/>
      <c r="RQJ89" s="996"/>
      <c r="RQK89" s="996"/>
      <c r="RQL89" s="996"/>
      <c r="RQM89" s="996"/>
      <c r="RQN89" s="996"/>
      <c r="RQO89" s="996"/>
      <c r="RQP89" s="996"/>
      <c r="RQQ89" s="996"/>
      <c r="RQR89" s="996"/>
      <c r="RQS89" s="996"/>
      <c r="RQT89" s="996"/>
      <c r="RQU89" s="996"/>
      <c r="RQV89" s="996"/>
      <c r="RQW89" s="996"/>
      <c r="RQX89" s="996"/>
      <c r="RQY89" s="996"/>
      <c r="RQZ89" s="996"/>
      <c r="RRA89" s="996"/>
      <c r="RRB89" s="996"/>
      <c r="RRC89" s="996"/>
      <c r="RRD89" s="996"/>
      <c r="RRE89" s="996"/>
      <c r="RRF89" s="996"/>
      <c r="RRG89" s="996"/>
      <c r="RRH89" s="996"/>
      <c r="RRI89" s="996"/>
      <c r="RRJ89" s="996"/>
      <c r="RRK89" s="996"/>
      <c r="RRL89" s="996"/>
      <c r="RRM89" s="996"/>
      <c r="RRN89" s="996"/>
      <c r="RRO89" s="996"/>
      <c r="RRP89" s="996"/>
      <c r="RRQ89" s="996"/>
      <c r="RRR89" s="996"/>
      <c r="RRS89" s="996"/>
      <c r="RRT89" s="996"/>
      <c r="RRU89" s="996"/>
      <c r="RRV89" s="996"/>
      <c r="RRW89" s="996"/>
      <c r="RRX89" s="996"/>
      <c r="RRY89" s="996"/>
      <c r="RRZ89" s="996"/>
      <c r="RSA89" s="996"/>
      <c r="RSB89" s="996"/>
      <c r="RSC89" s="996"/>
      <c r="RSD89" s="996"/>
      <c r="RSE89" s="996"/>
      <c r="RSF89" s="996"/>
      <c r="RSG89" s="996"/>
      <c r="RSH89" s="996"/>
      <c r="RSI89" s="996"/>
      <c r="RSJ89" s="996"/>
      <c r="RSK89" s="996"/>
      <c r="RSL89" s="996"/>
      <c r="RSM89" s="996"/>
      <c r="RSN89" s="996"/>
      <c r="RSO89" s="996"/>
      <c r="RSP89" s="996"/>
      <c r="RSQ89" s="996"/>
      <c r="RSR89" s="996"/>
      <c r="RSS89" s="996"/>
      <c r="RST89" s="996"/>
      <c r="RSU89" s="996"/>
      <c r="RSV89" s="996"/>
      <c r="RSW89" s="996"/>
      <c r="RSX89" s="996"/>
      <c r="RSY89" s="996"/>
      <c r="RSZ89" s="996"/>
      <c r="RTA89" s="996"/>
      <c r="RTB89" s="996"/>
      <c r="RTC89" s="996"/>
      <c r="RTD89" s="996"/>
      <c r="RTE89" s="996"/>
      <c r="RTF89" s="996"/>
      <c r="RTG89" s="996"/>
      <c r="RTH89" s="996"/>
      <c r="RTI89" s="996"/>
      <c r="RTJ89" s="996"/>
      <c r="RTK89" s="996"/>
      <c r="RTL89" s="996"/>
      <c r="RTM89" s="996"/>
      <c r="RTN89" s="996"/>
      <c r="RTO89" s="996"/>
      <c r="RTP89" s="996"/>
      <c r="RTQ89" s="996"/>
      <c r="RTR89" s="996"/>
      <c r="RTS89" s="996"/>
      <c r="RTT89" s="996"/>
      <c r="RTU89" s="996"/>
      <c r="RTV89" s="996"/>
      <c r="RTW89" s="996"/>
      <c r="RTX89" s="996"/>
      <c r="RTY89" s="996"/>
      <c r="RTZ89" s="996"/>
      <c r="RUA89" s="996"/>
      <c r="RUB89" s="996"/>
      <c r="RUC89" s="996"/>
      <c r="RUD89" s="996"/>
      <c r="RUE89" s="996"/>
      <c r="RUF89" s="996"/>
      <c r="RUG89" s="996"/>
      <c r="RUH89" s="996"/>
      <c r="RUI89" s="996"/>
      <c r="RUJ89" s="996"/>
      <c r="RUK89" s="996"/>
      <c r="RUL89" s="996"/>
      <c r="RUM89" s="996"/>
      <c r="RUN89" s="996"/>
      <c r="RUO89" s="996"/>
      <c r="RUP89" s="996"/>
      <c r="RUQ89" s="996"/>
      <c r="RUR89" s="996"/>
      <c r="RUS89" s="996"/>
      <c r="RUT89" s="996"/>
      <c r="RUU89" s="996"/>
      <c r="RUV89" s="996"/>
      <c r="RUW89" s="996"/>
      <c r="RUX89" s="996"/>
      <c r="RUY89" s="996"/>
      <c r="RUZ89" s="996"/>
      <c r="RVA89" s="996"/>
      <c r="RVB89" s="996"/>
      <c r="RVC89" s="996"/>
      <c r="RVD89" s="996"/>
      <c r="RVE89" s="996"/>
      <c r="RVF89" s="996"/>
      <c r="RVG89" s="996"/>
      <c r="RVH89" s="996"/>
      <c r="RVI89" s="996"/>
      <c r="RVJ89" s="996"/>
      <c r="RVK89" s="996"/>
      <c r="RVL89" s="996"/>
      <c r="RVM89" s="996"/>
      <c r="RVN89" s="996"/>
      <c r="RVO89" s="996"/>
      <c r="RVP89" s="996"/>
      <c r="RVQ89" s="996"/>
      <c r="RVR89" s="996"/>
      <c r="RVS89" s="996"/>
      <c r="RVT89" s="996"/>
      <c r="RVU89" s="996"/>
      <c r="RVV89" s="996"/>
      <c r="RVW89" s="996"/>
      <c r="RVX89" s="996"/>
      <c r="RVY89" s="996"/>
      <c r="RVZ89" s="996"/>
      <c r="RWA89" s="996"/>
      <c r="RWB89" s="996"/>
      <c r="RWC89" s="996"/>
      <c r="RWD89" s="996"/>
      <c r="RWE89" s="996"/>
      <c r="RWF89" s="996"/>
      <c r="RWG89" s="996"/>
      <c r="RWH89" s="996"/>
      <c r="RWI89" s="996"/>
      <c r="RWJ89" s="996"/>
      <c r="RWK89" s="996"/>
      <c r="RWL89" s="996"/>
      <c r="RWM89" s="996"/>
      <c r="RWN89" s="996"/>
      <c r="RWO89" s="996"/>
      <c r="RWP89" s="996"/>
      <c r="RWQ89" s="996"/>
      <c r="RWR89" s="996"/>
      <c r="RWS89" s="996"/>
      <c r="RWT89" s="996"/>
      <c r="RWU89" s="996"/>
      <c r="RWV89" s="996"/>
      <c r="RWW89" s="996"/>
      <c r="RWX89" s="996"/>
      <c r="RWY89" s="996"/>
      <c r="RWZ89" s="996"/>
      <c r="RXA89" s="996"/>
      <c r="RXB89" s="996"/>
      <c r="RXC89" s="996"/>
      <c r="RXD89" s="996"/>
      <c r="RXE89" s="996"/>
      <c r="RXF89" s="996"/>
      <c r="RXG89" s="996"/>
      <c r="RXH89" s="996"/>
      <c r="RXI89" s="996"/>
      <c r="RXJ89" s="996"/>
      <c r="RXK89" s="996"/>
      <c r="RXL89" s="996"/>
      <c r="RXM89" s="996"/>
      <c r="RXN89" s="996"/>
      <c r="RXO89" s="996"/>
      <c r="RXP89" s="996"/>
      <c r="RXQ89" s="996"/>
      <c r="RXR89" s="996"/>
      <c r="RXS89" s="996"/>
      <c r="RXT89" s="996"/>
      <c r="RXU89" s="996"/>
      <c r="RXV89" s="996"/>
      <c r="RXW89" s="996"/>
      <c r="RXX89" s="996"/>
      <c r="RXY89" s="996"/>
      <c r="RXZ89" s="996"/>
      <c r="RYA89" s="996"/>
      <c r="RYB89" s="996"/>
      <c r="RYC89" s="996"/>
      <c r="RYD89" s="996"/>
      <c r="RYE89" s="996"/>
      <c r="RYF89" s="996"/>
      <c r="RYG89" s="996"/>
      <c r="RYH89" s="996"/>
      <c r="RYI89" s="996"/>
      <c r="RYJ89" s="996"/>
      <c r="RYK89" s="996"/>
      <c r="RYL89" s="996"/>
      <c r="RYM89" s="996"/>
      <c r="RYN89" s="996"/>
      <c r="RYO89" s="996"/>
      <c r="RYP89" s="996"/>
      <c r="RYQ89" s="996"/>
      <c r="RYR89" s="996"/>
      <c r="RYS89" s="996"/>
      <c r="RYT89" s="996"/>
      <c r="RYU89" s="996"/>
      <c r="RYV89" s="996"/>
      <c r="RYW89" s="996"/>
      <c r="RYX89" s="996"/>
      <c r="RYY89" s="996"/>
      <c r="RYZ89" s="996"/>
      <c r="RZA89" s="996"/>
      <c r="RZB89" s="996"/>
      <c r="RZC89" s="996"/>
      <c r="RZD89" s="996"/>
      <c r="RZE89" s="996"/>
      <c r="RZF89" s="996"/>
      <c r="RZG89" s="996"/>
      <c r="RZH89" s="996"/>
      <c r="RZI89" s="996"/>
      <c r="RZJ89" s="996"/>
      <c r="RZK89" s="996"/>
      <c r="RZL89" s="996"/>
      <c r="RZM89" s="996"/>
      <c r="RZN89" s="996"/>
      <c r="RZO89" s="996"/>
      <c r="RZP89" s="996"/>
      <c r="RZQ89" s="996"/>
      <c r="RZR89" s="996"/>
      <c r="RZS89" s="996"/>
      <c r="RZT89" s="996"/>
      <c r="RZU89" s="996"/>
      <c r="RZV89" s="996"/>
      <c r="RZW89" s="996"/>
      <c r="RZX89" s="996"/>
      <c r="RZY89" s="996"/>
      <c r="RZZ89" s="996"/>
      <c r="SAA89" s="996"/>
      <c r="SAB89" s="996"/>
      <c r="SAC89" s="996"/>
      <c r="SAD89" s="996"/>
      <c r="SAE89" s="996"/>
      <c r="SAF89" s="996"/>
      <c r="SAG89" s="996"/>
      <c r="SAH89" s="996"/>
      <c r="SAI89" s="996"/>
      <c r="SAJ89" s="996"/>
      <c r="SAK89" s="996"/>
      <c r="SAL89" s="996"/>
      <c r="SAM89" s="996"/>
      <c r="SAN89" s="996"/>
      <c r="SAO89" s="996"/>
      <c r="SAP89" s="996"/>
      <c r="SAQ89" s="996"/>
      <c r="SAR89" s="996"/>
      <c r="SAS89" s="996"/>
      <c r="SAT89" s="996"/>
      <c r="SAU89" s="996"/>
      <c r="SAV89" s="996"/>
      <c r="SAW89" s="996"/>
      <c r="SAX89" s="996"/>
      <c r="SAY89" s="996"/>
      <c r="SAZ89" s="996"/>
      <c r="SBA89" s="996"/>
      <c r="SBB89" s="996"/>
      <c r="SBC89" s="996"/>
      <c r="SBD89" s="996"/>
      <c r="SBE89" s="996"/>
      <c r="SBF89" s="996"/>
      <c r="SBG89" s="996"/>
      <c r="SBH89" s="996"/>
      <c r="SBI89" s="996"/>
      <c r="SBJ89" s="996"/>
      <c r="SBK89" s="996"/>
      <c r="SBL89" s="996"/>
      <c r="SBM89" s="996"/>
      <c r="SBN89" s="996"/>
      <c r="SBO89" s="996"/>
      <c r="SBP89" s="996"/>
      <c r="SBQ89" s="996"/>
      <c r="SBR89" s="996"/>
      <c r="SBS89" s="996"/>
      <c r="SBT89" s="996"/>
      <c r="SBU89" s="996"/>
      <c r="SBV89" s="996"/>
      <c r="SBW89" s="996"/>
      <c r="SBX89" s="996"/>
      <c r="SBY89" s="996"/>
      <c r="SBZ89" s="996"/>
      <c r="SCA89" s="996"/>
      <c r="SCB89" s="996"/>
      <c r="SCC89" s="996"/>
      <c r="SCD89" s="996"/>
      <c r="SCE89" s="996"/>
      <c r="SCF89" s="996"/>
      <c r="SCG89" s="996"/>
      <c r="SCH89" s="996"/>
      <c r="SCI89" s="996"/>
      <c r="SCJ89" s="996"/>
      <c r="SCK89" s="996"/>
      <c r="SCL89" s="996"/>
      <c r="SCM89" s="996"/>
      <c r="SCN89" s="996"/>
      <c r="SCO89" s="996"/>
      <c r="SCP89" s="996"/>
      <c r="SCQ89" s="996"/>
      <c r="SCR89" s="996"/>
      <c r="SCS89" s="996"/>
      <c r="SCT89" s="996"/>
      <c r="SCU89" s="996"/>
      <c r="SCV89" s="996"/>
      <c r="SCW89" s="996"/>
      <c r="SCX89" s="996"/>
      <c r="SCY89" s="996"/>
      <c r="SCZ89" s="996"/>
      <c r="SDA89" s="996"/>
      <c r="SDB89" s="996"/>
      <c r="SDC89" s="996"/>
      <c r="SDD89" s="996"/>
      <c r="SDE89" s="996"/>
      <c r="SDF89" s="996"/>
      <c r="SDG89" s="996"/>
      <c r="SDH89" s="996"/>
      <c r="SDI89" s="996"/>
      <c r="SDJ89" s="996"/>
      <c r="SDK89" s="996"/>
      <c r="SDL89" s="996"/>
      <c r="SDM89" s="996"/>
      <c r="SDN89" s="996"/>
      <c r="SDO89" s="996"/>
      <c r="SDP89" s="996"/>
      <c r="SDQ89" s="996"/>
      <c r="SDR89" s="996"/>
      <c r="SDS89" s="996"/>
      <c r="SDT89" s="996"/>
      <c r="SDU89" s="996"/>
      <c r="SDV89" s="996"/>
      <c r="SDW89" s="996"/>
      <c r="SDX89" s="996"/>
      <c r="SDY89" s="996"/>
      <c r="SDZ89" s="996"/>
      <c r="SEA89" s="996"/>
      <c r="SEB89" s="996"/>
      <c r="SEC89" s="996"/>
      <c r="SED89" s="996"/>
      <c r="SEE89" s="996"/>
      <c r="SEF89" s="996"/>
      <c r="SEG89" s="996"/>
      <c r="SEH89" s="996"/>
      <c r="SEI89" s="996"/>
      <c r="SEJ89" s="996"/>
      <c r="SEK89" s="996"/>
      <c r="SEL89" s="996"/>
      <c r="SEM89" s="996"/>
      <c r="SEN89" s="996"/>
      <c r="SEO89" s="996"/>
      <c r="SEP89" s="996"/>
      <c r="SEQ89" s="996"/>
      <c r="SER89" s="996"/>
      <c r="SES89" s="996"/>
      <c r="SET89" s="996"/>
      <c r="SEU89" s="996"/>
      <c r="SEV89" s="996"/>
      <c r="SEW89" s="996"/>
      <c r="SEX89" s="996"/>
      <c r="SEY89" s="996"/>
      <c r="SEZ89" s="996"/>
      <c r="SFA89" s="996"/>
      <c r="SFB89" s="996"/>
      <c r="SFC89" s="996"/>
      <c r="SFD89" s="996"/>
      <c r="SFE89" s="996"/>
      <c r="SFF89" s="996"/>
      <c r="SFG89" s="996"/>
      <c r="SFH89" s="996"/>
      <c r="SFI89" s="996"/>
      <c r="SFJ89" s="996"/>
      <c r="SFK89" s="996"/>
      <c r="SFL89" s="996"/>
      <c r="SFM89" s="996"/>
      <c r="SFN89" s="996"/>
      <c r="SFO89" s="996"/>
      <c r="SFP89" s="996"/>
      <c r="SFQ89" s="996"/>
      <c r="SFR89" s="996"/>
      <c r="SFS89" s="996"/>
      <c r="SFT89" s="996"/>
      <c r="SFU89" s="996"/>
      <c r="SFV89" s="996"/>
      <c r="SFW89" s="996"/>
      <c r="SFX89" s="996"/>
      <c r="SFY89" s="996"/>
      <c r="SFZ89" s="996"/>
      <c r="SGA89" s="996"/>
      <c r="SGB89" s="996"/>
      <c r="SGC89" s="996"/>
      <c r="SGD89" s="996"/>
      <c r="SGE89" s="996"/>
      <c r="SGF89" s="996"/>
      <c r="SGG89" s="996"/>
      <c r="SGH89" s="996"/>
      <c r="SGI89" s="996"/>
      <c r="SGJ89" s="996"/>
      <c r="SGK89" s="996"/>
      <c r="SGL89" s="996"/>
      <c r="SGM89" s="996"/>
      <c r="SGN89" s="996"/>
      <c r="SGO89" s="996"/>
      <c r="SGP89" s="996"/>
      <c r="SGQ89" s="996"/>
      <c r="SGR89" s="996"/>
      <c r="SGS89" s="996"/>
      <c r="SGT89" s="996"/>
      <c r="SGU89" s="996"/>
      <c r="SGV89" s="996"/>
      <c r="SGW89" s="996"/>
      <c r="SGX89" s="996"/>
      <c r="SGY89" s="996"/>
      <c r="SGZ89" s="996"/>
      <c r="SHA89" s="996"/>
      <c r="SHB89" s="996"/>
      <c r="SHC89" s="996"/>
      <c r="SHD89" s="996"/>
      <c r="SHE89" s="996"/>
      <c r="SHF89" s="996"/>
      <c r="SHG89" s="996"/>
      <c r="SHH89" s="996"/>
      <c r="SHI89" s="996"/>
      <c r="SHJ89" s="996"/>
      <c r="SHK89" s="996"/>
      <c r="SHL89" s="996"/>
      <c r="SHM89" s="996"/>
      <c r="SHN89" s="996"/>
      <c r="SHO89" s="996"/>
      <c r="SHP89" s="996"/>
      <c r="SHQ89" s="996"/>
      <c r="SHR89" s="996"/>
      <c r="SHS89" s="996"/>
      <c r="SHT89" s="996"/>
      <c r="SHU89" s="996"/>
      <c r="SHV89" s="996"/>
      <c r="SHW89" s="996"/>
      <c r="SHX89" s="996"/>
      <c r="SHY89" s="996"/>
      <c r="SHZ89" s="996"/>
      <c r="SIA89" s="996"/>
      <c r="SIB89" s="996"/>
      <c r="SIC89" s="996"/>
      <c r="SID89" s="996"/>
      <c r="SIE89" s="996"/>
      <c r="SIF89" s="996"/>
      <c r="SIG89" s="996"/>
      <c r="SIH89" s="996"/>
      <c r="SII89" s="996"/>
      <c r="SIJ89" s="996"/>
      <c r="SIK89" s="996"/>
      <c r="SIL89" s="996"/>
      <c r="SIM89" s="996"/>
      <c r="SIN89" s="996"/>
      <c r="SIO89" s="996"/>
      <c r="SIP89" s="996"/>
      <c r="SIQ89" s="996"/>
      <c r="SIR89" s="996"/>
      <c r="SIS89" s="996"/>
      <c r="SIT89" s="996"/>
      <c r="SIU89" s="996"/>
      <c r="SIV89" s="996"/>
      <c r="SIW89" s="996"/>
      <c r="SIX89" s="996"/>
      <c r="SIY89" s="996"/>
      <c r="SIZ89" s="996"/>
      <c r="SJA89" s="996"/>
      <c r="SJB89" s="996"/>
      <c r="SJC89" s="996"/>
      <c r="SJD89" s="996"/>
      <c r="SJE89" s="996"/>
      <c r="SJF89" s="996"/>
      <c r="SJG89" s="996"/>
      <c r="SJH89" s="996"/>
      <c r="SJI89" s="996"/>
      <c r="SJJ89" s="996"/>
      <c r="SJK89" s="996"/>
      <c r="SJL89" s="996"/>
      <c r="SJM89" s="996"/>
      <c r="SJN89" s="996"/>
      <c r="SJO89" s="996"/>
      <c r="SJP89" s="996"/>
      <c r="SJQ89" s="996"/>
      <c r="SJR89" s="996"/>
      <c r="SJS89" s="996"/>
      <c r="SJT89" s="996"/>
      <c r="SJU89" s="996"/>
      <c r="SJV89" s="996"/>
      <c r="SJW89" s="996"/>
      <c r="SJX89" s="996"/>
      <c r="SJY89" s="996"/>
      <c r="SJZ89" s="996"/>
      <c r="SKA89" s="996"/>
      <c r="SKB89" s="996"/>
      <c r="SKC89" s="996"/>
      <c r="SKD89" s="996"/>
      <c r="SKE89" s="996"/>
      <c r="SKF89" s="996"/>
      <c r="SKG89" s="996"/>
      <c r="SKH89" s="996"/>
      <c r="SKI89" s="996"/>
      <c r="SKJ89" s="996"/>
      <c r="SKK89" s="996"/>
      <c r="SKL89" s="996"/>
      <c r="SKM89" s="996"/>
      <c r="SKN89" s="996"/>
      <c r="SKO89" s="996"/>
      <c r="SKP89" s="996"/>
      <c r="SKQ89" s="996"/>
      <c r="SKR89" s="996"/>
      <c r="SKS89" s="996"/>
      <c r="SKT89" s="996"/>
      <c r="SKU89" s="996"/>
      <c r="SKV89" s="996"/>
      <c r="SKW89" s="996"/>
      <c r="SKX89" s="996"/>
      <c r="SKY89" s="996"/>
      <c r="SKZ89" s="996"/>
      <c r="SLA89" s="996"/>
      <c r="SLB89" s="996"/>
      <c r="SLC89" s="996"/>
      <c r="SLD89" s="996"/>
      <c r="SLE89" s="996"/>
      <c r="SLF89" s="996"/>
      <c r="SLG89" s="996"/>
      <c r="SLH89" s="996"/>
      <c r="SLI89" s="996"/>
      <c r="SLJ89" s="996"/>
      <c r="SLK89" s="996"/>
      <c r="SLL89" s="996"/>
      <c r="SLM89" s="996"/>
      <c r="SLN89" s="996"/>
      <c r="SLO89" s="996"/>
      <c r="SLP89" s="996"/>
      <c r="SLQ89" s="996"/>
      <c r="SLR89" s="996"/>
      <c r="SLS89" s="996"/>
      <c r="SLT89" s="996"/>
      <c r="SLU89" s="996"/>
      <c r="SLV89" s="996"/>
      <c r="SLW89" s="996"/>
      <c r="SLX89" s="996"/>
      <c r="SLY89" s="996"/>
      <c r="SLZ89" s="996"/>
      <c r="SMA89" s="996"/>
      <c r="SMB89" s="996"/>
      <c r="SMC89" s="996"/>
      <c r="SMD89" s="996"/>
      <c r="SME89" s="996"/>
      <c r="SMF89" s="996"/>
      <c r="SMG89" s="996"/>
      <c r="SMH89" s="996"/>
      <c r="SMI89" s="996"/>
      <c r="SMJ89" s="996"/>
      <c r="SMK89" s="996"/>
      <c r="SML89" s="996"/>
      <c r="SMM89" s="996"/>
      <c r="SMN89" s="996"/>
      <c r="SMO89" s="996"/>
      <c r="SMP89" s="996"/>
      <c r="SMQ89" s="996"/>
      <c r="SMR89" s="996"/>
      <c r="SMS89" s="996"/>
      <c r="SMT89" s="996"/>
      <c r="SMU89" s="996"/>
      <c r="SMV89" s="996"/>
      <c r="SMW89" s="996"/>
      <c r="SMX89" s="996"/>
      <c r="SMY89" s="996"/>
      <c r="SMZ89" s="996"/>
      <c r="SNA89" s="996"/>
      <c r="SNB89" s="996"/>
      <c r="SNC89" s="996"/>
      <c r="SND89" s="996"/>
      <c r="SNE89" s="996"/>
      <c r="SNF89" s="996"/>
      <c r="SNG89" s="996"/>
      <c r="SNH89" s="996"/>
      <c r="SNI89" s="996"/>
      <c r="SNJ89" s="996"/>
      <c r="SNK89" s="996"/>
      <c r="SNL89" s="996"/>
      <c r="SNM89" s="996"/>
      <c r="SNN89" s="996"/>
      <c r="SNO89" s="996"/>
      <c r="SNP89" s="996"/>
      <c r="SNQ89" s="996"/>
      <c r="SNR89" s="996"/>
      <c r="SNS89" s="996"/>
      <c r="SNT89" s="996"/>
      <c r="SNU89" s="996"/>
      <c r="SNV89" s="996"/>
      <c r="SNW89" s="996"/>
      <c r="SNX89" s="996"/>
      <c r="SNY89" s="996"/>
      <c r="SNZ89" s="996"/>
      <c r="SOA89" s="996"/>
      <c r="SOB89" s="996"/>
      <c r="SOC89" s="996"/>
      <c r="SOD89" s="996"/>
      <c r="SOE89" s="996"/>
      <c r="SOF89" s="996"/>
      <c r="SOG89" s="996"/>
      <c r="SOH89" s="996"/>
      <c r="SOI89" s="996"/>
      <c r="SOJ89" s="996"/>
      <c r="SOK89" s="996"/>
      <c r="SOL89" s="996"/>
      <c r="SOM89" s="996"/>
      <c r="SON89" s="996"/>
      <c r="SOO89" s="996"/>
      <c r="SOP89" s="996"/>
      <c r="SOQ89" s="996"/>
      <c r="SOR89" s="996"/>
      <c r="SOS89" s="996"/>
      <c r="SOT89" s="996"/>
      <c r="SOU89" s="996"/>
      <c r="SOV89" s="996"/>
      <c r="SOW89" s="996"/>
      <c r="SOX89" s="996"/>
      <c r="SOY89" s="996"/>
      <c r="SOZ89" s="996"/>
      <c r="SPA89" s="996"/>
      <c r="SPB89" s="996"/>
      <c r="SPC89" s="996"/>
      <c r="SPD89" s="996"/>
      <c r="SPE89" s="996"/>
      <c r="SPF89" s="996"/>
      <c r="SPG89" s="996"/>
      <c r="SPH89" s="996"/>
      <c r="SPI89" s="996"/>
      <c r="SPJ89" s="996"/>
      <c r="SPK89" s="996"/>
      <c r="SPL89" s="996"/>
      <c r="SPM89" s="996"/>
      <c r="SPN89" s="996"/>
      <c r="SPO89" s="996"/>
      <c r="SPP89" s="996"/>
      <c r="SPQ89" s="996"/>
      <c r="SPR89" s="996"/>
      <c r="SPS89" s="996"/>
      <c r="SPT89" s="996"/>
      <c r="SPU89" s="996"/>
      <c r="SPV89" s="996"/>
      <c r="SPW89" s="996"/>
      <c r="SPX89" s="996"/>
      <c r="SPY89" s="996"/>
      <c r="SPZ89" s="996"/>
      <c r="SQA89" s="996"/>
      <c r="SQB89" s="996"/>
      <c r="SQC89" s="996"/>
      <c r="SQD89" s="996"/>
      <c r="SQE89" s="996"/>
      <c r="SQF89" s="996"/>
      <c r="SQG89" s="996"/>
      <c r="SQH89" s="996"/>
      <c r="SQI89" s="996"/>
      <c r="SQJ89" s="996"/>
      <c r="SQK89" s="996"/>
      <c r="SQL89" s="996"/>
      <c r="SQM89" s="996"/>
      <c r="SQN89" s="996"/>
      <c r="SQO89" s="996"/>
      <c r="SQP89" s="996"/>
      <c r="SQQ89" s="996"/>
      <c r="SQR89" s="996"/>
      <c r="SQS89" s="996"/>
      <c r="SQT89" s="996"/>
      <c r="SQU89" s="996"/>
      <c r="SQV89" s="996"/>
      <c r="SQW89" s="996"/>
      <c r="SQX89" s="996"/>
      <c r="SQY89" s="996"/>
      <c r="SQZ89" s="996"/>
      <c r="SRA89" s="996"/>
      <c r="SRB89" s="996"/>
      <c r="SRC89" s="996"/>
      <c r="SRD89" s="996"/>
      <c r="SRE89" s="996"/>
      <c r="SRF89" s="996"/>
      <c r="SRG89" s="996"/>
      <c r="SRH89" s="996"/>
      <c r="SRI89" s="996"/>
      <c r="SRJ89" s="996"/>
      <c r="SRK89" s="996"/>
      <c r="SRL89" s="996"/>
      <c r="SRM89" s="996"/>
      <c r="SRN89" s="996"/>
      <c r="SRO89" s="996"/>
      <c r="SRP89" s="996"/>
      <c r="SRQ89" s="996"/>
      <c r="SRR89" s="996"/>
      <c r="SRS89" s="996"/>
      <c r="SRT89" s="996"/>
      <c r="SRU89" s="996"/>
      <c r="SRV89" s="996"/>
      <c r="SRW89" s="996"/>
      <c r="SRX89" s="996"/>
      <c r="SRY89" s="996"/>
      <c r="SRZ89" s="996"/>
      <c r="SSA89" s="996"/>
      <c r="SSB89" s="996"/>
      <c r="SSC89" s="996"/>
      <c r="SSD89" s="996"/>
      <c r="SSE89" s="996"/>
      <c r="SSF89" s="996"/>
      <c r="SSG89" s="996"/>
      <c r="SSH89" s="996"/>
      <c r="SSI89" s="996"/>
      <c r="SSJ89" s="996"/>
      <c r="SSK89" s="996"/>
      <c r="SSL89" s="996"/>
      <c r="SSM89" s="996"/>
      <c r="SSN89" s="996"/>
      <c r="SSO89" s="996"/>
      <c r="SSP89" s="996"/>
      <c r="SSQ89" s="996"/>
      <c r="SSR89" s="996"/>
      <c r="SSS89" s="996"/>
      <c r="SST89" s="996"/>
      <c r="SSU89" s="996"/>
      <c r="SSV89" s="996"/>
      <c r="SSW89" s="996"/>
      <c r="SSX89" s="996"/>
      <c r="SSY89" s="996"/>
      <c r="SSZ89" s="996"/>
      <c r="STA89" s="996"/>
      <c r="STB89" s="996"/>
      <c r="STC89" s="996"/>
      <c r="STD89" s="996"/>
      <c r="STE89" s="996"/>
      <c r="STF89" s="996"/>
      <c r="STG89" s="996"/>
      <c r="STH89" s="996"/>
      <c r="STI89" s="996"/>
      <c r="STJ89" s="996"/>
      <c r="STK89" s="996"/>
      <c r="STL89" s="996"/>
      <c r="STM89" s="996"/>
      <c r="STN89" s="996"/>
      <c r="STO89" s="996"/>
      <c r="STP89" s="996"/>
      <c r="STQ89" s="996"/>
      <c r="STR89" s="996"/>
      <c r="STS89" s="996"/>
      <c r="STT89" s="996"/>
      <c r="STU89" s="996"/>
      <c r="STV89" s="996"/>
      <c r="STW89" s="996"/>
      <c r="STX89" s="996"/>
      <c r="STY89" s="996"/>
      <c r="STZ89" s="996"/>
      <c r="SUA89" s="996"/>
      <c r="SUB89" s="996"/>
      <c r="SUC89" s="996"/>
      <c r="SUD89" s="996"/>
      <c r="SUE89" s="996"/>
      <c r="SUF89" s="996"/>
      <c r="SUG89" s="996"/>
      <c r="SUH89" s="996"/>
      <c r="SUI89" s="996"/>
      <c r="SUJ89" s="996"/>
      <c r="SUK89" s="996"/>
      <c r="SUL89" s="996"/>
      <c r="SUM89" s="996"/>
      <c r="SUN89" s="996"/>
      <c r="SUO89" s="996"/>
      <c r="SUP89" s="996"/>
      <c r="SUQ89" s="996"/>
      <c r="SUR89" s="996"/>
      <c r="SUS89" s="996"/>
      <c r="SUT89" s="996"/>
      <c r="SUU89" s="996"/>
      <c r="SUV89" s="996"/>
      <c r="SUW89" s="996"/>
      <c r="SUX89" s="996"/>
      <c r="SUY89" s="996"/>
      <c r="SUZ89" s="996"/>
      <c r="SVA89" s="996"/>
      <c r="SVB89" s="996"/>
      <c r="SVC89" s="996"/>
      <c r="SVD89" s="996"/>
      <c r="SVE89" s="996"/>
      <c r="SVF89" s="996"/>
      <c r="SVG89" s="996"/>
      <c r="SVH89" s="996"/>
      <c r="SVI89" s="996"/>
      <c r="SVJ89" s="996"/>
      <c r="SVK89" s="996"/>
      <c r="SVL89" s="996"/>
      <c r="SVM89" s="996"/>
      <c r="SVN89" s="996"/>
      <c r="SVO89" s="996"/>
      <c r="SVP89" s="996"/>
      <c r="SVQ89" s="996"/>
      <c r="SVR89" s="996"/>
      <c r="SVS89" s="996"/>
      <c r="SVT89" s="996"/>
      <c r="SVU89" s="996"/>
      <c r="SVV89" s="996"/>
      <c r="SVW89" s="996"/>
      <c r="SVX89" s="996"/>
      <c r="SVY89" s="996"/>
      <c r="SVZ89" s="996"/>
      <c r="SWA89" s="996"/>
      <c r="SWB89" s="996"/>
      <c r="SWC89" s="996"/>
      <c r="SWD89" s="996"/>
      <c r="SWE89" s="996"/>
      <c r="SWF89" s="996"/>
      <c r="SWG89" s="996"/>
      <c r="SWH89" s="996"/>
      <c r="SWI89" s="996"/>
      <c r="SWJ89" s="996"/>
      <c r="SWK89" s="996"/>
      <c r="SWL89" s="996"/>
      <c r="SWM89" s="996"/>
      <c r="SWN89" s="996"/>
      <c r="SWO89" s="996"/>
      <c r="SWP89" s="996"/>
      <c r="SWQ89" s="996"/>
      <c r="SWR89" s="996"/>
      <c r="SWS89" s="996"/>
      <c r="SWT89" s="996"/>
      <c r="SWU89" s="996"/>
      <c r="SWV89" s="996"/>
      <c r="SWW89" s="996"/>
      <c r="SWX89" s="996"/>
      <c r="SWY89" s="996"/>
      <c r="SWZ89" s="996"/>
      <c r="SXA89" s="996"/>
      <c r="SXB89" s="996"/>
      <c r="SXC89" s="996"/>
      <c r="SXD89" s="996"/>
      <c r="SXE89" s="996"/>
      <c r="SXF89" s="996"/>
      <c r="SXG89" s="996"/>
      <c r="SXH89" s="996"/>
      <c r="SXI89" s="996"/>
      <c r="SXJ89" s="996"/>
      <c r="SXK89" s="996"/>
      <c r="SXL89" s="996"/>
      <c r="SXM89" s="996"/>
      <c r="SXN89" s="996"/>
      <c r="SXO89" s="996"/>
      <c r="SXP89" s="996"/>
      <c r="SXQ89" s="996"/>
      <c r="SXR89" s="996"/>
      <c r="SXS89" s="996"/>
      <c r="SXT89" s="996"/>
      <c r="SXU89" s="996"/>
      <c r="SXV89" s="996"/>
      <c r="SXW89" s="996"/>
      <c r="SXX89" s="996"/>
      <c r="SXY89" s="996"/>
      <c r="SXZ89" s="996"/>
      <c r="SYA89" s="996"/>
      <c r="SYB89" s="996"/>
      <c r="SYC89" s="996"/>
      <c r="SYD89" s="996"/>
      <c r="SYE89" s="996"/>
      <c r="SYF89" s="996"/>
      <c r="SYG89" s="996"/>
      <c r="SYH89" s="996"/>
      <c r="SYI89" s="996"/>
      <c r="SYJ89" s="996"/>
      <c r="SYK89" s="996"/>
      <c r="SYL89" s="996"/>
      <c r="SYM89" s="996"/>
      <c r="SYN89" s="996"/>
      <c r="SYO89" s="996"/>
      <c r="SYP89" s="996"/>
      <c r="SYQ89" s="996"/>
      <c r="SYR89" s="996"/>
      <c r="SYS89" s="996"/>
      <c r="SYT89" s="996"/>
      <c r="SYU89" s="996"/>
      <c r="SYV89" s="996"/>
      <c r="SYW89" s="996"/>
      <c r="SYX89" s="996"/>
      <c r="SYY89" s="996"/>
      <c r="SYZ89" s="996"/>
      <c r="SZA89" s="996"/>
      <c r="SZB89" s="996"/>
      <c r="SZC89" s="996"/>
      <c r="SZD89" s="996"/>
      <c r="SZE89" s="996"/>
      <c r="SZF89" s="996"/>
      <c r="SZG89" s="996"/>
      <c r="SZH89" s="996"/>
      <c r="SZI89" s="996"/>
      <c r="SZJ89" s="996"/>
      <c r="SZK89" s="996"/>
      <c r="SZL89" s="996"/>
      <c r="SZM89" s="996"/>
      <c r="SZN89" s="996"/>
      <c r="SZO89" s="996"/>
      <c r="SZP89" s="996"/>
      <c r="SZQ89" s="996"/>
      <c r="SZR89" s="996"/>
      <c r="SZS89" s="996"/>
      <c r="SZT89" s="996"/>
      <c r="SZU89" s="996"/>
      <c r="SZV89" s="996"/>
      <c r="SZW89" s="996"/>
      <c r="SZX89" s="996"/>
      <c r="SZY89" s="996"/>
      <c r="SZZ89" s="996"/>
      <c r="TAA89" s="996"/>
      <c r="TAB89" s="996"/>
      <c r="TAC89" s="996"/>
      <c r="TAD89" s="996"/>
      <c r="TAE89" s="996"/>
      <c r="TAF89" s="996"/>
      <c r="TAG89" s="996"/>
      <c r="TAH89" s="996"/>
      <c r="TAI89" s="996"/>
      <c r="TAJ89" s="996"/>
      <c r="TAK89" s="996"/>
      <c r="TAL89" s="996"/>
      <c r="TAM89" s="996"/>
      <c r="TAN89" s="996"/>
      <c r="TAO89" s="996"/>
      <c r="TAP89" s="996"/>
      <c r="TAQ89" s="996"/>
      <c r="TAR89" s="996"/>
      <c r="TAS89" s="996"/>
      <c r="TAT89" s="996"/>
      <c r="TAU89" s="996"/>
      <c r="TAV89" s="996"/>
      <c r="TAW89" s="996"/>
      <c r="TAX89" s="996"/>
      <c r="TAY89" s="996"/>
      <c r="TAZ89" s="996"/>
      <c r="TBA89" s="996"/>
      <c r="TBB89" s="996"/>
      <c r="TBC89" s="996"/>
      <c r="TBD89" s="996"/>
      <c r="TBE89" s="996"/>
      <c r="TBF89" s="996"/>
      <c r="TBG89" s="996"/>
      <c r="TBH89" s="996"/>
      <c r="TBI89" s="996"/>
      <c r="TBJ89" s="996"/>
      <c r="TBK89" s="996"/>
      <c r="TBL89" s="996"/>
      <c r="TBM89" s="996"/>
      <c r="TBN89" s="996"/>
      <c r="TBO89" s="996"/>
      <c r="TBP89" s="996"/>
      <c r="TBQ89" s="996"/>
      <c r="TBR89" s="996"/>
      <c r="TBS89" s="996"/>
      <c r="TBT89" s="996"/>
      <c r="TBU89" s="996"/>
      <c r="TBV89" s="996"/>
      <c r="TBW89" s="996"/>
      <c r="TBX89" s="996"/>
      <c r="TBY89" s="996"/>
      <c r="TBZ89" s="996"/>
      <c r="TCA89" s="996"/>
      <c r="TCB89" s="996"/>
      <c r="TCC89" s="996"/>
      <c r="TCD89" s="996"/>
      <c r="TCE89" s="996"/>
      <c r="TCF89" s="996"/>
      <c r="TCG89" s="996"/>
      <c r="TCH89" s="996"/>
      <c r="TCI89" s="996"/>
      <c r="TCJ89" s="996"/>
      <c r="TCK89" s="996"/>
      <c r="TCL89" s="996"/>
      <c r="TCM89" s="996"/>
      <c r="TCN89" s="996"/>
      <c r="TCO89" s="996"/>
      <c r="TCP89" s="996"/>
      <c r="TCQ89" s="996"/>
      <c r="TCR89" s="996"/>
      <c r="TCS89" s="996"/>
      <c r="TCT89" s="996"/>
      <c r="TCU89" s="996"/>
      <c r="TCV89" s="996"/>
      <c r="TCW89" s="996"/>
      <c r="TCX89" s="996"/>
      <c r="TCY89" s="996"/>
      <c r="TCZ89" s="996"/>
      <c r="TDA89" s="996"/>
      <c r="TDB89" s="996"/>
      <c r="TDC89" s="996"/>
      <c r="TDD89" s="996"/>
      <c r="TDE89" s="996"/>
      <c r="TDF89" s="996"/>
      <c r="TDG89" s="996"/>
      <c r="TDH89" s="996"/>
      <c r="TDI89" s="996"/>
      <c r="TDJ89" s="996"/>
      <c r="TDK89" s="996"/>
      <c r="TDL89" s="996"/>
      <c r="TDM89" s="996"/>
      <c r="TDN89" s="996"/>
      <c r="TDO89" s="996"/>
      <c r="TDP89" s="996"/>
      <c r="TDQ89" s="996"/>
      <c r="TDR89" s="996"/>
      <c r="TDS89" s="996"/>
      <c r="TDT89" s="996"/>
      <c r="TDU89" s="996"/>
      <c r="TDV89" s="996"/>
      <c r="TDW89" s="996"/>
      <c r="TDX89" s="996"/>
      <c r="TDY89" s="996"/>
      <c r="TDZ89" s="996"/>
      <c r="TEA89" s="996"/>
      <c r="TEB89" s="996"/>
      <c r="TEC89" s="996"/>
      <c r="TED89" s="996"/>
      <c r="TEE89" s="996"/>
      <c r="TEF89" s="996"/>
      <c r="TEG89" s="996"/>
      <c r="TEH89" s="996"/>
      <c r="TEI89" s="996"/>
      <c r="TEJ89" s="996"/>
      <c r="TEK89" s="996"/>
      <c r="TEL89" s="996"/>
      <c r="TEM89" s="996"/>
      <c r="TEN89" s="996"/>
      <c r="TEO89" s="996"/>
      <c r="TEP89" s="996"/>
      <c r="TEQ89" s="996"/>
      <c r="TER89" s="996"/>
      <c r="TES89" s="996"/>
      <c r="TET89" s="996"/>
      <c r="TEU89" s="996"/>
      <c r="TEV89" s="996"/>
      <c r="TEW89" s="996"/>
      <c r="TEX89" s="996"/>
      <c r="TEY89" s="996"/>
      <c r="TEZ89" s="996"/>
      <c r="TFA89" s="996"/>
      <c r="TFB89" s="996"/>
      <c r="TFC89" s="996"/>
      <c r="TFD89" s="996"/>
      <c r="TFE89" s="996"/>
      <c r="TFF89" s="996"/>
      <c r="TFG89" s="996"/>
      <c r="TFH89" s="996"/>
      <c r="TFI89" s="996"/>
      <c r="TFJ89" s="996"/>
      <c r="TFK89" s="996"/>
      <c r="TFL89" s="996"/>
      <c r="TFM89" s="996"/>
      <c r="TFN89" s="996"/>
      <c r="TFO89" s="996"/>
      <c r="TFP89" s="996"/>
      <c r="TFQ89" s="996"/>
      <c r="TFR89" s="996"/>
      <c r="TFS89" s="996"/>
      <c r="TFT89" s="996"/>
      <c r="TFU89" s="996"/>
      <c r="TFV89" s="996"/>
      <c r="TFW89" s="996"/>
      <c r="TFX89" s="996"/>
      <c r="TFY89" s="996"/>
      <c r="TFZ89" s="996"/>
      <c r="TGA89" s="996"/>
      <c r="TGB89" s="996"/>
      <c r="TGC89" s="996"/>
      <c r="TGD89" s="996"/>
      <c r="TGE89" s="996"/>
      <c r="TGF89" s="996"/>
      <c r="TGG89" s="996"/>
      <c r="TGH89" s="996"/>
      <c r="TGI89" s="996"/>
      <c r="TGJ89" s="996"/>
      <c r="TGK89" s="996"/>
      <c r="TGL89" s="996"/>
      <c r="TGM89" s="996"/>
      <c r="TGN89" s="996"/>
      <c r="TGO89" s="996"/>
      <c r="TGP89" s="996"/>
      <c r="TGQ89" s="996"/>
      <c r="TGR89" s="996"/>
      <c r="TGS89" s="996"/>
      <c r="TGT89" s="996"/>
      <c r="TGU89" s="996"/>
      <c r="TGV89" s="996"/>
      <c r="TGW89" s="996"/>
      <c r="TGX89" s="996"/>
      <c r="TGY89" s="996"/>
      <c r="TGZ89" s="996"/>
      <c r="THA89" s="996"/>
      <c r="THB89" s="996"/>
      <c r="THC89" s="996"/>
      <c r="THD89" s="996"/>
      <c r="THE89" s="996"/>
      <c r="THF89" s="996"/>
      <c r="THG89" s="996"/>
      <c r="THH89" s="996"/>
      <c r="THI89" s="996"/>
      <c r="THJ89" s="996"/>
      <c r="THK89" s="996"/>
      <c r="THL89" s="996"/>
      <c r="THM89" s="996"/>
      <c r="THN89" s="996"/>
      <c r="THO89" s="996"/>
      <c r="THP89" s="996"/>
      <c r="THQ89" s="996"/>
      <c r="THR89" s="996"/>
      <c r="THS89" s="996"/>
      <c r="THT89" s="996"/>
      <c r="THU89" s="996"/>
      <c r="THV89" s="996"/>
      <c r="THW89" s="996"/>
      <c r="THX89" s="996"/>
      <c r="THY89" s="996"/>
      <c r="THZ89" s="996"/>
      <c r="TIA89" s="996"/>
      <c r="TIB89" s="996"/>
      <c r="TIC89" s="996"/>
      <c r="TID89" s="996"/>
      <c r="TIE89" s="996"/>
      <c r="TIF89" s="996"/>
      <c r="TIG89" s="996"/>
      <c r="TIH89" s="996"/>
      <c r="TII89" s="996"/>
      <c r="TIJ89" s="996"/>
      <c r="TIK89" s="996"/>
      <c r="TIL89" s="996"/>
      <c r="TIM89" s="996"/>
      <c r="TIN89" s="996"/>
      <c r="TIO89" s="996"/>
      <c r="TIP89" s="996"/>
      <c r="TIQ89" s="996"/>
      <c r="TIR89" s="996"/>
      <c r="TIS89" s="996"/>
      <c r="TIT89" s="996"/>
      <c r="TIU89" s="996"/>
      <c r="TIV89" s="996"/>
      <c r="TIW89" s="996"/>
      <c r="TIX89" s="996"/>
      <c r="TIY89" s="996"/>
      <c r="TIZ89" s="996"/>
      <c r="TJA89" s="996"/>
      <c r="TJB89" s="996"/>
      <c r="TJC89" s="996"/>
      <c r="TJD89" s="996"/>
      <c r="TJE89" s="996"/>
      <c r="TJF89" s="996"/>
      <c r="TJG89" s="996"/>
      <c r="TJH89" s="996"/>
      <c r="TJI89" s="996"/>
      <c r="TJJ89" s="996"/>
      <c r="TJK89" s="996"/>
      <c r="TJL89" s="996"/>
      <c r="TJM89" s="996"/>
      <c r="TJN89" s="996"/>
      <c r="TJO89" s="996"/>
      <c r="TJP89" s="996"/>
      <c r="TJQ89" s="996"/>
      <c r="TJR89" s="996"/>
      <c r="TJS89" s="996"/>
      <c r="TJT89" s="996"/>
      <c r="TJU89" s="996"/>
      <c r="TJV89" s="996"/>
      <c r="TJW89" s="996"/>
      <c r="TJX89" s="996"/>
      <c r="TJY89" s="996"/>
      <c r="TJZ89" s="996"/>
      <c r="TKA89" s="996"/>
      <c r="TKB89" s="996"/>
      <c r="TKC89" s="996"/>
      <c r="TKD89" s="996"/>
      <c r="TKE89" s="996"/>
      <c r="TKF89" s="996"/>
      <c r="TKG89" s="996"/>
      <c r="TKH89" s="996"/>
      <c r="TKI89" s="996"/>
      <c r="TKJ89" s="996"/>
      <c r="TKK89" s="996"/>
      <c r="TKL89" s="996"/>
      <c r="TKM89" s="996"/>
      <c r="TKN89" s="996"/>
      <c r="TKO89" s="996"/>
      <c r="TKP89" s="996"/>
      <c r="TKQ89" s="996"/>
      <c r="TKR89" s="996"/>
      <c r="TKS89" s="996"/>
      <c r="TKT89" s="996"/>
      <c r="TKU89" s="996"/>
      <c r="TKV89" s="996"/>
      <c r="TKW89" s="996"/>
      <c r="TKX89" s="996"/>
      <c r="TKY89" s="996"/>
      <c r="TKZ89" s="996"/>
      <c r="TLA89" s="996"/>
      <c r="TLB89" s="996"/>
      <c r="TLC89" s="996"/>
      <c r="TLD89" s="996"/>
      <c r="TLE89" s="996"/>
      <c r="TLF89" s="996"/>
      <c r="TLG89" s="996"/>
      <c r="TLH89" s="996"/>
      <c r="TLI89" s="996"/>
      <c r="TLJ89" s="996"/>
      <c r="TLK89" s="996"/>
      <c r="TLL89" s="996"/>
      <c r="TLM89" s="996"/>
      <c r="TLN89" s="996"/>
      <c r="TLO89" s="996"/>
      <c r="TLP89" s="996"/>
      <c r="TLQ89" s="996"/>
      <c r="TLR89" s="996"/>
      <c r="TLS89" s="996"/>
      <c r="TLT89" s="996"/>
      <c r="TLU89" s="996"/>
      <c r="TLV89" s="996"/>
      <c r="TLW89" s="996"/>
      <c r="TLX89" s="996"/>
      <c r="TLY89" s="996"/>
      <c r="TLZ89" s="996"/>
      <c r="TMA89" s="996"/>
      <c r="TMB89" s="996"/>
      <c r="TMC89" s="996"/>
      <c r="TMD89" s="996"/>
      <c r="TME89" s="996"/>
      <c r="TMF89" s="996"/>
      <c r="TMG89" s="996"/>
      <c r="TMH89" s="996"/>
      <c r="TMI89" s="996"/>
      <c r="TMJ89" s="996"/>
      <c r="TMK89" s="996"/>
      <c r="TML89" s="996"/>
      <c r="TMM89" s="996"/>
      <c r="TMN89" s="996"/>
      <c r="TMO89" s="996"/>
      <c r="TMP89" s="996"/>
      <c r="TMQ89" s="996"/>
      <c r="TMR89" s="996"/>
      <c r="TMS89" s="996"/>
      <c r="TMT89" s="996"/>
      <c r="TMU89" s="996"/>
      <c r="TMV89" s="996"/>
      <c r="TMW89" s="996"/>
      <c r="TMX89" s="996"/>
      <c r="TMY89" s="996"/>
      <c r="TMZ89" s="996"/>
      <c r="TNA89" s="996"/>
      <c r="TNB89" s="996"/>
      <c r="TNC89" s="996"/>
      <c r="TND89" s="996"/>
      <c r="TNE89" s="996"/>
      <c r="TNF89" s="996"/>
      <c r="TNG89" s="996"/>
      <c r="TNH89" s="996"/>
      <c r="TNI89" s="996"/>
      <c r="TNJ89" s="996"/>
      <c r="TNK89" s="996"/>
      <c r="TNL89" s="996"/>
      <c r="TNM89" s="996"/>
      <c r="TNN89" s="996"/>
      <c r="TNO89" s="996"/>
      <c r="TNP89" s="996"/>
      <c r="TNQ89" s="996"/>
      <c r="TNR89" s="996"/>
      <c r="TNS89" s="996"/>
      <c r="TNT89" s="996"/>
      <c r="TNU89" s="996"/>
      <c r="TNV89" s="996"/>
      <c r="TNW89" s="996"/>
      <c r="TNX89" s="996"/>
      <c r="TNY89" s="996"/>
      <c r="TNZ89" s="996"/>
      <c r="TOA89" s="996"/>
      <c r="TOB89" s="996"/>
      <c r="TOC89" s="996"/>
      <c r="TOD89" s="996"/>
      <c r="TOE89" s="996"/>
      <c r="TOF89" s="996"/>
      <c r="TOG89" s="996"/>
      <c r="TOH89" s="996"/>
      <c r="TOI89" s="996"/>
      <c r="TOJ89" s="996"/>
      <c r="TOK89" s="996"/>
      <c r="TOL89" s="996"/>
      <c r="TOM89" s="996"/>
      <c r="TON89" s="996"/>
      <c r="TOO89" s="996"/>
      <c r="TOP89" s="996"/>
      <c r="TOQ89" s="996"/>
      <c r="TOR89" s="996"/>
      <c r="TOS89" s="996"/>
      <c r="TOT89" s="996"/>
      <c r="TOU89" s="996"/>
      <c r="TOV89" s="996"/>
      <c r="TOW89" s="996"/>
      <c r="TOX89" s="996"/>
      <c r="TOY89" s="996"/>
      <c r="TOZ89" s="996"/>
      <c r="TPA89" s="996"/>
      <c r="TPB89" s="996"/>
      <c r="TPC89" s="996"/>
      <c r="TPD89" s="996"/>
      <c r="TPE89" s="996"/>
      <c r="TPF89" s="996"/>
      <c r="TPG89" s="996"/>
      <c r="TPH89" s="996"/>
      <c r="TPI89" s="996"/>
      <c r="TPJ89" s="996"/>
      <c r="TPK89" s="996"/>
      <c r="TPL89" s="996"/>
      <c r="TPM89" s="996"/>
      <c r="TPN89" s="996"/>
      <c r="TPO89" s="996"/>
      <c r="TPP89" s="996"/>
      <c r="TPQ89" s="996"/>
      <c r="TPR89" s="996"/>
      <c r="TPS89" s="996"/>
      <c r="TPT89" s="996"/>
      <c r="TPU89" s="996"/>
      <c r="TPV89" s="996"/>
      <c r="TPW89" s="996"/>
      <c r="TPX89" s="996"/>
      <c r="TPY89" s="996"/>
      <c r="TPZ89" s="996"/>
      <c r="TQA89" s="996"/>
      <c r="TQB89" s="996"/>
      <c r="TQC89" s="996"/>
      <c r="TQD89" s="996"/>
      <c r="TQE89" s="996"/>
      <c r="TQF89" s="996"/>
      <c r="TQG89" s="996"/>
      <c r="TQH89" s="996"/>
      <c r="TQI89" s="996"/>
      <c r="TQJ89" s="996"/>
      <c r="TQK89" s="996"/>
      <c r="TQL89" s="996"/>
      <c r="TQM89" s="996"/>
      <c r="TQN89" s="996"/>
      <c r="TQO89" s="996"/>
      <c r="TQP89" s="996"/>
      <c r="TQQ89" s="996"/>
      <c r="TQR89" s="996"/>
      <c r="TQS89" s="996"/>
      <c r="TQT89" s="996"/>
      <c r="TQU89" s="996"/>
      <c r="TQV89" s="996"/>
      <c r="TQW89" s="996"/>
      <c r="TQX89" s="996"/>
      <c r="TQY89" s="996"/>
      <c r="TQZ89" s="996"/>
      <c r="TRA89" s="996"/>
      <c r="TRB89" s="996"/>
      <c r="TRC89" s="996"/>
      <c r="TRD89" s="996"/>
      <c r="TRE89" s="996"/>
      <c r="TRF89" s="996"/>
      <c r="TRG89" s="996"/>
      <c r="TRH89" s="996"/>
      <c r="TRI89" s="996"/>
      <c r="TRJ89" s="996"/>
      <c r="TRK89" s="996"/>
      <c r="TRL89" s="996"/>
      <c r="TRM89" s="996"/>
      <c r="TRN89" s="996"/>
      <c r="TRO89" s="996"/>
      <c r="TRP89" s="996"/>
      <c r="TRQ89" s="996"/>
      <c r="TRR89" s="996"/>
      <c r="TRS89" s="996"/>
      <c r="TRT89" s="996"/>
      <c r="TRU89" s="996"/>
      <c r="TRV89" s="996"/>
      <c r="TRW89" s="996"/>
      <c r="TRX89" s="996"/>
      <c r="TRY89" s="996"/>
      <c r="TRZ89" s="996"/>
      <c r="TSA89" s="996"/>
      <c r="TSB89" s="996"/>
      <c r="TSC89" s="996"/>
      <c r="TSD89" s="996"/>
      <c r="TSE89" s="996"/>
      <c r="TSF89" s="996"/>
      <c r="TSG89" s="996"/>
      <c r="TSH89" s="996"/>
      <c r="TSI89" s="996"/>
      <c r="TSJ89" s="996"/>
      <c r="TSK89" s="996"/>
      <c r="TSL89" s="996"/>
      <c r="TSM89" s="996"/>
      <c r="TSN89" s="996"/>
      <c r="TSO89" s="996"/>
      <c r="TSP89" s="996"/>
      <c r="TSQ89" s="996"/>
      <c r="TSR89" s="996"/>
      <c r="TSS89" s="996"/>
      <c r="TST89" s="996"/>
      <c r="TSU89" s="996"/>
      <c r="TSV89" s="996"/>
      <c r="TSW89" s="996"/>
      <c r="TSX89" s="996"/>
      <c r="TSY89" s="996"/>
      <c r="TSZ89" s="996"/>
      <c r="TTA89" s="996"/>
      <c r="TTB89" s="996"/>
      <c r="TTC89" s="996"/>
      <c r="TTD89" s="996"/>
      <c r="TTE89" s="996"/>
      <c r="TTF89" s="996"/>
      <c r="TTG89" s="996"/>
      <c r="TTH89" s="996"/>
      <c r="TTI89" s="996"/>
      <c r="TTJ89" s="996"/>
      <c r="TTK89" s="996"/>
      <c r="TTL89" s="996"/>
      <c r="TTM89" s="996"/>
      <c r="TTN89" s="996"/>
      <c r="TTO89" s="996"/>
      <c r="TTP89" s="996"/>
      <c r="TTQ89" s="996"/>
      <c r="TTR89" s="996"/>
      <c r="TTS89" s="996"/>
      <c r="TTT89" s="996"/>
      <c r="TTU89" s="996"/>
      <c r="TTV89" s="996"/>
      <c r="TTW89" s="996"/>
      <c r="TTX89" s="996"/>
      <c r="TTY89" s="996"/>
      <c r="TTZ89" s="996"/>
      <c r="TUA89" s="996"/>
      <c r="TUB89" s="996"/>
      <c r="TUC89" s="996"/>
      <c r="TUD89" s="996"/>
      <c r="TUE89" s="996"/>
      <c r="TUF89" s="996"/>
      <c r="TUG89" s="996"/>
      <c r="TUH89" s="996"/>
      <c r="TUI89" s="996"/>
      <c r="TUJ89" s="996"/>
      <c r="TUK89" s="996"/>
      <c r="TUL89" s="996"/>
      <c r="TUM89" s="996"/>
      <c r="TUN89" s="996"/>
      <c r="TUO89" s="996"/>
      <c r="TUP89" s="996"/>
      <c r="TUQ89" s="996"/>
      <c r="TUR89" s="996"/>
      <c r="TUS89" s="996"/>
      <c r="TUT89" s="996"/>
      <c r="TUU89" s="996"/>
      <c r="TUV89" s="996"/>
      <c r="TUW89" s="996"/>
      <c r="TUX89" s="996"/>
      <c r="TUY89" s="996"/>
      <c r="TUZ89" s="996"/>
      <c r="TVA89" s="996"/>
      <c r="TVB89" s="996"/>
      <c r="TVC89" s="996"/>
      <c r="TVD89" s="996"/>
      <c r="TVE89" s="996"/>
      <c r="TVF89" s="996"/>
      <c r="TVG89" s="996"/>
      <c r="TVH89" s="996"/>
      <c r="TVI89" s="996"/>
      <c r="TVJ89" s="996"/>
      <c r="TVK89" s="996"/>
      <c r="TVL89" s="996"/>
      <c r="TVM89" s="996"/>
      <c r="TVN89" s="996"/>
      <c r="TVO89" s="996"/>
      <c r="TVP89" s="996"/>
      <c r="TVQ89" s="996"/>
      <c r="TVR89" s="996"/>
      <c r="TVS89" s="996"/>
      <c r="TVT89" s="996"/>
      <c r="TVU89" s="996"/>
      <c r="TVV89" s="996"/>
      <c r="TVW89" s="996"/>
      <c r="TVX89" s="996"/>
      <c r="TVY89" s="996"/>
      <c r="TVZ89" s="996"/>
      <c r="TWA89" s="996"/>
      <c r="TWB89" s="996"/>
      <c r="TWC89" s="996"/>
      <c r="TWD89" s="996"/>
      <c r="TWE89" s="996"/>
      <c r="TWF89" s="996"/>
      <c r="TWG89" s="996"/>
      <c r="TWH89" s="996"/>
      <c r="TWI89" s="996"/>
      <c r="TWJ89" s="996"/>
      <c r="TWK89" s="996"/>
      <c r="TWL89" s="996"/>
      <c r="TWM89" s="996"/>
      <c r="TWN89" s="996"/>
      <c r="TWO89" s="996"/>
      <c r="TWP89" s="996"/>
      <c r="TWQ89" s="996"/>
      <c r="TWR89" s="996"/>
      <c r="TWS89" s="996"/>
      <c r="TWT89" s="996"/>
      <c r="TWU89" s="996"/>
      <c r="TWV89" s="996"/>
      <c r="TWW89" s="996"/>
      <c r="TWX89" s="996"/>
      <c r="TWY89" s="996"/>
      <c r="TWZ89" s="996"/>
      <c r="TXA89" s="996"/>
      <c r="TXB89" s="996"/>
      <c r="TXC89" s="996"/>
      <c r="TXD89" s="996"/>
      <c r="TXE89" s="996"/>
      <c r="TXF89" s="996"/>
      <c r="TXG89" s="996"/>
      <c r="TXH89" s="996"/>
      <c r="TXI89" s="996"/>
      <c r="TXJ89" s="996"/>
      <c r="TXK89" s="996"/>
      <c r="TXL89" s="996"/>
      <c r="TXM89" s="996"/>
      <c r="TXN89" s="996"/>
      <c r="TXO89" s="996"/>
      <c r="TXP89" s="996"/>
      <c r="TXQ89" s="996"/>
      <c r="TXR89" s="996"/>
      <c r="TXS89" s="996"/>
      <c r="TXT89" s="996"/>
      <c r="TXU89" s="996"/>
      <c r="TXV89" s="996"/>
      <c r="TXW89" s="996"/>
      <c r="TXX89" s="996"/>
      <c r="TXY89" s="996"/>
      <c r="TXZ89" s="996"/>
      <c r="TYA89" s="996"/>
      <c r="TYB89" s="996"/>
      <c r="TYC89" s="996"/>
      <c r="TYD89" s="996"/>
      <c r="TYE89" s="996"/>
      <c r="TYF89" s="996"/>
      <c r="TYG89" s="996"/>
      <c r="TYH89" s="996"/>
      <c r="TYI89" s="996"/>
      <c r="TYJ89" s="996"/>
      <c r="TYK89" s="996"/>
      <c r="TYL89" s="996"/>
      <c r="TYM89" s="996"/>
      <c r="TYN89" s="996"/>
      <c r="TYO89" s="996"/>
      <c r="TYP89" s="996"/>
      <c r="TYQ89" s="996"/>
      <c r="TYR89" s="996"/>
      <c r="TYS89" s="996"/>
      <c r="TYT89" s="996"/>
      <c r="TYU89" s="996"/>
      <c r="TYV89" s="996"/>
      <c r="TYW89" s="996"/>
      <c r="TYX89" s="996"/>
      <c r="TYY89" s="996"/>
      <c r="TYZ89" s="996"/>
      <c r="TZA89" s="996"/>
      <c r="TZB89" s="996"/>
      <c r="TZC89" s="996"/>
      <c r="TZD89" s="996"/>
      <c r="TZE89" s="996"/>
      <c r="TZF89" s="996"/>
      <c r="TZG89" s="996"/>
      <c r="TZH89" s="996"/>
      <c r="TZI89" s="996"/>
      <c r="TZJ89" s="996"/>
      <c r="TZK89" s="996"/>
      <c r="TZL89" s="996"/>
      <c r="TZM89" s="996"/>
      <c r="TZN89" s="996"/>
      <c r="TZO89" s="996"/>
      <c r="TZP89" s="996"/>
      <c r="TZQ89" s="996"/>
      <c r="TZR89" s="996"/>
      <c r="TZS89" s="996"/>
      <c r="TZT89" s="996"/>
      <c r="TZU89" s="996"/>
      <c r="TZV89" s="996"/>
      <c r="TZW89" s="996"/>
      <c r="TZX89" s="996"/>
      <c r="TZY89" s="996"/>
      <c r="TZZ89" s="996"/>
      <c r="UAA89" s="996"/>
      <c r="UAB89" s="996"/>
      <c r="UAC89" s="996"/>
      <c r="UAD89" s="996"/>
      <c r="UAE89" s="996"/>
      <c r="UAF89" s="996"/>
      <c r="UAG89" s="996"/>
      <c r="UAH89" s="996"/>
      <c r="UAI89" s="996"/>
      <c r="UAJ89" s="996"/>
      <c r="UAK89" s="996"/>
      <c r="UAL89" s="996"/>
      <c r="UAM89" s="996"/>
      <c r="UAN89" s="996"/>
      <c r="UAO89" s="996"/>
      <c r="UAP89" s="996"/>
      <c r="UAQ89" s="996"/>
      <c r="UAR89" s="996"/>
      <c r="UAS89" s="996"/>
      <c r="UAT89" s="996"/>
      <c r="UAU89" s="996"/>
      <c r="UAV89" s="996"/>
      <c r="UAW89" s="996"/>
      <c r="UAX89" s="996"/>
      <c r="UAY89" s="996"/>
      <c r="UAZ89" s="996"/>
      <c r="UBA89" s="996"/>
      <c r="UBB89" s="996"/>
      <c r="UBC89" s="996"/>
      <c r="UBD89" s="996"/>
      <c r="UBE89" s="996"/>
      <c r="UBF89" s="996"/>
      <c r="UBG89" s="996"/>
      <c r="UBH89" s="996"/>
      <c r="UBI89" s="996"/>
      <c r="UBJ89" s="996"/>
      <c r="UBK89" s="996"/>
      <c r="UBL89" s="996"/>
      <c r="UBM89" s="996"/>
      <c r="UBN89" s="996"/>
      <c r="UBO89" s="996"/>
      <c r="UBP89" s="996"/>
      <c r="UBQ89" s="996"/>
      <c r="UBR89" s="996"/>
      <c r="UBS89" s="996"/>
      <c r="UBT89" s="996"/>
      <c r="UBU89" s="996"/>
      <c r="UBV89" s="996"/>
      <c r="UBW89" s="996"/>
      <c r="UBX89" s="996"/>
      <c r="UBY89" s="996"/>
      <c r="UBZ89" s="996"/>
      <c r="UCA89" s="996"/>
      <c r="UCB89" s="996"/>
      <c r="UCC89" s="996"/>
      <c r="UCD89" s="996"/>
      <c r="UCE89" s="996"/>
      <c r="UCF89" s="996"/>
      <c r="UCG89" s="996"/>
      <c r="UCH89" s="996"/>
      <c r="UCI89" s="996"/>
      <c r="UCJ89" s="996"/>
      <c r="UCK89" s="996"/>
      <c r="UCL89" s="996"/>
      <c r="UCM89" s="996"/>
      <c r="UCN89" s="996"/>
      <c r="UCO89" s="996"/>
      <c r="UCP89" s="996"/>
      <c r="UCQ89" s="996"/>
      <c r="UCR89" s="996"/>
      <c r="UCS89" s="996"/>
      <c r="UCT89" s="996"/>
      <c r="UCU89" s="996"/>
      <c r="UCV89" s="996"/>
      <c r="UCW89" s="996"/>
      <c r="UCX89" s="996"/>
      <c r="UCY89" s="996"/>
      <c r="UCZ89" s="996"/>
      <c r="UDA89" s="996"/>
      <c r="UDB89" s="996"/>
      <c r="UDC89" s="996"/>
      <c r="UDD89" s="996"/>
      <c r="UDE89" s="996"/>
      <c r="UDF89" s="996"/>
      <c r="UDG89" s="996"/>
      <c r="UDH89" s="996"/>
      <c r="UDI89" s="996"/>
      <c r="UDJ89" s="996"/>
      <c r="UDK89" s="996"/>
      <c r="UDL89" s="996"/>
      <c r="UDM89" s="996"/>
      <c r="UDN89" s="996"/>
      <c r="UDO89" s="996"/>
      <c r="UDP89" s="996"/>
      <c r="UDQ89" s="996"/>
      <c r="UDR89" s="996"/>
      <c r="UDS89" s="996"/>
      <c r="UDT89" s="996"/>
      <c r="UDU89" s="996"/>
      <c r="UDV89" s="996"/>
      <c r="UDW89" s="996"/>
      <c r="UDX89" s="996"/>
      <c r="UDY89" s="996"/>
      <c r="UDZ89" s="996"/>
      <c r="UEA89" s="996"/>
      <c r="UEB89" s="996"/>
      <c r="UEC89" s="996"/>
      <c r="UED89" s="996"/>
      <c r="UEE89" s="996"/>
      <c r="UEF89" s="996"/>
      <c r="UEG89" s="996"/>
      <c r="UEH89" s="996"/>
      <c r="UEI89" s="996"/>
      <c r="UEJ89" s="996"/>
      <c r="UEK89" s="996"/>
      <c r="UEL89" s="996"/>
      <c r="UEM89" s="996"/>
      <c r="UEN89" s="996"/>
      <c r="UEO89" s="996"/>
      <c r="UEP89" s="996"/>
      <c r="UEQ89" s="996"/>
      <c r="UER89" s="996"/>
      <c r="UES89" s="996"/>
      <c r="UET89" s="996"/>
      <c r="UEU89" s="996"/>
      <c r="UEV89" s="996"/>
      <c r="UEW89" s="996"/>
      <c r="UEX89" s="996"/>
      <c r="UEY89" s="996"/>
      <c r="UEZ89" s="996"/>
      <c r="UFA89" s="996"/>
      <c r="UFB89" s="996"/>
      <c r="UFC89" s="996"/>
      <c r="UFD89" s="996"/>
      <c r="UFE89" s="996"/>
      <c r="UFF89" s="996"/>
      <c r="UFG89" s="996"/>
      <c r="UFH89" s="996"/>
      <c r="UFI89" s="996"/>
      <c r="UFJ89" s="996"/>
      <c r="UFK89" s="996"/>
      <c r="UFL89" s="996"/>
      <c r="UFM89" s="996"/>
      <c r="UFN89" s="996"/>
      <c r="UFO89" s="996"/>
      <c r="UFP89" s="996"/>
      <c r="UFQ89" s="996"/>
      <c r="UFR89" s="996"/>
      <c r="UFS89" s="996"/>
      <c r="UFT89" s="996"/>
      <c r="UFU89" s="996"/>
      <c r="UFV89" s="996"/>
      <c r="UFW89" s="996"/>
      <c r="UFX89" s="996"/>
      <c r="UFY89" s="996"/>
      <c r="UFZ89" s="996"/>
      <c r="UGA89" s="996"/>
      <c r="UGB89" s="996"/>
      <c r="UGC89" s="996"/>
      <c r="UGD89" s="996"/>
      <c r="UGE89" s="996"/>
      <c r="UGF89" s="996"/>
      <c r="UGG89" s="996"/>
      <c r="UGH89" s="996"/>
      <c r="UGI89" s="996"/>
      <c r="UGJ89" s="996"/>
      <c r="UGK89" s="996"/>
      <c r="UGL89" s="996"/>
      <c r="UGM89" s="996"/>
      <c r="UGN89" s="996"/>
      <c r="UGO89" s="996"/>
      <c r="UGP89" s="996"/>
      <c r="UGQ89" s="996"/>
      <c r="UGR89" s="996"/>
      <c r="UGS89" s="996"/>
      <c r="UGT89" s="996"/>
      <c r="UGU89" s="996"/>
      <c r="UGV89" s="996"/>
      <c r="UGW89" s="996"/>
      <c r="UGX89" s="996"/>
      <c r="UGY89" s="996"/>
      <c r="UGZ89" s="996"/>
      <c r="UHA89" s="996"/>
      <c r="UHB89" s="996"/>
      <c r="UHC89" s="996"/>
      <c r="UHD89" s="996"/>
      <c r="UHE89" s="996"/>
      <c r="UHF89" s="996"/>
      <c r="UHG89" s="996"/>
      <c r="UHH89" s="996"/>
      <c r="UHI89" s="996"/>
      <c r="UHJ89" s="996"/>
      <c r="UHK89" s="996"/>
      <c r="UHL89" s="996"/>
      <c r="UHM89" s="996"/>
      <c r="UHN89" s="996"/>
      <c r="UHO89" s="996"/>
      <c r="UHP89" s="996"/>
      <c r="UHQ89" s="996"/>
      <c r="UHR89" s="996"/>
      <c r="UHS89" s="996"/>
      <c r="UHT89" s="996"/>
      <c r="UHU89" s="996"/>
      <c r="UHV89" s="996"/>
      <c r="UHW89" s="996"/>
      <c r="UHX89" s="996"/>
      <c r="UHY89" s="996"/>
      <c r="UHZ89" s="996"/>
      <c r="UIA89" s="996"/>
      <c r="UIB89" s="996"/>
      <c r="UIC89" s="996"/>
      <c r="UID89" s="996"/>
      <c r="UIE89" s="996"/>
      <c r="UIF89" s="996"/>
      <c r="UIG89" s="996"/>
      <c r="UIH89" s="996"/>
      <c r="UII89" s="996"/>
      <c r="UIJ89" s="996"/>
      <c r="UIK89" s="996"/>
      <c r="UIL89" s="996"/>
      <c r="UIM89" s="996"/>
      <c r="UIN89" s="996"/>
      <c r="UIO89" s="996"/>
      <c r="UIP89" s="996"/>
      <c r="UIQ89" s="996"/>
      <c r="UIR89" s="996"/>
      <c r="UIS89" s="996"/>
      <c r="UIT89" s="996"/>
      <c r="UIU89" s="996"/>
      <c r="UIV89" s="996"/>
      <c r="UIW89" s="996"/>
      <c r="UIX89" s="996"/>
      <c r="UIY89" s="996"/>
      <c r="UIZ89" s="996"/>
      <c r="UJA89" s="996"/>
      <c r="UJB89" s="996"/>
      <c r="UJC89" s="996"/>
      <c r="UJD89" s="996"/>
      <c r="UJE89" s="996"/>
      <c r="UJF89" s="996"/>
      <c r="UJG89" s="996"/>
      <c r="UJH89" s="996"/>
      <c r="UJI89" s="996"/>
      <c r="UJJ89" s="996"/>
      <c r="UJK89" s="996"/>
      <c r="UJL89" s="996"/>
      <c r="UJM89" s="996"/>
      <c r="UJN89" s="996"/>
      <c r="UJO89" s="996"/>
      <c r="UJP89" s="996"/>
      <c r="UJQ89" s="996"/>
      <c r="UJR89" s="996"/>
      <c r="UJS89" s="996"/>
      <c r="UJT89" s="996"/>
      <c r="UJU89" s="996"/>
      <c r="UJV89" s="996"/>
      <c r="UJW89" s="996"/>
      <c r="UJX89" s="996"/>
      <c r="UJY89" s="996"/>
      <c r="UJZ89" s="996"/>
      <c r="UKA89" s="996"/>
      <c r="UKB89" s="996"/>
      <c r="UKC89" s="996"/>
      <c r="UKD89" s="996"/>
      <c r="UKE89" s="996"/>
      <c r="UKF89" s="996"/>
      <c r="UKG89" s="996"/>
      <c r="UKH89" s="996"/>
      <c r="UKI89" s="996"/>
      <c r="UKJ89" s="996"/>
      <c r="UKK89" s="996"/>
      <c r="UKL89" s="996"/>
      <c r="UKM89" s="996"/>
      <c r="UKN89" s="996"/>
      <c r="UKO89" s="996"/>
      <c r="UKP89" s="996"/>
      <c r="UKQ89" s="996"/>
      <c r="UKR89" s="996"/>
      <c r="UKS89" s="996"/>
      <c r="UKT89" s="996"/>
      <c r="UKU89" s="996"/>
      <c r="UKV89" s="996"/>
      <c r="UKW89" s="996"/>
      <c r="UKX89" s="996"/>
      <c r="UKY89" s="996"/>
      <c r="UKZ89" s="996"/>
      <c r="ULA89" s="996"/>
      <c r="ULB89" s="996"/>
      <c r="ULC89" s="996"/>
      <c r="ULD89" s="996"/>
      <c r="ULE89" s="996"/>
      <c r="ULF89" s="996"/>
      <c r="ULG89" s="996"/>
      <c r="ULH89" s="996"/>
      <c r="ULI89" s="996"/>
      <c r="ULJ89" s="996"/>
      <c r="ULK89" s="996"/>
      <c r="ULL89" s="996"/>
      <c r="ULM89" s="996"/>
      <c r="ULN89" s="996"/>
      <c r="ULO89" s="996"/>
      <c r="ULP89" s="996"/>
      <c r="ULQ89" s="996"/>
      <c r="ULR89" s="996"/>
      <c r="ULS89" s="996"/>
      <c r="ULT89" s="996"/>
      <c r="ULU89" s="996"/>
      <c r="ULV89" s="996"/>
      <c r="ULW89" s="996"/>
      <c r="ULX89" s="996"/>
      <c r="ULY89" s="996"/>
      <c r="ULZ89" s="996"/>
      <c r="UMA89" s="996"/>
      <c r="UMB89" s="996"/>
      <c r="UMC89" s="996"/>
      <c r="UMD89" s="996"/>
      <c r="UME89" s="996"/>
      <c r="UMF89" s="996"/>
      <c r="UMG89" s="996"/>
      <c r="UMH89" s="996"/>
      <c r="UMI89" s="996"/>
      <c r="UMJ89" s="996"/>
      <c r="UMK89" s="996"/>
      <c r="UML89" s="996"/>
      <c r="UMM89" s="996"/>
      <c r="UMN89" s="996"/>
      <c r="UMO89" s="996"/>
      <c r="UMP89" s="996"/>
      <c r="UMQ89" s="996"/>
      <c r="UMR89" s="996"/>
      <c r="UMS89" s="996"/>
      <c r="UMT89" s="996"/>
      <c r="UMU89" s="996"/>
      <c r="UMV89" s="996"/>
      <c r="UMW89" s="996"/>
      <c r="UMX89" s="996"/>
      <c r="UMY89" s="996"/>
      <c r="UMZ89" s="996"/>
      <c r="UNA89" s="996"/>
      <c r="UNB89" s="996"/>
      <c r="UNC89" s="996"/>
      <c r="UND89" s="996"/>
      <c r="UNE89" s="996"/>
      <c r="UNF89" s="996"/>
      <c r="UNG89" s="996"/>
      <c r="UNH89" s="996"/>
      <c r="UNI89" s="996"/>
      <c r="UNJ89" s="996"/>
      <c r="UNK89" s="996"/>
      <c r="UNL89" s="996"/>
      <c r="UNM89" s="996"/>
      <c r="UNN89" s="996"/>
      <c r="UNO89" s="996"/>
      <c r="UNP89" s="996"/>
      <c r="UNQ89" s="996"/>
      <c r="UNR89" s="996"/>
      <c r="UNS89" s="996"/>
      <c r="UNT89" s="996"/>
      <c r="UNU89" s="996"/>
      <c r="UNV89" s="996"/>
      <c r="UNW89" s="996"/>
      <c r="UNX89" s="996"/>
      <c r="UNY89" s="996"/>
      <c r="UNZ89" s="996"/>
      <c r="UOA89" s="996"/>
      <c r="UOB89" s="996"/>
      <c r="UOC89" s="996"/>
      <c r="UOD89" s="996"/>
      <c r="UOE89" s="996"/>
      <c r="UOF89" s="996"/>
      <c r="UOG89" s="996"/>
      <c r="UOH89" s="996"/>
      <c r="UOI89" s="996"/>
      <c r="UOJ89" s="996"/>
      <c r="UOK89" s="996"/>
      <c r="UOL89" s="996"/>
      <c r="UOM89" s="996"/>
      <c r="UON89" s="996"/>
      <c r="UOO89" s="996"/>
      <c r="UOP89" s="996"/>
      <c r="UOQ89" s="996"/>
      <c r="UOR89" s="996"/>
      <c r="UOS89" s="996"/>
      <c r="UOT89" s="996"/>
      <c r="UOU89" s="996"/>
      <c r="UOV89" s="996"/>
      <c r="UOW89" s="996"/>
      <c r="UOX89" s="996"/>
      <c r="UOY89" s="996"/>
      <c r="UOZ89" s="996"/>
      <c r="UPA89" s="996"/>
      <c r="UPB89" s="996"/>
      <c r="UPC89" s="996"/>
      <c r="UPD89" s="996"/>
      <c r="UPE89" s="996"/>
      <c r="UPF89" s="996"/>
      <c r="UPG89" s="996"/>
      <c r="UPH89" s="996"/>
      <c r="UPI89" s="996"/>
      <c r="UPJ89" s="996"/>
      <c r="UPK89" s="996"/>
      <c r="UPL89" s="996"/>
      <c r="UPM89" s="996"/>
      <c r="UPN89" s="996"/>
      <c r="UPO89" s="996"/>
      <c r="UPP89" s="996"/>
      <c r="UPQ89" s="996"/>
      <c r="UPR89" s="996"/>
      <c r="UPS89" s="996"/>
      <c r="UPT89" s="996"/>
      <c r="UPU89" s="996"/>
      <c r="UPV89" s="996"/>
      <c r="UPW89" s="996"/>
      <c r="UPX89" s="996"/>
      <c r="UPY89" s="996"/>
      <c r="UPZ89" s="996"/>
      <c r="UQA89" s="996"/>
      <c r="UQB89" s="996"/>
      <c r="UQC89" s="996"/>
      <c r="UQD89" s="996"/>
      <c r="UQE89" s="996"/>
      <c r="UQF89" s="996"/>
      <c r="UQG89" s="996"/>
      <c r="UQH89" s="996"/>
      <c r="UQI89" s="996"/>
      <c r="UQJ89" s="996"/>
      <c r="UQK89" s="996"/>
      <c r="UQL89" s="996"/>
      <c r="UQM89" s="996"/>
      <c r="UQN89" s="996"/>
      <c r="UQO89" s="996"/>
      <c r="UQP89" s="996"/>
      <c r="UQQ89" s="996"/>
      <c r="UQR89" s="996"/>
      <c r="UQS89" s="996"/>
      <c r="UQT89" s="996"/>
      <c r="UQU89" s="996"/>
      <c r="UQV89" s="996"/>
      <c r="UQW89" s="996"/>
      <c r="UQX89" s="996"/>
      <c r="UQY89" s="996"/>
      <c r="UQZ89" s="996"/>
      <c r="URA89" s="996"/>
      <c r="URB89" s="996"/>
      <c r="URC89" s="996"/>
      <c r="URD89" s="996"/>
      <c r="URE89" s="996"/>
      <c r="URF89" s="996"/>
      <c r="URG89" s="996"/>
      <c r="URH89" s="996"/>
      <c r="URI89" s="996"/>
      <c r="URJ89" s="996"/>
      <c r="URK89" s="996"/>
      <c r="URL89" s="996"/>
      <c r="URM89" s="996"/>
      <c r="URN89" s="996"/>
      <c r="URO89" s="996"/>
      <c r="URP89" s="996"/>
      <c r="URQ89" s="996"/>
      <c r="URR89" s="996"/>
      <c r="URS89" s="996"/>
      <c r="URT89" s="996"/>
      <c r="URU89" s="996"/>
      <c r="URV89" s="996"/>
      <c r="URW89" s="996"/>
      <c r="URX89" s="996"/>
      <c r="URY89" s="996"/>
      <c r="URZ89" s="996"/>
      <c r="USA89" s="996"/>
      <c r="USB89" s="996"/>
      <c r="USC89" s="996"/>
      <c r="USD89" s="996"/>
      <c r="USE89" s="996"/>
      <c r="USF89" s="996"/>
      <c r="USG89" s="996"/>
      <c r="USH89" s="996"/>
      <c r="USI89" s="996"/>
      <c r="USJ89" s="996"/>
      <c r="USK89" s="996"/>
      <c r="USL89" s="996"/>
      <c r="USM89" s="996"/>
      <c r="USN89" s="996"/>
      <c r="USO89" s="996"/>
      <c r="USP89" s="996"/>
      <c r="USQ89" s="996"/>
      <c r="USR89" s="996"/>
      <c r="USS89" s="996"/>
      <c r="UST89" s="996"/>
      <c r="USU89" s="996"/>
      <c r="USV89" s="996"/>
      <c r="USW89" s="996"/>
      <c r="USX89" s="996"/>
      <c r="USY89" s="996"/>
      <c r="USZ89" s="996"/>
      <c r="UTA89" s="996"/>
      <c r="UTB89" s="996"/>
      <c r="UTC89" s="996"/>
      <c r="UTD89" s="996"/>
      <c r="UTE89" s="996"/>
      <c r="UTF89" s="996"/>
      <c r="UTG89" s="996"/>
      <c r="UTH89" s="996"/>
      <c r="UTI89" s="996"/>
      <c r="UTJ89" s="996"/>
      <c r="UTK89" s="996"/>
      <c r="UTL89" s="996"/>
      <c r="UTM89" s="996"/>
      <c r="UTN89" s="996"/>
      <c r="UTO89" s="996"/>
      <c r="UTP89" s="996"/>
      <c r="UTQ89" s="996"/>
      <c r="UTR89" s="996"/>
      <c r="UTS89" s="996"/>
      <c r="UTT89" s="996"/>
      <c r="UTU89" s="996"/>
      <c r="UTV89" s="996"/>
      <c r="UTW89" s="996"/>
      <c r="UTX89" s="996"/>
      <c r="UTY89" s="996"/>
      <c r="UTZ89" s="996"/>
      <c r="UUA89" s="996"/>
      <c r="UUB89" s="996"/>
      <c r="UUC89" s="996"/>
      <c r="UUD89" s="996"/>
      <c r="UUE89" s="996"/>
      <c r="UUF89" s="996"/>
      <c r="UUG89" s="996"/>
      <c r="UUH89" s="996"/>
      <c r="UUI89" s="996"/>
      <c r="UUJ89" s="996"/>
      <c r="UUK89" s="996"/>
      <c r="UUL89" s="996"/>
      <c r="UUM89" s="996"/>
      <c r="UUN89" s="996"/>
      <c r="UUO89" s="996"/>
      <c r="UUP89" s="996"/>
      <c r="UUQ89" s="996"/>
      <c r="UUR89" s="996"/>
      <c r="UUS89" s="996"/>
      <c r="UUT89" s="996"/>
      <c r="UUU89" s="996"/>
      <c r="UUV89" s="996"/>
      <c r="UUW89" s="996"/>
      <c r="UUX89" s="996"/>
      <c r="UUY89" s="996"/>
      <c r="UUZ89" s="996"/>
      <c r="UVA89" s="996"/>
      <c r="UVB89" s="996"/>
      <c r="UVC89" s="996"/>
      <c r="UVD89" s="996"/>
      <c r="UVE89" s="996"/>
      <c r="UVF89" s="996"/>
      <c r="UVG89" s="996"/>
      <c r="UVH89" s="996"/>
      <c r="UVI89" s="996"/>
      <c r="UVJ89" s="996"/>
      <c r="UVK89" s="996"/>
      <c r="UVL89" s="996"/>
      <c r="UVM89" s="996"/>
      <c r="UVN89" s="996"/>
      <c r="UVO89" s="996"/>
      <c r="UVP89" s="996"/>
      <c r="UVQ89" s="996"/>
      <c r="UVR89" s="996"/>
      <c r="UVS89" s="996"/>
      <c r="UVT89" s="996"/>
      <c r="UVU89" s="996"/>
      <c r="UVV89" s="996"/>
      <c r="UVW89" s="996"/>
      <c r="UVX89" s="996"/>
      <c r="UVY89" s="996"/>
      <c r="UVZ89" s="996"/>
      <c r="UWA89" s="996"/>
      <c r="UWB89" s="996"/>
      <c r="UWC89" s="996"/>
      <c r="UWD89" s="996"/>
      <c r="UWE89" s="996"/>
      <c r="UWF89" s="996"/>
      <c r="UWG89" s="996"/>
      <c r="UWH89" s="996"/>
      <c r="UWI89" s="996"/>
      <c r="UWJ89" s="996"/>
      <c r="UWK89" s="996"/>
      <c r="UWL89" s="996"/>
      <c r="UWM89" s="996"/>
      <c r="UWN89" s="996"/>
      <c r="UWO89" s="996"/>
      <c r="UWP89" s="996"/>
      <c r="UWQ89" s="996"/>
      <c r="UWR89" s="996"/>
      <c r="UWS89" s="996"/>
      <c r="UWT89" s="996"/>
      <c r="UWU89" s="996"/>
      <c r="UWV89" s="996"/>
      <c r="UWW89" s="996"/>
      <c r="UWX89" s="996"/>
      <c r="UWY89" s="996"/>
      <c r="UWZ89" s="996"/>
      <c r="UXA89" s="996"/>
      <c r="UXB89" s="996"/>
      <c r="UXC89" s="996"/>
      <c r="UXD89" s="996"/>
      <c r="UXE89" s="996"/>
      <c r="UXF89" s="996"/>
      <c r="UXG89" s="996"/>
      <c r="UXH89" s="996"/>
      <c r="UXI89" s="996"/>
      <c r="UXJ89" s="996"/>
      <c r="UXK89" s="996"/>
      <c r="UXL89" s="996"/>
      <c r="UXM89" s="996"/>
      <c r="UXN89" s="996"/>
      <c r="UXO89" s="996"/>
      <c r="UXP89" s="996"/>
      <c r="UXQ89" s="996"/>
      <c r="UXR89" s="996"/>
      <c r="UXS89" s="996"/>
      <c r="UXT89" s="996"/>
      <c r="UXU89" s="996"/>
      <c r="UXV89" s="996"/>
      <c r="UXW89" s="996"/>
      <c r="UXX89" s="996"/>
      <c r="UXY89" s="996"/>
      <c r="UXZ89" s="996"/>
      <c r="UYA89" s="996"/>
      <c r="UYB89" s="996"/>
      <c r="UYC89" s="996"/>
      <c r="UYD89" s="996"/>
      <c r="UYE89" s="996"/>
      <c r="UYF89" s="996"/>
      <c r="UYG89" s="996"/>
      <c r="UYH89" s="996"/>
      <c r="UYI89" s="996"/>
      <c r="UYJ89" s="996"/>
      <c r="UYK89" s="996"/>
      <c r="UYL89" s="996"/>
      <c r="UYM89" s="996"/>
      <c r="UYN89" s="996"/>
      <c r="UYO89" s="996"/>
      <c r="UYP89" s="996"/>
      <c r="UYQ89" s="996"/>
      <c r="UYR89" s="996"/>
      <c r="UYS89" s="996"/>
      <c r="UYT89" s="996"/>
      <c r="UYU89" s="996"/>
      <c r="UYV89" s="996"/>
      <c r="UYW89" s="996"/>
      <c r="UYX89" s="996"/>
      <c r="UYY89" s="996"/>
      <c r="UYZ89" s="996"/>
      <c r="UZA89" s="996"/>
      <c r="UZB89" s="996"/>
      <c r="UZC89" s="996"/>
      <c r="UZD89" s="996"/>
      <c r="UZE89" s="996"/>
      <c r="UZF89" s="996"/>
      <c r="UZG89" s="996"/>
      <c r="UZH89" s="996"/>
      <c r="UZI89" s="996"/>
      <c r="UZJ89" s="996"/>
      <c r="UZK89" s="996"/>
      <c r="UZL89" s="996"/>
      <c r="UZM89" s="996"/>
      <c r="UZN89" s="996"/>
      <c r="UZO89" s="996"/>
      <c r="UZP89" s="996"/>
      <c r="UZQ89" s="996"/>
      <c r="UZR89" s="996"/>
      <c r="UZS89" s="996"/>
      <c r="UZT89" s="996"/>
      <c r="UZU89" s="996"/>
      <c r="UZV89" s="996"/>
      <c r="UZW89" s="996"/>
      <c r="UZX89" s="996"/>
      <c r="UZY89" s="996"/>
      <c r="UZZ89" s="996"/>
      <c r="VAA89" s="996"/>
      <c r="VAB89" s="996"/>
      <c r="VAC89" s="996"/>
      <c r="VAD89" s="996"/>
      <c r="VAE89" s="996"/>
      <c r="VAF89" s="996"/>
      <c r="VAG89" s="996"/>
      <c r="VAH89" s="996"/>
      <c r="VAI89" s="996"/>
      <c r="VAJ89" s="996"/>
      <c r="VAK89" s="996"/>
      <c r="VAL89" s="996"/>
      <c r="VAM89" s="996"/>
      <c r="VAN89" s="996"/>
      <c r="VAO89" s="996"/>
      <c r="VAP89" s="996"/>
      <c r="VAQ89" s="996"/>
      <c r="VAR89" s="996"/>
      <c r="VAS89" s="996"/>
      <c r="VAT89" s="996"/>
      <c r="VAU89" s="996"/>
      <c r="VAV89" s="996"/>
      <c r="VAW89" s="996"/>
      <c r="VAX89" s="996"/>
      <c r="VAY89" s="996"/>
      <c r="VAZ89" s="996"/>
      <c r="VBA89" s="996"/>
      <c r="VBB89" s="996"/>
      <c r="VBC89" s="996"/>
      <c r="VBD89" s="996"/>
      <c r="VBE89" s="996"/>
      <c r="VBF89" s="996"/>
      <c r="VBG89" s="996"/>
      <c r="VBH89" s="996"/>
      <c r="VBI89" s="996"/>
      <c r="VBJ89" s="996"/>
      <c r="VBK89" s="996"/>
      <c r="VBL89" s="996"/>
      <c r="VBM89" s="996"/>
      <c r="VBN89" s="996"/>
      <c r="VBO89" s="996"/>
      <c r="VBP89" s="996"/>
      <c r="VBQ89" s="996"/>
      <c r="VBR89" s="996"/>
      <c r="VBS89" s="996"/>
      <c r="VBT89" s="996"/>
      <c r="VBU89" s="996"/>
      <c r="VBV89" s="996"/>
      <c r="VBW89" s="996"/>
      <c r="VBX89" s="996"/>
      <c r="VBY89" s="996"/>
      <c r="VBZ89" s="996"/>
      <c r="VCA89" s="996"/>
      <c r="VCB89" s="996"/>
      <c r="VCC89" s="996"/>
      <c r="VCD89" s="996"/>
      <c r="VCE89" s="996"/>
      <c r="VCF89" s="996"/>
      <c r="VCG89" s="996"/>
      <c r="VCH89" s="996"/>
      <c r="VCI89" s="996"/>
      <c r="VCJ89" s="996"/>
      <c r="VCK89" s="996"/>
      <c r="VCL89" s="996"/>
      <c r="VCM89" s="996"/>
      <c r="VCN89" s="996"/>
      <c r="VCO89" s="996"/>
      <c r="VCP89" s="996"/>
      <c r="VCQ89" s="996"/>
      <c r="VCR89" s="996"/>
      <c r="VCS89" s="996"/>
      <c r="VCT89" s="996"/>
      <c r="VCU89" s="996"/>
      <c r="VCV89" s="996"/>
      <c r="VCW89" s="996"/>
      <c r="VCX89" s="996"/>
      <c r="VCY89" s="996"/>
      <c r="VCZ89" s="996"/>
      <c r="VDA89" s="996"/>
      <c r="VDB89" s="996"/>
      <c r="VDC89" s="996"/>
      <c r="VDD89" s="996"/>
      <c r="VDE89" s="996"/>
      <c r="VDF89" s="996"/>
      <c r="VDG89" s="996"/>
      <c r="VDH89" s="996"/>
      <c r="VDI89" s="996"/>
      <c r="VDJ89" s="996"/>
      <c r="VDK89" s="996"/>
      <c r="VDL89" s="996"/>
      <c r="VDM89" s="996"/>
      <c r="VDN89" s="996"/>
      <c r="VDO89" s="996"/>
      <c r="VDP89" s="996"/>
      <c r="VDQ89" s="996"/>
      <c r="VDR89" s="996"/>
      <c r="VDS89" s="996"/>
      <c r="VDT89" s="996"/>
      <c r="VDU89" s="996"/>
      <c r="VDV89" s="996"/>
      <c r="VDW89" s="996"/>
      <c r="VDX89" s="996"/>
      <c r="VDY89" s="996"/>
      <c r="VDZ89" s="996"/>
      <c r="VEA89" s="996"/>
      <c r="VEB89" s="996"/>
      <c r="VEC89" s="996"/>
      <c r="VED89" s="996"/>
      <c r="VEE89" s="996"/>
      <c r="VEF89" s="996"/>
      <c r="VEG89" s="996"/>
      <c r="VEH89" s="996"/>
      <c r="VEI89" s="996"/>
      <c r="VEJ89" s="996"/>
      <c r="VEK89" s="996"/>
      <c r="VEL89" s="996"/>
      <c r="VEM89" s="996"/>
      <c r="VEN89" s="996"/>
      <c r="VEO89" s="996"/>
      <c r="VEP89" s="996"/>
      <c r="VEQ89" s="996"/>
      <c r="VER89" s="996"/>
      <c r="VES89" s="996"/>
      <c r="VET89" s="996"/>
      <c r="VEU89" s="996"/>
      <c r="VEV89" s="996"/>
      <c r="VEW89" s="996"/>
      <c r="VEX89" s="996"/>
      <c r="VEY89" s="996"/>
      <c r="VEZ89" s="996"/>
      <c r="VFA89" s="996"/>
      <c r="VFB89" s="996"/>
      <c r="VFC89" s="996"/>
      <c r="VFD89" s="996"/>
      <c r="VFE89" s="996"/>
      <c r="VFF89" s="996"/>
      <c r="VFG89" s="996"/>
      <c r="VFH89" s="996"/>
      <c r="VFI89" s="996"/>
      <c r="VFJ89" s="996"/>
      <c r="VFK89" s="996"/>
      <c r="VFL89" s="996"/>
      <c r="VFM89" s="996"/>
      <c r="VFN89" s="996"/>
      <c r="VFO89" s="996"/>
      <c r="VFP89" s="996"/>
      <c r="VFQ89" s="996"/>
      <c r="VFR89" s="996"/>
      <c r="VFS89" s="996"/>
      <c r="VFT89" s="996"/>
      <c r="VFU89" s="996"/>
      <c r="VFV89" s="996"/>
      <c r="VFW89" s="996"/>
      <c r="VFX89" s="996"/>
      <c r="VFY89" s="996"/>
      <c r="VFZ89" s="996"/>
      <c r="VGA89" s="996"/>
      <c r="VGB89" s="996"/>
      <c r="VGC89" s="996"/>
      <c r="VGD89" s="996"/>
      <c r="VGE89" s="996"/>
      <c r="VGF89" s="996"/>
      <c r="VGG89" s="996"/>
      <c r="VGH89" s="996"/>
      <c r="VGI89" s="996"/>
      <c r="VGJ89" s="996"/>
      <c r="VGK89" s="996"/>
      <c r="VGL89" s="996"/>
      <c r="VGM89" s="996"/>
      <c r="VGN89" s="996"/>
      <c r="VGO89" s="996"/>
      <c r="VGP89" s="996"/>
      <c r="VGQ89" s="996"/>
      <c r="VGR89" s="996"/>
      <c r="VGS89" s="996"/>
      <c r="VGT89" s="996"/>
      <c r="VGU89" s="996"/>
      <c r="VGV89" s="996"/>
      <c r="VGW89" s="996"/>
      <c r="VGX89" s="996"/>
      <c r="VGY89" s="996"/>
      <c r="VGZ89" s="996"/>
      <c r="VHA89" s="996"/>
      <c r="VHB89" s="996"/>
      <c r="VHC89" s="996"/>
      <c r="VHD89" s="996"/>
      <c r="VHE89" s="996"/>
      <c r="VHF89" s="996"/>
      <c r="VHG89" s="996"/>
      <c r="VHH89" s="996"/>
      <c r="VHI89" s="996"/>
      <c r="VHJ89" s="996"/>
      <c r="VHK89" s="996"/>
      <c r="VHL89" s="996"/>
      <c r="VHM89" s="996"/>
      <c r="VHN89" s="996"/>
      <c r="VHO89" s="996"/>
      <c r="VHP89" s="996"/>
      <c r="VHQ89" s="996"/>
      <c r="VHR89" s="996"/>
      <c r="VHS89" s="996"/>
      <c r="VHT89" s="996"/>
      <c r="VHU89" s="996"/>
      <c r="VHV89" s="996"/>
      <c r="VHW89" s="996"/>
      <c r="VHX89" s="996"/>
      <c r="VHY89" s="996"/>
      <c r="VHZ89" s="996"/>
      <c r="VIA89" s="996"/>
      <c r="VIB89" s="996"/>
      <c r="VIC89" s="996"/>
      <c r="VID89" s="996"/>
      <c r="VIE89" s="996"/>
      <c r="VIF89" s="996"/>
      <c r="VIG89" s="996"/>
      <c r="VIH89" s="996"/>
      <c r="VII89" s="996"/>
      <c r="VIJ89" s="996"/>
      <c r="VIK89" s="996"/>
      <c r="VIL89" s="996"/>
      <c r="VIM89" s="996"/>
      <c r="VIN89" s="996"/>
      <c r="VIO89" s="996"/>
      <c r="VIP89" s="996"/>
      <c r="VIQ89" s="996"/>
      <c r="VIR89" s="996"/>
      <c r="VIS89" s="996"/>
      <c r="VIT89" s="996"/>
      <c r="VIU89" s="996"/>
      <c r="VIV89" s="996"/>
      <c r="VIW89" s="996"/>
      <c r="VIX89" s="996"/>
      <c r="VIY89" s="996"/>
      <c r="VIZ89" s="996"/>
      <c r="VJA89" s="996"/>
      <c r="VJB89" s="996"/>
      <c r="VJC89" s="996"/>
      <c r="VJD89" s="996"/>
      <c r="VJE89" s="996"/>
      <c r="VJF89" s="996"/>
      <c r="VJG89" s="996"/>
      <c r="VJH89" s="996"/>
      <c r="VJI89" s="996"/>
      <c r="VJJ89" s="996"/>
      <c r="VJK89" s="996"/>
      <c r="VJL89" s="996"/>
      <c r="VJM89" s="996"/>
      <c r="VJN89" s="996"/>
      <c r="VJO89" s="996"/>
      <c r="VJP89" s="996"/>
      <c r="VJQ89" s="996"/>
      <c r="VJR89" s="996"/>
      <c r="VJS89" s="996"/>
      <c r="VJT89" s="996"/>
      <c r="VJU89" s="996"/>
      <c r="VJV89" s="996"/>
      <c r="VJW89" s="996"/>
      <c r="VJX89" s="996"/>
      <c r="VJY89" s="996"/>
      <c r="VJZ89" s="996"/>
      <c r="VKA89" s="996"/>
      <c r="VKB89" s="996"/>
      <c r="VKC89" s="996"/>
      <c r="VKD89" s="996"/>
      <c r="VKE89" s="996"/>
      <c r="VKF89" s="996"/>
      <c r="VKG89" s="996"/>
      <c r="VKH89" s="996"/>
      <c r="VKI89" s="996"/>
      <c r="VKJ89" s="996"/>
      <c r="VKK89" s="996"/>
      <c r="VKL89" s="996"/>
      <c r="VKM89" s="996"/>
      <c r="VKN89" s="996"/>
      <c r="VKO89" s="996"/>
      <c r="VKP89" s="996"/>
      <c r="VKQ89" s="996"/>
      <c r="VKR89" s="996"/>
      <c r="VKS89" s="996"/>
      <c r="VKT89" s="996"/>
      <c r="VKU89" s="996"/>
      <c r="VKV89" s="996"/>
      <c r="VKW89" s="996"/>
      <c r="VKX89" s="996"/>
      <c r="VKY89" s="996"/>
      <c r="VKZ89" s="996"/>
      <c r="VLA89" s="996"/>
      <c r="VLB89" s="996"/>
      <c r="VLC89" s="996"/>
      <c r="VLD89" s="996"/>
      <c r="VLE89" s="996"/>
      <c r="VLF89" s="996"/>
      <c r="VLG89" s="996"/>
      <c r="VLH89" s="996"/>
      <c r="VLI89" s="996"/>
      <c r="VLJ89" s="996"/>
      <c r="VLK89" s="996"/>
      <c r="VLL89" s="996"/>
      <c r="VLM89" s="996"/>
      <c r="VLN89" s="996"/>
      <c r="VLO89" s="996"/>
      <c r="VLP89" s="996"/>
      <c r="VLQ89" s="996"/>
      <c r="VLR89" s="996"/>
      <c r="VLS89" s="996"/>
      <c r="VLT89" s="996"/>
      <c r="VLU89" s="996"/>
      <c r="VLV89" s="996"/>
      <c r="VLW89" s="996"/>
      <c r="VLX89" s="996"/>
      <c r="VLY89" s="996"/>
      <c r="VLZ89" s="996"/>
      <c r="VMA89" s="996"/>
      <c r="VMB89" s="996"/>
      <c r="VMC89" s="996"/>
      <c r="VMD89" s="996"/>
      <c r="VME89" s="996"/>
      <c r="VMF89" s="996"/>
      <c r="VMG89" s="996"/>
      <c r="VMH89" s="996"/>
      <c r="VMI89" s="996"/>
      <c r="VMJ89" s="996"/>
      <c r="VMK89" s="996"/>
      <c r="VML89" s="996"/>
      <c r="VMM89" s="996"/>
      <c r="VMN89" s="996"/>
      <c r="VMO89" s="996"/>
      <c r="VMP89" s="996"/>
      <c r="VMQ89" s="996"/>
      <c r="VMR89" s="996"/>
      <c r="VMS89" s="996"/>
      <c r="VMT89" s="996"/>
      <c r="VMU89" s="996"/>
      <c r="VMV89" s="996"/>
      <c r="VMW89" s="996"/>
      <c r="VMX89" s="996"/>
      <c r="VMY89" s="996"/>
      <c r="VMZ89" s="996"/>
      <c r="VNA89" s="996"/>
      <c r="VNB89" s="996"/>
      <c r="VNC89" s="996"/>
      <c r="VND89" s="996"/>
      <c r="VNE89" s="996"/>
      <c r="VNF89" s="996"/>
      <c r="VNG89" s="996"/>
      <c r="VNH89" s="996"/>
      <c r="VNI89" s="996"/>
      <c r="VNJ89" s="996"/>
      <c r="VNK89" s="996"/>
      <c r="VNL89" s="996"/>
      <c r="VNM89" s="996"/>
      <c r="VNN89" s="996"/>
      <c r="VNO89" s="996"/>
      <c r="VNP89" s="996"/>
      <c r="VNQ89" s="996"/>
      <c r="VNR89" s="996"/>
      <c r="VNS89" s="996"/>
      <c r="VNT89" s="996"/>
      <c r="VNU89" s="996"/>
      <c r="VNV89" s="996"/>
      <c r="VNW89" s="996"/>
      <c r="VNX89" s="996"/>
      <c r="VNY89" s="996"/>
      <c r="VNZ89" s="996"/>
      <c r="VOA89" s="996"/>
      <c r="VOB89" s="996"/>
      <c r="VOC89" s="996"/>
      <c r="VOD89" s="996"/>
      <c r="VOE89" s="996"/>
      <c r="VOF89" s="996"/>
      <c r="VOG89" s="996"/>
      <c r="VOH89" s="996"/>
      <c r="VOI89" s="996"/>
      <c r="VOJ89" s="996"/>
      <c r="VOK89" s="996"/>
      <c r="VOL89" s="996"/>
      <c r="VOM89" s="996"/>
      <c r="VON89" s="996"/>
      <c r="VOO89" s="996"/>
      <c r="VOP89" s="996"/>
      <c r="VOQ89" s="996"/>
      <c r="VOR89" s="996"/>
      <c r="VOS89" s="996"/>
      <c r="VOT89" s="996"/>
      <c r="VOU89" s="996"/>
      <c r="VOV89" s="996"/>
      <c r="VOW89" s="996"/>
      <c r="VOX89" s="996"/>
      <c r="VOY89" s="996"/>
      <c r="VOZ89" s="996"/>
      <c r="VPA89" s="996"/>
      <c r="VPB89" s="996"/>
      <c r="VPC89" s="996"/>
      <c r="VPD89" s="996"/>
      <c r="VPE89" s="996"/>
      <c r="VPF89" s="996"/>
      <c r="VPG89" s="996"/>
      <c r="VPH89" s="996"/>
      <c r="VPI89" s="996"/>
      <c r="VPJ89" s="996"/>
      <c r="VPK89" s="996"/>
      <c r="VPL89" s="996"/>
      <c r="VPM89" s="996"/>
      <c r="VPN89" s="996"/>
      <c r="VPO89" s="996"/>
      <c r="VPP89" s="996"/>
      <c r="VPQ89" s="996"/>
      <c r="VPR89" s="996"/>
      <c r="VPS89" s="996"/>
      <c r="VPT89" s="996"/>
      <c r="VPU89" s="996"/>
      <c r="VPV89" s="996"/>
      <c r="VPW89" s="996"/>
      <c r="VPX89" s="996"/>
      <c r="VPY89" s="996"/>
      <c r="VPZ89" s="996"/>
      <c r="VQA89" s="996"/>
      <c r="VQB89" s="996"/>
      <c r="VQC89" s="996"/>
      <c r="VQD89" s="996"/>
      <c r="VQE89" s="996"/>
      <c r="VQF89" s="996"/>
      <c r="VQG89" s="996"/>
      <c r="VQH89" s="996"/>
      <c r="VQI89" s="996"/>
      <c r="VQJ89" s="996"/>
      <c r="VQK89" s="996"/>
      <c r="VQL89" s="996"/>
      <c r="VQM89" s="996"/>
      <c r="VQN89" s="996"/>
      <c r="VQO89" s="996"/>
      <c r="VQP89" s="996"/>
      <c r="VQQ89" s="996"/>
      <c r="VQR89" s="996"/>
      <c r="VQS89" s="996"/>
      <c r="VQT89" s="996"/>
      <c r="VQU89" s="996"/>
      <c r="VQV89" s="996"/>
      <c r="VQW89" s="996"/>
      <c r="VQX89" s="996"/>
      <c r="VQY89" s="996"/>
      <c r="VQZ89" s="996"/>
      <c r="VRA89" s="996"/>
      <c r="VRB89" s="996"/>
      <c r="VRC89" s="996"/>
      <c r="VRD89" s="996"/>
      <c r="VRE89" s="996"/>
      <c r="VRF89" s="996"/>
      <c r="VRG89" s="996"/>
      <c r="VRH89" s="996"/>
      <c r="VRI89" s="996"/>
      <c r="VRJ89" s="996"/>
      <c r="VRK89" s="996"/>
      <c r="VRL89" s="996"/>
      <c r="VRM89" s="996"/>
      <c r="VRN89" s="996"/>
      <c r="VRO89" s="996"/>
      <c r="VRP89" s="996"/>
      <c r="VRQ89" s="996"/>
      <c r="VRR89" s="996"/>
      <c r="VRS89" s="996"/>
      <c r="VRT89" s="996"/>
      <c r="VRU89" s="996"/>
      <c r="VRV89" s="996"/>
      <c r="VRW89" s="996"/>
      <c r="VRX89" s="996"/>
      <c r="VRY89" s="996"/>
      <c r="VRZ89" s="996"/>
      <c r="VSA89" s="996"/>
      <c r="VSB89" s="996"/>
      <c r="VSC89" s="996"/>
      <c r="VSD89" s="996"/>
      <c r="VSE89" s="996"/>
      <c r="VSF89" s="996"/>
      <c r="VSG89" s="996"/>
      <c r="VSH89" s="996"/>
      <c r="VSI89" s="996"/>
      <c r="VSJ89" s="996"/>
      <c r="VSK89" s="996"/>
      <c r="VSL89" s="996"/>
      <c r="VSM89" s="996"/>
      <c r="VSN89" s="996"/>
      <c r="VSO89" s="996"/>
      <c r="VSP89" s="996"/>
      <c r="VSQ89" s="996"/>
      <c r="VSR89" s="996"/>
      <c r="VSS89" s="996"/>
      <c r="VST89" s="996"/>
      <c r="VSU89" s="996"/>
      <c r="VSV89" s="996"/>
      <c r="VSW89" s="996"/>
      <c r="VSX89" s="996"/>
      <c r="VSY89" s="996"/>
      <c r="VSZ89" s="996"/>
      <c r="VTA89" s="996"/>
      <c r="VTB89" s="996"/>
      <c r="VTC89" s="996"/>
      <c r="VTD89" s="996"/>
      <c r="VTE89" s="996"/>
      <c r="VTF89" s="996"/>
      <c r="VTG89" s="996"/>
      <c r="VTH89" s="996"/>
      <c r="VTI89" s="996"/>
      <c r="VTJ89" s="996"/>
      <c r="VTK89" s="996"/>
      <c r="VTL89" s="996"/>
      <c r="VTM89" s="996"/>
      <c r="VTN89" s="996"/>
      <c r="VTO89" s="996"/>
      <c r="VTP89" s="996"/>
      <c r="VTQ89" s="996"/>
      <c r="VTR89" s="996"/>
      <c r="VTS89" s="996"/>
      <c r="VTT89" s="996"/>
      <c r="VTU89" s="996"/>
      <c r="VTV89" s="996"/>
      <c r="VTW89" s="996"/>
      <c r="VTX89" s="996"/>
      <c r="VTY89" s="996"/>
      <c r="VTZ89" s="996"/>
      <c r="VUA89" s="996"/>
      <c r="VUB89" s="996"/>
      <c r="VUC89" s="996"/>
      <c r="VUD89" s="996"/>
      <c r="VUE89" s="996"/>
      <c r="VUF89" s="996"/>
      <c r="VUG89" s="996"/>
      <c r="VUH89" s="996"/>
      <c r="VUI89" s="996"/>
      <c r="VUJ89" s="996"/>
      <c r="VUK89" s="996"/>
      <c r="VUL89" s="996"/>
      <c r="VUM89" s="996"/>
      <c r="VUN89" s="996"/>
      <c r="VUO89" s="996"/>
      <c r="VUP89" s="996"/>
      <c r="VUQ89" s="996"/>
      <c r="VUR89" s="996"/>
      <c r="VUS89" s="996"/>
      <c r="VUT89" s="996"/>
      <c r="VUU89" s="996"/>
      <c r="VUV89" s="996"/>
      <c r="VUW89" s="996"/>
      <c r="VUX89" s="996"/>
      <c r="VUY89" s="996"/>
      <c r="VUZ89" s="996"/>
      <c r="VVA89" s="996"/>
      <c r="VVB89" s="996"/>
      <c r="VVC89" s="996"/>
      <c r="VVD89" s="996"/>
      <c r="VVE89" s="996"/>
      <c r="VVF89" s="996"/>
      <c r="VVG89" s="996"/>
      <c r="VVH89" s="996"/>
      <c r="VVI89" s="996"/>
      <c r="VVJ89" s="996"/>
      <c r="VVK89" s="996"/>
      <c r="VVL89" s="996"/>
      <c r="VVM89" s="996"/>
      <c r="VVN89" s="996"/>
      <c r="VVO89" s="996"/>
      <c r="VVP89" s="996"/>
      <c r="VVQ89" s="996"/>
      <c r="VVR89" s="996"/>
      <c r="VVS89" s="996"/>
      <c r="VVT89" s="996"/>
      <c r="VVU89" s="996"/>
      <c r="VVV89" s="996"/>
      <c r="VVW89" s="996"/>
      <c r="VVX89" s="996"/>
      <c r="VVY89" s="996"/>
      <c r="VVZ89" s="996"/>
      <c r="VWA89" s="996"/>
      <c r="VWB89" s="996"/>
      <c r="VWC89" s="996"/>
      <c r="VWD89" s="996"/>
      <c r="VWE89" s="996"/>
      <c r="VWF89" s="996"/>
      <c r="VWG89" s="996"/>
      <c r="VWH89" s="996"/>
      <c r="VWI89" s="996"/>
      <c r="VWJ89" s="996"/>
      <c r="VWK89" s="996"/>
      <c r="VWL89" s="996"/>
      <c r="VWM89" s="996"/>
      <c r="VWN89" s="996"/>
      <c r="VWO89" s="996"/>
      <c r="VWP89" s="996"/>
      <c r="VWQ89" s="996"/>
      <c r="VWR89" s="996"/>
      <c r="VWS89" s="996"/>
      <c r="VWT89" s="996"/>
      <c r="VWU89" s="996"/>
      <c r="VWV89" s="996"/>
      <c r="VWW89" s="996"/>
      <c r="VWX89" s="996"/>
      <c r="VWY89" s="996"/>
      <c r="VWZ89" s="996"/>
      <c r="VXA89" s="996"/>
      <c r="VXB89" s="996"/>
      <c r="VXC89" s="996"/>
      <c r="VXD89" s="996"/>
      <c r="VXE89" s="996"/>
      <c r="VXF89" s="996"/>
      <c r="VXG89" s="996"/>
      <c r="VXH89" s="996"/>
      <c r="VXI89" s="996"/>
      <c r="VXJ89" s="996"/>
      <c r="VXK89" s="996"/>
      <c r="VXL89" s="996"/>
      <c r="VXM89" s="996"/>
      <c r="VXN89" s="996"/>
      <c r="VXO89" s="996"/>
      <c r="VXP89" s="996"/>
      <c r="VXQ89" s="996"/>
      <c r="VXR89" s="996"/>
      <c r="VXS89" s="996"/>
      <c r="VXT89" s="996"/>
      <c r="VXU89" s="996"/>
      <c r="VXV89" s="996"/>
      <c r="VXW89" s="996"/>
      <c r="VXX89" s="996"/>
      <c r="VXY89" s="996"/>
      <c r="VXZ89" s="996"/>
      <c r="VYA89" s="996"/>
      <c r="VYB89" s="996"/>
      <c r="VYC89" s="996"/>
      <c r="VYD89" s="996"/>
      <c r="VYE89" s="996"/>
      <c r="VYF89" s="996"/>
      <c r="VYG89" s="996"/>
      <c r="VYH89" s="996"/>
      <c r="VYI89" s="996"/>
      <c r="VYJ89" s="996"/>
      <c r="VYK89" s="996"/>
      <c r="VYL89" s="996"/>
      <c r="VYM89" s="996"/>
      <c r="VYN89" s="996"/>
      <c r="VYO89" s="996"/>
      <c r="VYP89" s="996"/>
      <c r="VYQ89" s="996"/>
      <c r="VYR89" s="996"/>
      <c r="VYS89" s="996"/>
      <c r="VYT89" s="996"/>
      <c r="VYU89" s="996"/>
      <c r="VYV89" s="996"/>
      <c r="VYW89" s="996"/>
      <c r="VYX89" s="996"/>
      <c r="VYY89" s="996"/>
      <c r="VYZ89" s="996"/>
      <c r="VZA89" s="996"/>
      <c r="VZB89" s="996"/>
      <c r="VZC89" s="996"/>
      <c r="VZD89" s="996"/>
      <c r="VZE89" s="996"/>
      <c r="VZF89" s="996"/>
      <c r="VZG89" s="996"/>
      <c r="VZH89" s="996"/>
      <c r="VZI89" s="996"/>
      <c r="VZJ89" s="996"/>
      <c r="VZK89" s="996"/>
      <c r="VZL89" s="996"/>
      <c r="VZM89" s="996"/>
      <c r="VZN89" s="996"/>
      <c r="VZO89" s="996"/>
      <c r="VZP89" s="996"/>
      <c r="VZQ89" s="996"/>
      <c r="VZR89" s="996"/>
      <c r="VZS89" s="996"/>
      <c r="VZT89" s="996"/>
      <c r="VZU89" s="996"/>
      <c r="VZV89" s="996"/>
      <c r="VZW89" s="996"/>
      <c r="VZX89" s="996"/>
      <c r="VZY89" s="996"/>
      <c r="VZZ89" s="996"/>
      <c r="WAA89" s="996"/>
      <c r="WAB89" s="996"/>
      <c r="WAC89" s="996"/>
      <c r="WAD89" s="996"/>
      <c r="WAE89" s="996"/>
      <c r="WAF89" s="996"/>
      <c r="WAG89" s="996"/>
      <c r="WAH89" s="996"/>
      <c r="WAI89" s="996"/>
      <c r="WAJ89" s="996"/>
      <c r="WAK89" s="996"/>
      <c r="WAL89" s="996"/>
      <c r="WAM89" s="996"/>
      <c r="WAN89" s="996"/>
      <c r="WAO89" s="996"/>
      <c r="WAP89" s="996"/>
      <c r="WAQ89" s="996"/>
      <c r="WAR89" s="996"/>
      <c r="WAS89" s="996"/>
      <c r="WAT89" s="996"/>
      <c r="WAU89" s="996"/>
      <c r="WAV89" s="996"/>
      <c r="WAW89" s="996"/>
      <c r="WAX89" s="996"/>
      <c r="WAY89" s="996"/>
      <c r="WAZ89" s="996"/>
      <c r="WBA89" s="996"/>
      <c r="WBB89" s="996"/>
      <c r="WBC89" s="996"/>
      <c r="WBD89" s="996"/>
      <c r="WBE89" s="996"/>
      <c r="WBF89" s="996"/>
      <c r="WBG89" s="996"/>
      <c r="WBH89" s="996"/>
      <c r="WBI89" s="996"/>
      <c r="WBJ89" s="996"/>
      <c r="WBK89" s="996"/>
      <c r="WBL89" s="996"/>
      <c r="WBM89" s="996"/>
      <c r="WBN89" s="996"/>
      <c r="WBO89" s="996"/>
      <c r="WBP89" s="996"/>
      <c r="WBQ89" s="996"/>
      <c r="WBR89" s="996"/>
      <c r="WBS89" s="996"/>
      <c r="WBT89" s="996"/>
      <c r="WBU89" s="996"/>
      <c r="WBV89" s="996"/>
      <c r="WBW89" s="996"/>
      <c r="WBX89" s="996"/>
      <c r="WBY89" s="996"/>
      <c r="WBZ89" s="996"/>
      <c r="WCA89" s="996"/>
      <c r="WCB89" s="996"/>
      <c r="WCC89" s="996"/>
      <c r="WCD89" s="996"/>
      <c r="WCE89" s="996"/>
      <c r="WCF89" s="996"/>
      <c r="WCG89" s="996"/>
      <c r="WCH89" s="996"/>
      <c r="WCI89" s="996"/>
      <c r="WCJ89" s="996"/>
      <c r="WCK89" s="996"/>
      <c r="WCL89" s="996"/>
      <c r="WCM89" s="996"/>
      <c r="WCN89" s="996"/>
      <c r="WCO89" s="996"/>
      <c r="WCP89" s="996"/>
      <c r="WCQ89" s="996"/>
      <c r="WCR89" s="996"/>
      <c r="WCS89" s="996"/>
      <c r="WCT89" s="996"/>
      <c r="WCU89" s="996"/>
      <c r="WCV89" s="996"/>
      <c r="WCW89" s="996"/>
      <c r="WCX89" s="996"/>
      <c r="WCY89" s="996"/>
      <c r="WCZ89" s="996"/>
      <c r="WDA89" s="996"/>
      <c r="WDB89" s="996"/>
      <c r="WDC89" s="996"/>
      <c r="WDD89" s="996"/>
      <c r="WDE89" s="996"/>
      <c r="WDF89" s="996"/>
      <c r="WDG89" s="996"/>
      <c r="WDH89" s="996"/>
      <c r="WDI89" s="996"/>
      <c r="WDJ89" s="996"/>
      <c r="WDK89" s="996"/>
      <c r="WDL89" s="996"/>
      <c r="WDM89" s="996"/>
      <c r="WDN89" s="996"/>
      <c r="WDO89" s="996"/>
      <c r="WDP89" s="996"/>
      <c r="WDQ89" s="996"/>
      <c r="WDR89" s="996"/>
      <c r="WDS89" s="996"/>
      <c r="WDT89" s="996"/>
      <c r="WDU89" s="996"/>
      <c r="WDV89" s="996"/>
      <c r="WDW89" s="996"/>
      <c r="WDX89" s="996"/>
      <c r="WDY89" s="996"/>
      <c r="WDZ89" s="996"/>
      <c r="WEA89" s="996"/>
      <c r="WEB89" s="996"/>
      <c r="WEC89" s="996"/>
      <c r="WED89" s="996"/>
      <c r="WEE89" s="996"/>
      <c r="WEF89" s="996"/>
      <c r="WEG89" s="996"/>
      <c r="WEH89" s="996"/>
      <c r="WEI89" s="996"/>
      <c r="WEJ89" s="996"/>
      <c r="WEK89" s="996"/>
      <c r="WEL89" s="996"/>
      <c r="WEM89" s="996"/>
      <c r="WEN89" s="996"/>
      <c r="WEO89" s="996"/>
      <c r="WEP89" s="996"/>
      <c r="WEQ89" s="996"/>
      <c r="WER89" s="996"/>
      <c r="WES89" s="996"/>
      <c r="WET89" s="996"/>
      <c r="WEU89" s="996"/>
      <c r="WEV89" s="996"/>
      <c r="WEW89" s="996"/>
      <c r="WEX89" s="996"/>
      <c r="WEY89" s="996"/>
      <c r="WEZ89" s="996"/>
      <c r="WFA89" s="996"/>
      <c r="WFB89" s="996"/>
      <c r="WFC89" s="996"/>
      <c r="WFD89" s="996"/>
      <c r="WFE89" s="996"/>
      <c r="WFF89" s="996"/>
      <c r="WFG89" s="996"/>
      <c r="WFH89" s="996"/>
      <c r="WFI89" s="996"/>
      <c r="WFJ89" s="996"/>
      <c r="WFK89" s="996"/>
      <c r="WFL89" s="996"/>
      <c r="WFM89" s="996"/>
      <c r="WFN89" s="996"/>
      <c r="WFO89" s="996"/>
      <c r="WFP89" s="996"/>
      <c r="WFQ89" s="996"/>
      <c r="WFR89" s="996"/>
      <c r="WFS89" s="996"/>
      <c r="WFT89" s="996"/>
      <c r="WFU89" s="996"/>
      <c r="WFV89" s="996"/>
      <c r="WFW89" s="996"/>
      <c r="WFX89" s="996"/>
      <c r="WFY89" s="996"/>
      <c r="WFZ89" s="996"/>
      <c r="WGA89" s="996"/>
      <c r="WGB89" s="996"/>
      <c r="WGC89" s="996"/>
      <c r="WGD89" s="996"/>
      <c r="WGE89" s="996"/>
      <c r="WGF89" s="996"/>
      <c r="WGG89" s="996"/>
      <c r="WGH89" s="996"/>
      <c r="WGI89" s="996"/>
      <c r="WGJ89" s="996"/>
      <c r="WGK89" s="996"/>
      <c r="WGL89" s="996"/>
      <c r="WGM89" s="996"/>
      <c r="WGN89" s="996"/>
      <c r="WGO89" s="996"/>
      <c r="WGP89" s="996"/>
      <c r="WGQ89" s="996"/>
      <c r="WGR89" s="996"/>
      <c r="WGS89" s="996"/>
      <c r="WGT89" s="996"/>
      <c r="WGU89" s="996"/>
      <c r="WGV89" s="996"/>
      <c r="WGW89" s="996"/>
      <c r="WGX89" s="996"/>
      <c r="WGY89" s="996"/>
      <c r="WGZ89" s="996"/>
      <c r="WHA89" s="996"/>
      <c r="WHB89" s="996"/>
      <c r="WHC89" s="996"/>
      <c r="WHD89" s="996"/>
      <c r="WHE89" s="996"/>
      <c r="WHF89" s="996"/>
      <c r="WHG89" s="996"/>
      <c r="WHH89" s="996"/>
      <c r="WHI89" s="996"/>
      <c r="WHJ89" s="996"/>
      <c r="WHK89" s="996"/>
      <c r="WHL89" s="996"/>
      <c r="WHM89" s="996"/>
      <c r="WHN89" s="996"/>
      <c r="WHO89" s="996"/>
      <c r="WHP89" s="996"/>
      <c r="WHQ89" s="996"/>
      <c r="WHR89" s="996"/>
      <c r="WHS89" s="996"/>
      <c r="WHT89" s="996"/>
      <c r="WHU89" s="996"/>
      <c r="WHV89" s="996"/>
      <c r="WHW89" s="996"/>
      <c r="WHX89" s="996"/>
      <c r="WHY89" s="996"/>
      <c r="WHZ89" s="996"/>
      <c r="WIA89" s="996"/>
      <c r="WIB89" s="996"/>
      <c r="WIC89" s="996"/>
      <c r="WID89" s="996"/>
      <c r="WIE89" s="996"/>
      <c r="WIF89" s="996"/>
      <c r="WIG89" s="996"/>
      <c r="WIH89" s="996"/>
      <c r="WII89" s="996"/>
      <c r="WIJ89" s="996"/>
      <c r="WIK89" s="996"/>
      <c r="WIL89" s="996"/>
      <c r="WIM89" s="996"/>
      <c r="WIN89" s="996"/>
      <c r="WIO89" s="996"/>
      <c r="WIP89" s="996"/>
      <c r="WIQ89" s="996"/>
      <c r="WIR89" s="996"/>
      <c r="WIS89" s="996"/>
      <c r="WIT89" s="996"/>
      <c r="WIU89" s="996"/>
      <c r="WIV89" s="996"/>
      <c r="WIW89" s="996"/>
      <c r="WIX89" s="996"/>
      <c r="WIY89" s="996"/>
      <c r="WIZ89" s="996"/>
      <c r="WJA89" s="996"/>
      <c r="WJB89" s="996"/>
      <c r="WJC89" s="996"/>
      <c r="WJD89" s="996"/>
      <c r="WJE89" s="996"/>
      <c r="WJF89" s="996"/>
      <c r="WJG89" s="996"/>
      <c r="WJH89" s="996"/>
      <c r="WJI89" s="996"/>
      <c r="WJJ89" s="996"/>
      <c r="WJK89" s="996"/>
      <c r="WJL89" s="996"/>
      <c r="WJM89" s="996"/>
      <c r="WJN89" s="996"/>
      <c r="WJO89" s="996"/>
      <c r="WJP89" s="996"/>
      <c r="WJQ89" s="996"/>
      <c r="WJR89" s="996"/>
      <c r="WJS89" s="996"/>
      <c r="WJT89" s="996"/>
      <c r="WJU89" s="996"/>
      <c r="WJV89" s="996"/>
      <c r="WJW89" s="996"/>
      <c r="WJX89" s="996"/>
      <c r="WJY89" s="996"/>
      <c r="WJZ89" s="996"/>
      <c r="WKA89" s="996"/>
      <c r="WKB89" s="996"/>
      <c r="WKC89" s="996"/>
      <c r="WKD89" s="996"/>
      <c r="WKE89" s="996"/>
      <c r="WKF89" s="996"/>
      <c r="WKG89" s="996"/>
      <c r="WKH89" s="996"/>
      <c r="WKI89" s="996"/>
      <c r="WKJ89" s="996"/>
      <c r="WKK89" s="996"/>
      <c r="WKL89" s="996"/>
      <c r="WKM89" s="996"/>
      <c r="WKN89" s="996"/>
      <c r="WKO89" s="996"/>
      <c r="WKP89" s="996"/>
      <c r="WKQ89" s="996"/>
      <c r="WKR89" s="996"/>
      <c r="WKS89" s="996"/>
      <c r="WKT89" s="996"/>
      <c r="WKU89" s="996"/>
      <c r="WKV89" s="996"/>
      <c r="WKW89" s="996"/>
      <c r="WKX89" s="996"/>
      <c r="WKY89" s="996"/>
      <c r="WKZ89" s="996"/>
      <c r="WLA89" s="996"/>
      <c r="WLB89" s="996"/>
      <c r="WLC89" s="996"/>
      <c r="WLD89" s="996"/>
      <c r="WLE89" s="996"/>
      <c r="WLF89" s="996"/>
      <c r="WLG89" s="996"/>
      <c r="WLH89" s="996"/>
      <c r="WLI89" s="996"/>
      <c r="WLJ89" s="996"/>
      <c r="WLK89" s="996"/>
      <c r="WLL89" s="996"/>
      <c r="WLM89" s="996"/>
      <c r="WLN89" s="996"/>
      <c r="WLO89" s="996"/>
      <c r="WLP89" s="996"/>
      <c r="WLQ89" s="996"/>
      <c r="WLR89" s="996"/>
      <c r="WLS89" s="996"/>
      <c r="WLT89" s="996"/>
      <c r="WLU89" s="996"/>
      <c r="WLV89" s="996"/>
      <c r="WLW89" s="996"/>
      <c r="WLX89" s="996"/>
      <c r="WLY89" s="996"/>
      <c r="WLZ89" s="996"/>
      <c r="WMA89" s="996"/>
      <c r="WMB89" s="996"/>
      <c r="WMC89" s="996"/>
      <c r="WMD89" s="996"/>
      <c r="WME89" s="996"/>
      <c r="WMF89" s="996"/>
      <c r="WMG89" s="996"/>
      <c r="WMH89" s="996"/>
      <c r="WMI89" s="996"/>
      <c r="WMJ89" s="996"/>
      <c r="WMK89" s="996"/>
      <c r="WML89" s="996"/>
      <c r="WMM89" s="996"/>
      <c r="WMN89" s="996"/>
      <c r="WMO89" s="996"/>
      <c r="WMP89" s="996"/>
      <c r="WMQ89" s="996"/>
      <c r="WMR89" s="996"/>
      <c r="WMS89" s="996"/>
      <c r="WMT89" s="996"/>
      <c r="WMU89" s="996"/>
      <c r="WMV89" s="996"/>
      <c r="WMW89" s="996"/>
      <c r="WMX89" s="996"/>
      <c r="WMY89" s="996"/>
      <c r="WMZ89" s="996"/>
      <c r="WNA89" s="996"/>
      <c r="WNB89" s="996"/>
      <c r="WNC89" s="996"/>
      <c r="WND89" s="996"/>
      <c r="WNE89" s="996"/>
      <c r="WNF89" s="996"/>
      <c r="WNG89" s="996"/>
      <c r="WNH89" s="996"/>
      <c r="WNI89" s="996"/>
      <c r="WNJ89" s="996"/>
      <c r="WNK89" s="996"/>
      <c r="WNL89" s="996"/>
      <c r="WNM89" s="996"/>
      <c r="WNN89" s="996"/>
      <c r="WNO89" s="996"/>
      <c r="WNP89" s="996"/>
      <c r="WNQ89" s="996"/>
      <c r="WNR89" s="996"/>
      <c r="WNS89" s="996"/>
      <c r="WNT89" s="996"/>
      <c r="WNU89" s="996"/>
      <c r="WNV89" s="996"/>
      <c r="WNW89" s="996"/>
      <c r="WNX89" s="996"/>
      <c r="WNY89" s="996"/>
      <c r="WNZ89" s="996"/>
      <c r="WOA89" s="996"/>
      <c r="WOB89" s="996"/>
      <c r="WOC89" s="996"/>
      <c r="WOD89" s="996"/>
      <c r="WOE89" s="996"/>
      <c r="WOF89" s="996"/>
      <c r="WOG89" s="996"/>
      <c r="WOH89" s="996"/>
      <c r="WOI89" s="996"/>
      <c r="WOJ89" s="996"/>
      <c r="WOK89" s="996"/>
      <c r="WOL89" s="996"/>
      <c r="WOM89" s="996"/>
      <c r="WON89" s="996"/>
      <c r="WOO89" s="996"/>
      <c r="WOP89" s="996"/>
      <c r="WOQ89" s="996"/>
      <c r="WOR89" s="996"/>
      <c r="WOS89" s="996"/>
      <c r="WOT89" s="996"/>
      <c r="WOU89" s="996"/>
      <c r="WOV89" s="996"/>
      <c r="WOW89" s="996"/>
      <c r="WOX89" s="996"/>
      <c r="WOY89" s="996"/>
      <c r="WOZ89" s="996"/>
      <c r="WPA89" s="996"/>
      <c r="WPB89" s="996"/>
      <c r="WPC89" s="996"/>
      <c r="WPD89" s="996"/>
      <c r="WPE89" s="996"/>
      <c r="WPF89" s="996"/>
      <c r="WPG89" s="996"/>
      <c r="WPH89" s="996"/>
      <c r="WPI89" s="996"/>
      <c r="WPJ89" s="996"/>
      <c r="WPK89" s="996"/>
      <c r="WPL89" s="996"/>
      <c r="WPM89" s="996"/>
      <c r="WPN89" s="996"/>
      <c r="WPO89" s="996"/>
      <c r="WPP89" s="996"/>
      <c r="WPQ89" s="996"/>
      <c r="WPR89" s="996"/>
      <c r="WPS89" s="996"/>
      <c r="WPT89" s="996"/>
      <c r="WPU89" s="996"/>
      <c r="WPV89" s="996"/>
      <c r="WPW89" s="996"/>
      <c r="WPX89" s="996"/>
      <c r="WPY89" s="996"/>
      <c r="WPZ89" s="996"/>
      <c r="WQA89" s="996"/>
      <c r="WQB89" s="996"/>
      <c r="WQC89" s="996"/>
      <c r="WQD89" s="996"/>
      <c r="WQE89" s="996"/>
      <c r="WQF89" s="996"/>
      <c r="WQG89" s="996"/>
      <c r="WQH89" s="996"/>
      <c r="WQI89" s="996"/>
      <c r="WQJ89" s="996"/>
      <c r="WQK89" s="996"/>
      <c r="WQL89" s="996"/>
      <c r="WQM89" s="996"/>
      <c r="WQN89" s="996"/>
      <c r="WQO89" s="996"/>
      <c r="WQP89" s="996"/>
      <c r="WQQ89" s="996"/>
      <c r="WQR89" s="996"/>
      <c r="WQS89" s="996"/>
      <c r="WQT89" s="996"/>
      <c r="WQU89" s="996"/>
      <c r="WQV89" s="996"/>
      <c r="WQW89" s="996"/>
      <c r="WQX89" s="996"/>
      <c r="WQY89" s="996"/>
      <c r="WQZ89" s="996"/>
      <c r="WRA89" s="996"/>
      <c r="WRB89" s="996"/>
      <c r="WRC89" s="996"/>
      <c r="WRD89" s="996"/>
      <c r="WRE89" s="996"/>
      <c r="WRF89" s="996"/>
      <c r="WRG89" s="996"/>
      <c r="WRH89" s="996"/>
      <c r="WRI89" s="996"/>
      <c r="WRJ89" s="996"/>
      <c r="WRK89" s="996"/>
      <c r="WRL89" s="996"/>
      <c r="WRM89" s="996"/>
      <c r="WRN89" s="996"/>
      <c r="WRO89" s="996"/>
      <c r="WRP89" s="996"/>
      <c r="WRQ89" s="996"/>
      <c r="WRR89" s="996"/>
      <c r="WRS89" s="996"/>
      <c r="WRT89" s="996"/>
      <c r="WRU89" s="996"/>
      <c r="WRV89" s="996"/>
      <c r="WRW89" s="996"/>
      <c r="WRX89" s="996"/>
      <c r="WRY89" s="996"/>
      <c r="WRZ89" s="996"/>
      <c r="WSA89" s="996"/>
      <c r="WSB89" s="996"/>
      <c r="WSC89" s="996"/>
      <c r="WSD89" s="996"/>
      <c r="WSE89" s="996"/>
      <c r="WSF89" s="996"/>
      <c r="WSG89" s="996"/>
      <c r="WSH89" s="996"/>
      <c r="WSI89" s="996"/>
      <c r="WSJ89" s="996"/>
      <c r="WSK89" s="996"/>
      <c r="WSL89" s="996"/>
      <c r="WSM89" s="996"/>
      <c r="WSN89" s="996"/>
      <c r="WSO89" s="996"/>
      <c r="WSP89" s="996"/>
      <c r="WSQ89" s="996"/>
      <c r="WSR89" s="996"/>
      <c r="WSS89" s="996"/>
      <c r="WST89" s="996"/>
      <c r="WSU89" s="996"/>
      <c r="WSV89" s="996"/>
      <c r="WSW89" s="996"/>
      <c r="WSX89" s="996"/>
      <c r="WSY89" s="996"/>
      <c r="WSZ89" s="996"/>
      <c r="WTA89" s="996"/>
      <c r="WTB89" s="996"/>
      <c r="WTC89" s="996"/>
      <c r="WTD89" s="996"/>
      <c r="WTE89" s="996"/>
      <c r="WTF89" s="996"/>
      <c r="WTG89" s="996"/>
      <c r="WTH89" s="996"/>
      <c r="WTI89" s="996"/>
      <c r="WTJ89" s="996"/>
      <c r="WTK89" s="996"/>
      <c r="WTL89" s="996"/>
      <c r="WTM89" s="996"/>
      <c r="WTN89" s="996"/>
      <c r="WTO89" s="996"/>
      <c r="WTP89" s="996"/>
      <c r="WTQ89" s="996"/>
      <c r="WTR89" s="996"/>
      <c r="WTS89" s="996"/>
      <c r="WTT89" s="996"/>
      <c r="WTU89" s="996"/>
      <c r="WTV89" s="996"/>
      <c r="WTW89" s="996"/>
      <c r="WTX89" s="996"/>
      <c r="WTY89" s="996"/>
      <c r="WTZ89" s="996"/>
      <c r="WUA89" s="996"/>
      <c r="WUB89" s="996"/>
      <c r="WUC89" s="996"/>
      <c r="WUD89" s="996"/>
      <c r="WUE89" s="996"/>
      <c r="WUF89" s="996"/>
      <c r="WUG89" s="996"/>
      <c r="WUH89" s="996"/>
      <c r="WUI89" s="996"/>
      <c r="WUJ89" s="996"/>
      <c r="WUK89" s="996"/>
      <c r="WUL89" s="996"/>
      <c r="WUM89" s="996"/>
      <c r="WUN89" s="996"/>
      <c r="WUO89" s="996"/>
      <c r="WUP89" s="996"/>
      <c r="WUQ89" s="996"/>
      <c r="WUR89" s="996"/>
      <c r="WUS89" s="996"/>
      <c r="WUT89" s="996"/>
      <c r="WUU89" s="996"/>
      <c r="WUV89" s="996"/>
      <c r="WUW89" s="996"/>
      <c r="WUX89" s="996"/>
      <c r="WUY89" s="996"/>
      <c r="WUZ89" s="996"/>
      <c r="WVA89" s="996"/>
      <c r="WVB89" s="996"/>
      <c r="WVC89" s="996"/>
      <c r="WVD89" s="996"/>
      <c r="WVE89" s="996"/>
      <c r="WVF89" s="996"/>
      <c r="WVG89" s="996"/>
      <c r="WVH89" s="996"/>
      <c r="WVI89" s="996"/>
      <c r="WVJ89" s="996"/>
      <c r="WVK89" s="996"/>
      <c r="WVL89" s="996"/>
      <c r="WVM89" s="996"/>
      <c r="WVN89" s="996"/>
      <c r="WVO89" s="996"/>
      <c r="WVP89" s="996"/>
      <c r="WVQ89" s="996"/>
      <c r="WVR89" s="996"/>
      <c r="WVS89" s="996"/>
      <c r="WVT89" s="996"/>
      <c r="WVU89" s="996"/>
      <c r="WVV89" s="996"/>
      <c r="WVW89" s="996"/>
      <c r="WVX89" s="996"/>
      <c r="WVY89" s="996"/>
      <c r="WVZ89" s="996"/>
      <c r="WWA89" s="996"/>
      <c r="WWB89" s="996"/>
      <c r="WWC89" s="996"/>
      <c r="WWD89" s="996"/>
      <c r="WWE89" s="996"/>
      <c r="WWF89" s="996"/>
      <c r="WWG89" s="996"/>
      <c r="WWH89" s="996"/>
      <c r="WWI89" s="996"/>
      <c r="WWJ89" s="996"/>
      <c r="WWK89" s="996"/>
      <c r="WWL89" s="996"/>
      <c r="WWM89" s="996"/>
      <c r="WWN89" s="996"/>
      <c r="WWO89" s="996"/>
      <c r="WWP89" s="996"/>
      <c r="WWQ89" s="996"/>
      <c r="WWR89" s="996"/>
      <c r="WWS89" s="996"/>
      <c r="WWT89" s="996"/>
      <c r="WWU89" s="996"/>
      <c r="WWV89" s="996"/>
      <c r="WWW89" s="996"/>
      <c r="WWX89" s="996"/>
      <c r="WWY89" s="996"/>
      <c r="WWZ89" s="996"/>
      <c r="WXA89" s="996"/>
      <c r="WXB89" s="996"/>
      <c r="WXC89" s="996"/>
      <c r="WXD89" s="996"/>
      <c r="WXE89" s="996"/>
      <c r="WXF89" s="996"/>
      <c r="WXG89" s="996"/>
      <c r="WXH89" s="996"/>
      <c r="WXI89" s="996"/>
      <c r="WXJ89" s="996"/>
      <c r="WXK89" s="996"/>
      <c r="WXL89" s="996"/>
      <c r="WXM89" s="996"/>
      <c r="WXN89" s="996"/>
      <c r="WXO89" s="996"/>
      <c r="WXP89" s="996"/>
      <c r="WXQ89" s="996"/>
      <c r="WXR89" s="996"/>
      <c r="WXS89" s="996"/>
      <c r="WXT89" s="996"/>
      <c r="WXU89" s="996"/>
      <c r="WXV89" s="996"/>
      <c r="WXW89" s="996"/>
      <c r="WXX89" s="996"/>
      <c r="WXY89" s="996"/>
      <c r="WXZ89" s="996"/>
      <c r="WYA89" s="996"/>
      <c r="WYB89" s="996"/>
      <c r="WYC89" s="996"/>
      <c r="WYD89" s="996"/>
      <c r="WYE89" s="996"/>
      <c r="WYF89" s="996"/>
      <c r="WYG89" s="996"/>
      <c r="WYH89" s="996"/>
      <c r="WYI89" s="996"/>
      <c r="WYJ89" s="996"/>
      <c r="WYK89" s="996"/>
      <c r="WYL89" s="996"/>
      <c r="WYM89" s="996"/>
      <c r="WYN89" s="996"/>
      <c r="WYO89" s="996"/>
      <c r="WYP89" s="996"/>
      <c r="WYQ89" s="996"/>
      <c r="WYR89" s="996"/>
      <c r="WYS89" s="996"/>
      <c r="WYT89" s="996"/>
      <c r="WYU89" s="996"/>
      <c r="WYV89" s="996"/>
      <c r="WYW89" s="996"/>
      <c r="WYX89" s="996"/>
      <c r="WYY89" s="996"/>
      <c r="WYZ89" s="996"/>
      <c r="WZA89" s="996"/>
      <c r="WZB89" s="996"/>
      <c r="WZC89" s="996"/>
      <c r="WZD89" s="996"/>
      <c r="WZE89" s="996"/>
      <c r="WZF89" s="996"/>
      <c r="WZG89" s="996"/>
      <c r="WZH89" s="996"/>
      <c r="WZI89" s="996"/>
      <c r="WZJ89" s="996"/>
      <c r="WZK89" s="996"/>
      <c r="WZL89" s="996"/>
      <c r="WZM89" s="996"/>
      <c r="WZN89" s="996"/>
      <c r="WZO89" s="996"/>
      <c r="WZP89" s="996"/>
      <c r="WZQ89" s="996"/>
      <c r="WZR89" s="996"/>
      <c r="WZS89" s="996"/>
      <c r="WZT89" s="996"/>
      <c r="WZU89" s="996"/>
      <c r="WZV89" s="996"/>
      <c r="WZW89" s="996"/>
      <c r="WZX89" s="996"/>
      <c r="WZY89" s="996"/>
      <c r="WZZ89" s="996"/>
      <c r="XAA89" s="996"/>
      <c r="XAB89" s="996"/>
      <c r="XAC89" s="996"/>
      <c r="XAD89" s="996"/>
      <c r="XAE89" s="996"/>
      <c r="XAF89" s="996"/>
      <c r="XAG89" s="996"/>
      <c r="XAH89" s="996"/>
      <c r="XAI89" s="996"/>
      <c r="XAJ89" s="996"/>
      <c r="XAK89" s="996"/>
      <c r="XAL89" s="996"/>
      <c r="XAM89" s="996"/>
      <c r="XAN89" s="996"/>
      <c r="XAO89" s="996"/>
      <c r="XAP89" s="996"/>
      <c r="XAQ89" s="996"/>
      <c r="XAR89" s="996"/>
      <c r="XAS89" s="996"/>
      <c r="XAT89" s="996"/>
      <c r="XAU89" s="996"/>
      <c r="XAV89" s="996"/>
      <c r="XAW89" s="996"/>
      <c r="XAX89" s="996"/>
      <c r="XAY89" s="996"/>
      <c r="XAZ89" s="996"/>
      <c r="XBA89" s="996"/>
      <c r="XBB89" s="996"/>
      <c r="XBC89" s="996"/>
      <c r="XBD89" s="996"/>
      <c r="XBE89" s="996"/>
      <c r="XBF89" s="996"/>
      <c r="XBG89" s="996"/>
      <c r="XBH89" s="996"/>
      <c r="XBI89" s="996"/>
      <c r="XBJ89" s="996"/>
      <c r="XBK89" s="996"/>
      <c r="XBL89" s="996"/>
      <c r="XBM89" s="996"/>
      <c r="XBN89" s="996"/>
      <c r="XBO89" s="996"/>
      <c r="XBP89" s="996"/>
      <c r="XBQ89" s="996"/>
      <c r="XBR89" s="996"/>
      <c r="XBS89" s="996"/>
      <c r="XBT89" s="996"/>
      <c r="XBU89" s="996"/>
      <c r="XBV89" s="996"/>
      <c r="XBW89" s="996"/>
      <c r="XBX89" s="996"/>
      <c r="XBY89" s="996"/>
      <c r="XBZ89" s="996"/>
      <c r="XCA89" s="996"/>
      <c r="XCB89" s="996"/>
      <c r="XCC89" s="996"/>
      <c r="XCD89" s="996"/>
      <c r="XCE89" s="996"/>
      <c r="XCF89" s="996"/>
      <c r="XCG89" s="996"/>
      <c r="XCH89" s="996"/>
      <c r="XCI89" s="996"/>
      <c r="XCJ89" s="996"/>
      <c r="XCK89" s="996"/>
      <c r="XCL89" s="996"/>
      <c r="XCM89" s="996"/>
      <c r="XCN89" s="996"/>
      <c r="XCO89" s="996"/>
      <c r="XCP89" s="996"/>
      <c r="XCQ89" s="996"/>
      <c r="XCR89" s="996"/>
      <c r="XCS89" s="996"/>
      <c r="XCT89" s="996"/>
      <c r="XCU89" s="996"/>
      <c r="XCV89" s="996"/>
      <c r="XCW89" s="996"/>
      <c r="XCX89" s="996"/>
      <c r="XCY89" s="996"/>
      <c r="XCZ89" s="996"/>
      <c r="XDA89" s="996"/>
      <c r="XDB89" s="996"/>
      <c r="XDC89" s="996"/>
      <c r="XDD89" s="996"/>
      <c r="XDE89" s="996"/>
      <c r="XDF89" s="996"/>
      <c r="XDG89" s="996"/>
      <c r="XDH89" s="996"/>
      <c r="XDI89" s="996"/>
      <c r="XDJ89" s="996"/>
      <c r="XDK89" s="996"/>
      <c r="XDL89" s="996"/>
      <c r="XDM89" s="996"/>
      <c r="XDN89" s="996"/>
      <c r="XDO89" s="996"/>
      <c r="XDP89" s="996"/>
      <c r="XDQ89" s="996"/>
      <c r="XDR89" s="996"/>
      <c r="XDS89" s="996"/>
      <c r="XDT89" s="996"/>
      <c r="XDU89" s="996"/>
      <c r="XDV89" s="996"/>
      <c r="XDW89" s="996"/>
      <c r="XDX89" s="996"/>
      <c r="XDY89" s="996"/>
      <c r="XDZ89" s="996"/>
      <c r="XEA89" s="996"/>
      <c r="XEB89" s="996"/>
      <c r="XEC89" s="996"/>
      <c r="XED89" s="996"/>
      <c r="XEE89" s="996"/>
      <c r="XEF89" s="996"/>
      <c r="XEG89" s="996"/>
      <c r="XEH89" s="996"/>
      <c r="XEI89" s="996"/>
      <c r="XEJ89" s="996"/>
      <c r="XEK89" s="996"/>
      <c r="XEL89" s="996"/>
      <c r="XEM89" s="996"/>
      <c r="XEN89" s="996"/>
      <c r="XEO89" s="996"/>
      <c r="XEP89" s="996"/>
      <c r="XEQ89" s="996"/>
      <c r="XER89" s="996"/>
      <c r="XES89" s="996"/>
      <c r="XET89" s="996"/>
      <c r="XEU89" s="996"/>
      <c r="XEV89" s="996"/>
      <c r="XEW89" s="996"/>
      <c r="XEX89" s="996"/>
      <c r="XEY89" s="996"/>
      <c r="XEZ89" s="996"/>
      <c r="XFA89" s="996"/>
      <c r="XFB89" s="996"/>
      <c r="XFC89" s="996"/>
      <c r="XFD89" s="996"/>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4" t="s">
        <v>2269</v>
      </c>
      <c r="B91" s="994"/>
      <c r="C91" s="994"/>
      <c r="D91" s="994"/>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994"/>
      <c r="AE91" s="994"/>
      <c r="AF91" s="994"/>
      <c r="AG91" s="994"/>
      <c r="AH91" s="994"/>
      <c r="AI91" s="994"/>
      <c r="AJ91" s="994"/>
      <c r="AK91" s="994"/>
      <c r="AL91" s="994"/>
      <c r="AM91" s="994"/>
      <c r="AN91" s="994"/>
      <c r="AO91" s="994"/>
      <c r="AP91" s="994"/>
      <c r="AQ91" s="994"/>
      <c r="AR91" s="994"/>
      <c r="AS91" s="994"/>
      <c r="AT91" s="994"/>
    </row>
    <row r="92" spans="1:16384" ht="12.95" customHeight="1">
      <c r="A92" s="994"/>
      <c r="B92" s="994"/>
      <c r="C92" s="994"/>
      <c r="D92" s="994"/>
      <c r="E92" s="994"/>
      <c r="F92" s="994"/>
      <c r="G92" s="994"/>
      <c r="H92" s="994"/>
      <c r="I92" s="994"/>
      <c r="J92" s="994"/>
      <c r="K92" s="994"/>
      <c r="L92" s="994"/>
      <c r="M92" s="994"/>
      <c r="N92" s="994"/>
      <c r="O92" s="994"/>
      <c r="P92" s="994"/>
      <c r="Q92" s="994"/>
      <c r="R92" s="994"/>
      <c r="S92" s="994"/>
      <c r="T92" s="994"/>
      <c r="U92" s="994"/>
      <c r="V92" s="994"/>
      <c r="W92" s="994"/>
      <c r="X92" s="994"/>
      <c r="Y92" s="994"/>
      <c r="Z92" s="994"/>
      <c r="AA92" s="994"/>
      <c r="AB92" s="994"/>
      <c r="AC92" s="994"/>
      <c r="AD92" s="994"/>
      <c r="AE92" s="994"/>
      <c r="AF92" s="994"/>
      <c r="AG92" s="994"/>
      <c r="AH92" s="994"/>
      <c r="AI92" s="994"/>
      <c r="AJ92" s="994"/>
      <c r="AK92" s="994"/>
      <c r="AL92" s="994"/>
      <c r="AM92" s="994"/>
      <c r="AN92" s="994"/>
      <c r="AO92" s="994"/>
      <c r="AP92" s="994"/>
      <c r="AQ92" s="994"/>
      <c r="AR92" s="994"/>
      <c r="AS92" s="994"/>
      <c r="AT92" s="994"/>
    </row>
    <row r="93" spans="1:16384" ht="12.95" customHeight="1">
      <c r="A93" s="994"/>
      <c r="B93" s="994"/>
      <c r="C93" s="994"/>
      <c r="D93" s="994"/>
      <c r="E93" s="994"/>
      <c r="F93" s="994"/>
      <c r="G93" s="994"/>
      <c r="H93" s="994"/>
      <c r="I93" s="994"/>
      <c r="J93" s="994"/>
      <c r="K93" s="994"/>
      <c r="L93" s="994"/>
      <c r="M93" s="994"/>
      <c r="N93" s="994"/>
      <c r="O93" s="994"/>
      <c r="P93" s="994"/>
      <c r="Q93" s="994"/>
      <c r="R93" s="994"/>
      <c r="S93" s="994"/>
      <c r="T93" s="994"/>
      <c r="U93" s="994"/>
      <c r="V93" s="994"/>
      <c r="W93" s="994"/>
      <c r="X93" s="994"/>
      <c r="Y93" s="994"/>
      <c r="Z93" s="994"/>
      <c r="AA93" s="994"/>
      <c r="AB93" s="994"/>
      <c r="AC93" s="994"/>
      <c r="AD93" s="994"/>
      <c r="AE93" s="994"/>
      <c r="AF93" s="994"/>
      <c r="AG93" s="994"/>
      <c r="AH93" s="994"/>
      <c r="AI93" s="994"/>
      <c r="AJ93" s="994"/>
      <c r="AK93" s="994"/>
      <c r="AL93" s="994"/>
      <c r="AM93" s="994"/>
      <c r="AN93" s="994"/>
      <c r="AO93" s="994"/>
      <c r="AP93" s="994"/>
      <c r="AQ93" s="994"/>
      <c r="AR93" s="994"/>
      <c r="AS93" s="994"/>
      <c r="AT93" s="994"/>
    </row>
    <row r="94" spans="1:16384" ht="12.95" customHeight="1">
      <c r="A94" s="994"/>
      <c r="B94" s="994"/>
      <c r="C94" s="994"/>
      <c r="D94" s="994"/>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994"/>
      <c r="AM94" s="994"/>
      <c r="AN94" s="994"/>
      <c r="AO94" s="994"/>
      <c r="AP94" s="994"/>
      <c r="AQ94" s="994"/>
      <c r="AR94" s="994"/>
      <c r="AS94" s="994"/>
      <c r="AT94" s="994"/>
    </row>
    <row r="95" spans="1:16384" ht="12.95" customHeight="1">
      <c r="A95" s="994"/>
      <c r="B95" s="994"/>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994"/>
      <c r="AM95" s="994"/>
      <c r="AN95" s="994"/>
      <c r="AO95" s="994"/>
      <c r="AP95" s="994"/>
      <c r="AQ95" s="994"/>
      <c r="AR95" s="994"/>
      <c r="AS95" s="994"/>
      <c r="AT95" s="994"/>
    </row>
    <row r="96" spans="1:16384" ht="12.95" customHeight="1">
      <c r="A96" s="994"/>
      <c r="B96" s="994"/>
      <c r="C96" s="994"/>
      <c r="D96" s="994"/>
      <c r="E96" s="994"/>
      <c r="F96" s="994"/>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994"/>
      <c r="AM96" s="994"/>
      <c r="AN96" s="994"/>
      <c r="AO96" s="994"/>
      <c r="AP96" s="994"/>
      <c r="AQ96" s="994"/>
      <c r="AR96" s="994"/>
      <c r="AS96" s="994"/>
      <c r="AT96" s="994"/>
    </row>
    <row r="97" spans="1:46" ht="12.95" customHeight="1">
      <c r="A97" s="994"/>
      <c r="B97" s="994"/>
      <c r="C97" s="994"/>
      <c r="D97" s="994"/>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994"/>
      <c r="AM97" s="994"/>
      <c r="AN97" s="994"/>
      <c r="AO97" s="994"/>
      <c r="AP97" s="994"/>
      <c r="AQ97" s="994"/>
      <c r="AR97" s="994"/>
      <c r="AS97" s="994"/>
      <c r="AT97" s="994"/>
    </row>
    <row r="98" spans="1:46" ht="12.95" customHeight="1">
      <c r="A98" s="994"/>
      <c r="B98" s="994"/>
      <c r="C98" s="994"/>
      <c r="D98" s="994"/>
      <c r="E98" s="994"/>
      <c r="F98" s="994"/>
      <c r="G98" s="994"/>
      <c r="H98" s="994"/>
      <c r="I98" s="994"/>
      <c r="J98" s="994"/>
      <c r="K98" s="994"/>
      <c r="L98" s="994"/>
      <c r="M98" s="994"/>
      <c r="N98" s="994"/>
      <c r="O98" s="994"/>
      <c r="P98" s="994"/>
      <c r="Q98" s="994"/>
      <c r="R98" s="994"/>
      <c r="S98" s="994"/>
      <c r="T98" s="994"/>
      <c r="U98" s="994"/>
      <c r="V98" s="994"/>
      <c r="W98" s="994"/>
      <c r="X98" s="994"/>
      <c r="Y98" s="994"/>
      <c r="Z98" s="994"/>
      <c r="AA98" s="994"/>
      <c r="AB98" s="994"/>
      <c r="AC98" s="994"/>
      <c r="AD98" s="994"/>
      <c r="AE98" s="994"/>
      <c r="AF98" s="994"/>
      <c r="AG98" s="994"/>
      <c r="AH98" s="994"/>
      <c r="AI98" s="994"/>
      <c r="AJ98" s="994"/>
      <c r="AK98" s="994"/>
      <c r="AL98" s="994"/>
      <c r="AM98" s="994"/>
      <c r="AN98" s="994"/>
      <c r="AO98" s="994"/>
      <c r="AP98" s="994"/>
      <c r="AQ98" s="994"/>
      <c r="AR98" s="994"/>
      <c r="AS98" s="994"/>
      <c r="AT98" s="994"/>
    </row>
    <row r="99" spans="1:46" ht="12.95" customHeight="1">
      <c r="A99" s="994"/>
      <c r="B99" s="994"/>
      <c r="C99" s="994"/>
      <c r="D99" s="994"/>
      <c r="E99" s="994"/>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c r="AI99" s="994"/>
      <c r="AJ99" s="994"/>
      <c r="AK99" s="994"/>
      <c r="AL99" s="994"/>
      <c r="AM99" s="994"/>
      <c r="AN99" s="994"/>
      <c r="AO99" s="994"/>
      <c r="AP99" s="994"/>
      <c r="AQ99" s="994"/>
      <c r="AR99" s="994"/>
      <c r="AS99" s="994"/>
      <c r="AT99" s="994"/>
    </row>
    <row r="100" spans="1:46" ht="12.95" customHeight="1">
      <c r="A100" s="994"/>
      <c r="B100" s="994"/>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4"/>
      <c r="AJ100" s="994"/>
      <c r="AK100" s="994"/>
      <c r="AL100" s="994"/>
      <c r="AM100" s="994"/>
      <c r="AN100" s="994"/>
      <c r="AO100" s="994"/>
      <c r="AP100" s="994"/>
      <c r="AQ100" s="994"/>
      <c r="AR100" s="994"/>
      <c r="AS100" s="994"/>
      <c r="AT100" s="994"/>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2270</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0" t="s">
        <v>2271</v>
      </c>
      <c r="B107" s="1580"/>
      <c r="C107" s="1580"/>
      <c r="D107" s="1580"/>
      <c r="E107" s="1580"/>
      <c r="F107" s="1580"/>
      <c r="G107" s="1580"/>
      <c r="H107" s="1580"/>
      <c r="I107" s="1580"/>
      <c r="J107" s="1580"/>
      <c r="K107" s="1580"/>
      <c r="L107" s="1580"/>
      <c r="M107" s="1580"/>
      <c r="N107" s="1580"/>
      <c r="O107" s="1580"/>
      <c r="P107" s="1580"/>
      <c r="Q107" s="1580"/>
      <c r="R107" s="1580"/>
      <c r="S107" s="1580"/>
      <c r="T107" s="1580"/>
      <c r="U107" s="1580"/>
      <c r="V107" s="1580"/>
      <c r="W107" s="1580"/>
      <c r="X107" s="1580"/>
      <c r="Y107" s="1580"/>
      <c r="Z107" s="1580"/>
      <c r="AA107" s="1580"/>
      <c r="AB107" s="1580"/>
      <c r="AC107" s="1580"/>
      <c r="AD107" s="1580"/>
      <c r="AE107" s="1580"/>
      <c r="AF107" s="1580"/>
      <c r="AG107" s="1580"/>
      <c r="AH107" s="1580"/>
      <c r="AI107" s="1580"/>
      <c r="AJ107" s="1580"/>
      <c r="AK107" s="1580"/>
      <c r="AL107" s="1580"/>
      <c r="AM107" s="1580"/>
      <c r="AN107" s="1580"/>
      <c r="AO107" s="1580"/>
      <c r="AP107" s="1580"/>
      <c r="AQ107" s="1580"/>
      <c r="AR107" s="1580"/>
      <c r="AS107" s="1580"/>
      <c r="AT107" s="1580"/>
    </row>
    <row r="108" spans="1:46" ht="12.95" customHeight="1">
      <c r="A108" s="1580"/>
      <c r="B108" s="1580"/>
      <c r="C108" s="1580"/>
      <c r="D108" s="1580"/>
      <c r="E108" s="1580"/>
      <c r="F108" s="1580"/>
      <c r="G108" s="1580"/>
      <c r="H108" s="1580"/>
      <c r="I108" s="1580"/>
      <c r="J108" s="1580"/>
      <c r="K108" s="1580"/>
      <c r="L108" s="1580"/>
      <c r="M108" s="1580"/>
      <c r="N108" s="1580"/>
      <c r="O108" s="1580"/>
      <c r="P108" s="1580"/>
      <c r="Q108" s="1580"/>
      <c r="R108" s="1580"/>
      <c r="S108" s="1580"/>
      <c r="T108" s="1580"/>
      <c r="U108" s="1580"/>
      <c r="V108" s="1580"/>
      <c r="W108" s="1580"/>
      <c r="X108" s="1580"/>
      <c r="Y108" s="1580"/>
      <c r="Z108" s="1580"/>
      <c r="AA108" s="1580"/>
      <c r="AB108" s="1580"/>
      <c r="AC108" s="1580"/>
      <c r="AD108" s="1580"/>
      <c r="AE108" s="1580"/>
      <c r="AF108" s="1580"/>
      <c r="AG108" s="1580"/>
      <c r="AH108" s="1580"/>
      <c r="AI108" s="1580"/>
      <c r="AJ108" s="1580"/>
      <c r="AK108" s="1580"/>
      <c r="AL108" s="1580"/>
      <c r="AM108" s="1580"/>
      <c r="AN108" s="1580"/>
      <c r="AO108" s="1580"/>
      <c r="AP108" s="1580"/>
      <c r="AQ108" s="1580"/>
      <c r="AR108" s="1580"/>
      <c r="AS108" s="1580"/>
      <c r="AT108" s="1580"/>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2272</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070"/>
      <c r="H115" s="1070"/>
      <c r="I115" s="41" t="s">
        <v>412</v>
      </c>
      <c r="J115" s="41"/>
      <c r="L115" s="1068" t="s">
        <v>2449</v>
      </c>
      <c r="M115" s="1069"/>
      <c r="N115" s="1069"/>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068"/>
      <c r="D117" s="1069"/>
      <c r="E117" s="1069"/>
      <c r="F117" s="1069"/>
      <c r="G117" s="1069"/>
      <c r="H117" s="1069"/>
      <c r="I117" s="1069"/>
      <c r="J117" s="1069"/>
      <c r="K117" s="1069"/>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8"/>
      <c r="Z118" s="1058"/>
      <c r="AA118" s="1058"/>
      <c r="AB118" s="1058"/>
      <c r="AC118" s="1058"/>
      <c r="AD118" s="1058"/>
      <c r="AE118" s="1058"/>
      <c r="AF118" s="1058"/>
      <c r="AG118" s="1058"/>
      <c r="AH118" s="1058"/>
      <c r="AI118" s="1058"/>
      <c r="AJ118" s="1058"/>
      <c r="AK118" s="1058"/>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8" t="s">
        <v>2325</v>
      </c>
      <c r="Z121" s="1398"/>
      <c r="AA121" s="1398"/>
      <c r="AB121" s="1398"/>
      <c r="AC121" s="1398"/>
      <c r="AD121" s="1398"/>
      <c r="AE121" s="1398"/>
      <c r="AF121" s="1398"/>
      <c r="AG121" s="1398"/>
      <c r="AH121" s="1398"/>
      <c r="AI121" s="1398"/>
      <c r="AJ121" s="1398"/>
      <c r="AK121" s="1398"/>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8" t="s">
        <v>2326</v>
      </c>
      <c r="P156" s="1058"/>
      <c r="Q156" s="1058"/>
      <c r="R156" s="1058"/>
      <c r="S156" s="1058"/>
      <c r="T156" s="1058"/>
      <c r="U156" s="1058"/>
      <c r="V156" s="1058"/>
      <c r="W156" s="1058"/>
      <c r="X156" s="1058"/>
      <c r="Y156" s="1058"/>
      <c r="Z156" s="1058"/>
      <c r="AA156" s="1058"/>
      <c r="AB156" s="1058"/>
      <c r="AC156" s="1058"/>
      <c r="AD156" s="1058"/>
      <c r="AE156" s="1058"/>
      <c r="AF156" s="1058"/>
      <c r="AG156" s="1058"/>
      <c r="AH156" s="1058"/>
      <c r="BT156" t="s">
        <v>79</v>
      </c>
    </row>
    <row r="157" spans="1:72" ht="12.95" customHeight="1">
      <c r="D157" s="339" t="s">
        <v>543</v>
      </c>
      <c r="O157" s="1060" t="s">
        <v>2327</v>
      </c>
      <c r="P157" s="1060"/>
      <c r="Q157" s="1060"/>
      <c r="R157" s="1060"/>
      <c r="S157" s="1060"/>
      <c r="T157" s="1060"/>
      <c r="U157" s="1060"/>
      <c r="V157" s="1060"/>
      <c r="W157" s="1060"/>
      <c r="X157" s="1060"/>
      <c r="Y157" s="1060"/>
      <c r="Z157" s="1060"/>
      <c r="AA157" s="1060"/>
      <c r="AB157" s="1060"/>
      <c r="AC157" s="1060"/>
      <c r="AD157" s="1060"/>
      <c r="AE157" s="1060"/>
      <c r="AF157" s="1060"/>
      <c r="AG157" s="1060"/>
      <c r="AH157" s="1060"/>
      <c r="AI157" t="s">
        <v>709</v>
      </c>
      <c r="BN157" s="30" t="s">
        <v>422</v>
      </c>
      <c r="BT157" t="s">
        <v>28</v>
      </c>
    </row>
    <row r="158" spans="1:72" ht="12.95" customHeight="1">
      <c r="D158" s="12" t="s">
        <v>544</v>
      </c>
      <c r="F158" s="12"/>
      <c r="G158" s="12"/>
      <c r="H158" s="12"/>
      <c r="I158" s="12"/>
      <c r="J158" s="12"/>
      <c r="K158" s="12"/>
      <c r="L158" s="12"/>
      <c r="M158" s="12"/>
      <c r="N158" s="12"/>
      <c r="O158" s="1471" t="s">
        <v>545</v>
      </c>
      <c r="P158" s="1471"/>
      <c r="Q158" s="1471"/>
      <c r="R158" s="1471"/>
      <c r="S158" s="1471"/>
      <c r="T158" s="1471"/>
      <c r="U158" s="1471"/>
      <c r="V158" s="1471"/>
      <c r="W158" s="1471"/>
      <c r="X158" s="1471"/>
      <c r="Y158" s="1471"/>
      <c r="Z158" s="1471"/>
      <c r="AA158" s="1471"/>
      <c r="AB158" s="1471"/>
      <c r="AC158" s="1471"/>
      <c r="AD158" s="1471"/>
      <c r="AE158" s="1471"/>
      <c r="AF158" s="1471"/>
      <c r="AG158" s="1471"/>
      <c r="AH158" s="1471"/>
      <c r="BN158" s="30" t="s">
        <v>423</v>
      </c>
      <c r="BT158" t="s">
        <v>29</v>
      </c>
    </row>
    <row r="159" spans="1:72" ht="12.95" customHeight="1">
      <c r="D159" t="s">
        <v>647</v>
      </c>
      <c r="O159" s="1061" t="s">
        <v>2328</v>
      </c>
      <c r="P159" s="1061"/>
      <c r="Q159" s="1061"/>
      <c r="R159" s="1061"/>
      <c r="S159" s="1061"/>
      <c r="T159" s="1061"/>
      <c r="U159" s="1061"/>
      <c r="V159" s="1061"/>
      <c r="W159" s="1061"/>
      <c r="X159" s="1061"/>
      <c r="Y159" s="1061"/>
      <c r="Z159" s="1061"/>
      <c r="AA159" s="1061"/>
      <c r="AB159" s="1061"/>
      <c r="AC159" s="1061"/>
      <c r="AD159" s="1061"/>
      <c r="AE159" s="1061"/>
      <c r="AF159" s="1061"/>
      <c r="AG159" s="1061"/>
      <c r="AH159" s="1061"/>
      <c r="BN159" s="30" t="s">
        <v>73</v>
      </c>
      <c r="BT159" t="s">
        <v>384</v>
      </c>
    </row>
    <row r="160" spans="1:72" ht="12.95" customHeight="1">
      <c r="D160" t="s">
        <v>648</v>
      </c>
      <c r="O160" s="1058" t="s">
        <v>391</v>
      </c>
      <c r="P160" s="1058"/>
      <c r="Q160" s="1058"/>
      <c r="R160" s="1058"/>
      <c r="S160" s="1058"/>
      <c r="T160" s="1058"/>
      <c r="U160" s="1058"/>
      <c r="V160" s="1058"/>
      <c r="W160" s="1058"/>
      <c r="X160" s="1058"/>
      <c r="Y160" s="12"/>
      <c r="Z160" s="12"/>
      <c r="AA160" s="12"/>
      <c r="AB160" s="12"/>
      <c r="AC160" s="12"/>
      <c r="AD160" s="12"/>
      <c r="AE160" s="12"/>
      <c r="AF160" s="12"/>
      <c r="BN160" s="30" t="s">
        <v>75</v>
      </c>
      <c r="BT160" t="s">
        <v>385</v>
      </c>
    </row>
    <row r="161" spans="1:72" ht="12.95" customHeight="1">
      <c r="D161" t="s">
        <v>649</v>
      </c>
      <c r="O161" s="1474">
        <v>93721</v>
      </c>
      <c r="P161" s="1474"/>
      <c r="Q161" s="1474"/>
      <c r="R161" s="1474"/>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062" t="s">
        <v>2329</v>
      </c>
      <c r="P162" s="1062"/>
      <c r="Q162" s="1062"/>
      <c r="R162" s="1062"/>
      <c r="S162" s="1062"/>
      <c r="T162" s="1062"/>
      <c r="V162" s="179" t="s">
        <v>12</v>
      </c>
      <c r="W162" s="1475"/>
      <c r="X162" s="1475"/>
      <c r="Y162" s="14"/>
      <c r="Z162" s="14"/>
      <c r="AA162" s="14"/>
      <c r="AB162" s="14"/>
      <c r="AC162" s="14"/>
      <c r="AD162" s="14"/>
      <c r="AE162" s="14"/>
      <c r="AF162" s="14"/>
      <c r="BJ162" t="s">
        <v>108</v>
      </c>
      <c r="BN162" s="30" t="s">
        <v>77</v>
      </c>
      <c r="BT162" t="s">
        <v>387</v>
      </c>
    </row>
    <row r="163" spans="1:72" ht="12.95" customHeight="1">
      <c r="D163" t="s">
        <v>651</v>
      </c>
      <c r="O163" s="1062"/>
      <c r="P163" s="1062"/>
      <c r="Q163" s="1062"/>
      <c r="R163" s="1062"/>
      <c r="S163" s="1062"/>
      <c r="T163" s="1062"/>
      <c r="U163" s="14"/>
      <c r="V163" s="14"/>
      <c r="W163" s="14"/>
      <c r="X163" s="14"/>
      <c r="Y163" s="14"/>
      <c r="Z163" s="14"/>
      <c r="AA163" s="14"/>
      <c r="AB163" s="14"/>
      <c r="AC163" s="14"/>
      <c r="AD163" s="14"/>
      <c r="AE163" s="14"/>
      <c r="AF163" s="14"/>
      <c r="BN163" s="30" t="s">
        <v>476</v>
      </c>
      <c r="BT163" t="s">
        <v>388</v>
      </c>
    </row>
    <row r="164" spans="1:72" ht="12.95" customHeight="1">
      <c r="D164" t="s">
        <v>652</v>
      </c>
      <c r="O164" s="1063" t="s">
        <v>2330</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4" t="s">
        <v>2306</v>
      </c>
      <c r="E167" s="1484"/>
      <c r="F167" s="1484"/>
      <c r="G167" s="1484"/>
      <c r="H167" s="1484"/>
      <c r="I167" s="1484"/>
      <c r="J167" s="1484"/>
      <c r="K167" s="1484"/>
      <c r="L167" s="1484"/>
      <c r="M167" s="1484"/>
      <c r="N167" s="1484"/>
      <c r="O167" s="1484"/>
      <c r="P167" s="1484"/>
      <c r="Q167" s="1484"/>
      <c r="R167" s="1484"/>
      <c r="S167" s="1484"/>
      <c r="T167" s="1484"/>
      <c r="U167" s="1484"/>
      <c r="V167" s="1484"/>
      <c r="W167" s="1484"/>
      <c r="X167" s="1484"/>
      <c r="Y167" s="1484"/>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97" t="s">
        <v>379</v>
      </c>
      <c r="B169" s="1097"/>
      <c r="C169" s="1097"/>
      <c r="D169" s="1097"/>
      <c r="E169" s="1097"/>
      <c r="F169" s="1097"/>
      <c r="G169" s="1097"/>
      <c r="H169" s="1097"/>
      <c r="I169" s="1097"/>
      <c r="J169" s="1097"/>
      <c r="K169" s="1097"/>
      <c r="L169" s="1097"/>
      <c r="M169" s="1097"/>
      <c r="N169" s="1097"/>
      <c r="O169" s="1097"/>
      <c r="P169" s="1097"/>
      <c r="Q169" s="1097"/>
      <c r="R169" s="1097"/>
      <c r="S169" s="1097"/>
      <c r="T169" s="1097"/>
      <c r="U169" s="1097"/>
      <c r="V169" s="1097"/>
      <c r="W169" s="1097"/>
      <c r="X169" s="1097"/>
      <c r="Y169" s="1097"/>
      <c r="Z169" s="1097"/>
      <c r="AA169" s="1097"/>
      <c r="AB169" s="1097"/>
      <c r="AC169" s="1097"/>
      <c r="AD169" s="1097"/>
      <c r="AE169" s="1097"/>
      <c r="AF169" s="1097"/>
      <c r="AG169" s="1097"/>
      <c r="AH169" s="1097"/>
      <c r="AI169" s="1097"/>
      <c r="AJ169" s="1097"/>
      <c r="AK169" s="1097"/>
      <c r="AL169" s="1097"/>
      <c r="AM169" s="1097"/>
      <c r="AN169" s="1097"/>
      <c r="AO169" s="1097"/>
      <c r="AP169" s="1097"/>
      <c r="AQ169" s="1097"/>
      <c r="AR169" s="1097"/>
      <c r="AS169" s="1097"/>
      <c r="AT169" s="1097"/>
      <c r="AU169"/>
      <c r="BN169" s="266" t="s">
        <v>486</v>
      </c>
      <c r="BT169" t="s">
        <v>394</v>
      </c>
    </row>
    <row r="170" spans="1:72" s="960" customFormat="1" ht="12.95" customHeight="1">
      <c r="A170" s="1097"/>
      <c r="B170" s="1097"/>
      <c r="C170" s="1097"/>
      <c r="D170" s="1097"/>
      <c r="E170" s="1097"/>
      <c r="F170" s="1097"/>
      <c r="G170" s="1097"/>
      <c r="H170" s="1097"/>
      <c r="I170" s="1097"/>
      <c r="J170" s="1097"/>
      <c r="K170" s="1097"/>
      <c r="L170" s="1097"/>
      <c r="M170" s="1097"/>
      <c r="N170" s="1097"/>
      <c r="O170" s="1097"/>
      <c r="P170" s="1097"/>
      <c r="Q170" s="1097"/>
      <c r="R170" s="1097"/>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c r="AS170" s="1097"/>
      <c r="AT170" s="1097"/>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472" t="s">
        <v>505</v>
      </c>
      <c r="K173" s="1472"/>
      <c r="L173" s="1472"/>
      <c r="M173" s="1472"/>
      <c r="N173" s="1472"/>
      <c r="O173" s="1472"/>
      <c r="P173" s="1472"/>
      <c r="Q173" s="1472"/>
      <c r="R173" s="1472"/>
      <c r="S173" s="1472"/>
      <c r="U173" s="32"/>
      <c r="X173" s="32"/>
      <c r="BN173" s="30" t="s">
        <v>491</v>
      </c>
      <c r="BT173" t="s">
        <v>398</v>
      </c>
    </row>
    <row r="174" spans="1:72" ht="12.95" customHeight="1">
      <c r="C174" s="31"/>
      <c r="D174" t="s">
        <v>438</v>
      </c>
      <c r="U174" s="1066" t="s">
        <v>108</v>
      </c>
      <c r="V174" s="1066"/>
      <c r="BN174" s="30" t="s">
        <v>594</v>
      </c>
      <c r="BT174" t="s">
        <v>399</v>
      </c>
    </row>
    <row r="175" spans="1:72" ht="12.95" customHeight="1">
      <c r="C175" s="12"/>
      <c r="D175" s="33"/>
      <c r="E175" t="s">
        <v>230</v>
      </c>
      <c r="O175" s="34"/>
      <c r="P175" t="s">
        <v>2104</v>
      </c>
      <c r="T175" s="34" t="s">
        <v>231</v>
      </c>
      <c r="U175" s="1288">
        <v>24</v>
      </c>
      <c r="V175" s="1288"/>
      <c r="W175" s="1" t="s">
        <v>232</v>
      </c>
      <c r="X175" s="1473">
        <v>7</v>
      </c>
      <c r="Y175" s="1473"/>
      <c r="BN175" s="30" t="s">
        <v>595</v>
      </c>
      <c r="BT175" t="s">
        <v>400</v>
      </c>
    </row>
    <row r="176" spans="1:72" ht="12.95" customHeight="1">
      <c r="C176" s="31"/>
      <c r="D176" t="s">
        <v>279</v>
      </c>
      <c r="U176" s="1066" t="s">
        <v>482</v>
      </c>
      <c r="V176" s="1066"/>
      <c r="BN176" s="30" t="s">
        <v>597</v>
      </c>
      <c r="BT176" t="s">
        <v>401</v>
      </c>
    </row>
    <row r="177" spans="1:72" ht="12.95" customHeight="1">
      <c r="C177" s="31"/>
      <c r="D177" s="361" t="s">
        <v>1232</v>
      </c>
      <c r="BN177" s="30" t="s">
        <v>598</v>
      </c>
      <c r="BT177" t="s">
        <v>402</v>
      </c>
    </row>
    <row r="178" spans="1:72" ht="12.95" customHeight="1">
      <c r="C178" s="31"/>
      <c r="E178" s="361" t="s">
        <v>2104</v>
      </c>
      <c r="F178" s="361"/>
      <c r="G178" s="361"/>
      <c r="I178" s="940" t="s">
        <v>231</v>
      </c>
      <c r="J178" s="1478"/>
      <c r="K178" s="1478"/>
      <c r="L178" s="370" t="s">
        <v>232</v>
      </c>
      <c r="M178" s="1328"/>
      <c r="N178" s="1328"/>
      <c r="O178" s="361"/>
      <c r="P178" s="361"/>
      <c r="Q178" s="361"/>
      <c r="R178" s="361"/>
      <c r="U178" s="361" t="s">
        <v>1233</v>
      </c>
      <c r="V178" s="361"/>
      <c r="W178" s="361"/>
      <c r="X178" s="361"/>
      <c r="Y178" s="361"/>
      <c r="Z178" s="361"/>
      <c r="AA178" s="361"/>
      <c r="AB178" s="361"/>
      <c r="AD178" s="1479"/>
      <c r="AE178" s="1479"/>
      <c r="AF178" s="1479"/>
      <c r="AG178" s="1479"/>
      <c r="AH178" s="1479"/>
      <c r="BN178" s="30" t="s">
        <v>599</v>
      </c>
      <c r="BT178" t="s">
        <v>403</v>
      </c>
    </row>
    <row r="179" spans="1:72" ht="12.95" customHeight="1">
      <c r="C179" s="31"/>
      <c r="BN179" s="30" t="s">
        <v>600</v>
      </c>
      <c r="BT179" t="s">
        <v>404</v>
      </c>
    </row>
    <row r="180" spans="1:72" ht="12.95" customHeight="1">
      <c r="C180" s="12"/>
      <c r="D180" t="s">
        <v>2105</v>
      </c>
      <c r="O180" s="361"/>
      <c r="P180" s="361"/>
      <c r="Q180" s="361"/>
      <c r="R180" s="361"/>
      <c r="Y180" s="1066" t="s">
        <v>482</v>
      </c>
      <c r="Z180" s="1220"/>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7" t="str">
        <f>H17</f>
        <v>Sarah's Court Apartments - Phase II</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5" customHeight="1">
      <c r="C185" s="29"/>
      <c r="D185" t="s">
        <v>429</v>
      </c>
      <c r="I185" s="1067" t="s">
        <v>2331</v>
      </c>
      <c r="J185" s="1067"/>
      <c r="K185" s="1067"/>
      <c r="L185" s="1067"/>
      <c r="M185" s="1067"/>
      <c r="N185" s="1067"/>
      <c r="O185" s="1067"/>
      <c r="P185" s="1067"/>
      <c r="Q185" s="1067"/>
      <c r="R185" s="1067"/>
      <c r="S185" s="1067"/>
      <c r="T185" s="1067"/>
      <c r="U185" s="1067"/>
      <c r="V185" s="1067"/>
      <c r="W185" s="1067"/>
      <c r="X185" s="1067"/>
      <c r="Y185" s="1067"/>
      <c r="Z185" s="1067"/>
      <c r="AA185" s="1067"/>
      <c r="AB185" s="1067"/>
      <c r="AC185" s="1067"/>
      <c r="AD185" s="1067"/>
      <c r="AE185" s="1067"/>
      <c r="BC185" s="41" t="s">
        <v>121</v>
      </c>
      <c r="BN185" s="30" t="s">
        <v>575</v>
      </c>
      <c r="BT185" t="s">
        <v>839</v>
      </c>
    </row>
    <row r="186" spans="1:72" ht="12.95" customHeight="1">
      <c r="C186" s="29"/>
      <c r="E186" t="s">
        <v>62</v>
      </c>
      <c r="BN186" s="30" t="s">
        <v>576</v>
      </c>
      <c r="BT186" t="s">
        <v>840</v>
      </c>
    </row>
    <row r="187" spans="1:72" ht="12.95" customHeight="1">
      <c r="C187" s="29"/>
      <c r="E187" s="1064"/>
      <c r="F187" s="1064"/>
      <c r="G187" s="1064"/>
      <c r="H187" s="1064"/>
      <c r="I187" s="1064"/>
      <c r="J187" s="1064"/>
      <c r="K187" s="1064"/>
      <c r="L187" s="1064"/>
      <c r="M187" s="1064"/>
      <c r="N187" s="1064"/>
      <c r="O187" s="1064"/>
      <c r="P187" s="1064"/>
      <c r="Q187" s="1064"/>
      <c r="R187" s="1064"/>
      <c r="S187" s="1064"/>
      <c r="T187" s="1064"/>
      <c r="U187" s="1064"/>
      <c r="V187" s="1064"/>
      <c r="W187" s="1064"/>
      <c r="X187" s="1064"/>
      <c r="Y187" s="1064"/>
      <c r="Z187" s="1064"/>
      <c r="AA187" s="1064"/>
      <c r="AB187" s="1064"/>
      <c r="AC187" s="1064"/>
      <c r="AD187" s="1064"/>
      <c r="AE187" s="1064"/>
      <c r="BN187" s="30" t="s">
        <v>577</v>
      </c>
      <c r="BT187" t="s">
        <v>841</v>
      </c>
    </row>
    <row r="188" spans="1:72" ht="12.95" customHeight="1">
      <c r="C188" s="29"/>
      <c r="E188" s="1065"/>
      <c r="F188" s="1065"/>
      <c r="G188" s="1065"/>
      <c r="H188" s="1065"/>
      <c r="I188" s="1065"/>
      <c r="J188" s="1065"/>
      <c r="K188" s="1065"/>
      <c r="L188" s="1065"/>
      <c r="M188" s="1065"/>
      <c r="N188" s="1065"/>
      <c r="O188" s="1065"/>
      <c r="P188" s="1065"/>
      <c r="Q188" s="1065"/>
      <c r="R188" s="1065"/>
      <c r="S188" s="1065"/>
      <c r="T188" s="1065"/>
      <c r="U188" s="1065"/>
      <c r="V188" s="1065"/>
      <c r="W188" s="1065"/>
      <c r="X188" s="1065"/>
      <c r="Y188" s="1065"/>
      <c r="Z188" s="1065"/>
      <c r="AA188" s="1065"/>
      <c r="AB188" s="1065"/>
      <c r="AC188" s="1065"/>
      <c r="AD188" s="1065"/>
      <c r="AE188" s="1065"/>
      <c r="BN188" s="30" t="s">
        <v>579</v>
      </c>
      <c r="BT188" t="s">
        <v>842</v>
      </c>
    </row>
    <row r="189" spans="1:72" ht="12.95" customHeight="1">
      <c r="C189" s="29"/>
      <c r="D189" t="s">
        <v>430</v>
      </c>
      <c r="I189" s="1061" t="s">
        <v>391</v>
      </c>
      <c r="J189" s="1061"/>
      <c r="K189" s="1061"/>
      <c r="L189" s="1061"/>
      <c r="M189" s="1061"/>
      <c r="N189" s="1061"/>
      <c r="O189" s="1061"/>
      <c r="P189" s="1061"/>
      <c r="Q189" t="s">
        <v>432</v>
      </c>
      <c r="T189" s="1061" t="s">
        <v>391</v>
      </c>
      <c r="U189" s="1061"/>
      <c r="V189" s="1061"/>
      <c r="W189" s="1061"/>
      <c r="X189" s="1061"/>
      <c r="Y189" s="1061"/>
      <c r="Z189" s="1061"/>
      <c r="AA189" s="1061"/>
      <c r="AB189" s="1061"/>
      <c r="AC189" s="1061"/>
      <c r="AD189" s="1061"/>
      <c r="AE189" s="1061"/>
      <c r="BC189" t="s">
        <v>79</v>
      </c>
      <c r="BH189" s="41" t="s">
        <v>124</v>
      </c>
      <c r="BN189" s="30" t="s">
        <v>580</v>
      </c>
      <c r="BT189" t="s">
        <v>109</v>
      </c>
    </row>
    <row r="190" spans="1:72" ht="12.95" customHeight="1">
      <c r="C190" s="29"/>
      <c r="D190" t="s">
        <v>433</v>
      </c>
      <c r="I190" s="1067">
        <v>93727</v>
      </c>
      <c r="J190" s="1067"/>
      <c r="K190" s="1067"/>
      <c r="L190" s="1067"/>
      <c r="M190" s="1067"/>
      <c r="N190" s="1067"/>
      <c r="O190" t="s">
        <v>435</v>
      </c>
      <c r="T190" s="1476">
        <v>14.11</v>
      </c>
      <c r="U190" s="1476"/>
      <c r="V190" s="1476"/>
      <c r="W190" s="1476"/>
      <c r="X190" s="1476"/>
      <c r="Y190" s="1476"/>
      <c r="Z190" s="1476"/>
      <c r="AA190" s="1476"/>
      <c r="AB190" s="1476"/>
      <c r="AC190" s="1476"/>
      <c r="AD190" s="1476"/>
      <c r="AE190" s="1476"/>
      <c r="BC190" t="s">
        <v>663</v>
      </c>
      <c r="BH190" t="s">
        <v>663</v>
      </c>
      <c r="BN190" s="30" t="s">
        <v>421</v>
      </c>
      <c r="BT190" t="s">
        <v>110</v>
      </c>
    </row>
    <row r="191" spans="1:72" ht="12.95" customHeight="1">
      <c r="C191" s="29"/>
      <c r="D191" t="s">
        <v>81</v>
      </c>
      <c r="N191" s="1064" t="s">
        <v>2332</v>
      </c>
      <c r="O191" s="1064"/>
      <c r="P191" s="1064"/>
      <c r="Q191" s="1064"/>
      <c r="R191" s="1064"/>
      <c r="S191" s="1064"/>
      <c r="T191" s="1064"/>
      <c r="U191" s="1064"/>
      <c r="V191" s="1064"/>
      <c r="W191" s="1064"/>
      <c r="X191" s="1064"/>
      <c r="Y191" s="1064"/>
      <c r="Z191" s="1064"/>
      <c r="AA191" s="1064"/>
      <c r="AB191" s="1064"/>
      <c r="AC191" s="1064"/>
      <c r="AD191" s="1064"/>
      <c r="AE191" s="1064"/>
      <c r="BC191" t="s">
        <v>1424</v>
      </c>
      <c r="BH191" t="s">
        <v>1424</v>
      </c>
      <c r="BN191" s="30" t="s">
        <v>582</v>
      </c>
      <c r="BT191" t="s">
        <v>111</v>
      </c>
    </row>
    <row r="192" spans="1:72" ht="12.95" customHeight="1">
      <c r="C192" s="29"/>
      <c r="M192" s="49"/>
      <c r="N192" s="1065"/>
      <c r="O192" s="1065"/>
      <c r="P192" s="1065"/>
      <c r="Q192" s="1065"/>
      <c r="R192" s="1065"/>
      <c r="S192" s="1065"/>
      <c r="T192" s="1065"/>
      <c r="U192" s="1065"/>
      <c r="V192" s="1065"/>
      <c r="W192" s="1065"/>
      <c r="X192" s="1065"/>
      <c r="Y192" s="1065"/>
      <c r="Z192" s="1065"/>
      <c r="AA192" s="1065"/>
      <c r="AB192" s="1065"/>
      <c r="AC192" s="1065"/>
      <c r="AD192" s="1065"/>
      <c r="AE192" s="1065"/>
      <c r="BC192" t="s">
        <v>664</v>
      </c>
      <c r="BH192" t="s">
        <v>615</v>
      </c>
      <c r="BN192" s="30" t="s">
        <v>583</v>
      </c>
      <c r="BT192" t="s">
        <v>112</v>
      </c>
    </row>
    <row r="193" spans="1:73" ht="12.95" customHeight="1">
      <c r="C193" s="29"/>
      <c r="D193" t="s">
        <v>436</v>
      </c>
      <c r="T193" s="1066" t="s">
        <v>482</v>
      </c>
      <c r="U193" s="1066"/>
      <c r="W193" s="41" t="s">
        <v>1886</v>
      </c>
      <c r="AA193" s="1482"/>
      <c r="AB193" s="1482"/>
      <c r="AC193" s="1482"/>
      <c r="BC193" t="s">
        <v>564</v>
      </c>
      <c r="BH193" s="5" t="s">
        <v>1429</v>
      </c>
      <c r="BN193" s="30" t="s">
        <v>584</v>
      </c>
      <c r="BT193" t="s">
        <v>113</v>
      </c>
    </row>
    <row r="194" spans="1:73" ht="12.95" customHeight="1">
      <c r="C194" s="29"/>
      <c r="D194" t="s">
        <v>118</v>
      </c>
      <c r="T194" s="1095" t="s">
        <v>482</v>
      </c>
      <c r="U194" s="1095"/>
      <c r="W194" t="s">
        <v>63</v>
      </c>
      <c r="AI194" s="1066" t="s">
        <v>482</v>
      </c>
      <c r="AJ194" s="1066"/>
      <c r="AX194" s="5" t="s">
        <v>124</v>
      </c>
      <c r="BC194" t="s">
        <v>615</v>
      </c>
      <c r="BN194" s="30" t="s">
        <v>753</v>
      </c>
      <c r="BT194" t="s">
        <v>114</v>
      </c>
    </row>
    <row r="195" spans="1:73" ht="12.95" customHeight="1">
      <c r="C195" s="29"/>
      <c r="D195" s="41" t="s">
        <v>1734</v>
      </c>
      <c r="T195" s="1095" t="s">
        <v>482</v>
      </c>
      <c r="U195" s="1095"/>
      <c r="X195" s="797" t="s">
        <v>2106</v>
      </c>
      <c r="AX195" s="5" t="s">
        <v>1150</v>
      </c>
      <c r="BN195" s="30" t="s">
        <v>754</v>
      </c>
      <c r="BT195" t="s">
        <v>115</v>
      </c>
    </row>
    <row r="196" spans="1:73" ht="12.95" customHeight="1">
      <c r="C196" s="29"/>
      <c r="D196" s="5" t="s">
        <v>1155</v>
      </c>
      <c r="T196" s="1095" t="s">
        <v>482</v>
      </c>
      <c r="U196" s="1095"/>
      <c r="AK196" s="1481"/>
      <c r="AL196" s="1481"/>
      <c r="AX196" s="41" t="s">
        <v>2199</v>
      </c>
      <c r="BN196" s="30" t="s">
        <v>755</v>
      </c>
      <c r="BT196" t="s">
        <v>116</v>
      </c>
    </row>
    <row r="197" spans="1:73" ht="12.95" customHeight="1">
      <c r="C197" s="29"/>
      <c r="D197" s="41" t="s">
        <v>1887</v>
      </c>
      <c r="T197" s="1066" t="s">
        <v>482</v>
      </c>
      <c r="U197" s="1066"/>
      <c r="AX197" s="5" t="s">
        <v>1151</v>
      </c>
      <c r="BC197" t="s">
        <v>79</v>
      </c>
      <c r="BN197" s="30" t="s">
        <v>756</v>
      </c>
      <c r="BT197" t="s">
        <v>117</v>
      </c>
    </row>
    <row r="198" spans="1:73" ht="12.95" customHeight="1">
      <c r="C198" s="29"/>
      <c r="D198" s="41" t="s">
        <v>1915</v>
      </c>
      <c r="W198" s="1401" t="s">
        <v>482</v>
      </c>
      <c r="X198" s="1066"/>
      <c r="AX198" s="5" t="s">
        <v>1152</v>
      </c>
      <c r="BC198" t="s">
        <v>1103</v>
      </c>
      <c r="BN198" s="30" t="s">
        <v>757</v>
      </c>
      <c r="BT198" t="s">
        <v>803</v>
      </c>
    </row>
    <row r="199" spans="1:73" ht="12.95" customHeight="1">
      <c r="C199" s="29"/>
      <c r="L199" s="309"/>
      <c r="M199" s="309"/>
      <c r="N199" s="309"/>
      <c r="O199" s="309"/>
      <c r="P199" s="309"/>
      <c r="Q199" s="922" t="s">
        <v>2107</v>
      </c>
      <c r="R199" s="1058" t="s">
        <v>2019</v>
      </c>
      <c r="S199" s="1058"/>
      <c r="T199" s="1058"/>
      <c r="U199" s="1058"/>
      <c r="V199" s="1058"/>
      <c r="W199" s="1058"/>
      <c r="X199" s="1058"/>
      <c r="Y199" s="1058"/>
      <c r="Z199" s="1058"/>
      <c r="AA199" s="1058"/>
      <c r="AB199" s="1058"/>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2291</v>
      </c>
      <c r="BC200" s="41" t="s">
        <v>2056</v>
      </c>
      <c r="BN200" s="266" t="s">
        <v>658</v>
      </c>
      <c r="BO200" s="21"/>
      <c r="BP200" s="40"/>
      <c r="BQ200" s="40"/>
      <c r="BR200" s="40"/>
      <c r="BS200" s="40"/>
      <c r="BT200" s="40" t="s">
        <v>805</v>
      </c>
    </row>
    <row r="201" spans="1:73" ht="12.95" customHeight="1">
      <c r="C201" s="29"/>
      <c r="G201" s="895" t="s">
        <v>2022</v>
      </c>
      <c r="AX201" s="41" t="s">
        <v>2055</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7" t="str">
        <f>IF(AND(M25&gt;0,M27&gt;0),"Federal and State","Federal Only")</f>
        <v>Federal and State</v>
      </c>
      <c r="E203" s="1267"/>
      <c r="F203" s="1267"/>
      <c r="G203" s="1267"/>
      <c r="H203" s="1267"/>
      <c r="I203" s="1267"/>
      <c r="J203" s="1267"/>
      <c r="K203" s="1267"/>
      <c r="L203" s="1267"/>
      <c r="M203" s="1267"/>
      <c r="P203" s="1485">
        <f>M25</f>
        <v>2500000</v>
      </c>
      <c r="Q203" s="1485"/>
      <c r="R203" s="1485"/>
      <c r="S203" s="1485"/>
      <c r="T203" s="1485"/>
      <c r="U203" s="1485"/>
      <c r="W203" s="1485">
        <f>M27</f>
        <v>3666481</v>
      </c>
      <c r="X203" s="1485"/>
      <c r="Y203" s="1485"/>
      <c r="Z203" s="1485"/>
      <c r="AA203" s="1485"/>
      <c r="AB203" s="1485"/>
      <c r="AV203" t="s">
        <v>124</v>
      </c>
      <c r="AX203" s="5" t="s">
        <v>564</v>
      </c>
      <c r="BC203" t="s">
        <v>1434</v>
      </c>
      <c r="BN203" s="30" t="s">
        <v>661</v>
      </c>
      <c r="BT203" s="40" t="s">
        <v>808</v>
      </c>
      <c r="BU203" s="21"/>
    </row>
    <row r="204" spans="1:73" ht="12.95" customHeight="1">
      <c r="C204" s="29"/>
      <c r="P204" s="1413" t="s">
        <v>175</v>
      </c>
      <c r="Q204" s="1413"/>
      <c r="R204" s="1413"/>
      <c r="S204" s="1413"/>
      <c r="T204" s="1413"/>
      <c r="U204" s="1413"/>
      <c r="V204" s="36"/>
      <c r="W204" s="1413" t="s">
        <v>176</v>
      </c>
      <c r="X204" s="1413"/>
      <c r="Y204" s="1413"/>
      <c r="Z204" s="1413"/>
      <c r="AA204" s="1413"/>
      <c r="AB204" s="1413"/>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2292</v>
      </c>
      <c r="BN207" s="30" t="s">
        <v>1</v>
      </c>
      <c r="BT207" s="40" t="s">
        <v>811</v>
      </c>
    </row>
    <row r="208" spans="1:73" ht="12.95" customHeight="1">
      <c r="C208" s="29"/>
      <c r="D208" s="1398" t="s">
        <v>2333</v>
      </c>
      <c r="E208" s="1398"/>
      <c r="F208" s="1398"/>
      <c r="G208" s="1398"/>
      <c r="H208" s="1398"/>
      <c r="I208" s="1398"/>
      <c r="J208" s="1398"/>
      <c r="K208" s="1398"/>
      <c r="L208" s="1398"/>
      <c r="M208" s="1398"/>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058" t="s">
        <v>124</v>
      </c>
      <c r="E211" s="1398"/>
      <c r="F211" s="1398"/>
      <c r="G211" s="1398"/>
      <c r="H211" s="1398"/>
      <c r="I211" s="1398"/>
      <c r="J211" s="1398"/>
      <c r="K211" s="1398"/>
      <c r="L211" s="1398"/>
      <c r="M211" s="1398"/>
      <c r="N211" s="1398"/>
      <c r="O211" s="1398"/>
      <c r="P211" s="1398"/>
      <c r="X211" s="803"/>
      <c r="Y211" s="1477" t="s">
        <v>482</v>
      </c>
      <c r="Z211" s="1477"/>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2018</v>
      </c>
      <c r="BC213" t="s">
        <v>626</v>
      </c>
      <c r="BN213" s="30" t="s">
        <v>6</v>
      </c>
      <c r="BT213" s="40" t="s">
        <v>816</v>
      </c>
    </row>
    <row r="214" spans="1:72" ht="12.95" customHeight="1">
      <c r="C214" s="29"/>
      <c r="D214" s="1398" t="s">
        <v>663</v>
      </c>
      <c r="E214" s="1398"/>
      <c r="F214" s="1398"/>
      <c r="G214" s="1398"/>
      <c r="H214" s="1398"/>
      <c r="I214" s="1398"/>
      <c r="J214" s="1398"/>
      <c r="K214" s="1398"/>
      <c r="L214" s="1398"/>
      <c r="M214" s="1398"/>
      <c r="N214" s="1398"/>
      <c r="O214" s="1398"/>
      <c r="P214" s="1398"/>
      <c r="Q214" s="1398"/>
      <c r="R214" s="1398"/>
      <c r="S214" s="1398"/>
      <c r="T214" s="1398"/>
      <c r="U214" s="1398"/>
      <c r="V214" s="1398"/>
      <c r="W214" s="1398"/>
      <c r="X214" s="1398"/>
      <c r="Y214" s="1398"/>
      <c r="Z214" s="1398"/>
      <c r="AX214" t="s">
        <v>2019</v>
      </c>
      <c r="BC214" t="s">
        <v>630</v>
      </c>
      <c r="BN214" s="30" t="s">
        <v>443</v>
      </c>
      <c r="BT214" s="40" t="s">
        <v>817</v>
      </c>
    </row>
    <row r="215" spans="1:72" ht="12.95" customHeight="1">
      <c r="D215" s="35"/>
      <c r="E215" s="41" t="s">
        <v>2102</v>
      </c>
      <c r="AC215" s="1483"/>
      <c r="AD215" s="1483"/>
      <c r="AF215" s="1480">
        <f>IFERROR(AC215/AG433,"")</f>
        <v>0</v>
      </c>
      <c r="AG215" s="1480"/>
      <c r="AX215" t="s">
        <v>2020</v>
      </c>
      <c r="BC215" t="s">
        <v>627</v>
      </c>
    </row>
    <row r="216" spans="1:72" ht="12.95" customHeight="1">
      <c r="D216" s="35"/>
      <c r="E216" s="938" t="s">
        <v>1432</v>
      </c>
      <c r="AX216" t="s">
        <v>2021</v>
      </c>
      <c r="BC216" t="s">
        <v>744</v>
      </c>
    </row>
    <row r="217" spans="1:72" ht="12.95" customHeight="1">
      <c r="E217" s="1406" t="s">
        <v>124</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2023</v>
      </c>
      <c r="BC217" t="s">
        <v>628</v>
      </c>
    </row>
    <row r="218" spans="1:72" ht="12.95" customHeight="1">
      <c r="E218" s="41" t="s">
        <v>1959</v>
      </c>
      <c r="AA218" s="49"/>
      <c r="AC218" s="1395"/>
      <c r="AD218" s="1395"/>
      <c r="AE218" s="1395"/>
      <c r="AF218" s="1395"/>
      <c r="AG218" s="1395"/>
      <c r="AH218" s="1395"/>
      <c r="AI218" s="1395"/>
      <c r="AJ218" s="1395"/>
      <c r="AK218" s="1395"/>
      <c r="AL218" s="1395"/>
      <c r="AM218" s="1395"/>
      <c r="BC218" t="s">
        <v>629</v>
      </c>
      <c r="BI218" s="39"/>
    </row>
    <row r="219" spans="1:72" ht="12.95" customHeight="1">
      <c r="E219" s="41" t="s">
        <v>1960</v>
      </c>
      <c r="AA219" s="49"/>
      <c r="AC219" s="1395"/>
      <c r="AD219" s="1395"/>
      <c r="AE219" s="1395"/>
      <c r="AF219" s="1395"/>
      <c r="AG219" s="1395"/>
      <c r="AH219" s="1395"/>
      <c r="AI219" s="1395"/>
      <c r="AJ219" s="1395"/>
      <c r="AK219" s="1395"/>
      <c r="AL219" s="1395"/>
      <c r="AM219" s="1395"/>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058" t="s">
        <v>2056</v>
      </c>
      <c r="E223" s="1058"/>
      <c r="F223" s="1058"/>
      <c r="G223" s="1058"/>
      <c r="H223" s="1058"/>
      <c r="I223" s="1058"/>
      <c r="J223" s="1058"/>
      <c r="K223" s="1058"/>
      <c r="L223" s="1058"/>
      <c r="M223" s="1058"/>
      <c r="N223" s="1058"/>
      <c r="O223" s="1058"/>
      <c r="P223" s="1058"/>
      <c r="Q223" s="1058"/>
      <c r="R223" s="1058"/>
      <c r="S223" s="1058"/>
      <c r="T223" s="1058"/>
      <c r="U223" s="1058"/>
      <c r="V223" s="1058"/>
      <c r="W223" s="1058"/>
      <c r="X223" s="1058"/>
      <c r="Y223" s="1058"/>
      <c r="Z223" s="1058"/>
      <c r="AA223" s="1058"/>
      <c r="AB223" s="1058"/>
      <c r="AC223" s="1058"/>
      <c r="AD223" s="1058"/>
      <c r="AE223" s="1058"/>
      <c r="AF223" s="1058"/>
      <c r="AG223" s="1058"/>
      <c r="AH223" s="1058"/>
      <c r="AI223" s="1058"/>
      <c r="AJ223" s="21"/>
      <c r="AK223" s="21"/>
      <c r="AL223" s="21"/>
    </row>
    <row r="224" spans="1:72" ht="12.95" customHeight="1">
      <c r="AJ224" s="5"/>
    </row>
    <row r="225" spans="1:59" ht="12.95" customHeight="1">
      <c r="D225" t="s">
        <v>557</v>
      </c>
      <c r="O225" s="1066">
        <v>21</v>
      </c>
      <c r="P225" s="1066"/>
    </row>
    <row r="226" spans="1:59" ht="12.95" customHeight="1">
      <c r="D226" t="s">
        <v>558</v>
      </c>
      <c r="O226" s="1066">
        <v>31</v>
      </c>
      <c r="P226" s="1066"/>
      <c r="BB226" s="5" t="s">
        <v>638</v>
      </c>
      <c r="BG226" s="410">
        <f>IF(AND(AND($M$251="for profit",$M$259="for profit",$M$267="nonprofit")),2,0)</f>
        <v>0</v>
      </c>
    </row>
    <row r="227" spans="1:59" ht="12.95" customHeight="1">
      <c r="D227" t="s">
        <v>559</v>
      </c>
      <c r="O227" s="1066">
        <v>14</v>
      </c>
      <c r="P227" s="1066"/>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97" t="s">
        <v>495</v>
      </c>
      <c r="B231" s="1097"/>
      <c r="C231" s="1097"/>
      <c r="D231" s="1097"/>
      <c r="E231" s="1097"/>
      <c r="F231" s="1097"/>
      <c r="G231" s="1097"/>
      <c r="H231" s="1097"/>
      <c r="I231" s="1097"/>
      <c r="J231" s="1097"/>
      <c r="K231" s="1097"/>
      <c r="L231" s="1097"/>
      <c r="M231" s="1097"/>
      <c r="N231" s="1097"/>
      <c r="O231" s="1097"/>
      <c r="P231" s="1097"/>
      <c r="Q231" s="1097"/>
      <c r="R231" s="1097"/>
      <c r="S231" s="1097"/>
      <c r="T231" s="1097"/>
      <c r="U231" s="1097"/>
      <c r="V231" s="1097"/>
      <c r="W231" s="1097"/>
      <c r="X231" s="1097"/>
      <c r="Y231" s="1097"/>
      <c r="Z231" s="1097"/>
      <c r="AA231" s="1097"/>
      <c r="AB231" s="1097"/>
      <c r="AC231" s="1097"/>
      <c r="AD231" s="1097"/>
      <c r="AE231" s="1097"/>
      <c r="AF231" s="1097"/>
      <c r="AG231" s="1097"/>
      <c r="AH231" s="1097"/>
      <c r="AI231" s="1097"/>
      <c r="AJ231" s="1097"/>
      <c r="AK231" s="1097"/>
      <c r="AL231" s="1097"/>
      <c r="AM231" s="1097"/>
      <c r="AN231" s="1097"/>
      <c r="AO231" s="1097"/>
      <c r="AP231" s="1097"/>
      <c r="AQ231" s="1097"/>
      <c r="AR231" s="1097"/>
      <c r="AS231" s="1097"/>
      <c r="AT231" s="1097"/>
    </row>
    <row r="232" spans="1:59" ht="12.95" customHeight="1">
      <c r="A232" s="1097"/>
      <c r="B232" s="1097"/>
      <c r="C232" s="1097"/>
      <c r="D232" s="1097"/>
      <c r="E232" s="1097"/>
      <c r="F232" s="1097"/>
      <c r="G232" s="1097"/>
      <c r="H232" s="1097"/>
      <c r="I232" s="1097"/>
      <c r="J232" s="1097"/>
      <c r="K232" s="1097"/>
      <c r="L232" s="1097"/>
      <c r="M232" s="1097"/>
      <c r="N232" s="1097"/>
      <c r="O232" s="1097"/>
      <c r="P232" s="1097"/>
      <c r="Q232" s="1097"/>
      <c r="R232" s="1097"/>
      <c r="S232" s="1097"/>
      <c r="T232" s="1097"/>
      <c r="U232" s="1097"/>
      <c r="V232" s="1097"/>
      <c r="W232" s="1097"/>
      <c r="X232" s="1097"/>
      <c r="Y232" s="1097"/>
      <c r="Z232" s="1097"/>
      <c r="AA232" s="1097"/>
      <c r="AB232" s="1097"/>
      <c r="AC232" s="1097"/>
      <c r="AD232" s="1097"/>
      <c r="AE232" s="1097"/>
      <c r="AF232" s="1097"/>
      <c r="AG232" s="1097"/>
      <c r="AH232" s="1097"/>
      <c r="AI232" s="1097"/>
      <c r="AJ232" s="1097"/>
      <c r="AK232" s="1097"/>
      <c r="AL232" s="1097"/>
      <c r="AM232" s="1097"/>
      <c r="AN232" s="1097"/>
      <c r="AO232" s="1097"/>
      <c r="AP232" s="1097"/>
      <c r="AQ232" s="1097"/>
      <c r="AR232" s="1097"/>
      <c r="AS232" s="1097"/>
      <c r="AT232" s="1097"/>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2" t="str">
        <f>H15</f>
        <v>FCTC Family II, LP</v>
      </c>
      <c r="N235" s="1412"/>
      <c r="O235" s="1412"/>
      <c r="P235" s="1412"/>
      <c r="Q235" s="1412"/>
      <c r="R235" s="1412"/>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BB235" s="3"/>
      <c r="BG235" s="5"/>
    </row>
    <row r="236" spans="1:59" ht="12.95" customHeight="1">
      <c r="D236" s="5" t="s">
        <v>372</v>
      </c>
      <c r="E236" s="5"/>
      <c r="F236" s="5"/>
      <c r="G236" s="5"/>
      <c r="H236" s="5"/>
      <c r="I236" s="5"/>
      <c r="J236" s="5"/>
      <c r="K236" s="5"/>
      <c r="M236" s="1058" t="s">
        <v>2350</v>
      </c>
      <c r="N236" s="1058"/>
      <c r="O236" s="1058"/>
      <c r="P236" s="1058"/>
      <c r="Q236" s="1058"/>
      <c r="R236" s="1058"/>
      <c r="S236" s="1058"/>
      <c r="T236" s="1058"/>
      <c r="U236" s="1058"/>
      <c r="V236" s="1058"/>
      <c r="W236" s="1058"/>
      <c r="X236" s="1058"/>
      <c r="Y236" s="1058"/>
      <c r="Z236" s="1058"/>
      <c r="AA236" s="1058"/>
      <c r="AB236" s="1058"/>
      <c r="AC236" s="1058"/>
      <c r="AD236" s="1058"/>
      <c r="AE236" s="1058"/>
      <c r="AM236" s="41"/>
      <c r="AN236" s="41"/>
      <c r="BB236" t="s">
        <v>637</v>
      </c>
      <c r="BG236" s="410">
        <f>IF(AND(AND($M$251="nonprofit",$M$259="nonprofit",$M$267="nonprofit")),1,0)</f>
        <v>0</v>
      </c>
    </row>
    <row r="237" spans="1:59" ht="12.95" customHeight="1">
      <c r="D237" s="5" t="s">
        <v>430</v>
      </c>
      <c r="E237" s="5"/>
      <c r="M237" s="1058" t="s">
        <v>391</v>
      </c>
      <c r="N237" s="1058"/>
      <c r="O237" s="1058"/>
      <c r="P237" s="1058"/>
      <c r="Q237" s="1058"/>
      <c r="R237" s="1058"/>
      <c r="S237" s="1058"/>
      <c r="T237" s="1058"/>
      <c r="V237" s="42" t="s">
        <v>373</v>
      </c>
      <c r="W237" s="1060" t="s">
        <v>2334</v>
      </c>
      <c r="X237" s="1268"/>
      <c r="Y237" s="5" t="s">
        <v>433</v>
      </c>
      <c r="AC237" s="1398">
        <v>93720</v>
      </c>
      <c r="AD237" s="1398"/>
      <c r="AE237" s="1398"/>
      <c r="AN237" s="41"/>
      <c r="BB237" t="s">
        <v>637</v>
      </c>
      <c r="BG237" s="410">
        <f>IF(AND(AND($M$251="nonprofit",$M$259="nonprofit",$M$267="(select one)")),1,0)</f>
        <v>0</v>
      </c>
    </row>
    <row r="238" spans="1:59" ht="12.95" customHeight="1">
      <c r="D238" s="5" t="s">
        <v>374</v>
      </c>
      <c r="E238" s="5"/>
      <c r="F238" s="5"/>
      <c r="G238" s="5"/>
      <c r="H238" s="5"/>
      <c r="I238" s="5"/>
      <c r="J238" s="5"/>
      <c r="K238" s="28"/>
      <c r="M238" s="1058" t="s">
        <v>2324</v>
      </c>
      <c r="N238" s="1058"/>
      <c r="O238" s="1058"/>
      <c r="P238" s="1058"/>
      <c r="Q238" s="1058"/>
      <c r="R238" s="1058"/>
      <c r="S238" s="1058"/>
      <c r="T238" s="1058"/>
      <c r="U238" s="1058"/>
      <c r="V238" s="1058"/>
      <c r="W238" s="1058"/>
      <c r="X238" s="1058"/>
      <c r="Y238" s="1058"/>
      <c r="Z238" s="1058"/>
      <c r="AA238" s="1058"/>
      <c r="AB238" s="1058"/>
      <c r="AC238" s="1058"/>
      <c r="AD238" s="1058"/>
      <c r="AE238" s="1058"/>
      <c r="AI238" s="5"/>
      <c r="AJ238" s="5"/>
      <c r="AK238" s="5"/>
      <c r="AL238" s="5"/>
      <c r="AN238" s="41"/>
      <c r="BB238" t="s">
        <v>637</v>
      </c>
      <c r="BG238" s="410">
        <f>IF(AND(AND($M$251="nonprofit",$M$259="(select one)",$M$267="(select one)")),1,0)</f>
        <v>0</v>
      </c>
    </row>
    <row r="239" spans="1:59" ht="12.95" customHeight="1">
      <c r="D239" s="5" t="s">
        <v>375</v>
      </c>
      <c r="E239" s="5"/>
      <c r="F239" s="5"/>
      <c r="M239" s="1059" t="s">
        <v>2335</v>
      </c>
      <c r="N239" s="1059"/>
      <c r="O239" s="1059"/>
      <c r="P239" s="1059"/>
      <c r="Q239" s="1059"/>
      <c r="R239" s="1059"/>
      <c r="S239" s="5" t="s">
        <v>818</v>
      </c>
      <c r="T239" s="5"/>
      <c r="U239" s="1268"/>
      <c r="V239" s="1268"/>
      <c r="W239" s="1268"/>
      <c r="X239" s="5" t="s">
        <v>376</v>
      </c>
      <c r="Z239" s="1263"/>
      <c r="AA239" s="1263"/>
      <c r="AB239" s="1263"/>
      <c r="AC239" s="1263"/>
      <c r="AD239" s="1263"/>
      <c r="AE239" s="1263"/>
      <c r="AM239" s="41"/>
      <c r="AN239" s="41"/>
      <c r="BB239" t="s">
        <v>1009</v>
      </c>
      <c r="BG239" s="410">
        <f>IF(AND(AND($M$251="for profit",$M$259="for profit",$M$267="for profit")),3,0)</f>
        <v>0</v>
      </c>
    </row>
    <row r="240" spans="1:59" ht="12.95" customHeight="1">
      <c r="D240" s="5" t="s">
        <v>377</v>
      </c>
      <c r="E240" s="5"/>
      <c r="F240" s="5"/>
      <c r="M240" s="1063" t="s">
        <v>2336</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67" t="s">
        <v>628</v>
      </c>
      <c r="N241" s="1067"/>
      <c r="O241" s="1067"/>
      <c r="P241" s="1067"/>
      <c r="Q241" s="1067"/>
      <c r="R241" s="1067"/>
      <c r="S241" s="1067"/>
      <c r="T241" s="1067"/>
      <c r="U241" s="5" t="s">
        <v>1144</v>
      </c>
      <c r="AA241" s="1056" t="s">
        <v>2337</v>
      </c>
      <c r="AB241" s="1056"/>
      <c r="AC241" s="1056"/>
      <c r="AD241" s="1056"/>
      <c r="AE241" s="1056"/>
      <c r="AF241" s="1056"/>
      <c r="AG241" s="1056"/>
      <c r="AH241" s="1056"/>
      <c r="AI241" s="1056"/>
      <c r="AJ241" s="1056"/>
      <c r="AK241" s="1056"/>
      <c r="AL241" s="41"/>
      <c r="AM241" s="5"/>
      <c r="AN241" s="41"/>
      <c r="AO241" s="41"/>
      <c r="BB241" t="s">
        <v>1009</v>
      </c>
      <c r="BG241" s="411">
        <f>IF(AND(AND($M$251="for profit",$M$259="(select one)",$M$267="(select one)")),3,0)</f>
        <v>0</v>
      </c>
    </row>
    <row r="242" spans="1:67" ht="12.95" customHeight="1">
      <c r="D242" t="s">
        <v>631</v>
      </c>
      <c r="M242" s="1058"/>
      <c r="N242" s="1061"/>
      <c r="O242" s="1061"/>
      <c r="P242" s="1061"/>
      <c r="Q242" s="1061"/>
      <c r="R242" s="1061"/>
      <c r="S242" s="1061"/>
      <c r="T242" s="1061"/>
      <c r="U242" s="1061"/>
      <c r="V242" s="1061"/>
      <c r="W242" s="1061"/>
      <c r="X242" s="1061"/>
      <c r="Y242" s="1061"/>
      <c r="Z242" s="1061"/>
      <c r="AA242" s="1061"/>
      <c r="AB242" s="1061"/>
      <c r="AC242" s="1061"/>
      <c r="AD242" s="1061"/>
      <c r="AE242" s="1061"/>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057" t="s">
        <v>2337</v>
      </c>
      <c r="N245" s="1057"/>
      <c r="O245" s="1057"/>
      <c r="P245" s="1057"/>
      <c r="Q245" s="1057"/>
      <c r="R245" s="1057"/>
      <c r="S245" s="1057"/>
      <c r="T245" s="1057"/>
      <c r="U245" s="1057"/>
      <c r="V245" s="1057"/>
      <c r="W245" s="1057"/>
      <c r="X245" s="1057"/>
      <c r="Y245" s="1057"/>
      <c r="Z245" s="1057"/>
      <c r="AA245" s="1057"/>
      <c r="AB245" s="1057"/>
      <c r="AC245" s="1057"/>
      <c r="AD245" s="1057"/>
      <c r="AE245" s="1057"/>
      <c r="AF245" s="1470" t="s">
        <v>2351</v>
      </c>
      <c r="AG245" s="1470"/>
      <c r="AH245" s="1470"/>
      <c r="AI245" s="1470"/>
      <c r="AJ245" s="1470"/>
      <c r="AK245" s="1470"/>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8" t="s">
        <v>2350</v>
      </c>
      <c r="N246" s="1398"/>
      <c r="O246" s="1398"/>
      <c r="P246" s="1398"/>
      <c r="Q246" s="1398"/>
      <c r="R246" s="1398"/>
      <c r="S246" s="1398"/>
      <c r="T246" s="1398"/>
      <c r="U246" s="1398"/>
      <c r="V246" s="1398"/>
      <c r="W246" s="1398"/>
      <c r="X246" s="1398"/>
      <c r="Y246" s="1398"/>
      <c r="Z246" s="1398"/>
      <c r="AA246" s="1398"/>
      <c r="AB246" s="1398"/>
      <c r="AC246" s="1398"/>
      <c r="AD246" s="1398"/>
      <c r="AE246" s="1398"/>
      <c r="AL246" s="5"/>
      <c r="AN246" s="41"/>
      <c r="BB246" s="5" t="s">
        <v>454</v>
      </c>
      <c r="BH246">
        <v>3</v>
      </c>
      <c r="BI246" t="s">
        <v>636</v>
      </c>
    </row>
    <row r="247" spans="1:67" ht="12.95" customHeight="1">
      <c r="A247" s="28"/>
      <c r="B247" s="5"/>
      <c r="C247" s="5"/>
      <c r="D247" s="5" t="s">
        <v>430</v>
      </c>
      <c r="E247" s="5"/>
      <c r="M247" s="1398" t="s">
        <v>391</v>
      </c>
      <c r="N247" s="1398"/>
      <c r="O247" s="1398"/>
      <c r="P247" s="1398"/>
      <c r="Q247" s="1398"/>
      <c r="R247" s="1398"/>
      <c r="S247" s="1398"/>
      <c r="T247" s="1398"/>
      <c r="V247" s="42" t="s">
        <v>373</v>
      </c>
      <c r="W247" s="1268" t="s">
        <v>2334</v>
      </c>
      <c r="X247" s="1268"/>
      <c r="Y247" s="5" t="s">
        <v>433</v>
      </c>
      <c r="AC247" s="1398">
        <v>93720</v>
      </c>
      <c r="AD247" s="1398"/>
      <c r="AE247" s="1398"/>
      <c r="AN247" s="41"/>
    </row>
    <row r="248" spans="1:67" ht="12.95" customHeight="1">
      <c r="A248" s="28"/>
      <c r="B248" s="5"/>
      <c r="C248" s="5"/>
      <c r="D248" s="5" t="s">
        <v>374</v>
      </c>
      <c r="E248" s="5"/>
      <c r="F248" s="5"/>
      <c r="G248" s="5"/>
      <c r="H248" s="5"/>
      <c r="I248" s="5"/>
      <c r="J248" s="5"/>
      <c r="K248" s="5"/>
      <c r="L248" s="28"/>
      <c r="M248" s="1398" t="s">
        <v>2324</v>
      </c>
      <c r="N248" s="1398"/>
      <c r="O248" s="1398"/>
      <c r="P248" s="1398"/>
      <c r="Q248" s="1398"/>
      <c r="R248" s="1398"/>
      <c r="S248" s="1398"/>
      <c r="T248" s="1398"/>
      <c r="U248" s="1398"/>
      <c r="V248" s="1398"/>
      <c r="W248" s="1398"/>
      <c r="X248" s="1398"/>
      <c r="Y248" s="1398"/>
      <c r="Z248" s="1398"/>
      <c r="AA248" s="1398"/>
      <c r="AB248" s="1398"/>
      <c r="AC248" s="1398"/>
      <c r="AD248" s="1398"/>
      <c r="AE248" s="1398"/>
      <c r="AJ248" s="5"/>
      <c r="AK248" s="5"/>
      <c r="AL248" s="5"/>
      <c r="AN248" s="41"/>
    </row>
    <row r="249" spans="1:67" ht="12.95" customHeight="1">
      <c r="A249" s="28"/>
      <c r="B249" s="5"/>
      <c r="C249" s="5"/>
      <c r="D249" s="5" t="s">
        <v>375</v>
      </c>
      <c r="E249" s="5"/>
      <c r="F249" s="5"/>
      <c r="M249" s="1263" t="s">
        <v>2335</v>
      </c>
      <c r="N249" s="1263"/>
      <c r="O249" s="1263"/>
      <c r="P249" s="1263"/>
      <c r="Q249" s="1263"/>
      <c r="R249" s="1263"/>
      <c r="S249" s="5" t="s">
        <v>818</v>
      </c>
      <c r="T249" s="5"/>
      <c r="U249" s="1268"/>
      <c r="V249" s="1268"/>
      <c r="W249" s="1268"/>
      <c r="X249" s="5" t="s">
        <v>376</v>
      </c>
      <c r="Z249" s="1263"/>
      <c r="AA249" s="1263"/>
      <c r="AB249" s="1263"/>
      <c r="AC249" s="1263"/>
      <c r="AD249" s="1263"/>
      <c r="AE249" s="1263"/>
      <c r="AM249" s="5"/>
      <c r="AN249" s="41"/>
    </row>
    <row r="250" spans="1:67" ht="12.95" customHeight="1">
      <c r="A250" s="28"/>
      <c r="B250" s="5"/>
      <c r="C250" s="5"/>
      <c r="D250" s="5" t="s">
        <v>377</v>
      </c>
      <c r="E250" s="5"/>
      <c r="F250" s="5"/>
      <c r="M250" s="1063" t="s">
        <v>2336</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2.95" customHeight="1">
      <c r="A251" s="18"/>
      <c r="B251" s="5"/>
      <c r="C251" s="62"/>
      <c r="D251" s="5" t="s">
        <v>635</v>
      </c>
      <c r="E251" s="5"/>
      <c r="F251" s="5"/>
      <c r="G251" s="5"/>
      <c r="H251" s="5"/>
      <c r="I251" s="5"/>
      <c r="J251" s="5"/>
      <c r="K251" s="5"/>
      <c r="L251" s="5"/>
      <c r="M251" s="1067" t="s">
        <v>636</v>
      </c>
      <c r="N251" s="1067"/>
      <c r="O251" s="1067"/>
      <c r="P251" s="1067"/>
      <c r="Q251" s="1067"/>
      <c r="R251" s="1067"/>
      <c r="S251" s="1067"/>
      <c r="T251" s="1067"/>
      <c r="U251" s="5" t="s">
        <v>1144</v>
      </c>
      <c r="AA251" s="1056" t="s">
        <v>2338</v>
      </c>
      <c r="AB251" s="1056"/>
      <c r="AC251" s="1056"/>
      <c r="AD251" s="1056"/>
      <c r="AE251" s="1056"/>
      <c r="AF251" s="1056"/>
      <c r="AG251" s="1056"/>
      <c r="AH251" s="1056"/>
      <c r="AI251" s="1056"/>
      <c r="AJ251" s="1056"/>
      <c r="AK251" s="105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057" t="s">
        <v>2339</v>
      </c>
      <c r="N253" s="1057"/>
      <c r="O253" s="1057"/>
      <c r="P253" s="1057"/>
      <c r="Q253" s="1057"/>
      <c r="R253" s="1057"/>
      <c r="S253" s="1057"/>
      <c r="T253" s="1057"/>
      <c r="U253" s="1057"/>
      <c r="V253" s="1057"/>
      <c r="W253" s="1057"/>
      <c r="X253" s="1057"/>
      <c r="Y253" s="1057"/>
      <c r="Z253" s="1057"/>
      <c r="AA253" s="1057"/>
      <c r="AB253" s="1057"/>
      <c r="AC253" s="1057"/>
      <c r="AD253" s="1057"/>
      <c r="AE253" s="1057"/>
      <c r="AF253" s="1470" t="s">
        <v>2352</v>
      </c>
      <c r="AG253" s="1470"/>
      <c r="AH253" s="1470"/>
      <c r="AI253" s="1470"/>
      <c r="AJ253" s="1470"/>
      <c r="AK253" s="1470"/>
      <c r="AM253" s="5"/>
    </row>
    <row r="254" spans="1:67" ht="12.95" customHeight="1">
      <c r="A254" s="28"/>
      <c r="B254" s="5"/>
      <c r="C254" s="5"/>
      <c r="D254" s="5" t="s">
        <v>372</v>
      </c>
      <c r="E254" s="5"/>
      <c r="F254" s="5"/>
      <c r="G254" s="5"/>
      <c r="H254" s="5"/>
      <c r="I254" s="5"/>
      <c r="J254" s="5"/>
      <c r="K254" s="5"/>
      <c r="L254" s="5"/>
      <c r="M254" s="1058" t="s">
        <v>2340</v>
      </c>
      <c r="N254" s="1058"/>
      <c r="O254" s="1058"/>
      <c r="P254" s="1058"/>
      <c r="Q254" s="1058"/>
      <c r="R254" s="1058"/>
      <c r="S254" s="1058"/>
      <c r="T254" s="1058"/>
      <c r="U254" s="1058"/>
      <c r="V254" s="1058"/>
      <c r="W254" s="1058"/>
      <c r="X254" s="1058"/>
      <c r="Y254" s="1058"/>
      <c r="Z254" s="1058"/>
      <c r="AA254" s="1058"/>
      <c r="AB254" s="1058"/>
      <c r="AC254" s="1058"/>
      <c r="AD254" s="1058"/>
      <c r="AE254" s="1058"/>
      <c r="AL254" s="5"/>
    </row>
    <row r="255" spans="1:67" ht="12.95" customHeight="1">
      <c r="A255" s="28"/>
      <c r="B255" s="5"/>
      <c r="C255" s="5"/>
      <c r="D255" s="5" t="s">
        <v>430</v>
      </c>
      <c r="E255" s="5"/>
      <c r="M255" s="1058" t="s">
        <v>2341</v>
      </c>
      <c r="N255" s="1058"/>
      <c r="O255" s="1058"/>
      <c r="P255" s="1058"/>
      <c r="Q255" s="1058"/>
      <c r="R255" s="1058"/>
      <c r="S255" s="1058"/>
      <c r="T255" s="1058"/>
      <c r="V255" s="42" t="s">
        <v>373</v>
      </c>
      <c r="W255" s="1060" t="s">
        <v>2334</v>
      </c>
      <c r="X255" s="1268"/>
      <c r="Y255" s="5" t="s">
        <v>433</v>
      </c>
      <c r="AC255" s="1398">
        <v>96001</v>
      </c>
      <c r="AD255" s="1398"/>
      <c r="AE255" s="1398"/>
    </row>
    <row r="256" spans="1:67" ht="12.95" customHeight="1">
      <c r="A256" s="28"/>
      <c r="B256" s="5"/>
      <c r="C256" s="5"/>
      <c r="D256" s="5" t="s">
        <v>374</v>
      </c>
      <c r="E256" s="5"/>
      <c r="F256" s="5"/>
      <c r="G256" s="5"/>
      <c r="H256" s="5"/>
      <c r="I256" s="5"/>
      <c r="J256" s="5"/>
      <c r="K256" s="5"/>
      <c r="L256" s="28"/>
      <c r="M256" s="1058" t="s">
        <v>2342</v>
      </c>
      <c r="N256" s="1058"/>
      <c r="O256" s="1058"/>
      <c r="P256" s="1058"/>
      <c r="Q256" s="1058"/>
      <c r="R256" s="1058"/>
      <c r="S256" s="1058"/>
      <c r="T256" s="1058"/>
      <c r="U256" s="1058"/>
      <c r="V256" s="1058"/>
      <c r="W256" s="1058"/>
      <c r="X256" s="1058"/>
      <c r="Y256" s="1058"/>
      <c r="Z256" s="1058"/>
      <c r="AA256" s="1058"/>
      <c r="AB256" s="1058"/>
      <c r="AC256" s="1058"/>
      <c r="AD256" s="1058"/>
      <c r="AE256" s="1058"/>
      <c r="AJ256" s="5"/>
      <c r="AK256" s="5"/>
      <c r="AL256" s="5"/>
    </row>
    <row r="257" spans="1:53" ht="12.95" customHeight="1">
      <c r="A257" s="28"/>
      <c r="B257" s="5"/>
      <c r="C257" s="5"/>
      <c r="D257" s="5" t="s">
        <v>375</v>
      </c>
      <c r="E257" s="5"/>
      <c r="F257" s="5"/>
      <c r="M257" s="1059">
        <v>5302416960</v>
      </c>
      <c r="N257" s="1059"/>
      <c r="O257" s="1059"/>
      <c r="P257" s="1059"/>
      <c r="Q257" s="1059"/>
      <c r="R257" s="1059"/>
      <c r="S257" s="5" t="s">
        <v>818</v>
      </c>
      <c r="T257" s="5"/>
      <c r="U257" s="1268"/>
      <c r="V257" s="1268"/>
      <c r="W257" s="1268"/>
      <c r="X257" s="5" t="s">
        <v>376</v>
      </c>
      <c r="Z257" s="970" t="s">
        <v>2343</v>
      </c>
      <c r="AA257" s="968"/>
      <c r="AB257" s="968"/>
      <c r="AC257" s="968"/>
      <c r="AD257" s="968"/>
      <c r="AE257" s="968"/>
      <c r="BA257" s="43"/>
    </row>
    <row r="258" spans="1:53" ht="12.95" customHeight="1">
      <c r="A258" s="28"/>
      <c r="B258" s="5"/>
      <c r="C258" s="5"/>
      <c r="D258" s="5" t="s">
        <v>377</v>
      </c>
      <c r="E258" s="5"/>
      <c r="F258" s="5"/>
      <c r="M258" s="969" t="s">
        <v>2344</v>
      </c>
      <c r="N258" s="969"/>
      <c r="O258" s="969"/>
      <c r="P258" s="969"/>
      <c r="Q258" s="969"/>
      <c r="R258" s="969"/>
      <c r="S258" s="969"/>
      <c r="T258" s="969"/>
      <c r="U258" s="969"/>
      <c r="V258" s="969"/>
      <c r="W258" s="969"/>
      <c r="X258" s="969"/>
      <c r="Y258" s="969"/>
      <c r="Z258" s="969"/>
      <c r="AA258" s="969"/>
      <c r="AB258" s="969"/>
      <c r="AC258" s="969"/>
      <c r="AD258" s="969"/>
      <c r="AE258" s="969"/>
      <c r="AG258" s="5"/>
      <c r="AH258" s="5"/>
      <c r="AI258" s="5"/>
      <c r="AJ258" s="5"/>
      <c r="AK258" s="5"/>
      <c r="AL258" s="5"/>
    </row>
    <row r="259" spans="1:53" ht="12.95" customHeight="1">
      <c r="A259" s="18"/>
      <c r="B259" s="5"/>
      <c r="C259" s="62"/>
      <c r="D259" s="5" t="s">
        <v>635</v>
      </c>
      <c r="E259" s="5"/>
      <c r="F259" s="5"/>
      <c r="G259" s="5"/>
      <c r="H259" s="5"/>
      <c r="I259" s="5"/>
      <c r="J259" s="5"/>
      <c r="K259" s="5"/>
      <c r="L259" s="5"/>
      <c r="M259" s="1067" t="s">
        <v>634</v>
      </c>
      <c r="N259" s="1067"/>
      <c r="O259" s="1067"/>
      <c r="P259" s="1067"/>
      <c r="Q259" s="1067"/>
      <c r="R259" s="1067"/>
      <c r="S259" s="1067"/>
      <c r="T259" s="1067"/>
      <c r="U259" s="5" t="s">
        <v>1144</v>
      </c>
      <c r="AA259" s="1404"/>
      <c r="AB259" s="1404"/>
      <c r="AC259" s="1404"/>
      <c r="AD259" s="1404"/>
      <c r="AE259" s="1404"/>
      <c r="AF259" s="1404"/>
      <c r="AG259" s="1404"/>
      <c r="AH259" s="1404"/>
      <c r="AI259" s="1404"/>
      <c r="AJ259" s="1404"/>
      <c r="AK259" s="140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1885</v>
      </c>
      <c r="D261" s="5" t="s">
        <v>632</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79</v>
      </c>
      <c r="AG261" s="1470"/>
      <c r="AH261" s="1470"/>
      <c r="AI261" s="1470"/>
      <c r="AJ261" s="1470"/>
      <c r="AK261" s="1470"/>
      <c r="AL261" s="41"/>
    </row>
    <row r="262" spans="1:53" ht="12.95" customHeight="1">
      <c r="A262" s="18"/>
      <c r="B262" s="5"/>
      <c r="C262" s="5"/>
      <c r="D262" s="5" t="s">
        <v>372</v>
      </c>
      <c r="E262" s="5"/>
      <c r="F262" s="5"/>
      <c r="G262" s="5"/>
      <c r="H262" s="5"/>
      <c r="I262" s="5"/>
      <c r="J262" s="5"/>
      <c r="K262" s="5"/>
      <c r="L262" s="5"/>
      <c r="M262" s="1398"/>
      <c r="N262" s="1398"/>
      <c r="O262" s="1398"/>
      <c r="P262" s="1398"/>
      <c r="Q262" s="1398"/>
      <c r="R262" s="1398"/>
      <c r="S262" s="1398"/>
      <c r="T262" s="1398"/>
      <c r="U262" s="1398"/>
      <c r="V262" s="1398"/>
      <c r="W262" s="1398"/>
      <c r="X262" s="1398"/>
      <c r="Y262" s="1398"/>
      <c r="Z262" s="1398"/>
      <c r="AA262" s="1398"/>
      <c r="AB262" s="1398"/>
      <c r="AC262" s="1398"/>
      <c r="AD262" s="1398"/>
      <c r="AE262" s="1398"/>
      <c r="AL262" s="41"/>
      <c r="BA262" s="43"/>
    </row>
    <row r="263" spans="1:53" ht="12.95" customHeight="1">
      <c r="A263" s="18"/>
      <c r="B263" s="5"/>
      <c r="C263" s="5"/>
      <c r="D263" s="5" t="s">
        <v>430</v>
      </c>
      <c r="E263" s="5"/>
      <c r="M263" s="1398"/>
      <c r="N263" s="1398"/>
      <c r="O263" s="1398"/>
      <c r="P263" s="1398"/>
      <c r="Q263" s="1398"/>
      <c r="R263" s="1398"/>
      <c r="S263" s="1398"/>
      <c r="T263" s="1398"/>
      <c r="V263" s="42" t="s">
        <v>373</v>
      </c>
      <c r="W263" s="1268"/>
      <c r="X263" s="1268"/>
      <c r="Y263" s="5" t="s">
        <v>433</v>
      </c>
      <c r="AC263" s="1398"/>
      <c r="AD263" s="1398"/>
      <c r="AE263" s="1398"/>
      <c r="AL263" s="41"/>
      <c r="BA263" s="43"/>
    </row>
    <row r="264" spans="1:53" ht="12.95" customHeight="1">
      <c r="A264" s="18"/>
      <c r="B264" s="5"/>
      <c r="C264" s="5"/>
      <c r="D264" s="5" t="s">
        <v>374</v>
      </c>
      <c r="E264" s="5"/>
      <c r="F264" s="5"/>
      <c r="G264" s="5"/>
      <c r="H264" s="5"/>
      <c r="I264" s="5"/>
      <c r="J264" s="5"/>
      <c r="K264" s="5"/>
      <c r="L264" s="28"/>
      <c r="M264" s="1398"/>
      <c r="N264" s="1398"/>
      <c r="O264" s="1398"/>
      <c r="P264" s="1398"/>
      <c r="Q264" s="1398"/>
      <c r="R264" s="1398"/>
      <c r="S264" s="1398"/>
      <c r="T264" s="1398"/>
      <c r="U264" s="1398"/>
      <c r="V264" s="1398"/>
      <c r="W264" s="1398"/>
      <c r="X264" s="1398"/>
      <c r="Y264" s="1398"/>
      <c r="Z264" s="1398"/>
      <c r="AA264" s="1398"/>
      <c r="AB264" s="1398"/>
      <c r="AC264" s="1398"/>
      <c r="AD264" s="1398"/>
      <c r="AE264" s="1398"/>
      <c r="AJ264" s="5"/>
      <c r="AK264" s="5"/>
      <c r="AL264" s="41"/>
      <c r="BA264" s="43"/>
    </row>
    <row r="265" spans="1:53" ht="12.95" customHeight="1">
      <c r="A265" s="18"/>
      <c r="B265" s="5"/>
      <c r="C265" s="5"/>
      <c r="D265" s="5" t="s">
        <v>375</v>
      </c>
      <c r="E265" s="5"/>
      <c r="F265" s="5"/>
      <c r="M265" s="1263"/>
      <c r="N265" s="1263"/>
      <c r="O265" s="1263"/>
      <c r="P265" s="1263"/>
      <c r="Q265" s="1263"/>
      <c r="R265" s="1263"/>
      <c r="S265" s="5" t="s">
        <v>818</v>
      </c>
      <c r="T265" s="5"/>
      <c r="U265" s="1268"/>
      <c r="V265" s="1268"/>
      <c r="W265" s="1268"/>
      <c r="X265" s="5" t="s">
        <v>376</v>
      </c>
      <c r="Z265" s="1263"/>
      <c r="AA265" s="1263"/>
      <c r="AB265" s="1263"/>
      <c r="AC265" s="1263"/>
      <c r="AD265" s="1263"/>
      <c r="AE265" s="1263"/>
      <c r="AL265" s="41"/>
      <c r="BA265" s="43"/>
    </row>
    <row r="266" spans="1:53" ht="12.95" customHeight="1">
      <c r="A266" s="18"/>
      <c r="B266" s="5"/>
      <c r="C266" s="5"/>
      <c r="D266" s="5" t="s">
        <v>377</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67" t="s">
        <v>79</v>
      </c>
      <c r="N267" s="1067"/>
      <c r="O267" s="1067"/>
      <c r="P267" s="1067"/>
      <c r="Q267" s="1067"/>
      <c r="R267" s="1067"/>
      <c r="S267" s="1067"/>
      <c r="T267" s="1067"/>
      <c r="U267" s="5" t="s">
        <v>1144</v>
      </c>
      <c r="AA267" s="1404"/>
      <c r="AB267" s="1404"/>
      <c r="AC267" s="1404"/>
      <c r="AD267" s="1404"/>
      <c r="AE267" s="1404"/>
      <c r="AF267" s="1404"/>
      <c r="AG267" s="1404"/>
      <c r="AH267" s="1404"/>
      <c r="AI267" s="1404"/>
      <c r="AJ267" s="1404"/>
      <c r="AK267" s="140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1" t="str">
        <f>BO245</f>
        <v>Joint Venture</v>
      </c>
      <c r="U269" s="1581"/>
      <c r="V269" s="1581"/>
      <c r="W269" s="1581"/>
      <c r="X269" s="158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8" t="s">
        <v>892</v>
      </c>
      <c r="E272" s="1398"/>
      <c r="F272" s="1398"/>
      <c r="G272" s="1398"/>
      <c r="H272" s="1398"/>
      <c r="J272" t="s">
        <v>891</v>
      </c>
      <c r="X272" s="1410"/>
      <c r="Y272" s="1410"/>
      <c r="Z272" s="1410"/>
      <c r="AA272" s="1410"/>
      <c r="AB272" s="1410"/>
      <c r="AC272" s="1410"/>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70" t="s">
        <v>2345</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372</v>
      </c>
      <c r="E277" s="5"/>
      <c r="F277" s="5"/>
      <c r="G277" s="5"/>
      <c r="H277" s="5"/>
      <c r="I277" s="5"/>
      <c r="J277" s="5"/>
      <c r="K277" s="5"/>
      <c r="L277" s="1398" t="s">
        <v>2346</v>
      </c>
      <c r="M277" s="1398"/>
      <c r="N277" s="1398"/>
      <c r="O277" s="1398"/>
      <c r="P277" s="1398"/>
      <c r="Q277" s="1398"/>
      <c r="R277" s="1398"/>
      <c r="S277" s="1398"/>
      <c r="T277" s="1398"/>
      <c r="U277" s="1398"/>
      <c r="V277" s="1398"/>
      <c r="W277" s="1398"/>
      <c r="X277" s="1398"/>
      <c r="Y277" s="1398"/>
      <c r="Z277" s="1398"/>
      <c r="AA277" s="1398"/>
      <c r="AB277" s="1398"/>
      <c r="AC277" s="1398"/>
      <c r="AD277" s="1398"/>
      <c r="AK277" s="41"/>
      <c r="AL277" s="41"/>
      <c r="BA277" s="43"/>
    </row>
    <row r="278" spans="1:53" ht="12.95" customHeight="1">
      <c r="D278" s="5" t="s">
        <v>430</v>
      </c>
      <c r="E278" s="5"/>
      <c r="L278" s="1398" t="s">
        <v>110</v>
      </c>
      <c r="M278" s="1398"/>
      <c r="N278" s="1398"/>
      <c r="O278" s="1398"/>
      <c r="P278" s="1398"/>
      <c r="Q278" s="1398"/>
      <c r="R278" s="1398"/>
      <c r="S278" s="1398"/>
      <c r="U278" s="42" t="s">
        <v>373</v>
      </c>
      <c r="V278" s="1060" t="s">
        <v>2334</v>
      </c>
      <c r="W278" s="1268"/>
      <c r="X278" s="5" t="s">
        <v>433</v>
      </c>
      <c r="AB278" s="1398">
        <v>95811</v>
      </c>
      <c r="AC278" s="1398"/>
      <c r="AD278" s="1398"/>
      <c r="AK278" s="41"/>
      <c r="AL278" s="41"/>
      <c r="BA278" s="43"/>
    </row>
    <row r="279" spans="1:53" ht="12.95" customHeight="1">
      <c r="D279" s="5" t="s">
        <v>374</v>
      </c>
      <c r="E279" s="5"/>
      <c r="F279" s="5"/>
      <c r="G279" s="5"/>
      <c r="H279" s="5"/>
      <c r="I279" s="5"/>
      <c r="J279" s="5"/>
      <c r="K279" s="28"/>
      <c r="L279" s="1398" t="s">
        <v>2347</v>
      </c>
      <c r="M279" s="1398"/>
      <c r="N279" s="1398"/>
      <c r="O279" s="1398"/>
      <c r="P279" s="1398"/>
      <c r="Q279" s="1398"/>
      <c r="R279" s="1398"/>
      <c r="S279" s="1398"/>
      <c r="T279" s="1398"/>
      <c r="U279" s="1398"/>
      <c r="V279" s="1398"/>
      <c r="W279" s="1398"/>
      <c r="X279" s="1398"/>
      <c r="Y279" s="1398"/>
      <c r="Z279" s="1398"/>
      <c r="AA279" s="1398"/>
      <c r="AB279" s="1398"/>
      <c r="AC279" s="1398"/>
      <c r="AD279" s="1398"/>
      <c r="AI279" s="5"/>
      <c r="AJ279" s="5"/>
      <c r="AK279" s="41"/>
      <c r="AL279" s="41"/>
      <c r="BA279" s="43"/>
    </row>
    <row r="280" spans="1:53" ht="12.95" customHeight="1">
      <c r="D280" s="5" t="s">
        <v>375</v>
      </c>
      <c r="E280" s="5"/>
      <c r="F280" s="5"/>
      <c r="L280" s="1263">
        <v>9164440286</v>
      </c>
      <c r="M280" s="1263"/>
      <c r="N280" s="1263"/>
      <c r="O280" s="1263"/>
      <c r="P280" s="1263"/>
      <c r="Q280" s="1263"/>
      <c r="R280" s="5" t="s">
        <v>818</v>
      </c>
      <c r="S280" s="5"/>
      <c r="T280" s="1268"/>
      <c r="U280" s="1268"/>
      <c r="V280" s="1268"/>
      <c r="W280" s="5" t="s">
        <v>376</v>
      </c>
      <c r="Y280" s="1263">
        <v>9164443408</v>
      </c>
      <c r="Z280" s="1263"/>
      <c r="AA280" s="1263"/>
      <c r="AB280" s="1263"/>
      <c r="AC280" s="1263"/>
      <c r="AD280" s="1263"/>
      <c r="BA280" s="43"/>
    </row>
    <row r="281" spans="1:53" ht="12.95" customHeight="1">
      <c r="D281" s="5" t="s">
        <v>377</v>
      </c>
      <c r="E281" s="5"/>
      <c r="F281" s="5"/>
      <c r="L281" s="1063" t="s">
        <v>2349</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2.95" customHeight="1">
      <c r="D282" s="41" t="s">
        <v>186</v>
      </c>
      <c r="E282" s="41"/>
      <c r="F282" s="41"/>
      <c r="G282" s="41"/>
      <c r="H282" s="41"/>
      <c r="I282" s="41"/>
      <c r="L282" s="1060" t="s">
        <v>2348</v>
      </c>
      <c r="M282" s="1060"/>
      <c r="N282" s="1060"/>
      <c r="O282" s="1060"/>
      <c r="P282" s="1060"/>
      <c r="Q282" s="1060"/>
      <c r="R282" s="1060"/>
      <c r="S282" s="1060"/>
      <c r="T282" s="1060"/>
      <c r="U282" s="1060"/>
      <c r="V282" s="1060"/>
      <c r="W282" s="1060"/>
      <c r="X282" s="1060"/>
      <c r="Y282" s="1060"/>
      <c r="Z282" s="1060"/>
      <c r="AA282" s="1060"/>
      <c r="AB282" s="1060"/>
      <c r="AC282" s="1060"/>
      <c r="AD282" s="1060"/>
      <c r="AK282" s="41"/>
      <c r="AL282" s="41"/>
      <c r="BA282" s="43"/>
    </row>
    <row r="283" spans="1:53" ht="12.95" customHeight="1">
      <c r="L283" s="4" t="s">
        <v>187</v>
      </c>
      <c r="BA283" s="43"/>
    </row>
    <row r="284" spans="1:53" ht="12.95" customHeight="1">
      <c r="A284" s="1097" t="s">
        <v>496</v>
      </c>
      <c r="B284" s="1097"/>
      <c r="C284" s="1097"/>
      <c r="D284" s="1097"/>
      <c r="E284" s="1097"/>
      <c r="F284" s="1097"/>
      <c r="G284" s="1097"/>
      <c r="H284" s="1097"/>
      <c r="I284" s="1097"/>
      <c r="J284" s="1097"/>
      <c r="K284" s="1097"/>
      <c r="L284" s="1097"/>
      <c r="M284" s="1097"/>
      <c r="N284" s="1097"/>
      <c r="O284" s="1097"/>
      <c r="P284" s="1097"/>
      <c r="Q284" s="1097"/>
      <c r="R284" s="1097"/>
      <c r="S284" s="1097"/>
      <c r="T284" s="1097"/>
      <c r="U284" s="1097"/>
      <c r="V284" s="1097"/>
      <c r="W284" s="1097"/>
      <c r="X284" s="1097"/>
      <c r="Y284" s="1097"/>
      <c r="Z284" s="1097"/>
      <c r="AA284" s="1097"/>
      <c r="AB284" s="1097"/>
      <c r="AC284" s="1097"/>
      <c r="AD284" s="1097"/>
      <c r="AE284" s="1097"/>
      <c r="AF284" s="1097"/>
      <c r="AG284" s="1097"/>
      <c r="AH284" s="1097"/>
      <c r="AI284" s="1097"/>
      <c r="AJ284" s="1097"/>
      <c r="AK284" s="1097"/>
      <c r="AL284" s="1097"/>
      <c r="AM284" s="1097"/>
      <c r="AN284" s="1097"/>
      <c r="AO284" s="1097"/>
      <c r="AP284" s="1097"/>
      <c r="AQ284" s="1097"/>
      <c r="AR284" s="1097"/>
      <c r="AS284" s="1097"/>
      <c r="AT284" s="1097"/>
      <c r="BA284" s="43"/>
    </row>
    <row r="285" spans="1:53" ht="12.95" customHeight="1">
      <c r="A285" s="1097"/>
      <c r="B285" s="1097"/>
      <c r="C285" s="1097"/>
      <c r="D285" s="1097"/>
      <c r="E285" s="1097"/>
      <c r="F285" s="1097"/>
      <c r="G285" s="1097"/>
      <c r="H285" s="1097"/>
      <c r="I285" s="1097"/>
      <c r="J285" s="1097"/>
      <c r="K285" s="1097"/>
      <c r="L285" s="1097"/>
      <c r="M285" s="1097"/>
      <c r="N285" s="1097"/>
      <c r="O285" s="1097"/>
      <c r="P285" s="1097"/>
      <c r="Q285" s="1097"/>
      <c r="R285" s="1097"/>
      <c r="S285" s="1097"/>
      <c r="T285" s="1097"/>
      <c r="U285" s="1097"/>
      <c r="V285" s="1097"/>
      <c r="W285" s="1097"/>
      <c r="X285" s="1097"/>
      <c r="Y285" s="1097"/>
      <c r="Z285" s="1097"/>
      <c r="AA285" s="1097"/>
      <c r="AB285" s="1097"/>
      <c r="AC285" s="1097"/>
      <c r="AD285" s="1097"/>
      <c r="AE285" s="1097"/>
      <c r="AF285" s="1097"/>
      <c r="AG285" s="1097"/>
      <c r="AH285" s="1097"/>
      <c r="AI285" s="1097"/>
      <c r="AJ285" s="1097"/>
      <c r="AK285" s="1097"/>
      <c r="AL285" s="1097"/>
      <c r="AM285" s="1097"/>
      <c r="AN285" s="1097"/>
      <c r="AO285" s="1097"/>
      <c r="AP285" s="1097"/>
      <c r="AQ285" s="1097"/>
      <c r="AR285" s="1097"/>
      <c r="AS285" s="1097"/>
      <c r="AT285" s="109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61" t="s">
        <v>2337</v>
      </c>
      <c r="I289" s="1061"/>
      <c r="J289" s="1061"/>
      <c r="K289" s="1061"/>
      <c r="L289" s="1061"/>
      <c r="M289" s="1061"/>
      <c r="N289" s="1061"/>
      <c r="O289" s="1061"/>
      <c r="P289" s="1061"/>
      <c r="Q289" s="1061"/>
      <c r="R289" s="1061"/>
      <c r="T289" s="41" t="s">
        <v>745</v>
      </c>
      <c r="V289" s="41"/>
      <c r="W289" s="41"/>
      <c r="X289" s="41"/>
      <c r="Y289" s="41"/>
      <c r="AA289" s="1061" t="s">
        <v>2355</v>
      </c>
      <c r="AB289" s="1061"/>
      <c r="AC289" s="1061"/>
      <c r="AD289" s="1061"/>
      <c r="AE289" s="1061"/>
      <c r="AF289" s="1061"/>
      <c r="AG289" s="1061"/>
      <c r="AH289" s="1061"/>
      <c r="AI289" s="1061"/>
      <c r="AJ289" s="1061"/>
      <c r="AK289" s="1061"/>
      <c r="BA289" s="43"/>
    </row>
    <row r="290" spans="2:53" ht="12.95" customHeight="1">
      <c r="B290" s="41" t="s">
        <v>699</v>
      </c>
      <c r="C290" s="41"/>
      <c r="D290" s="41"/>
      <c r="E290" s="41"/>
      <c r="F290" s="41"/>
      <c r="H290" s="1067" t="s">
        <v>2350</v>
      </c>
      <c r="I290" s="1067"/>
      <c r="J290" s="1067"/>
      <c r="K290" s="1067"/>
      <c r="L290" s="1067"/>
      <c r="M290" s="1067"/>
      <c r="N290" s="1067"/>
      <c r="O290" s="1067"/>
      <c r="P290" s="1067"/>
      <c r="Q290" s="1067"/>
      <c r="R290" s="1067"/>
      <c r="T290" s="41" t="s">
        <v>699</v>
      </c>
      <c r="V290" s="41"/>
      <c r="W290" s="41"/>
      <c r="X290" s="41"/>
      <c r="Y290" s="41"/>
      <c r="AA290" s="1067" t="s">
        <v>2356</v>
      </c>
      <c r="AB290" s="1067"/>
      <c r="AC290" s="1067"/>
      <c r="AD290" s="1067"/>
      <c r="AE290" s="1067"/>
      <c r="AF290" s="1067"/>
      <c r="AG290" s="1067"/>
      <c r="AH290" s="1067"/>
      <c r="AI290" s="1067"/>
      <c r="AJ290" s="1067"/>
      <c r="AK290" s="1067"/>
      <c r="BA290" s="43"/>
    </row>
    <row r="291" spans="2:53" ht="12.95" customHeight="1">
      <c r="B291" s="41" t="s">
        <v>701</v>
      </c>
      <c r="C291" s="41"/>
      <c r="D291" s="41"/>
      <c r="E291" s="41"/>
      <c r="F291" s="41"/>
      <c r="H291" s="1067" t="s">
        <v>2353</v>
      </c>
      <c r="I291" s="1067"/>
      <c r="J291" s="1067"/>
      <c r="K291" s="1067"/>
      <c r="L291" s="1067"/>
      <c r="M291" s="1067"/>
      <c r="N291" s="1067"/>
      <c r="O291" s="1067"/>
      <c r="P291" s="1067"/>
      <c r="Q291" s="1067"/>
      <c r="R291" s="1067"/>
      <c r="T291" s="41" t="s">
        <v>700</v>
      </c>
      <c r="V291" s="41"/>
      <c r="W291" s="41"/>
      <c r="X291" s="41"/>
      <c r="Y291" s="41"/>
      <c r="AA291" s="1067" t="s">
        <v>2357</v>
      </c>
      <c r="AB291" s="1067"/>
      <c r="AC291" s="1067"/>
      <c r="AD291" s="1067"/>
      <c r="AE291" s="1067"/>
      <c r="AF291" s="1067"/>
      <c r="AG291" s="1067"/>
      <c r="AH291" s="1067"/>
      <c r="AI291" s="1067"/>
      <c r="AJ291" s="1067"/>
      <c r="AK291" s="1067"/>
      <c r="BA291" s="43"/>
    </row>
    <row r="292" spans="2:53" ht="12.95" customHeight="1">
      <c r="B292" s="41" t="s">
        <v>374</v>
      </c>
      <c r="C292" s="41"/>
      <c r="D292" s="41"/>
      <c r="E292" s="41"/>
      <c r="F292" s="41"/>
      <c r="H292" s="1067" t="s">
        <v>2354</v>
      </c>
      <c r="I292" s="1067"/>
      <c r="J292" s="1067"/>
      <c r="K292" s="1067"/>
      <c r="L292" s="1067"/>
      <c r="M292" s="1067"/>
      <c r="N292" s="1067"/>
      <c r="O292" s="1067"/>
      <c r="P292" s="1067"/>
      <c r="Q292" s="1067"/>
      <c r="R292" s="1067"/>
      <c r="T292" s="41" t="s">
        <v>374</v>
      </c>
      <c r="V292" s="41"/>
      <c r="W292" s="41"/>
      <c r="X292" s="41"/>
      <c r="Y292" s="41"/>
      <c r="AA292" s="1067" t="s">
        <v>2358</v>
      </c>
      <c r="AB292" s="1067"/>
      <c r="AC292" s="1067"/>
      <c r="AD292" s="1067"/>
      <c r="AE292" s="1067"/>
      <c r="AF292" s="1067"/>
      <c r="AG292" s="1067"/>
      <c r="AH292" s="1067"/>
      <c r="AI292" s="1067"/>
      <c r="AJ292" s="1067"/>
      <c r="AK292" s="1067"/>
      <c r="BA292" s="43"/>
    </row>
    <row r="293" spans="2:53" ht="12.95" customHeight="1">
      <c r="B293" s="41" t="s">
        <v>375</v>
      </c>
      <c r="C293" s="41"/>
      <c r="D293" s="41"/>
      <c r="E293" s="41"/>
      <c r="F293" s="41"/>
      <c r="G293" s="41"/>
      <c r="H293" s="1404">
        <v>5597121204</v>
      </c>
      <c r="I293" s="1404"/>
      <c r="J293" s="1404"/>
      <c r="K293" s="1404"/>
      <c r="L293" s="1404"/>
      <c r="M293" s="1404"/>
      <c r="N293" s="5" t="s">
        <v>818</v>
      </c>
      <c r="O293" s="5"/>
      <c r="P293" s="1398"/>
      <c r="Q293" s="1398"/>
      <c r="R293" s="1398"/>
      <c r="S293" s="41"/>
      <c r="T293" s="41" t="s">
        <v>375</v>
      </c>
      <c r="V293" s="41"/>
      <c r="W293" s="41"/>
      <c r="X293" s="41"/>
      <c r="Y293" s="41"/>
      <c r="AA293" s="1404"/>
      <c r="AB293" s="1404"/>
      <c r="AC293" s="1404"/>
      <c r="AD293" s="1404"/>
      <c r="AE293" s="1404"/>
      <c r="AF293" s="1404"/>
      <c r="AG293" s="5" t="s">
        <v>818</v>
      </c>
      <c r="AH293" s="5"/>
      <c r="AI293" s="1398"/>
      <c r="AJ293" s="1398"/>
      <c r="AK293" s="1398"/>
      <c r="BA293" s="43"/>
    </row>
    <row r="294" spans="2:53" ht="12.95" customHeight="1">
      <c r="B294" s="41" t="s">
        <v>376</v>
      </c>
      <c r="C294" s="41"/>
      <c r="D294" s="41"/>
      <c r="E294" s="41"/>
      <c r="F294" s="41"/>
      <c r="G294" s="41"/>
      <c r="H294" s="1263"/>
      <c r="I294" s="1263"/>
      <c r="J294" s="1263"/>
      <c r="K294" s="1263"/>
      <c r="L294" s="1263"/>
      <c r="M294" s="1263"/>
      <c r="N294" s="5"/>
      <c r="O294" s="5"/>
      <c r="P294" s="44"/>
      <c r="Q294" s="44"/>
      <c r="R294" s="44"/>
      <c r="S294" s="41"/>
      <c r="T294" s="41" t="s">
        <v>376</v>
      </c>
      <c r="V294" s="41"/>
      <c r="W294" s="41"/>
      <c r="X294" s="41"/>
      <c r="Y294" s="41"/>
      <c r="AA294" s="1263"/>
      <c r="AB294" s="1263"/>
      <c r="AC294" s="1263"/>
      <c r="AD294" s="1263"/>
      <c r="AE294" s="1263"/>
      <c r="AF294" s="1263"/>
      <c r="AG294" s="5"/>
      <c r="AH294" s="5"/>
      <c r="AI294" s="44"/>
      <c r="AJ294" s="44"/>
      <c r="AK294" s="44"/>
      <c r="BA294" s="43"/>
    </row>
    <row r="295" spans="2:53" ht="12.95" customHeight="1">
      <c r="B295" s="41" t="s">
        <v>702</v>
      </c>
      <c r="C295" s="41"/>
      <c r="D295" s="41"/>
      <c r="E295" s="41"/>
      <c r="F295" s="41"/>
      <c r="G295" s="41"/>
      <c r="H295" s="1067" t="s">
        <v>2336</v>
      </c>
      <c r="I295" s="1067"/>
      <c r="J295" s="1067"/>
      <c r="K295" s="1067"/>
      <c r="L295" s="1067"/>
      <c r="M295" s="1067"/>
      <c r="N295" s="1061"/>
      <c r="O295" s="1061"/>
      <c r="P295" s="1061"/>
      <c r="Q295" s="1061"/>
      <c r="R295" s="1061"/>
      <c r="S295" s="41"/>
      <c r="T295" s="41" t="s">
        <v>702</v>
      </c>
      <c r="V295" s="41"/>
      <c r="W295" s="41"/>
      <c r="X295" s="41"/>
      <c r="Y295" s="41"/>
      <c r="AA295" s="1067" t="s">
        <v>2359</v>
      </c>
      <c r="AB295" s="1067"/>
      <c r="AC295" s="1067"/>
      <c r="AD295" s="1067"/>
      <c r="AE295" s="1067"/>
      <c r="AF295" s="1067"/>
      <c r="AG295" s="1061"/>
      <c r="AH295" s="1061"/>
      <c r="AI295" s="1061"/>
      <c r="AJ295" s="1061"/>
      <c r="AK295" s="1061"/>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61" t="s">
        <v>2345</v>
      </c>
      <c r="I297" s="1061"/>
      <c r="J297" s="1061"/>
      <c r="K297" s="1061"/>
      <c r="L297" s="1061"/>
      <c r="M297" s="1061"/>
      <c r="N297" s="1061"/>
      <c r="O297" s="1061"/>
      <c r="P297" s="1061"/>
      <c r="Q297" s="1061"/>
      <c r="R297" s="1061"/>
      <c r="T297" s="41" t="s">
        <v>35</v>
      </c>
      <c r="V297" s="41"/>
      <c r="W297" s="41"/>
      <c r="X297" s="41"/>
      <c r="Y297" s="41"/>
      <c r="AA297" s="1061"/>
      <c r="AB297" s="1061"/>
      <c r="AC297" s="1061"/>
      <c r="AD297" s="1061"/>
      <c r="AE297" s="1061"/>
      <c r="AF297" s="1061"/>
      <c r="AG297" s="1061"/>
      <c r="AH297" s="1061"/>
      <c r="AI297" s="1061"/>
      <c r="AJ297" s="1061"/>
      <c r="AK297" s="1061"/>
      <c r="BA297" s="43"/>
    </row>
    <row r="298" spans="2:53" ht="12.95" customHeight="1">
      <c r="B298" s="41" t="s">
        <v>699</v>
      </c>
      <c r="C298" s="41"/>
      <c r="D298" s="41"/>
      <c r="E298" s="41"/>
      <c r="F298" s="41"/>
      <c r="H298" s="1067" t="s">
        <v>2346</v>
      </c>
      <c r="I298" s="1067"/>
      <c r="J298" s="1067"/>
      <c r="K298" s="1067"/>
      <c r="L298" s="1067"/>
      <c r="M298" s="1067"/>
      <c r="N298" s="1067"/>
      <c r="O298" s="1067"/>
      <c r="P298" s="1067"/>
      <c r="Q298" s="1067"/>
      <c r="R298" s="1067"/>
      <c r="T298" s="41" t="s">
        <v>699</v>
      </c>
      <c r="V298" s="41"/>
      <c r="W298" s="41"/>
      <c r="X298" s="41"/>
      <c r="Y298" s="41"/>
      <c r="AA298" s="1067"/>
      <c r="AB298" s="1067"/>
      <c r="AC298" s="1067"/>
      <c r="AD298" s="1067"/>
      <c r="AE298" s="1067"/>
      <c r="AF298" s="1067"/>
      <c r="AG298" s="1067"/>
      <c r="AH298" s="1067"/>
      <c r="AI298" s="1067"/>
      <c r="AJ298" s="1067"/>
      <c r="AK298" s="1067"/>
      <c r="BA298" s="43"/>
    </row>
    <row r="299" spans="2:53" ht="12.95" customHeight="1">
      <c r="B299" s="41" t="s">
        <v>701</v>
      </c>
      <c r="C299" s="41"/>
      <c r="D299" s="41"/>
      <c r="E299" s="41"/>
      <c r="F299" s="41"/>
      <c r="H299" s="1067" t="s">
        <v>2360</v>
      </c>
      <c r="I299" s="1067"/>
      <c r="J299" s="1067"/>
      <c r="K299" s="1067"/>
      <c r="L299" s="1067"/>
      <c r="M299" s="1067"/>
      <c r="N299" s="1067"/>
      <c r="O299" s="1067"/>
      <c r="P299" s="1067"/>
      <c r="Q299" s="1067"/>
      <c r="R299" s="1067"/>
      <c r="T299" s="41" t="s">
        <v>700</v>
      </c>
      <c r="V299" s="41"/>
      <c r="W299" s="41"/>
      <c r="X299" s="41"/>
      <c r="Y299" s="41"/>
      <c r="AA299" s="1067"/>
      <c r="AB299" s="1067"/>
      <c r="AC299" s="1067"/>
      <c r="AD299" s="1067"/>
      <c r="AE299" s="1067"/>
      <c r="AF299" s="1067"/>
      <c r="AG299" s="1067"/>
      <c r="AH299" s="1067"/>
      <c r="AI299" s="1067"/>
      <c r="AJ299" s="1067"/>
      <c r="AK299" s="1067"/>
      <c r="BA299" s="43"/>
    </row>
    <row r="300" spans="2:53" ht="12.95" customHeight="1">
      <c r="B300" s="41" t="s">
        <v>374</v>
      </c>
      <c r="C300" s="41"/>
      <c r="D300" s="41"/>
      <c r="E300" s="41"/>
      <c r="F300" s="41"/>
      <c r="H300" s="1067" t="s">
        <v>2347</v>
      </c>
      <c r="I300" s="1067"/>
      <c r="J300" s="1067"/>
      <c r="K300" s="1067"/>
      <c r="L300" s="1067"/>
      <c r="M300" s="1067"/>
      <c r="N300" s="1067"/>
      <c r="O300" s="1067"/>
      <c r="P300" s="1067"/>
      <c r="Q300" s="1067"/>
      <c r="R300" s="1067"/>
      <c r="T300" s="41" t="s">
        <v>374</v>
      </c>
      <c r="V300" s="41"/>
      <c r="W300" s="41"/>
      <c r="X300" s="41"/>
      <c r="Y300" s="41"/>
      <c r="AA300" s="1067"/>
      <c r="AB300" s="1067"/>
      <c r="AC300" s="1067"/>
      <c r="AD300" s="1067"/>
      <c r="AE300" s="1067"/>
      <c r="AF300" s="1067"/>
      <c r="AG300" s="1067"/>
      <c r="AH300" s="1067"/>
      <c r="AI300" s="1067"/>
      <c r="AJ300" s="1067"/>
      <c r="AK300" s="1067"/>
      <c r="BA300" s="43"/>
    </row>
    <row r="301" spans="2:53" ht="12.95" customHeight="1">
      <c r="B301" s="41" t="s">
        <v>375</v>
      </c>
      <c r="C301" s="41"/>
      <c r="D301" s="41"/>
      <c r="E301" s="41"/>
      <c r="F301" s="41"/>
      <c r="G301" s="41"/>
      <c r="H301" s="1404" t="s">
        <v>2361</v>
      </c>
      <c r="I301" s="1404"/>
      <c r="J301" s="1404"/>
      <c r="K301" s="1404"/>
      <c r="L301" s="1404"/>
      <c r="M301" s="1404"/>
      <c r="N301" s="5" t="s">
        <v>818</v>
      </c>
      <c r="O301" s="5"/>
      <c r="P301" s="1398"/>
      <c r="Q301" s="1398"/>
      <c r="R301" s="1398"/>
      <c r="S301" s="41"/>
      <c r="T301" s="41" t="s">
        <v>375</v>
      </c>
      <c r="V301" s="41"/>
      <c r="W301" s="41"/>
      <c r="X301" s="41"/>
      <c r="Y301" s="41"/>
      <c r="AA301" s="1404"/>
      <c r="AB301" s="1404"/>
      <c r="AC301" s="1404"/>
      <c r="AD301" s="1404"/>
      <c r="AE301" s="1404"/>
      <c r="AF301" s="1404"/>
      <c r="AG301" s="5" t="s">
        <v>818</v>
      </c>
      <c r="AH301" s="5"/>
      <c r="AI301" s="1398"/>
      <c r="AJ301" s="1398"/>
      <c r="AK301" s="1398"/>
      <c r="BA301" s="43"/>
    </row>
    <row r="302" spans="2:53" ht="12.95" customHeight="1">
      <c r="B302" s="41" t="s">
        <v>376</v>
      </c>
      <c r="C302" s="41"/>
      <c r="D302" s="41"/>
      <c r="E302" s="41"/>
      <c r="F302" s="41"/>
      <c r="G302" s="41"/>
      <c r="H302" s="1263" t="s">
        <v>2362</v>
      </c>
      <c r="I302" s="1263"/>
      <c r="J302" s="1263"/>
      <c r="K302" s="1263"/>
      <c r="L302" s="1263"/>
      <c r="M302" s="1263"/>
      <c r="N302" s="5"/>
      <c r="O302" s="5"/>
      <c r="P302" s="44"/>
      <c r="Q302" s="44"/>
      <c r="R302" s="44"/>
      <c r="S302" s="41"/>
      <c r="T302" s="41" t="s">
        <v>376</v>
      </c>
      <c r="V302" s="41"/>
      <c r="W302" s="41"/>
      <c r="X302" s="41"/>
      <c r="Y302" s="41"/>
      <c r="AA302" s="1263"/>
      <c r="AB302" s="1263"/>
      <c r="AC302" s="1263"/>
      <c r="AD302" s="1263"/>
      <c r="AE302" s="1263"/>
      <c r="AF302" s="1263"/>
      <c r="AG302" s="5"/>
      <c r="AH302" s="5"/>
      <c r="AI302" s="44"/>
      <c r="AJ302" s="44"/>
      <c r="AK302" s="44"/>
      <c r="BA302" s="43"/>
    </row>
    <row r="303" spans="2:53" ht="12.95" customHeight="1">
      <c r="B303" s="41" t="s">
        <v>702</v>
      </c>
      <c r="C303" s="41"/>
      <c r="D303" s="41"/>
      <c r="E303" s="41"/>
      <c r="F303" s="41"/>
      <c r="G303" s="41"/>
      <c r="H303" s="1067" t="s">
        <v>2349</v>
      </c>
      <c r="I303" s="1067"/>
      <c r="J303" s="1067"/>
      <c r="K303" s="1067"/>
      <c r="L303" s="1067"/>
      <c r="M303" s="1067"/>
      <c r="N303" s="1061"/>
      <c r="O303" s="1061"/>
      <c r="P303" s="1061"/>
      <c r="Q303" s="1061"/>
      <c r="R303" s="1061"/>
      <c r="S303" s="41"/>
      <c r="T303" s="41" t="s">
        <v>702</v>
      </c>
      <c r="V303" s="41"/>
      <c r="W303" s="41"/>
      <c r="X303" s="41"/>
      <c r="Y303" s="41"/>
      <c r="AA303" s="1067"/>
      <c r="AB303" s="1067"/>
      <c r="AC303" s="1067"/>
      <c r="AD303" s="1067"/>
      <c r="AE303" s="1067"/>
      <c r="AF303" s="1067"/>
      <c r="AG303" s="1061"/>
      <c r="AH303" s="1061"/>
      <c r="AI303" s="1061"/>
      <c r="AJ303" s="1061"/>
      <c r="AK303" s="1061"/>
      <c r="BA303" s="43"/>
    </row>
    <row r="304" spans="2:53" ht="12.95" customHeight="1">
      <c r="BA304" s="43"/>
    </row>
    <row r="305" spans="2:53" ht="12.95" customHeight="1">
      <c r="B305" s="41" t="s">
        <v>703</v>
      </c>
      <c r="C305" s="41"/>
      <c r="D305" s="41"/>
      <c r="E305" s="41"/>
      <c r="F305" s="41"/>
      <c r="H305" s="1061" t="s">
        <v>2345</v>
      </c>
      <c r="I305" s="1061"/>
      <c r="J305" s="1061"/>
      <c r="K305" s="1061"/>
      <c r="L305" s="1061"/>
      <c r="M305" s="1061"/>
      <c r="N305" s="1061"/>
      <c r="O305" s="1061"/>
      <c r="P305" s="1061"/>
      <c r="Q305" s="1061"/>
      <c r="R305" s="1061"/>
      <c r="T305" s="5" t="s">
        <v>1105</v>
      </c>
      <c r="V305" s="41"/>
      <c r="W305" s="41"/>
      <c r="X305" s="41"/>
      <c r="Y305" s="41"/>
      <c r="AA305" s="1061"/>
      <c r="AB305" s="1061"/>
      <c r="AC305" s="1061"/>
      <c r="AD305" s="1061"/>
      <c r="AE305" s="1061"/>
      <c r="AF305" s="1061"/>
      <c r="AG305" s="1061"/>
      <c r="AH305" s="1061"/>
      <c r="AI305" s="1061"/>
      <c r="AJ305" s="1061"/>
      <c r="AK305" s="1061"/>
      <c r="BA305" s="43"/>
    </row>
    <row r="306" spans="2:53" ht="12.95" customHeight="1">
      <c r="B306" s="41" t="s">
        <v>699</v>
      </c>
      <c r="C306" s="41"/>
      <c r="D306" s="41"/>
      <c r="E306" s="41"/>
      <c r="F306" s="41"/>
      <c r="H306" s="1067" t="s">
        <v>2346</v>
      </c>
      <c r="I306" s="1067"/>
      <c r="J306" s="1067"/>
      <c r="K306" s="1067"/>
      <c r="L306" s="1067"/>
      <c r="M306" s="1067"/>
      <c r="N306" s="1067"/>
      <c r="O306" s="1067"/>
      <c r="P306" s="1067"/>
      <c r="Q306" s="1067"/>
      <c r="R306" s="1067"/>
      <c r="T306" s="41" t="s">
        <v>699</v>
      </c>
      <c r="V306" s="41"/>
      <c r="W306" s="41"/>
      <c r="X306" s="41"/>
      <c r="Y306" s="41"/>
      <c r="AA306" s="1067"/>
      <c r="AB306" s="1067"/>
      <c r="AC306" s="1067"/>
      <c r="AD306" s="1067"/>
      <c r="AE306" s="1067"/>
      <c r="AF306" s="1067"/>
      <c r="AG306" s="1067"/>
      <c r="AH306" s="1067"/>
      <c r="AI306" s="1067"/>
      <c r="AJ306" s="1067"/>
      <c r="AK306" s="1067"/>
      <c r="BA306" s="43"/>
    </row>
    <row r="307" spans="2:53" ht="12.95" customHeight="1">
      <c r="B307" s="41" t="s">
        <v>701</v>
      </c>
      <c r="C307" s="41"/>
      <c r="D307" s="41"/>
      <c r="E307" s="41"/>
      <c r="F307" s="41"/>
      <c r="H307" s="1067" t="s">
        <v>2360</v>
      </c>
      <c r="I307" s="1067"/>
      <c r="J307" s="1067"/>
      <c r="K307" s="1067"/>
      <c r="L307" s="1067"/>
      <c r="M307" s="1067"/>
      <c r="N307" s="1067"/>
      <c r="O307" s="1067"/>
      <c r="P307" s="1067"/>
      <c r="Q307" s="1067"/>
      <c r="R307" s="1067"/>
      <c r="T307" s="41" t="s">
        <v>700</v>
      </c>
      <c r="V307" s="41"/>
      <c r="W307" s="41"/>
      <c r="X307" s="41"/>
      <c r="Y307" s="41"/>
      <c r="AA307" s="1067"/>
      <c r="AB307" s="1067"/>
      <c r="AC307" s="1067"/>
      <c r="AD307" s="1067"/>
      <c r="AE307" s="1067"/>
      <c r="AF307" s="1067"/>
      <c r="AG307" s="1067"/>
      <c r="AH307" s="1067"/>
      <c r="AI307" s="1067"/>
      <c r="AJ307" s="1067"/>
      <c r="AK307" s="1067"/>
      <c r="BA307" s="43"/>
    </row>
    <row r="308" spans="2:53" ht="12.95" customHeight="1">
      <c r="B308" s="41" t="s">
        <v>374</v>
      </c>
      <c r="C308" s="41"/>
      <c r="D308" s="41"/>
      <c r="E308" s="41"/>
      <c r="F308" s="41"/>
      <c r="H308" s="1067" t="s">
        <v>2347</v>
      </c>
      <c r="I308" s="1067"/>
      <c r="J308" s="1067"/>
      <c r="K308" s="1067"/>
      <c r="L308" s="1067"/>
      <c r="M308" s="1067"/>
      <c r="N308" s="1067"/>
      <c r="O308" s="1067"/>
      <c r="P308" s="1067"/>
      <c r="Q308" s="1067"/>
      <c r="R308" s="1067"/>
      <c r="T308" s="41" t="s">
        <v>374</v>
      </c>
      <c r="V308" s="41"/>
      <c r="W308" s="41"/>
      <c r="X308" s="41"/>
      <c r="Y308" s="41"/>
      <c r="AA308" s="1067"/>
      <c r="AB308" s="1067"/>
      <c r="AC308" s="1067"/>
      <c r="AD308" s="1067"/>
      <c r="AE308" s="1067"/>
      <c r="AF308" s="1067"/>
      <c r="AG308" s="1067"/>
      <c r="AH308" s="1067"/>
      <c r="AI308" s="1067"/>
      <c r="AJ308" s="1067"/>
      <c r="AK308" s="1067"/>
      <c r="BA308" s="43"/>
    </row>
    <row r="309" spans="2:53" ht="12.95" customHeight="1">
      <c r="B309" s="41" t="s">
        <v>375</v>
      </c>
      <c r="C309" s="41"/>
      <c r="D309" s="41"/>
      <c r="E309" s="41"/>
      <c r="F309" s="41"/>
      <c r="G309" s="41"/>
      <c r="H309" s="1404" t="s">
        <v>2361</v>
      </c>
      <c r="I309" s="1404"/>
      <c r="J309" s="1404"/>
      <c r="K309" s="1404"/>
      <c r="L309" s="1404"/>
      <c r="M309" s="1404"/>
      <c r="N309" s="5" t="s">
        <v>818</v>
      </c>
      <c r="O309" s="5"/>
      <c r="P309" s="1398"/>
      <c r="Q309" s="1398"/>
      <c r="R309" s="1398"/>
      <c r="S309" s="41"/>
      <c r="T309" s="41" t="s">
        <v>375</v>
      </c>
      <c r="V309" s="41"/>
      <c r="W309" s="41"/>
      <c r="X309" s="41"/>
      <c r="Y309" s="41"/>
      <c r="AA309" s="1404"/>
      <c r="AB309" s="1404"/>
      <c r="AC309" s="1404"/>
      <c r="AD309" s="1404"/>
      <c r="AE309" s="1404"/>
      <c r="AF309" s="1404"/>
      <c r="AG309" s="5" t="s">
        <v>818</v>
      </c>
      <c r="AH309" s="5"/>
      <c r="AI309" s="1398"/>
      <c r="AJ309" s="1398"/>
      <c r="AK309" s="1398"/>
      <c r="BA309" s="43"/>
    </row>
    <row r="310" spans="2:53" ht="12.95" customHeight="1">
      <c r="B310" s="41" t="s">
        <v>376</v>
      </c>
      <c r="C310" s="41"/>
      <c r="D310" s="41"/>
      <c r="E310" s="41"/>
      <c r="F310" s="41"/>
      <c r="G310" s="41"/>
      <c r="H310" s="1263" t="s">
        <v>2362</v>
      </c>
      <c r="I310" s="1263"/>
      <c r="J310" s="1263"/>
      <c r="K310" s="1263"/>
      <c r="L310" s="1263"/>
      <c r="M310" s="1263"/>
      <c r="N310" s="5"/>
      <c r="O310" s="5"/>
      <c r="P310" s="44"/>
      <c r="Q310" s="44"/>
      <c r="R310" s="44"/>
      <c r="S310" s="41"/>
      <c r="T310" s="41" t="s">
        <v>376</v>
      </c>
      <c r="V310" s="41"/>
      <c r="W310" s="41"/>
      <c r="X310" s="41"/>
      <c r="Y310" s="41"/>
      <c r="AA310" s="1263"/>
      <c r="AB310" s="1263"/>
      <c r="AC310" s="1263"/>
      <c r="AD310" s="1263"/>
      <c r="AE310" s="1263"/>
      <c r="AF310" s="1263"/>
      <c r="AG310" s="5"/>
      <c r="AH310" s="5"/>
      <c r="AI310" s="44"/>
      <c r="AJ310" s="44"/>
      <c r="AK310" s="44"/>
      <c r="BA310" s="43"/>
    </row>
    <row r="311" spans="2:53" ht="12.95" customHeight="1">
      <c r="B311" s="41" t="s">
        <v>702</v>
      </c>
      <c r="C311" s="41"/>
      <c r="D311" s="41"/>
      <c r="E311" s="41"/>
      <c r="F311" s="41"/>
      <c r="G311" s="41"/>
      <c r="H311" s="1067" t="s">
        <v>2349</v>
      </c>
      <c r="I311" s="1067"/>
      <c r="J311" s="1067"/>
      <c r="K311" s="1067"/>
      <c r="L311" s="1067"/>
      <c r="M311" s="1067"/>
      <c r="N311" s="1061"/>
      <c r="O311" s="1061"/>
      <c r="P311" s="1061"/>
      <c r="Q311" s="1061"/>
      <c r="R311" s="1061"/>
      <c r="S311" s="41"/>
      <c r="T311" s="41" t="s">
        <v>702</v>
      </c>
      <c r="V311" s="41"/>
      <c r="W311" s="41"/>
      <c r="X311" s="41"/>
      <c r="Y311" s="41"/>
      <c r="AA311" s="1067"/>
      <c r="AB311" s="1067"/>
      <c r="AC311" s="1067"/>
      <c r="AD311" s="1067"/>
      <c r="AE311" s="1067"/>
      <c r="AF311" s="1067"/>
      <c r="AG311" s="1061"/>
      <c r="AH311" s="1061"/>
      <c r="AI311" s="1061"/>
      <c r="AJ311" s="1061"/>
      <c r="AK311" s="1061"/>
      <c r="BA311" s="43"/>
    </row>
    <row r="312" spans="2:53" ht="12.95" customHeight="1">
      <c r="BA312" s="43"/>
    </row>
    <row r="313" spans="2:53" ht="12.95" customHeight="1">
      <c r="B313" s="5" t="s">
        <v>1146</v>
      </c>
      <c r="C313" s="41"/>
      <c r="D313" s="41"/>
      <c r="E313" s="41"/>
      <c r="F313" s="41"/>
      <c r="H313" s="1061" t="s">
        <v>2363</v>
      </c>
      <c r="I313" s="1061"/>
      <c r="J313" s="1061"/>
      <c r="K313" s="1061"/>
      <c r="L313" s="1061"/>
      <c r="M313" s="1061"/>
      <c r="N313" s="1061"/>
      <c r="O313" s="1061"/>
      <c r="P313" s="1061"/>
      <c r="Q313" s="1061"/>
      <c r="R313" s="1061"/>
      <c r="T313" s="41" t="s">
        <v>36</v>
      </c>
      <c r="V313" s="41"/>
      <c r="W313" s="41"/>
      <c r="X313" s="41"/>
      <c r="Y313" s="41"/>
      <c r="AA313" s="1061" t="s">
        <v>2383</v>
      </c>
      <c r="AB313" s="1061"/>
      <c r="AC313" s="1061"/>
      <c r="AD313" s="1061"/>
      <c r="AE313" s="1061"/>
      <c r="AF313" s="1061"/>
      <c r="AG313" s="1061"/>
      <c r="AH313" s="1061"/>
      <c r="AI313" s="1061"/>
      <c r="AJ313" s="1061"/>
      <c r="AK313" s="1061"/>
      <c r="BA313" s="43"/>
    </row>
    <row r="314" spans="2:53" ht="12.95" customHeight="1">
      <c r="B314" s="41" t="s">
        <v>699</v>
      </c>
      <c r="C314" s="41"/>
      <c r="D314" s="41"/>
      <c r="E314" s="41"/>
      <c r="F314" s="41"/>
      <c r="H314" s="1067" t="s">
        <v>2365</v>
      </c>
      <c r="I314" s="1067"/>
      <c r="J314" s="1067"/>
      <c r="K314" s="1067"/>
      <c r="L314" s="1067"/>
      <c r="M314" s="1067"/>
      <c r="N314" s="1067"/>
      <c r="O314" s="1067"/>
      <c r="P314" s="1067"/>
      <c r="Q314" s="1067"/>
      <c r="R314" s="1067"/>
      <c r="T314" s="41" t="s">
        <v>699</v>
      </c>
      <c r="V314" s="41"/>
      <c r="W314" s="41"/>
      <c r="X314" s="41"/>
      <c r="Y314" s="41"/>
      <c r="AA314" s="1067" t="s">
        <v>2384</v>
      </c>
      <c r="AB314" s="1067"/>
      <c r="AC314" s="1067"/>
      <c r="AD314" s="1067"/>
      <c r="AE314" s="1067"/>
      <c r="AF314" s="1067"/>
      <c r="AG314" s="1067"/>
      <c r="AH314" s="1067"/>
      <c r="AI314" s="1067"/>
      <c r="AJ314" s="1067"/>
      <c r="AK314" s="1067"/>
      <c r="BA314" s="43"/>
    </row>
    <row r="315" spans="2:53" ht="12.95" customHeight="1">
      <c r="B315" s="41" t="s">
        <v>701</v>
      </c>
      <c r="C315" s="41"/>
      <c r="D315" s="41"/>
      <c r="E315" s="41"/>
      <c r="F315" s="41"/>
      <c r="H315" s="1067" t="s">
        <v>2364</v>
      </c>
      <c r="I315" s="1067"/>
      <c r="J315" s="1067"/>
      <c r="K315" s="1067"/>
      <c r="L315" s="1067"/>
      <c r="M315" s="1067"/>
      <c r="N315" s="1067"/>
      <c r="O315" s="1067"/>
      <c r="P315" s="1067"/>
      <c r="Q315" s="1067"/>
      <c r="R315" s="1067"/>
      <c r="T315" s="41" t="s">
        <v>700</v>
      </c>
      <c r="V315" s="41"/>
      <c r="W315" s="41"/>
      <c r="X315" s="41"/>
      <c r="Y315" s="41"/>
      <c r="AA315" s="1067" t="s">
        <v>2385</v>
      </c>
      <c r="AB315" s="1067"/>
      <c r="AC315" s="1067"/>
      <c r="AD315" s="1067"/>
      <c r="AE315" s="1067"/>
      <c r="AF315" s="1067"/>
      <c r="AG315" s="1067"/>
      <c r="AH315" s="1067"/>
      <c r="AI315" s="1067"/>
      <c r="AJ315" s="1067"/>
      <c r="AK315" s="1067"/>
      <c r="BA315" s="43"/>
    </row>
    <row r="316" spans="2:53" ht="12.95" customHeight="1">
      <c r="B316" s="41" t="s">
        <v>374</v>
      </c>
      <c r="C316" s="41"/>
      <c r="D316" s="41"/>
      <c r="E316" s="41"/>
      <c r="F316" s="41"/>
      <c r="H316" s="1067" t="s">
        <v>2366</v>
      </c>
      <c r="I316" s="1067"/>
      <c r="J316" s="1067"/>
      <c r="K316" s="1067"/>
      <c r="L316" s="1067"/>
      <c r="M316" s="1067"/>
      <c r="N316" s="1067"/>
      <c r="O316" s="1067"/>
      <c r="P316" s="1067"/>
      <c r="Q316" s="1067"/>
      <c r="R316" s="1067"/>
      <c r="T316" s="41" t="s">
        <v>374</v>
      </c>
      <c r="V316" s="41"/>
      <c r="W316" s="41"/>
      <c r="X316" s="41"/>
      <c r="Y316" s="41"/>
      <c r="AA316" s="1067" t="s">
        <v>2386</v>
      </c>
      <c r="AB316" s="1067"/>
      <c r="AC316" s="1067"/>
      <c r="AD316" s="1067"/>
      <c r="AE316" s="1067"/>
      <c r="AF316" s="1067"/>
      <c r="AG316" s="1067"/>
      <c r="AH316" s="1067"/>
      <c r="AI316" s="1067"/>
      <c r="AJ316" s="1067"/>
      <c r="AK316" s="1067"/>
      <c r="BA316" s="43"/>
    </row>
    <row r="317" spans="2:53" ht="12.95" customHeight="1">
      <c r="B317" s="41" t="s">
        <v>375</v>
      </c>
      <c r="C317" s="41"/>
      <c r="D317" s="41"/>
      <c r="E317" s="41"/>
      <c r="F317" s="41"/>
      <c r="G317" s="41"/>
      <c r="H317" s="1404">
        <v>2099339113</v>
      </c>
      <c r="I317" s="1404"/>
      <c r="J317" s="1404"/>
      <c r="K317" s="1404"/>
      <c r="L317" s="1404"/>
      <c r="M317" s="1404"/>
      <c r="N317" s="5" t="s">
        <v>818</v>
      </c>
      <c r="O317" s="5"/>
      <c r="P317" s="1398"/>
      <c r="Q317" s="1398"/>
      <c r="R317" s="1398"/>
      <c r="S317" s="41"/>
      <c r="T317" s="41" t="s">
        <v>375</v>
      </c>
      <c r="V317" s="41"/>
      <c r="W317" s="41"/>
      <c r="X317" s="41"/>
      <c r="Y317" s="41"/>
      <c r="AA317" s="1404">
        <v>9094392816</v>
      </c>
      <c r="AB317" s="1404"/>
      <c r="AC317" s="1404"/>
      <c r="AD317" s="1404"/>
      <c r="AE317" s="1404"/>
      <c r="AF317" s="1404"/>
      <c r="AG317" s="5" t="s">
        <v>818</v>
      </c>
      <c r="AH317" s="5"/>
      <c r="AI317" s="1398"/>
      <c r="AJ317" s="1398"/>
      <c r="AK317" s="1398"/>
      <c r="BA317" s="43"/>
    </row>
    <row r="318" spans="2:53" ht="12.95" customHeight="1">
      <c r="B318" s="41" t="s">
        <v>376</v>
      </c>
      <c r="C318" s="41"/>
      <c r="D318" s="41"/>
      <c r="E318" s="41"/>
      <c r="F318" s="41"/>
      <c r="G318" s="41"/>
      <c r="H318" s="1263">
        <v>2099339115</v>
      </c>
      <c r="I318" s="1263"/>
      <c r="J318" s="1263"/>
      <c r="K318" s="1263"/>
      <c r="L318" s="1263"/>
      <c r="M318" s="1263"/>
      <c r="N318" s="5"/>
      <c r="O318" s="5"/>
      <c r="P318" s="44"/>
      <c r="Q318" s="44"/>
      <c r="R318" s="44"/>
      <c r="S318" s="41"/>
      <c r="T318" s="41" t="s">
        <v>376</v>
      </c>
      <c r="V318" s="41"/>
      <c r="W318" s="41"/>
      <c r="X318" s="41"/>
      <c r="Y318" s="41"/>
      <c r="AA318" s="1263"/>
      <c r="AB318" s="1263"/>
      <c r="AC318" s="1263"/>
      <c r="AD318" s="1263"/>
      <c r="AE318" s="1263"/>
      <c r="AF318" s="1263"/>
      <c r="AG318" s="5"/>
      <c r="AH318" s="5"/>
      <c r="AI318" s="44"/>
      <c r="AJ318" s="44"/>
      <c r="AK318" s="44"/>
      <c r="BA318" s="43"/>
    </row>
    <row r="319" spans="2:53" ht="12.95" customHeight="1">
      <c r="B319" s="41" t="s">
        <v>702</v>
      </c>
      <c r="C319" s="41"/>
      <c r="D319" s="41"/>
      <c r="E319" s="41"/>
      <c r="F319" s="41"/>
      <c r="G319" s="41"/>
      <c r="H319" s="1067" t="s">
        <v>2367</v>
      </c>
      <c r="I319" s="1067"/>
      <c r="J319" s="1067"/>
      <c r="K319" s="1067"/>
      <c r="L319" s="1067"/>
      <c r="M319" s="1067"/>
      <c r="N319" s="1061"/>
      <c r="O319" s="1061"/>
      <c r="P319" s="1061"/>
      <c r="Q319" s="1061"/>
      <c r="R319" s="1061"/>
      <c r="S319" s="41"/>
      <c r="T319" s="41" t="s">
        <v>702</v>
      </c>
      <c r="V319" s="41"/>
      <c r="W319" s="41"/>
      <c r="X319" s="41"/>
      <c r="Y319" s="41"/>
      <c r="AA319" s="1067" t="s">
        <v>2387</v>
      </c>
      <c r="AB319" s="1067"/>
      <c r="AC319" s="1067"/>
      <c r="AD319" s="1067"/>
      <c r="AE319" s="1067"/>
      <c r="AF319" s="1067"/>
      <c r="AG319" s="1061"/>
      <c r="AH319" s="1061"/>
      <c r="AI319" s="1061"/>
      <c r="AJ319" s="1061"/>
      <c r="AK319" s="1061"/>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61" t="s">
        <v>2345</v>
      </c>
      <c r="I321" s="1061"/>
      <c r="J321" s="1061"/>
      <c r="K321" s="1061"/>
      <c r="L321" s="1061"/>
      <c r="M321" s="1061"/>
      <c r="N321" s="1061"/>
      <c r="O321" s="1061"/>
      <c r="P321" s="1061"/>
      <c r="Q321" s="1061"/>
      <c r="R321" s="1061"/>
      <c r="T321" s="41" t="s">
        <v>37</v>
      </c>
      <c r="V321" s="41"/>
      <c r="W321" s="41"/>
      <c r="X321" s="41"/>
      <c r="Y321" s="41"/>
      <c r="AA321" s="1061" t="s">
        <v>2378</v>
      </c>
      <c r="AB321" s="1061"/>
      <c r="AC321" s="1061"/>
      <c r="AD321" s="1061"/>
      <c r="AE321" s="1061"/>
      <c r="AF321" s="1061"/>
      <c r="AG321" s="1061"/>
      <c r="AH321" s="1061"/>
      <c r="AI321" s="1061"/>
      <c r="AJ321" s="1061"/>
      <c r="AK321" s="1061"/>
      <c r="BA321" s="43"/>
    </row>
    <row r="322" spans="2:53" ht="12.95" customHeight="1">
      <c r="B322" s="41" t="s">
        <v>699</v>
      </c>
      <c r="C322" s="41"/>
      <c r="D322" s="41"/>
      <c r="E322" s="41"/>
      <c r="F322" s="41"/>
      <c r="H322" s="1067" t="s">
        <v>2346</v>
      </c>
      <c r="I322" s="1067"/>
      <c r="J322" s="1067"/>
      <c r="K322" s="1067"/>
      <c r="L322" s="1067"/>
      <c r="M322" s="1067"/>
      <c r="N322" s="1067"/>
      <c r="O322" s="1067"/>
      <c r="P322" s="1067"/>
      <c r="Q322" s="1067"/>
      <c r="R322" s="1067"/>
      <c r="T322" s="41" t="s">
        <v>699</v>
      </c>
      <c r="V322" s="41"/>
      <c r="W322" s="41"/>
      <c r="X322" s="41"/>
      <c r="Y322" s="41"/>
      <c r="AA322" s="1067" t="s">
        <v>2379</v>
      </c>
      <c r="AB322" s="1067"/>
      <c r="AC322" s="1067"/>
      <c r="AD322" s="1067"/>
      <c r="AE322" s="1067"/>
      <c r="AF322" s="1067"/>
      <c r="AG322" s="1067"/>
      <c r="AH322" s="1067"/>
      <c r="AI322" s="1067"/>
      <c r="AJ322" s="1067"/>
      <c r="AK322" s="1067"/>
      <c r="BA322" s="43"/>
    </row>
    <row r="323" spans="2:53" ht="12.95" customHeight="1">
      <c r="B323" s="41" t="s">
        <v>701</v>
      </c>
      <c r="C323" s="41"/>
      <c r="D323" s="41"/>
      <c r="E323" s="41"/>
      <c r="F323" s="41"/>
      <c r="H323" s="1067" t="s">
        <v>2360</v>
      </c>
      <c r="I323" s="1067"/>
      <c r="J323" s="1067"/>
      <c r="K323" s="1067"/>
      <c r="L323" s="1067"/>
      <c r="M323" s="1067"/>
      <c r="N323" s="1067"/>
      <c r="O323" s="1067"/>
      <c r="P323" s="1067"/>
      <c r="Q323" s="1067"/>
      <c r="R323" s="1067"/>
      <c r="T323" s="41" t="s">
        <v>700</v>
      </c>
      <c r="V323" s="41"/>
      <c r="W323" s="41"/>
      <c r="X323" s="41"/>
      <c r="Y323" s="41"/>
      <c r="AA323" s="1067" t="s">
        <v>2380</v>
      </c>
      <c r="AB323" s="1067"/>
      <c r="AC323" s="1067"/>
      <c r="AD323" s="1067"/>
      <c r="AE323" s="1067"/>
      <c r="AF323" s="1067"/>
      <c r="AG323" s="1067"/>
      <c r="AH323" s="1067"/>
      <c r="AI323" s="1067"/>
      <c r="AJ323" s="1067"/>
      <c r="AK323" s="1067"/>
      <c r="BA323" s="43"/>
    </row>
    <row r="324" spans="2:53" ht="12.95" customHeight="1">
      <c r="B324" s="41" t="s">
        <v>374</v>
      </c>
      <c r="C324" s="41"/>
      <c r="D324" s="41"/>
      <c r="E324" s="41"/>
      <c r="F324" s="41"/>
      <c r="H324" s="1067" t="s">
        <v>2347</v>
      </c>
      <c r="I324" s="1067"/>
      <c r="J324" s="1067"/>
      <c r="K324" s="1067"/>
      <c r="L324" s="1067"/>
      <c r="M324" s="1067"/>
      <c r="N324" s="1067"/>
      <c r="O324" s="1067"/>
      <c r="P324" s="1067"/>
      <c r="Q324" s="1067"/>
      <c r="R324" s="1067"/>
      <c r="T324" s="41" t="s">
        <v>374</v>
      </c>
      <c r="V324" s="41"/>
      <c r="W324" s="41"/>
      <c r="X324" s="41"/>
      <c r="Y324" s="41"/>
      <c r="AA324" s="1067" t="s">
        <v>2381</v>
      </c>
      <c r="AB324" s="1067"/>
      <c r="AC324" s="1067"/>
      <c r="AD324" s="1067"/>
      <c r="AE324" s="1067"/>
      <c r="AF324" s="1067"/>
      <c r="AG324" s="1067"/>
      <c r="AH324" s="1067"/>
      <c r="AI324" s="1067"/>
      <c r="AJ324" s="1067"/>
      <c r="AK324" s="1067"/>
      <c r="BA324" s="43"/>
    </row>
    <row r="325" spans="2:53" ht="12.95" customHeight="1">
      <c r="B325" s="41" t="s">
        <v>375</v>
      </c>
      <c r="C325" s="41"/>
      <c r="D325" s="41"/>
      <c r="E325" s="41"/>
      <c r="F325" s="41"/>
      <c r="G325" s="41"/>
      <c r="H325" s="1404" t="s">
        <v>2361</v>
      </c>
      <c r="I325" s="1404"/>
      <c r="J325" s="1404"/>
      <c r="K325" s="1404"/>
      <c r="L325" s="1404"/>
      <c r="M325" s="1404"/>
      <c r="N325" s="5" t="s">
        <v>818</v>
      </c>
      <c r="O325" s="5"/>
      <c r="P325" s="1398"/>
      <c r="Q325" s="1398"/>
      <c r="R325" s="1398"/>
      <c r="S325" s="41"/>
      <c r="T325" s="41" t="s">
        <v>375</v>
      </c>
      <c r="V325" s="41"/>
      <c r="W325" s="41"/>
      <c r="X325" s="41"/>
      <c r="Y325" s="41"/>
      <c r="AA325" s="1404">
        <v>9163726100</v>
      </c>
      <c r="AB325" s="1404"/>
      <c r="AC325" s="1404"/>
      <c r="AD325" s="1404"/>
      <c r="AE325" s="1404"/>
      <c r="AF325" s="1404"/>
      <c r="AG325" s="5" t="s">
        <v>818</v>
      </c>
      <c r="AH325" s="5"/>
      <c r="AI325" s="1398"/>
      <c r="AJ325" s="1398"/>
      <c r="AK325" s="1398"/>
      <c r="BA325" s="43"/>
    </row>
    <row r="326" spans="2:53" ht="12.95" customHeight="1">
      <c r="B326" s="41" t="s">
        <v>376</v>
      </c>
      <c r="C326" s="41"/>
      <c r="D326" s="41"/>
      <c r="E326" s="41"/>
      <c r="F326" s="41"/>
      <c r="G326" s="41"/>
      <c r="H326" s="1263" t="s">
        <v>2362</v>
      </c>
      <c r="I326" s="1263"/>
      <c r="J326" s="1263"/>
      <c r="K326" s="1263"/>
      <c r="L326" s="1263"/>
      <c r="M326" s="1263"/>
      <c r="N326" s="5"/>
      <c r="O326" s="5"/>
      <c r="P326" s="44"/>
      <c r="Q326" s="44"/>
      <c r="R326" s="44"/>
      <c r="S326" s="41"/>
      <c r="T326" s="41" t="s">
        <v>376</v>
      </c>
      <c r="V326" s="41"/>
      <c r="W326" s="41"/>
      <c r="X326" s="41"/>
      <c r="Y326" s="41"/>
      <c r="AA326" s="1263">
        <v>9164196108</v>
      </c>
      <c r="AB326" s="1263"/>
      <c r="AC326" s="1263"/>
      <c r="AD326" s="1263"/>
      <c r="AE326" s="1263"/>
      <c r="AF326" s="1263"/>
      <c r="AG326" s="5"/>
      <c r="AH326" s="5"/>
      <c r="AI326" s="44"/>
      <c r="AJ326" s="44"/>
      <c r="AK326" s="44"/>
      <c r="BA326" s="43"/>
    </row>
    <row r="327" spans="2:53" ht="12.95" customHeight="1">
      <c r="B327" s="41" t="s">
        <v>702</v>
      </c>
      <c r="C327" s="41"/>
      <c r="D327" s="41"/>
      <c r="E327" s="41"/>
      <c r="F327" s="41"/>
      <c r="G327" s="41"/>
      <c r="H327" s="1067" t="s">
        <v>2349</v>
      </c>
      <c r="I327" s="1067"/>
      <c r="J327" s="1067"/>
      <c r="K327" s="1067"/>
      <c r="L327" s="1067"/>
      <c r="M327" s="1067"/>
      <c r="N327" s="1061"/>
      <c r="O327" s="1061"/>
      <c r="P327" s="1061"/>
      <c r="Q327" s="1061"/>
      <c r="R327" s="1061"/>
      <c r="S327" s="41"/>
      <c r="T327" s="41" t="s">
        <v>702</v>
      </c>
      <c r="V327" s="41"/>
      <c r="W327" s="41"/>
      <c r="X327" s="41"/>
      <c r="Y327" s="41"/>
      <c r="AA327" s="1067" t="s">
        <v>2382</v>
      </c>
      <c r="AB327" s="1067"/>
      <c r="AC327" s="1067"/>
      <c r="AD327" s="1067"/>
      <c r="AE327" s="1067"/>
      <c r="AF327" s="1067"/>
      <c r="AG327" s="1061"/>
      <c r="AH327" s="1061"/>
      <c r="AI327" s="1061"/>
      <c r="AJ327" s="1061"/>
      <c r="AK327" s="1061"/>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61" t="s">
        <v>2368</v>
      </c>
      <c r="I329" s="1061"/>
      <c r="J329" s="1061"/>
      <c r="K329" s="1061"/>
      <c r="L329" s="1061"/>
      <c r="M329" s="1061"/>
      <c r="N329" s="1061"/>
      <c r="O329" s="1061"/>
      <c r="P329" s="1061"/>
      <c r="Q329" s="1061"/>
      <c r="R329" s="1061"/>
      <c r="T329" s="5" t="s">
        <v>1106</v>
      </c>
      <c r="V329" s="41"/>
      <c r="W329" s="41"/>
      <c r="X329" s="41"/>
      <c r="Y329" s="41"/>
      <c r="AA329" s="1061" t="s">
        <v>2373</v>
      </c>
      <c r="AB329" s="1061"/>
      <c r="AC329" s="1061"/>
      <c r="AD329" s="1061"/>
      <c r="AE329" s="1061"/>
      <c r="AF329" s="1061"/>
      <c r="AG329" s="1061"/>
      <c r="AH329" s="1061"/>
      <c r="AI329" s="1061"/>
      <c r="AJ329" s="1061"/>
      <c r="AK329" s="1061"/>
      <c r="BA329" s="43"/>
    </row>
    <row r="330" spans="2:53" ht="12.95" customHeight="1">
      <c r="B330" s="41" t="s">
        <v>699</v>
      </c>
      <c r="C330" s="41"/>
      <c r="D330" s="41"/>
      <c r="E330" s="41"/>
      <c r="F330" s="41"/>
      <c r="H330" s="1067" t="s">
        <v>2369</v>
      </c>
      <c r="I330" s="1067"/>
      <c r="J330" s="1067"/>
      <c r="K330" s="1067"/>
      <c r="L330" s="1067"/>
      <c r="M330" s="1067"/>
      <c r="N330" s="1067"/>
      <c r="O330" s="1067"/>
      <c r="P330" s="1067"/>
      <c r="Q330" s="1067"/>
      <c r="R330" s="1067"/>
      <c r="T330" s="41" t="s">
        <v>699</v>
      </c>
      <c r="V330" s="41"/>
      <c r="W330" s="41"/>
      <c r="X330" s="41"/>
      <c r="Y330" s="41"/>
      <c r="AA330" s="1067" t="s">
        <v>2374</v>
      </c>
      <c r="AB330" s="1067"/>
      <c r="AC330" s="1067"/>
      <c r="AD330" s="1067"/>
      <c r="AE330" s="1067"/>
      <c r="AF330" s="1067"/>
      <c r="AG330" s="1067"/>
      <c r="AH330" s="1067"/>
      <c r="AI330" s="1067"/>
      <c r="AJ330" s="1067"/>
      <c r="AK330" s="1067"/>
      <c r="BA330" s="43"/>
    </row>
    <row r="331" spans="2:53" ht="12.95" customHeight="1">
      <c r="B331" s="41" t="s">
        <v>701</v>
      </c>
      <c r="C331" s="41"/>
      <c r="D331" s="41"/>
      <c r="E331" s="41"/>
      <c r="F331" s="41"/>
      <c r="G331" s="41"/>
      <c r="H331" s="1067" t="s">
        <v>2370</v>
      </c>
      <c r="I331" s="1067"/>
      <c r="J331" s="1067"/>
      <c r="K331" s="1067"/>
      <c r="L331" s="1067"/>
      <c r="M331" s="1067"/>
      <c r="N331" s="1067"/>
      <c r="O331" s="1067"/>
      <c r="P331" s="1067"/>
      <c r="Q331" s="1067"/>
      <c r="R331" s="1067"/>
      <c r="T331" s="41" t="s">
        <v>700</v>
      </c>
      <c r="V331" s="41"/>
      <c r="W331" s="41"/>
      <c r="X331" s="41"/>
      <c r="Y331" s="41"/>
      <c r="AA331" s="1067" t="s">
        <v>2370</v>
      </c>
      <c r="AB331" s="1067"/>
      <c r="AC331" s="1067"/>
      <c r="AD331" s="1067"/>
      <c r="AE331" s="1067"/>
      <c r="AF331" s="1067"/>
      <c r="AG331" s="1067"/>
      <c r="AH331" s="1067"/>
      <c r="AI331" s="1067"/>
      <c r="AJ331" s="1067"/>
      <c r="AK331" s="1067"/>
      <c r="BA331" s="43"/>
    </row>
    <row r="332" spans="2:53" ht="12.95" customHeight="1">
      <c r="B332" s="41" t="s">
        <v>374</v>
      </c>
      <c r="C332" s="41"/>
      <c r="D332" s="41"/>
      <c r="E332" s="41"/>
      <c r="F332" s="41"/>
      <c r="H332" s="1067" t="s">
        <v>2371</v>
      </c>
      <c r="I332" s="1067"/>
      <c r="J332" s="1067"/>
      <c r="K332" s="1067"/>
      <c r="L332" s="1067"/>
      <c r="M332" s="1067"/>
      <c r="N332" s="1067"/>
      <c r="O332" s="1067"/>
      <c r="P332" s="1067"/>
      <c r="Q332" s="1067"/>
      <c r="R332" s="1067"/>
      <c r="T332" s="41" t="s">
        <v>374</v>
      </c>
      <c r="V332" s="41"/>
      <c r="W332" s="41"/>
      <c r="X332" s="41"/>
      <c r="Y332" s="41"/>
      <c r="AA332" s="1067" t="s">
        <v>2375</v>
      </c>
      <c r="AB332" s="1067"/>
      <c r="AC332" s="1067"/>
      <c r="AD332" s="1067"/>
      <c r="AE332" s="1067"/>
      <c r="AF332" s="1067"/>
      <c r="AG332" s="1067"/>
      <c r="AH332" s="1067"/>
      <c r="AI332" s="1067"/>
      <c r="AJ332" s="1067"/>
      <c r="AK332" s="1067"/>
      <c r="BA332" s="43"/>
    </row>
    <row r="333" spans="2:53" ht="12.95" customHeight="1">
      <c r="B333" s="41" t="s">
        <v>375</v>
      </c>
      <c r="C333" s="41"/>
      <c r="D333" s="41"/>
      <c r="E333" s="41"/>
      <c r="F333" s="41"/>
      <c r="G333" s="41"/>
      <c r="H333" s="1404">
        <v>5592870598</v>
      </c>
      <c r="I333" s="1404"/>
      <c r="J333" s="1404"/>
      <c r="K333" s="1404"/>
      <c r="L333" s="1404"/>
      <c r="M333" s="1404"/>
      <c r="N333" s="5" t="s">
        <v>818</v>
      </c>
      <c r="O333" s="5"/>
      <c r="P333" s="1398"/>
      <c r="Q333" s="1398"/>
      <c r="R333" s="1398"/>
      <c r="T333" s="41" t="s">
        <v>375</v>
      </c>
      <c r="V333" s="41"/>
      <c r="W333" s="41"/>
      <c r="X333" s="41"/>
      <c r="Y333" s="41"/>
      <c r="AA333" s="1404" t="s">
        <v>2376</v>
      </c>
      <c r="AB333" s="1404"/>
      <c r="AC333" s="1404"/>
      <c r="AD333" s="1404"/>
      <c r="AE333" s="1404"/>
      <c r="AF333" s="1404"/>
      <c r="AG333" s="5" t="s">
        <v>818</v>
      </c>
      <c r="AH333" s="5"/>
      <c r="AI333" s="1398"/>
      <c r="AJ333" s="1398"/>
      <c r="AK333" s="1398"/>
      <c r="BA333" s="43"/>
    </row>
    <row r="334" spans="2:53" ht="12.95" customHeight="1">
      <c r="B334" s="41" t="s">
        <v>376</v>
      </c>
      <c r="C334" s="41"/>
      <c r="D334" s="41"/>
      <c r="E334" s="41"/>
      <c r="F334" s="41"/>
      <c r="G334" s="41"/>
      <c r="H334" s="1263">
        <v>5592265063</v>
      </c>
      <c r="I334" s="1263"/>
      <c r="J334" s="1263"/>
      <c r="K334" s="1263"/>
      <c r="L334" s="1263"/>
      <c r="M334" s="1263"/>
      <c r="N334" s="5"/>
      <c r="O334" s="5"/>
      <c r="P334" s="44"/>
      <c r="Q334" s="44"/>
      <c r="R334" s="44"/>
      <c r="T334" s="41" t="s">
        <v>376</v>
      </c>
      <c r="V334" s="41"/>
      <c r="W334" s="41"/>
      <c r="X334" s="41"/>
      <c r="Y334" s="41"/>
      <c r="AA334" s="1263"/>
      <c r="AB334" s="1263"/>
      <c r="AC334" s="1263"/>
      <c r="AD334" s="1263"/>
      <c r="AE334" s="1263"/>
      <c r="AF334" s="1263"/>
      <c r="AG334" s="5"/>
      <c r="AH334" s="5"/>
      <c r="AI334" s="44"/>
      <c r="AJ334" s="44"/>
      <c r="AK334" s="44"/>
      <c r="BA334" s="43"/>
    </row>
    <row r="335" spans="2:53" ht="12.95" customHeight="1">
      <c r="B335" s="41" t="s">
        <v>702</v>
      </c>
      <c r="C335" s="41"/>
      <c r="D335" s="41"/>
      <c r="E335" s="41"/>
      <c r="F335" s="41"/>
      <c r="G335" s="41"/>
      <c r="H335" s="1067" t="s">
        <v>2372</v>
      </c>
      <c r="I335" s="1067"/>
      <c r="J335" s="1067"/>
      <c r="K335" s="1067"/>
      <c r="L335" s="1067"/>
      <c r="M335" s="1067"/>
      <c r="N335" s="1061"/>
      <c r="O335" s="1061"/>
      <c r="P335" s="1061"/>
      <c r="Q335" s="1061"/>
      <c r="R335" s="1061"/>
      <c r="T335" s="41" t="s">
        <v>702</v>
      </c>
      <c r="V335" s="41"/>
      <c r="W335" s="41"/>
      <c r="X335" s="41"/>
      <c r="Y335" s="41"/>
      <c r="AA335" s="1067" t="s">
        <v>2377</v>
      </c>
      <c r="AB335" s="1067"/>
      <c r="AC335" s="1067"/>
      <c r="AD335" s="1067"/>
      <c r="AE335" s="1067"/>
      <c r="AF335" s="1067"/>
      <c r="AG335" s="1061"/>
      <c r="AH335" s="1061"/>
      <c r="AI335" s="1061"/>
      <c r="AJ335" s="1061"/>
      <c r="AK335" s="1061"/>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61"/>
      <c r="I337" s="1061"/>
      <c r="J337" s="1061"/>
      <c r="K337" s="1061"/>
      <c r="L337" s="1061"/>
      <c r="M337" s="1061"/>
      <c r="N337" s="1061"/>
      <c r="O337" s="1061"/>
      <c r="P337" s="1061"/>
      <c r="Q337" s="1061"/>
      <c r="R337" s="1061"/>
      <c r="T337" s="361" t="s">
        <v>1145</v>
      </c>
      <c r="AA337" s="1061"/>
      <c r="AB337" s="1061"/>
      <c r="AC337" s="1061"/>
      <c r="AD337" s="1061"/>
      <c r="AE337" s="1061"/>
      <c r="AF337" s="1061"/>
      <c r="AG337" s="1061"/>
      <c r="AH337" s="1061"/>
      <c r="AI337" s="1061"/>
      <c r="AJ337" s="1061"/>
      <c r="AK337" s="1061"/>
      <c r="BA337" s="43"/>
    </row>
    <row r="338" spans="1:53" ht="12.95" customHeight="1">
      <c r="B338" s="361" t="s">
        <v>699</v>
      </c>
      <c r="C338" s="361"/>
      <c r="D338" s="361"/>
      <c r="E338" s="361"/>
      <c r="F338" s="361"/>
      <c r="G338" s="361"/>
      <c r="H338" s="1067"/>
      <c r="I338" s="1067"/>
      <c r="J338" s="1067"/>
      <c r="K338" s="1067"/>
      <c r="L338" s="1067"/>
      <c r="M338" s="1067"/>
      <c r="N338" s="1067"/>
      <c r="O338" s="1067"/>
      <c r="P338" s="1067"/>
      <c r="Q338" s="1067"/>
      <c r="R338" s="1067"/>
      <c r="T338" s="41" t="s">
        <v>699</v>
      </c>
      <c r="AA338" s="1067"/>
      <c r="AB338" s="1067"/>
      <c r="AC338" s="1067"/>
      <c r="AD338" s="1067"/>
      <c r="AE338" s="1067"/>
      <c r="AF338" s="1067"/>
      <c r="AG338" s="1067"/>
      <c r="AH338" s="1067"/>
      <c r="AI338" s="1067"/>
      <c r="AJ338" s="1067"/>
      <c r="AK338" s="1067"/>
      <c r="BA338" s="43"/>
    </row>
    <row r="339" spans="1:53" ht="12.95" customHeight="1">
      <c r="B339" s="361" t="s">
        <v>701</v>
      </c>
      <c r="C339" s="361"/>
      <c r="D339" s="361"/>
      <c r="E339" s="361"/>
      <c r="F339" s="361"/>
      <c r="G339" s="361"/>
      <c r="H339" s="1067"/>
      <c r="I339" s="1067"/>
      <c r="J339" s="1067"/>
      <c r="K339" s="1067"/>
      <c r="L339" s="1067"/>
      <c r="M339" s="1067"/>
      <c r="N339" s="1067"/>
      <c r="O339" s="1067"/>
      <c r="P339" s="1067"/>
      <c r="Q339" s="1067"/>
      <c r="R339" s="1067"/>
      <c r="T339" s="41" t="s">
        <v>700</v>
      </c>
      <c r="AA339" s="1067"/>
      <c r="AB339" s="1067"/>
      <c r="AC339" s="1067"/>
      <c r="AD339" s="1067"/>
      <c r="AE339" s="1067"/>
      <c r="AF339" s="1067"/>
      <c r="AG339" s="1067"/>
      <c r="AH339" s="1067"/>
      <c r="AI339" s="1067"/>
      <c r="AJ339" s="1067"/>
      <c r="AK339" s="1067"/>
    </row>
    <row r="340" spans="1:53" ht="12.95" customHeight="1">
      <c r="B340" s="361" t="s">
        <v>374</v>
      </c>
      <c r="C340" s="361"/>
      <c r="D340" s="361"/>
      <c r="E340" s="361"/>
      <c r="F340" s="361"/>
      <c r="G340" s="361"/>
      <c r="H340" s="1067"/>
      <c r="I340" s="1067"/>
      <c r="J340" s="1067"/>
      <c r="K340" s="1067"/>
      <c r="L340" s="1067"/>
      <c r="M340" s="1067"/>
      <c r="N340" s="1067"/>
      <c r="O340" s="1067"/>
      <c r="P340" s="1067"/>
      <c r="Q340" s="1067"/>
      <c r="R340" s="1067"/>
      <c r="T340" s="41" t="s">
        <v>374</v>
      </c>
      <c r="AA340" s="1067"/>
      <c r="AB340" s="1067"/>
      <c r="AC340" s="1067"/>
      <c r="AD340" s="1067"/>
      <c r="AE340" s="1067"/>
      <c r="AF340" s="1067"/>
      <c r="AG340" s="1067"/>
      <c r="AH340" s="1067"/>
      <c r="AI340" s="1067"/>
      <c r="AJ340" s="1067"/>
      <c r="AK340" s="1067"/>
    </row>
    <row r="341" spans="1:53" ht="12.95" customHeight="1">
      <c r="B341" s="361" t="s">
        <v>375</v>
      </c>
      <c r="C341" s="361"/>
      <c r="D341" s="361"/>
      <c r="E341" s="361"/>
      <c r="F341" s="361"/>
      <c r="G341" s="361"/>
      <c r="H341" s="1404"/>
      <c r="I341" s="1404"/>
      <c r="J341" s="1404"/>
      <c r="K341" s="1404"/>
      <c r="L341" s="1404"/>
      <c r="M341" s="1404"/>
      <c r="N341" s="5" t="s">
        <v>818</v>
      </c>
      <c r="O341" s="5"/>
      <c r="P341" s="1398"/>
      <c r="Q341" s="1398"/>
      <c r="R341" s="1398"/>
      <c r="T341" s="41" t="s">
        <v>375</v>
      </c>
      <c r="AA341" s="1404"/>
      <c r="AB341" s="1404"/>
      <c r="AC341" s="1404"/>
      <c r="AD341" s="1404"/>
      <c r="AE341" s="1404"/>
      <c r="AF341" s="1404"/>
      <c r="AG341" s="5" t="s">
        <v>818</v>
      </c>
      <c r="AH341" s="5"/>
      <c r="AI341" s="1398"/>
      <c r="AJ341" s="1398"/>
      <c r="AK341" s="1398"/>
    </row>
    <row r="342" spans="1:53" ht="12.95" customHeight="1">
      <c r="B342" s="361" t="s">
        <v>376</v>
      </c>
      <c r="C342" s="361"/>
      <c r="D342" s="361"/>
      <c r="E342" s="361"/>
      <c r="F342" s="361"/>
      <c r="G342" s="361"/>
      <c r="H342" s="1263"/>
      <c r="I342" s="1263"/>
      <c r="J342" s="1263"/>
      <c r="K342" s="1263"/>
      <c r="L342" s="1263"/>
      <c r="M342" s="1263"/>
      <c r="N342" s="5"/>
      <c r="O342" s="5"/>
      <c r="P342" s="44"/>
      <c r="Q342" s="44"/>
      <c r="R342" s="44"/>
      <c r="T342" s="41" t="s">
        <v>376</v>
      </c>
      <c r="AA342" s="1263"/>
      <c r="AB342" s="1263"/>
      <c r="AC342" s="1263"/>
      <c r="AD342" s="1263"/>
      <c r="AE342" s="1263"/>
      <c r="AF342" s="1263"/>
      <c r="AG342" s="5"/>
      <c r="AH342" s="5"/>
      <c r="AI342" s="44"/>
      <c r="AJ342" s="44"/>
      <c r="AK342" s="44"/>
    </row>
    <row r="343" spans="1:53" ht="12.95" customHeight="1">
      <c r="B343" s="361" t="s">
        <v>702</v>
      </c>
      <c r="C343" s="361"/>
      <c r="D343" s="361"/>
      <c r="E343" s="361"/>
      <c r="F343" s="361"/>
      <c r="G343" s="361"/>
      <c r="H343" s="1067"/>
      <c r="I343" s="1067"/>
      <c r="J343" s="1067"/>
      <c r="K343" s="1067"/>
      <c r="L343" s="1067"/>
      <c r="M343" s="1067"/>
      <c r="N343" s="1061"/>
      <c r="O343" s="1061"/>
      <c r="P343" s="1061"/>
      <c r="Q343" s="1061"/>
      <c r="R343" s="1061"/>
      <c r="T343" s="41" t="s">
        <v>702</v>
      </c>
      <c r="AA343" s="1067"/>
      <c r="AB343" s="1067"/>
      <c r="AC343" s="1067"/>
      <c r="AD343" s="1067"/>
      <c r="AE343" s="1067"/>
      <c r="AF343" s="1067"/>
      <c r="AG343" s="1061"/>
      <c r="AH343" s="1061"/>
      <c r="AI343" s="1061"/>
      <c r="AJ343" s="1061"/>
      <c r="AK343" s="1061"/>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97" t="s">
        <v>497</v>
      </c>
      <c r="B345" s="1097"/>
      <c r="C345" s="1097"/>
      <c r="D345" s="1097"/>
      <c r="E345" s="1097"/>
      <c r="F345" s="1097"/>
      <c r="G345" s="1097"/>
      <c r="H345" s="1097"/>
      <c r="I345" s="1097"/>
      <c r="J345" s="1097"/>
      <c r="K345" s="1097"/>
      <c r="L345" s="1097"/>
      <c r="M345" s="1097"/>
      <c r="N345" s="1097"/>
      <c r="O345" s="1097"/>
      <c r="P345" s="1097"/>
      <c r="Q345" s="1097"/>
      <c r="R345" s="1097"/>
      <c r="S345" s="1097"/>
      <c r="T345" s="1097"/>
      <c r="U345" s="1097"/>
      <c r="V345" s="1097"/>
      <c r="W345" s="1097"/>
      <c r="X345" s="1097"/>
      <c r="Y345" s="1097"/>
      <c r="Z345" s="1097"/>
      <c r="AA345" s="1097"/>
      <c r="AB345" s="1097"/>
      <c r="AC345" s="1097"/>
      <c r="AD345" s="1097"/>
      <c r="AE345" s="1097"/>
      <c r="AF345" s="1097"/>
      <c r="AG345" s="1097"/>
      <c r="AH345" s="1097"/>
      <c r="AI345" s="1097"/>
      <c r="AJ345" s="1097"/>
      <c r="AK345" s="1097"/>
      <c r="AL345" s="1097"/>
      <c r="AM345" s="1097"/>
      <c r="AN345" s="1097"/>
      <c r="AO345" s="1097"/>
      <c r="AP345" s="1097"/>
      <c r="AQ345" s="1097"/>
      <c r="AR345" s="1097"/>
      <c r="AS345" s="1097"/>
      <c r="AT345" s="1097"/>
    </row>
    <row r="346" spans="1:53" ht="12.95" customHeight="1">
      <c r="A346" s="1097"/>
      <c r="B346" s="1097"/>
      <c r="C346" s="1097"/>
      <c r="D346" s="1097"/>
      <c r="E346" s="1097"/>
      <c r="F346" s="1097"/>
      <c r="G346" s="1097"/>
      <c r="H346" s="1097"/>
      <c r="I346" s="1097"/>
      <c r="J346" s="1097"/>
      <c r="K346" s="1097"/>
      <c r="L346" s="1097"/>
      <c r="M346" s="1097"/>
      <c r="N346" s="1097"/>
      <c r="O346" s="1097"/>
      <c r="P346" s="1097"/>
      <c r="Q346" s="1097"/>
      <c r="R346" s="1097"/>
      <c r="S346" s="1097"/>
      <c r="T346" s="1097"/>
      <c r="U346" s="1097"/>
      <c r="V346" s="1097"/>
      <c r="W346" s="1097"/>
      <c r="X346" s="1097"/>
      <c r="Y346" s="1097"/>
      <c r="Z346" s="1097"/>
      <c r="AA346" s="1097"/>
      <c r="AB346" s="1097"/>
      <c r="AC346" s="1097"/>
      <c r="AD346" s="1097"/>
      <c r="AE346" s="1097"/>
      <c r="AF346" s="1097"/>
      <c r="AG346" s="1097"/>
      <c r="AH346" s="1097"/>
      <c r="AI346" s="1097"/>
      <c r="AJ346" s="1097"/>
      <c r="AK346" s="1097"/>
      <c r="AL346" s="1097"/>
      <c r="AM346" s="1097"/>
      <c r="AN346" s="1097"/>
      <c r="AO346" s="1097"/>
      <c r="AP346" s="1097"/>
      <c r="AQ346" s="1097"/>
      <c r="AR346" s="1097"/>
      <c r="AS346" s="1097"/>
      <c r="AT346" s="109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66" t="s">
        <v>108</v>
      </c>
      <c r="N349" s="1066"/>
      <c r="P349" t="s">
        <v>1961</v>
      </c>
      <c r="AJ349" s="1066" t="s">
        <v>482</v>
      </c>
      <c r="AK349" s="1066"/>
    </row>
    <row r="350" spans="1:53" ht="12.95" customHeight="1">
      <c r="D350" s="41" t="s">
        <v>1888</v>
      </c>
      <c r="M350" s="1066" t="s">
        <v>124</v>
      </c>
      <c r="N350" s="1066"/>
      <c r="P350" s="41" t="s">
        <v>1962</v>
      </c>
      <c r="AJ350" s="1322"/>
      <c r="AK350" s="1322"/>
    </row>
    <row r="351" spans="1:53" ht="12.95" customHeight="1">
      <c r="D351" t="s">
        <v>313</v>
      </c>
      <c r="M351" s="1066" t="s">
        <v>124</v>
      </c>
      <c r="N351" s="1066"/>
      <c r="P351" t="s">
        <v>1963</v>
      </c>
      <c r="AJ351" s="1066" t="s">
        <v>124</v>
      </c>
      <c r="AK351" s="1066"/>
    </row>
    <row r="352" spans="1:53" ht="12.95" customHeight="1">
      <c r="D352" t="s">
        <v>314</v>
      </c>
      <c r="M352" s="1066" t="s">
        <v>124</v>
      </c>
      <c r="N352" s="1066"/>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66" t="s">
        <v>124</v>
      </c>
      <c r="O357" s="1066"/>
      <c r="P357" s="49"/>
      <c r="Q357" s="49"/>
      <c r="R357" s="49"/>
      <c r="S357" s="49"/>
      <c r="T357" s="49"/>
      <c r="U357" s="49"/>
      <c r="V357" s="49"/>
      <c r="W357" s="49"/>
      <c r="X357" s="49"/>
      <c r="Y357" s="49"/>
      <c r="Z357" s="49"/>
      <c r="AC357" s="49"/>
      <c r="AD357" s="49"/>
      <c r="AE357" s="49"/>
    </row>
    <row r="358" spans="1:57" ht="12.95" customHeight="1">
      <c r="E358" t="s">
        <v>733</v>
      </c>
      <c r="Y358" s="1066" t="s">
        <v>124</v>
      </c>
      <c r="Z358" s="1066"/>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66" t="s">
        <v>124</v>
      </c>
      <c r="K360" s="1066"/>
      <c r="L360" s="49"/>
      <c r="M360" s="49"/>
      <c r="N360" s="49"/>
      <c r="O360" s="49"/>
      <c r="P360" s="49"/>
      <c r="Q360" s="49"/>
      <c r="R360" s="49"/>
      <c r="S360" s="49"/>
      <c r="T360" s="49"/>
      <c r="U360" s="49"/>
      <c r="V360" s="49"/>
      <c r="W360" s="49"/>
      <c r="X360" s="49"/>
      <c r="Y360" s="49"/>
      <c r="Z360" s="49"/>
      <c r="AC360" s="49"/>
      <c r="AD360" s="49"/>
      <c r="AE360" s="49"/>
    </row>
    <row r="361" spans="1:57" ht="12.95"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2.95"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2.95" customHeight="1">
      <c r="E363" s="5" t="s">
        <v>590</v>
      </c>
      <c r="F363" s="5"/>
      <c r="G363" s="5"/>
      <c r="H363" s="5"/>
      <c r="I363" s="5"/>
      <c r="J363" s="5"/>
      <c r="K363" s="5"/>
      <c r="L363" s="5"/>
      <c r="N363" s="1070"/>
      <c r="O363" s="1070"/>
      <c r="P363" s="1070"/>
      <c r="Q363" s="1070"/>
      <c r="R363" s="5"/>
      <c r="U363" s="5" t="s">
        <v>591</v>
      </c>
      <c r="V363" s="5"/>
      <c r="W363" s="5"/>
      <c r="X363" s="5"/>
      <c r="Y363" s="5"/>
      <c r="Z363" s="5"/>
      <c r="AA363" s="5"/>
      <c r="AB363" s="5"/>
      <c r="AC363" s="1070"/>
      <c r="AD363" s="1070"/>
      <c r="AE363" s="1070"/>
      <c r="AF363" s="1070"/>
      <c r="BE363" t="s">
        <v>108</v>
      </c>
    </row>
    <row r="364" spans="1:57" ht="12.95" customHeight="1">
      <c r="E364" s="5" t="s">
        <v>592</v>
      </c>
      <c r="F364" s="5"/>
      <c r="G364" s="5"/>
      <c r="H364" s="5"/>
      <c r="I364" s="5"/>
      <c r="J364" s="5"/>
      <c r="K364" s="5"/>
      <c r="L364" s="5"/>
      <c r="N364" s="1070"/>
      <c r="O364" s="1070"/>
      <c r="P364" s="1070"/>
      <c r="Q364" s="1070"/>
      <c r="R364" s="5"/>
      <c r="U364" s="5" t="s">
        <v>593</v>
      </c>
      <c r="V364" s="5"/>
      <c r="W364" s="5"/>
      <c r="X364" s="5"/>
      <c r="Y364" s="5"/>
      <c r="Z364" s="5"/>
      <c r="AA364" s="5"/>
      <c r="AB364" s="5"/>
      <c r="AC364" s="1070"/>
      <c r="AD364" s="1070"/>
      <c r="AE364" s="1070"/>
      <c r="AF364" s="1070"/>
    </row>
    <row r="365" spans="1:57" ht="12.95" customHeight="1">
      <c r="E365" s="5" t="s">
        <v>64</v>
      </c>
      <c r="F365" s="5"/>
      <c r="G365" s="5"/>
      <c r="H365" s="5"/>
      <c r="I365" s="5"/>
      <c r="J365" s="5"/>
      <c r="K365" s="5"/>
      <c r="L365" s="5"/>
      <c r="N365" s="1070"/>
      <c r="O365" s="1070"/>
      <c r="P365" s="1070"/>
      <c r="Q365" s="1070"/>
      <c r="R365" s="5"/>
      <c r="V365" s="5"/>
      <c r="W365" s="5"/>
      <c r="X365" s="5"/>
      <c r="Y365" s="5"/>
      <c r="Z365" s="5"/>
      <c r="AA365" s="5"/>
      <c r="AB365" s="5"/>
    </row>
    <row r="366" spans="1:57" ht="12.95" customHeight="1">
      <c r="E366" s="5" t="s">
        <v>65</v>
      </c>
      <c r="F366" s="5"/>
      <c r="G366" s="5"/>
      <c r="H366" s="5"/>
      <c r="I366" s="5"/>
      <c r="J366" s="5"/>
      <c r="K366" s="5"/>
      <c r="L366" s="5"/>
      <c r="N366" s="1407"/>
      <c r="O366" s="1407"/>
      <c r="P366" s="1407"/>
      <c r="Q366" s="1407"/>
      <c r="R366" s="1407"/>
      <c r="S366" s="1407"/>
      <c r="T366" s="1407"/>
      <c r="U366" s="1407"/>
      <c r="V366" s="1407"/>
      <c r="W366" s="1407"/>
      <c r="X366" s="1407"/>
      <c r="Y366" s="1407"/>
      <c r="Z366" s="1407"/>
      <c r="AA366" s="1407"/>
      <c r="AB366" s="1407"/>
      <c r="AC366" s="1407"/>
      <c r="AD366" s="1407"/>
      <c r="AE366" s="1407"/>
      <c r="AF366" s="1407"/>
    </row>
    <row r="367" spans="1:57" ht="12.95" customHeight="1">
      <c r="E367" s="5"/>
      <c r="F367" s="5"/>
      <c r="G367" s="5"/>
      <c r="H367" s="5"/>
      <c r="I367" s="5"/>
      <c r="J367" s="5"/>
      <c r="K367" s="5"/>
      <c r="L367" s="5"/>
      <c r="N367" s="1408"/>
      <c r="O367" s="1408"/>
      <c r="P367" s="1408"/>
      <c r="Q367" s="1408"/>
      <c r="R367" s="1408"/>
      <c r="S367" s="1408"/>
      <c r="T367" s="1408"/>
      <c r="U367" s="1408"/>
      <c r="V367" s="1408"/>
      <c r="W367" s="1408"/>
      <c r="X367" s="1408"/>
      <c r="Y367" s="1408"/>
      <c r="Z367" s="1408"/>
      <c r="AA367" s="1408"/>
      <c r="AB367" s="1408"/>
      <c r="AC367" s="1408"/>
      <c r="AD367" s="1408"/>
      <c r="AE367" s="1408"/>
      <c r="AF367" s="1408"/>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2108</v>
      </c>
      <c r="F370" s="361"/>
      <c r="G370" s="361"/>
      <c r="H370" s="361"/>
      <c r="I370" s="361"/>
      <c r="J370" s="361"/>
      <c r="K370" s="361"/>
      <c r="L370" s="361"/>
      <c r="M370" s="361"/>
      <c r="O370" s="361"/>
      <c r="P370" s="940" t="s">
        <v>2104</v>
      </c>
      <c r="Q370" s="361" t="s">
        <v>231</v>
      </c>
      <c r="R370" s="361"/>
      <c r="S370" s="1300"/>
      <c r="T370" s="1300"/>
      <c r="U370" s="370" t="s">
        <v>232</v>
      </c>
      <c r="V370" s="1300"/>
      <c r="W370" s="1300"/>
      <c r="X370" s="361"/>
      <c r="Z370" s="361"/>
      <c r="AA370" s="940" t="s">
        <v>2104</v>
      </c>
      <c r="AB370" s="361" t="s">
        <v>231</v>
      </c>
      <c r="AC370" s="361"/>
      <c r="AD370" s="1300"/>
      <c r="AE370" s="1300"/>
      <c r="AF370" s="370" t="s">
        <v>232</v>
      </c>
      <c r="AG370" s="1300"/>
      <c r="AH370" s="1300"/>
    </row>
    <row r="371" spans="1:36" ht="12.95" customHeight="1">
      <c r="D371" s="361"/>
      <c r="E371" s="361" t="s">
        <v>1235</v>
      </c>
      <c r="F371" s="361"/>
      <c r="G371" s="361"/>
      <c r="H371" s="361"/>
      <c r="I371" s="361"/>
      <c r="J371" s="361"/>
      <c r="K371" s="361"/>
      <c r="L371" s="361"/>
      <c r="M371" s="361"/>
      <c r="N371" s="1300"/>
      <c r="O371" s="1300"/>
      <c r="P371" s="1300"/>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28" t="s">
        <v>124</v>
      </c>
      <c r="AH372" s="1328"/>
    </row>
    <row r="373" spans="1:36" ht="12.9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28" t="s">
        <v>124</v>
      </c>
      <c r="AH373" s="1328"/>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28" t="s">
        <v>124</v>
      </c>
      <c r="W374" s="1328"/>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28" t="s">
        <v>124</v>
      </c>
      <c r="W375" s="1328"/>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61" t="s">
        <v>2388</v>
      </c>
      <c r="K378" s="1061"/>
      <c r="L378" s="1061"/>
      <c r="M378" s="1061"/>
      <c r="N378" s="1061"/>
      <c r="O378" s="1061"/>
      <c r="P378" s="1061"/>
      <c r="Q378" s="1061"/>
      <c r="R378" s="1061"/>
      <c r="S378" s="1061"/>
      <c r="T378" s="1061"/>
      <c r="U378" s="1061"/>
      <c r="V378" s="12" t="s">
        <v>710</v>
      </c>
      <c r="W378" s="12"/>
      <c r="X378" s="12"/>
      <c r="Y378" s="12"/>
      <c r="Z378" s="12"/>
      <c r="AA378" s="12"/>
      <c r="AB378" s="12"/>
      <c r="AC378" s="1061" t="s">
        <v>2389</v>
      </c>
      <c r="AD378" s="1061"/>
      <c r="AE378" s="1061"/>
      <c r="AF378" s="1061"/>
      <c r="AG378" s="1061"/>
      <c r="AH378" s="1061"/>
      <c r="AI378" s="1061"/>
      <c r="AJ378" s="1061"/>
    </row>
    <row r="379" spans="1:36" ht="12.95" customHeight="1">
      <c r="D379" s="41" t="s">
        <v>1964</v>
      </c>
      <c r="J379" s="1067" t="s">
        <v>2389</v>
      </c>
      <c r="K379" s="1067"/>
      <c r="L379" s="1067"/>
      <c r="M379" s="1067"/>
      <c r="N379" s="1067"/>
      <c r="O379" s="1067"/>
      <c r="P379" s="1067"/>
      <c r="Q379" s="1067"/>
      <c r="R379" s="1067"/>
      <c r="S379" s="1067"/>
      <c r="T379" s="1067"/>
      <c r="U379" s="1067"/>
      <c r="V379" s="41" t="s">
        <v>1964</v>
      </c>
      <c r="W379" s="12"/>
      <c r="X379" s="12"/>
      <c r="Y379" s="12"/>
      <c r="Z379" s="12"/>
      <c r="AA379" s="12"/>
      <c r="AB379" s="12"/>
      <c r="AC379" s="1061" t="s">
        <v>2392</v>
      </c>
      <c r="AD379" s="1061"/>
      <c r="AE379" s="1061"/>
      <c r="AF379" s="1061"/>
      <c r="AG379" s="1061"/>
      <c r="AH379" s="1061"/>
      <c r="AI379" s="1061"/>
      <c r="AJ379" s="1061"/>
    </row>
    <row r="380" spans="1:36" ht="12.95" customHeight="1">
      <c r="D380" s="41" t="s">
        <v>544</v>
      </c>
      <c r="J380" s="1067" t="s">
        <v>2390</v>
      </c>
      <c r="K380" s="1067"/>
      <c r="L380" s="1067"/>
      <c r="M380" s="1067"/>
      <c r="N380" s="1067"/>
      <c r="O380" s="1067"/>
      <c r="P380" s="1067"/>
      <c r="Q380" s="1067"/>
      <c r="R380" s="1067"/>
      <c r="S380" s="1067"/>
      <c r="T380" s="1067"/>
      <c r="U380" s="1067"/>
      <c r="V380" s="41" t="s">
        <v>544</v>
      </c>
      <c r="W380" s="12"/>
      <c r="X380" s="12"/>
      <c r="Y380" s="12"/>
      <c r="Z380" s="12"/>
      <c r="AA380" s="12"/>
      <c r="AB380" s="12"/>
      <c r="AC380" s="1061"/>
      <c r="AD380" s="1061"/>
      <c r="AE380" s="1061"/>
      <c r="AF380" s="1061"/>
      <c r="AG380" s="1061"/>
      <c r="AH380" s="1061"/>
      <c r="AI380" s="1061"/>
      <c r="AJ380" s="1061"/>
    </row>
    <row r="381" spans="1:36" ht="12.95" customHeight="1">
      <c r="D381" t="s">
        <v>1965</v>
      </c>
      <c r="J381" s="1095" t="s">
        <v>2391</v>
      </c>
      <c r="K381" s="1095"/>
      <c r="L381" s="1095"/>
      <c r="M381" s="1095"/>
      <c r="N381" s="1095"/>
      <c r="O381" s="1095"/>
      <c r="P381" s="1095"/>
      <c r="Q381" s="1095"/>
      <c r="R381" s="1095"/>
      <c r="S381" s="1095"/>
      <c r="T381" s="1095"/>
      <c r="U381" s="1095"/>
      <c r="V381" s="1061" t="s">
        <v>2353</v>
      </c>
      <c r="W381" s="1061"/>
      <c r="X381" s="1061"/>
      <c r="Y381" s="1061"/>
      <c r="Z381" s="1061"/>
      <c r="AA381" s="1061"/>
      <c r="AB381" s="1061"/>
      <c r="AC381" s="1061"/>
      <c r="AD381" s="1061"/>
      <c r="AE381" s="1061"/>
      <c r="AF381" s="1061"/>
      <c r="AG381" s="1061"/>
      <c r="AH381" s="1061"/>
      <c r="AI381" s="1061"/>
      <c r="AJ381" s="1061"/>
    </row>
    <row r="382" spans="1:36" ht="12.95" customHeight="1">
      <c r="D382" t="s">
        <v>554</v>
      </c>
      <c r="Q382" s="1396">
        <v>45261</v>
      </c>
      <c r="R382" s="1396"/>
      <c r="S382" s="1396"/>
      <c r="T382" s="1396"/>
      <c r="U382" s="1396"/>
      <c r="V382" t="s">
        <v>168</v>
      </c>
      <c r="AI382" s="1066" t="s">
        <v>108</v>
      </c>
      <c r="AJ382" s="1066"/>
    </row>
    <row r="383" spans="1:36" ht="12.95" customHeight="1">
      <c r="D383" t="s">
        <v>555</v>
      </c>
      <c r="Q383" s="1409">
        <v>45838</v>
      </c>
      <c r="R383" s="1191"/>
      <c r="S383" s="1191"/>
      <c r="T383" s="1191"/>
      <c r="U383" s="1191"/>
      <c r="W383" s="29" t="s">
        <v>20</v>
      </c>
      <c r="AG383" s="1392"/>
      <c r="AH383" s="1392"/>
      <c r="AI383" s="1392"/>
      <c r="AJ383" s="1392"/>
    </row>
    <row r="384" spans="1:36" ht="12.95" customHeight="1">
      <c r="D384" t="s">
        <v>274</v>
      </c>
      <c r="Q384" s="1226">
        <v>2400000</v>
      </c>
      <c r="R384" s="1226"/>
      <c r="S384" s="1226"/>
      <c r="T384" s="1226"/>
      <c r="U384" s="1226"/>
      <c r="V384" s="41" t="s">
        <v>1966</v>
      </c>
      <c r="AG384" s="1503">
        <v>45778</v>
      </c>
      <c r="AH384" s="1503"/>
      <c r="AI384" s="1503"/>
      <c r="AJ384" s="1503"/>
    </row>
    <row r="385" spans="4:36" ht="12.95" customHeight="1">
      <c r="D385" t="s">
        <v>375</v>
      </c>
      <c r="I385" s="1056" t="s">
        <v>2393</v>
      </c>
      <c r="J385" s="1056"/>
      <c r="K385" s="1056"/>
      <c r="L385" s="1056"/>
      <c r="M385" s="1056"/>
      <c r="N385" s="1056"/>
      <c r="Q385" s="41" t="s">
        <v>818</v>
      </c>
      <c r="S385" s="1405"/>
      <c r="T385" s="1405"/>
      <c r="U385" s="1405"/>
      <c r="V385" t="s">
        <v>19</v>
      </c>
      <c r="AI385" s="1066" t="s">
        <v>482</v>
      </c>
      <c r="AJ385" s="1066"/>
    </row>
    <row r="386" spans="4:36" ht="12.95" customHeight="1">
      <c r="D386" t="s">
        <v>169</v>
      </c>
      <c r="Q386" s="1073"/>
      <c r="R386" s="1073"/>
      <c r="S386" s="1073"/>
      <c r="T386" s="1073"/>
      <c r="U386" s="1073"/>
      <c r="V386" t="s">
        <v>170</v>
      </c>
      <c r="AG386" s="1392"/>
      <c r="AH386" s="1392"/>
      <c r="AI386" s="1392"/>
      <c r="AJ386" s="1392"/>
    </row>
    <row r="387" spans="4:36" ht="12.95" customHeight="1">
      <c r="D387" t="s">
        <v>25</v>
      </c>
      <c r="Q387" s="1415">
        <v>0.01</v>
      </c>
      <c r="R387" s="1415"/>
      <c r="S387" s="1415"/>
      <c r="T387" s="1415"/>
      <c r="U387" s="1415"/>
      <c r="V387" t="s">
        <v>1682</v>
      </c>
      <c r="AG387" s="1392"/>
      <c r="AH387" s="1392"/>
      <c r="AI387" s="1392"/>
      <c r="AJ387" s="1392"/>
    </row>
    <row r="388" spans="4:36" ht="12.95" customHeight="1">
      <c r="D388" t="s">
        <v>1967</v>
      </c>
      <c r="AG388" s="1392"/>
      <c r="AH388" s="1392"/>
      <c r="AI388" s="1392"/>
      <c r="AJ388" s="1392"/>
    </row>
    <row r="389" spans="4:36" ht="12.95" customHeight="1">
      <c r="AG389" s="832"/>
      <c r="AH389" s="832"/>
      <c r="AI389" s="832"/>
      <c r="AJ389" s="832"/>
    </row>
    <row r="390" spans="4:36" ht="12.95" customHeight="1">
      <c r="D390" s="41" t="s">
        <v>2206</v>
      </c>
      <c r="AG390" s="832"/>
      <c r="AH390" s="832"/>
      <c r="AI390" s="1066" t="s">
        <v>482</v>
      </c>
      <c r="AJ390" s="1066"/>
    </row>
    <row r="391" spans="4:36" ht="12.95" customHeight="1">
      <c r="D391" s="41" t="s">
        <v>1968</v>
      </c>
      <c r="T391" s="1301"/>
      <c r="U391" s="1301"/>
      <c r="V391" s="1301"/>
      <c r="W391" s="1301"/>
      <c r="X391" s="1301"/>
      <c r="Y391" s="1301"/>
      <c r="Z391" s="1301"/>
      <c r="AA391" s="1301"/>
      <c r="AB391" s="1301"/>
      <c r="AC391" s="1301"/>
      <c r="AD391" s="1301"/>
      <c r="AE391" s="1301"/>
      <c r="AF391" s="1301"/>
      <c r="AG391" s="1301"/>
      <c r="AH391" s="1301"/>
      <c r="AI391" s="1301"/>
      <c r="AJ391" s="1301"/>
    </row>
    <row r="392" spans="4:36" ht="12.95" customHeight="1">
      <c r="D392" s="41" t="s">
        <v>1969</v>
      </c>
      <c r="T392" s="1301"/>
      <c r="U392" s="1301"/>
      <c r="V392" s="1301"/>
      <c r="W392" s="1301"/>
      <c r="X392" s="1301"/>
      <c r="Y392" s="1301"/>
      <c r="Z392" s="1301"/>
      <c r="AA392" s="1301"/>
      <c r="AB392" s="1301"/>
      <c r="AC392" s="1301"/>
      <c r="AD392" s="1301"/>
      <c r="AE392" s="1301"/>
      <c r="AF392" s="1301"/>
      <c r="AG392" s="1301"/>
      <c r="AH392" s="1301"/>
      <c r="AI392" s="1301"/>
      <c r="AJ392" s="1301"/>
    </row>
    <row r="393" spans="4:36" ht="12.95" customHeight="1">
      <c r="AG393" s="832"/>
      <c r="AH393" s="832"/>
      <c r="AI393" s="832"/>
      <c r="AJ393" s="832"/>
    </row>
    <row r="394" spans="4:36" ht="12.95" customHeight="1">
      <c r="D394" s="41" t="s">
        <v>1970</v>
      </c>
      <c r="S394" s="1301" t="s">
        <v>482</v>
      </c>
      <c r="T394" s="1301"/>
      <c r="U394" s="1301"/>
      <c r="V394" t="s">
        <v>1971</v>
      </c>
      <c r="AG394" s="1561"/>
      <c r="AH394" s="1561"/>
      <c r="AI394" s="1561"/>
      <c r="AJ394" s="1561"/>
    </row>
    <row r="395" spans="4:36" ht="12.95" customHeight="1">
      <c r="D395" s="41" t="s">
        <v>1972</v>
      </c>
      <c r="S395" s="1301" t="s">
        <v>124</v>
      </c>
      <c r="T395" s="1301"/>
      <c r="U395" s="1301"/>
      <c r="V395" t="s">
        <v>1973</v>
      </c>
      <c r="AE395" s="1558"/>
      <c r="AF395" s="1558"/>
      <c r="AG395" s="1558"/>
      <c r="AH395" s="1558"/>
      <c r="AI395" s="1558"/>
      <c r="AJ395" s="1558"/>
    </row>
    <row r="396" spans="4:36" ht="12.95" customHeight="1">
      <c r="D396" s="41" t="s">
        <v>1974</v>
      </c>
      <c r="K396" s="1395"/>
      <c r="L396" s="1395"/>
      <c r="M396" s="1395"/>
      <c r="N396" s="1395"/>
      <c r="O396" s="1395"/>
      <c r="P396" s="1395"/>
      <c r="Q396" s="1395"/>
      <c r="R396" s="1395"/>
      <c r="S396" s="1395"/>
      <c r="T396" s="1395"/>
      <c r="U396" s="1395"/>
      <c r="V396" s="1395"/>
      <c r="W396" s="1395"/>
      <c r="X396" s="1395"/>
      <c r="Y396" s="1395"/>
      <c r="Z396" s="1395"/>
      <c r="AA396" s="1395"/>
      <c r="AB396" s="1395"/>
      <c r="AC396" s="1395"/>
      <c r="AD396" s="1395"/>
      <c r="AE396" s="1395"/>
      <c r="AF396" s="1395"/>
      <c r="AG396" s="1395"/>
      <c r="AH396" s="1395"/>
      <c r="AI396" s="1395"/>
      <c r="AJ396" s="1395"/>
    </row>
    <row r="397" spans="4:36" ht="12.95" customHeight="1">
      <c r="D397" s="41" t="s">
        <v>1975</v>
      </c>
      <c r="K397" s="1395"/>
      <c r="L397" s="1395"/>
      <c r="M397" s="1395"/>
      <c r="N397" s="1395"/>
      <c r="O397" s="1395"/>
      <c r="P397" s="1395"/>
      <c r="Q397" s="1395"/>
      <c r="R397" s="1395"/>
      <c r="S397" s="1395"/>
      <c r="T397" s="1395"/>
      <c r="U397" s="1395"/>
      <c r="V397" s="1395"/>
      <c r="W397" s="1395"/>
      <c r="X397" s="1395"/>
      <c r="Y397" s="1395"/>
      <c r="Z397" s="1395"/>
      <c r="AA397" s="1395"/>
      <c r="AB397" s="1395"/>
      <c r="AC397" s="1395"/>
      <c r="AD397" s="1395"/>
      <c r="AE397" s="1395"/>
      <c r="AF397" s="1395"/>
      <c r="AG397" s="1395"/>
      <c r="AH397" s="1395"/>
      <c r="AI397" s="1395"/>
      <c r="AJ397" s="1395"/>
    </row>
    <row r="398" spans="4:36" ht="12.95" customHeight="1">
      <c r="D398" s="41" t="s">
        <v>1976</v>
      </c>
      <c r="E398" s="813"/>
      <c r="F398" s="813"/>
      <c r="G398" s="813"/>
      <c r="H398" s="813"/>
      <c r="I398" s="813"/>
      <c r="J398" s="813"/>
      <c r="K398" s="813"/>
      <c r="L398" s="813"/>
      <c r="M398" s="813"/>
      <c r="N398" s="813"/>
      <c r="O398" s="813"/>
      <c r="P398" s="813"/>
      <c r="Q398" s="813"/>
      <c r="R398" s="813"/>
      <c r="S398" s="1397" t="s">
        <v>2394</v>
      </c>
      <c r="T398" s="1397"/>
      <c r="U398" s="1397"/>
      <c r="V398" s="1397"/>
      <c r="W398" s="1397"/>
      <c r="X398" s="1397"/>
      <c r="Y398" s="1397"/>
      <c r="Z398" s="1397"/>
      <c r="AA398" s="1397"/>
      <c r="AB398" s="1397"/>
      <c r="AC398" s="1397"/>
      <c r="AD398" s="1397"/>
      <c r="AE398" s="1397"/>
      <c r="AF398" s="1397"/>
      <c r="AG398" s="1397"/>
      <c r="AH398" s="1397"/>
      <c r="AI398" s="1397"/>
      <c r="AJ398" s="1397"/>
    </row>
    <row r="399" spans="4:36" ht="12.95" customHeight="1">
      <c r="D399" s="976" t="s">
        <v>1978</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5"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5" customHeight="1">
      <c r="AG401" s="832"/>
      <c r="AH401" s="832"/>
      <c r="AI401" s="832"/>
      <c r="AJ401" s="832"/>
    </row>
    <row r="402" spans="1:36" ht="12.95" customHeight="1">
      <c r="A402" s="3" t="s">
        <v>122</v>
      </c>
      <c r="B402" s="3"/>
      <c r="C402" s="3" t="s">
        <v>899</v>
      </c>
    </row>
    <row r="403" spans="1:36" ht="12.95" customHeight="1">
      <c r="D403" s="3" t="s">
        <v>1735</v>
      </c>
      <c r="I403" s="1058" t="s">
        <v>2395</v>
      </c>
      <c r="J403" s="1058"/>
      <c r="K403" s="1058"/>
      <c r="L403" s="1058"/>
      <c r="M403" s="1058"/>
      <c r="N403" s="1058"/>
      <c r="O403" s="1058"/>
      <c r="P403" s="1058"/>
      <c r="Q403" s="1058"/>
      <c r="R403" s="1058"/>
      <c r="S403" s="1058"/>
      <c r="T403" s="1058"/>
      <c r="U403" s="1058"/>
      <c r="V403" s="1058"/>
      <c r="W403" s="1058"/>
      <c r="X403" s="1058"/>
      <c r="Y403" s="1058"/>
      <c r="Z403" s="1058"/>
      <c r="AA403" s="1058"/>
      <c r="AB403" s="1058"/>
      <c r="AC403" s="1058"/>
      <c r="AD403" s="1058"/>
    </row>
    <row r="404" spans="1:36" ht="12.95" customHeight="1">
      <c r="E404" t="s">
        <v>855</v>
      </c>
      <c r="R404" s="1066" t="s">
        <v>124</v>
      </c>
      <c r="S404" s="1066"/>
      <c r="T404" t="s">
        <v>291</v>
      </c>
      <c r="AD404" s="1070">
        <v>0</v>
      </c>
      <c r="AE404" s="1070"/>
    </row>
    <row r="405" spans="1:36" ht="12.95" customHeight="1">
      <c r="E405" t="s">
        <v>856</v>
      </c>
      <c r="R405" s="1066" t="s">
        <v>108</v>
      </c>
      <c r="S405" s="1066"/>
      <c r="T405" t="s">
        <v>291</v>
      </c>
      <c r="AD405" s="1070">
        <v>3</v>
      </c>
      <c r="AE405" s="1070"/>
    </row>
    <row r="406" spans="1:36" ht="12.95" customHeight="1">
      <c r="E406" t="s">
        <v>857</v>
      </c>
      <c r="S406" s="1066" t="s">
        <v>124</v>
      </c>
      <c r="T406" s="1066"/>
    </row>
    <row r="407" spans="1:36" ht="12.95" customHeight="1">
      <c r="E407" t="s">
        <v>283</v>
      </c>
      <c r="H407" s="1112" t="s">
        <v>562</v>
      </c>
      <c r="I407" s="1112"/>
      <c r="J407" s="1112"/>
      <c r="K407" s="1112"/>
      <c r="L407" s="1112"/>
      <c r="M407" s="1112"/>
      <c r="N407" s="1112"/>
      <c r="O407" s="1112"/>
      <c r="P407" s="1112"/>
      <c r="Q407" s="1112"/>
      <c r="R407" s="1112"/>
      <c r="S407" s="1112"/>
      <c r="T407" s="1112"/>
      <c r="U407" s="1112"/>
      <c r="V407" s="1112"/>
      <c r="W407" s="1112"/>
      <c r="X407" s="1112"/>
      <c r="Y407" s="1112"/>
      <c r="Z407" s="1112"/>
      <c r="AA407" s="1112"/>
      <c r="AB407" s="1112"/>
      <c r="AC407" s="1112"/>
      <c r="AD407" s="1112"/>
      <c r="AE407" s="1112"/>
      <c r="AF407" s="1112"/>
      <c r="AG407" s="1112"/>
      <c r="AH407" s="1112"/>
      <c r="AI407" s="1112"/>
      <c r="AJ407" s="1112"/>
    </row>
    <row r="408" spans="1:36" ht="12.95" customHeight="1">
      <c r="H408" s="1113"/>
      <c r="I408" s="1113"/>
      <c r="J408" s="1113"/>
      <c r="K408" s="1113"/>
      <c r="L408" s="1113"/>
      <c r="M408" s="1113"/>
      <c r="N408" s="1113"/>
      <c r="O408" s="1113"/>
      <c r="P408" s="1113"/>
      <c r="Q408" s="1113"/>
      <c r="R408" s="1113"/>
      <c r="S408" s="1113"/>
      <c r="T408" s="1113"/>
      <c r="U408" s="1113"/>
      <c r="V408" s="1113"/>
      <c r="W408" s="1113"/>
      <c r="X408" s="1113"/>
      <c r="Y408" s="1113"/>
      <c r="Z408" s="1113"/>
      <c r="AA408" s="1113"/>
      <c r="AB408" s="1113"/>
      <c r="AC408" s="1113"/>
      <c r="AD408" s="1113"/>
      <c r="AE408" s="1113"/>
      <c r="AF408" s="1113"/>
      <c r="AG408" s="1113"/>
      <c r="AH408" s="1113"/>
      <c r="AI408" s="1113"/>
      <c r="AJ408" s="1113"/>
    </row>
    <row r="409" spans="1:36" ht="12.95" customHeight="1"/>
    <row r="410" spans="1:36" ht="12.95" customHeight="1">
      <c r="A410" s="3" t="s">
        <v>123</v>
      </c>
      <c r="B410" s="3"/>
      <c r="C410" s="3"/>
      <c r="D410" s="3" t="s">
        <v>902</v>
      </c>
      <c r="AE410" s="5"/>
      <c r="AF410" s="3" t="s">
        <v>1214</v>
      </c>
    </row>
    <row r="411" spans="1:36" ht="12.95" customHeight="1">
      <c r="E411" s="1304"/>
      <c r="F411" s="1304"/>
      <c r="G411" s="1304"/>
      <c r="H411" s="18" t="s">
        <v>903</v>
      </c>
      <c r="I411" s="1304"/>
      <c r="J411" s="1304"/>
      <c r="K411" s="1304"/>
      <c r="L411" t="s">
        <v>904</v>
      </c>
      <c r="N411" s="34" t="s">
        <v>851</v>
      </c>
      <c r="P411" s="1402">
        <v>1.91</v>
      </c>
      <c r="Q411" s="1402"/>
      <c r="R411" s="1402"/>
      <c r="S411" t="s">
        <v>905</v>
      </c>
      <c r="W411" s="1403">
        <f>IF(E411&gt;0,(E411*I411),(P411*43560))</f>
        <v>83199.599999999991</v>
      </c>
      <c r="X411" s="1403"/>
      <c r="Y411" s="1403"/>
      <c r="Z411" t="s">
        <v>906</v>
      </c>
      <c r="AF411" s="1305" cm="1">
        <f t="array" ref="AF411">_xlfn.IFS(P411&gt;0,(AG430/P411),W411&gt;0,(AG430/(W411/43560)),TRUE,0)</f>
        <v>62.827225130890056</v>
      </c>
      <c r="AG411" s="1305"/>
      <c r="AH411" s="1305"/>
    </row>
    <row r="412" spans="1:36" ht="12.95" customHeight="1">
      <c r="E412" t="s">
        <v>203</v>
      </c>
    </row>
    <row r="413" spans="1:36" ht="12.95" customHeight="1">
      <c r="E413" s="1394"/>
      <c r="F413" s="1394"/>
      <c r="G413" s="1394"/>
      <c r="H413" s="1394"/>
      <c r="I413" s="1394"/>
      <c r="J413" s="1394"/>
      <c r="K413" s="1394"/>
      <c r="L413" s="1394"/>
      <c r="M413" s="1394"/>
      <c r="N413" s="1394"/>
      <c r="O413" s="1394"/>
      <c r="P413" s="1394"/>
      <c r="Q413" s="1394"/>
      <c r="R413" s="1394"/>
      <c r="S413" s="1394"/>
      <c r="T413" s="1394"/>
      <c r="U413" s="1394"/>
      <c r="V413" s="1394"/>
      <c r="W413" s="1394"/>
      <c r="X413" s="1394"/>
      <c r="Y413" s="1394"/>
      <c r="Z413" s="1394"/>
      <c r="AA413" s="1394"/>
      <c r="AB413" s="1394"/>
      <c r="AC413" s="1394"/>
      <c r="AD413" s="1394"/>
      <c r="AE413" s="1394"/>
      <c r="AF413" s="1394"/>
      <c r="AG413" s="1394"/>
      <c r="AH413" s="1394"/>
      <c r="AI413" s="1394"/>
      <c r="AJ413" s="1394"/>
    </row>
    <row r="414" spans="1:36" ht="12.95" customHeight="1">
      <c r="E414" s="270" t="s">
        <v>1979</v>
      </c>
      <c r="F414" s="29"/>
      <c r="G414" s="29"/>
      <c r="H414" s="29"/>
      <c r="I414" s="1393">
        <v>1.91</v>
      </c>
      <c r="J414" s="1393"/>
      <c r="K414" s="1393"/>
      <c r="L414" s="29"/>
      <c r="M414" s="270"/>
      <c r="N414" s="29"/>
      <c r="O414" s="29"/>
      <c r="P414" s="1303">
        <f>(CQ628+CS633+CQ647)/I414</f>
        <v>109.9476439790576</v>
      </c>
      <c r="Q414" s="1303"/>
      <c r="R414" s="1303"/>
      <c r="S414" s="270" t="s">
        <v>1980</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66">
        <v>4</v>
      </c>
      <c r="Q417" s="1066"/>
      <c r="S417" t="s">
        <v>134</v>
      </c>
      <c r="AE417" s="1066">
        <v>4</v>
      </c>
      <c r="AF417" s="1066"/>
    </row>
    <row r="418" spans="1:36" ht="12.95" customHeight="1">
      <c r="E418" t="s">
        <v>135</v>
      </c>
      <c r="P418" s="1066">
        <v>0</v>
      </c>
      <c r="Q418" s="1066"/>
      <c r="S418" t="s">
        <v>726</v>
      </c>
      <c r="AE418" s="1066" t="s">
        <v>124</v>
      </c>
      <c r="AF418" s="1066"/>
    </row>
    <row r="419" spans="1:36" ht="12.95" customHeight="1">
      <c r="F419" s="36" t="s">
        <v>221</v>
      </c>
    </row>
    <row r="420" spans="1:36" ht="12.95" customHeight="1">
      <c r="F420" s="1064"/>
      <c r="G420" s="1064"/>
      <c r="H420" s="1064"/>
      <c r="I420" s="1064"/>
      <c r="J420" s="1064"/>
      <c r="K420" s="1064"/>
      <c r="L420" s="1064"/>
      <c r="M420" s="1064"/>
      <c r="N420" s="1064"/>
      <c r="O420" s="1064"/>
      <c r="P420" s="1064"/>
      <c r="Q420" s="1064"/>
      <c r="R420" s="1064"/>
      <c r="S420" s="1064"/>
      <c r="T420" s="1064"/>
      <c r="U420" s="1064"/>
      <c r="V420" s="1064"/>
      <c r="W420" s="1064"/>
      <c r="X420" s="1064"/>
      <c r="Y420" s="1064"/>
      <c r="Z420" s="1064"/>
      <c r="AA420" s="1064"/>
      <c r="AB420" s="1064"/>
      <c r="AC420" s="1064"/>
      <c r="AD420" s="1064"/>
      <c r="AE420" s="1064"/>
      <c r="AF420" s="1064"/>
      <c r="AG420" s="1064"/>
      <c r="AH420" s="1064"/>
    </row>
    <row r="421" spans="1:36" ht="12.95" customHeight="1">
      <c r="F421" s="1065"/>
      <c r="G421" s="1065"/>
      <c r="H421" s="1065"/>
      <c r="I421" s="1065"/>
      <c r="J421" s="1065"/>
      <c r="K421" s="1065"/>
      <c r="L421" s="1065"/>
      <c r="M421" s="1065"/>
      <c r="N421" s="1065"/>
      <c r="O421" s="1065"/>
      <c r="P421" s="1065"/>
      <c r="Q421" s="1065"/>
      <c r="R421" s="1065"/>
      <c r="S421" s="1065"/>
      <c r="T421" s="1065"/>
      <c r="U421" s="1065"/>
      <c r="V421" s="1065"/>
      <c r="W421" s="1065"/>
      <c r="X421" s="1065"/>
      <c r="Y421" s="1065"/>
      <c r="Z421" s="1065"/>
      <c r="AA421" s="1065"/>
      <c r="AB421" s="1065"/>
      <c r="AC421" s="1065"/>
      <c r="AD421" s="1065"/>
      <c r="AE421" s="1065"/>
      <c r="AF421" s="1065"/>
      <c r="AG421" s="1065"/>
      <c r="AH421" s="1065"/>
    </row>
    <row r="422" spans="1:36" ht="12.95" customHeight="1">
      <c r="E422" t="s">
        <v>858</v>
      </c>
      <c r="P422" s="1"/>
      <c r="Q422" s="1066" t="s">
        <v>108</v>
      </c>
      <c r="R422" s="1066"/>
      <c r="AE422" s="1"/>
      <c r="AF422" s="1"/>
    </row>
    <row r="423" spans="1:36" ht="12.95" customHeight="1">
      <c r="F423" t="s">
        <v>859</v>
      </c>
      <c r="P423" s="1"/>
      <c r="Q423" s="1"/>
      <c r="AE423" s="1066" t="s">
        <v>124</v>
      </c>
      <c r="AF423" s="1472"/>
    </row>
    <row r="424" spans="1:36" ht="12.95" customHeight="1"/>
    <row r="425" spans="1:36" ht="12.95" customHeight="1">
      <c r="A425" s="3"/>
      <c r="B425" s="3"/>
      <c r="C425" s="3"/>
      <c r="E425" s="5" t="s">
        <v>80</v>
      </c>
      <c r="Z425" s="1066" t="s">
        <v>482</v>
      </c>
      <c r="AA425" s="1066"/>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66" t="s">
        <v>124</v>
      </c>
      <c r="AA427" s="1066"/>
    </row>
    <row r="428" spans="1:36" ht="12.95" customHeight="1"/>
    <row r="429" spans="1:36" ht="12.95" customHeight="1">
      <c r="A429" s="3" t="s">
        <v>367</v>
      </c>
      <c r="B429" s="3"/>
      <c r="C429" s="3"/>
      <c r="D429" s="3" t="s">
        <v>172</v>
      </c>
      <c r="AF429" s="54"/>
    </row>
    <row r="430" spans="1:36" ht="12.95" customHeight="1">
      <c r="D430" s="1379" t="s">
        <v>356</v>
      </c>
      <c r="E430" s="1333"/>
      <c r="F430" s="1333"/>
      <c r="G430" s="1333"/>
      <c r="H430" s="1333"/>
      <c r="I430" s="1333"/>
      <c r="J430" s="1333"/>
      <c r="K430" s="1333"/>
      <c r="L430" s="1333"/>
      <c r="M430" s="1333"/>
      <c r="N430" s="1333"/>
      <c r="O430" s="1333"/>
      <c r="P430" s="1333"/>
      <c r="Q430" s="1333"/>
      <c r="R430" s="1333"/>
      <c r="S430" s="1333"/>
      <c r="T430" s="1333"/>
      <c r="U430" s="1333"/>
      <c r="V430" s="1333"/>
      <c r="W430" s="1333"/>
      <c r="X430" s="1333"/>
      <c r="Y430" s="1333"/>
      <c r="Z430" s="1333"/>
      <c r="AA430" s="1333"/>
      <c r="AB430" s="1333"/>
      <c r="AC430" s="1333"/>
      <c r="AD430" s="1333"/>
      <c r="AE430" s="1333"/>
      <c r="AF430" s="1334"/>
      <c r="AG430" s="1105">
        <v>120</v>
      </c>
      <c r="AH430" s="1105"/>
      <c r="AI430" s="1105"/>
      <c r="AJ430" s="1105"/>
    </row>
    <row r="431" spans="1:36" ht="12.95" customHeight="1">
      <c r="D431" s="1302" t="s">
        <v>2273</v>
      </c>
      <c r="E431" s="1107"/>
      <c r="F431" s="1107"/>
      <c r="G431" s="1107"/>
      <c r="H431" s="1107"/>
      <c r="I431" s="1107"/>
      <c r="J431" s="1107"/>
      <c r="K431" s="1107"/>
      <c r="L431" s="1107"/>
      <c r="M431" s="1107"/>
      <c r="N431" s="1107"/>
      <c r="O431" s="1107"/>
      <c r="P431" s="1107"/>
      <c r="Q431" s="1107"/>
      <c r="R431" s="1107"/>
      <c r="S431" s="1107"/>
      <c r="T431" s="1107"/>
      <c r="U431" s="1107"/>
      <c r="V431" s="1107"/>
      <c r="W431" s="1107"/>
      <c r="X431" s="1107"/>
      <c r="Y431" s="1107"/>
      <c r="Z431" s="1107"/>
      <c r="AA431" s="1107"/>
      <c r="AB431" s="1107"/>
      <c r="AC431" s="1107"/>
      <c r="AD431" s="1107"/>
      <c r="AE431" s="1107"/>
      <c r="AF431" s="1108"/>
      <c r="AG431" s="1556">
        <v>0</v>
      </c>
      <c r="AH431" s="1557"/>
      <c r="AI431" s="1557"/>
      <c r="AJ431" s="1557"/>
    </row>
    <row r="432" spans="1:36" ht="12.95" customHeight="1">
      <c r="D432" s="1106" t="s">
        <v>1369</v>
      </c>
      <c r="E432" s="1107"/>
      <c r="F432" s="1107"/>
      <c r="G432" s="1107"/>
      <c r="H432" s="1107"/>
      <c r="I432" s="1107"/>
      <c r="J432" s="1107"/>
      <c r="K432" s="1107"/>
      <c r="L432" s="1107"/>
      <c r="M432" s="1107"/>
      <c r="N432" s="1107"/>
      <c r="O432" s="1107"/>
      <c r="P432" s="1107"/>
      <c r="Q432" s="1107"/>
      <c r="R432" s="1107"/>
      <c r="S432" s="1107"/>
      <c r="T432" s="1107"/>
      <c r="U432" s="1107"/>
      <c r="V432" s="1107"/>
      <c r="W432" s="1107"/>
      <c r="X432" s="1107"/>
      <c r="Y432" s="1107"/>
      <c r="Z432" s="1107"/>
      <c r="AA432" s="1107"/>
      <c r="AB432" s="1107"/>
      <c r="AC432" s="1107"/>
      <c r="AD432" s="1107"/>
      <c r="AE432" s="1107"/>
      <c r="AF432" s="1108"/>
      <c r="AG432" s="1105">
        <v>119</v>
      </c>
      <c r="AH432" s="1105"/>
      <c r="AI432" s="1105"/>
      <c r="AJ432" s="1105"/>
    </row>
    <row r="433" spans="4:36" ht="12.95" customHeight="1">
      <c r="D433" s="1106" t="s">
        <v>1366</v>
      </c>
      <c r="E433" s="1107"/>
      <c r="F433" s="1107"/>
      <c r="G433" s="1107"/>
      <c r="H433" s="1107"/>
      <c r="I433" s="1107"/>
      <c r="J433" s="1107"/>
      <c r="K433" s="1107"/>
      <c r="L433" s="1107"/>
      <c r="M433" s="1107"/>
      <c r="N433" s="1107"/>
      <c r="O433" s="1107"/>
      <c r="P433" s="1107"/>
      <c r="Q433" s="1107"/>
      <c r="R433" s="1107"/>
      <c r="S433" s="1107"/>
      <c r="T433" s="1107"/>
      <c r="U433" s="1107"/>
      <c r="V433" s="1107"/>
      <c r="W433" s="1107"/>
      <c r="X433" s="1107"/>
      <c r="Y433" s="1107"/>
      <c r="Z433" s="1107"/>
      <c r="AA433" s="1107"/>
      <c r="AB433" s="1107"/>
      <c r="AC433" s="1107"/>
      <c r="AD433" s="1107"/>
      <c r="AE433" s="1107"/>
      <c r="AF433" s="1108"/>
      <c r="AG433" s="1105">
        <v>119</v>
      </c>
      <c r="AH433" s="1105"/>
      <c r="AI433" s="1105"/>
      <c r="AJ433" s="1105"/>
    </row>
    <row r="434" spans="4:36" ht="12.95" customHeight="1">
      <c r="D434" s="1106" t="s">
        <v>1370</v>
      </c>
      <c r="E434" s="1107"/>
      <c r="F434" s="1107"/>
      <c r="G434" s="1107"/>
      <c r="H434" s="1107"/>
      <c r="I434" s="1107"/>
      <c r="J434" s="1107"/>
      <c r="K434" s="1107"/>
      <c r="L434" s="1107"/>
      <c r="M434" s="1107"/>
      <c r="N434" s="1107"/>
      <c r="O434" s="1107"/>
      <c r="P434" s="1107"/>
      <c r="Q434" s="1107"/>
      <c r="R434" s="1107"/>
      <c r="S434" s="1107"/>
      <c r="T434" s="1107"/>
      <c r="U434" s="1107"/>
      <c r="V434" s="1107"/>
      <c r="W434" s="1107"/>
      <c r="X434" s="1107"/>
      <c r="Y434" s="1107"/>
      <c r="Z434" s="1107"/>
      <c r="AA434" s="1107"/>
      <c r="AB434" s="1107"/>
      <c r="AC434" s="1107"/>
      <c r="AD434" s="1107"/>
      <c r="AE434" s="1107"/>
      <c r="AF434" s="1108"/>
      <c r="AG434" s="1327">
        <f>IF(ISERROR(AG433/AG432),"",AG433/AG432)</f>
        <v>1</v>
      </c>
      <c r="AH434" s="1327"/>
      <c r="AI434" s="1327"/>
      <c r="AJ434" s="1327"/>
    </row>
    <row r="435" spans="4:36" ht="12.95" customHeight="1">
      <c r="D435" s="1106" t="s">
        <v>1368</v>
      </c>
      <c r="E435" s="1107"/>
      <c r="F435" s="1107"/>
      <c r="G435" s="1107"/>
      <c r="H435" s="1107"/>
      <c r="I435" s="1107"/>
      <c r="J435" s="1107"/>
      <c r="K435" s="1107"/>
      <c r="L435" s="1107"/>
      <c r="M435" s="1107"/>
      <c r="N435" s="1107"/>
      <c r="O435" s="1107"/>
      <c r="P435" s="1107"/>
      <c r="Q435" s="1107"/>
      <c r="R435" s="1107"/>
      <c r="S435" s="1107"/>
      <c r="T435" s="1107"/>
      <c r="U435" s="1107"/>
      <c r="V435" s="1107"/>
      <c r="W435" s="1107"/>
      <c r="X435" s="1107"/>
      <c r="Y435" s="1107"/>
      <c r="Z435" s="1107"/>
      <c r="AA435" s="1107"/>
      <c r="AB435" s="1107"/>
      <c r="AC435" s="1107"/>
      <c r="AD435" s="1107"/>
      <c r="AE435" s="1107"/>
      <c r="AF435" s="1108"/>
      <c r="AG435" s="1114">
        <v>100839</v>
      </c>
      <c r="AH435" s="1114"/>
      <c r="AI435" s="1114"/>
      <c r="AJ435" s="1114"/>
    </row>
    <row r="436" spans="4:36" ht="12.95" customHeight="1">
      <c r="D436" s="1106" t="s">
        <v>1367</v>
      </c>
      <c r="E436" s="1107"/>
      <c r="F436" s="1107"/>
      <c r="G436" s="1107"/>
      <c r="H436" s="1107"/>
      <c r="I436" s="1107"/>
      <c r="J436" s="1107"/>
      <c r="K436" s="1107"/>
      <c r="L436" s="1107"/>
      <c r="M436" s="1107"/>
      <c r="N436" s="1107"/>
      <c r="O436" s="1107"/>
      <c r="P436" s="1107"/>
      <c r="Q436" s="1107"/>
      <c r="R436" s="1107"/>
      <c r="S436" s="1107"/>
      <c r="T436" s="1107"/>
      <c r="U436" s="1107"/>
      <c r="V436" s="1107"/>
      <c r="W436" s="1107"/>
      <c r="X436" s="1107"/>
      <c r="Y436" s="1107"/>
      <c r="Z436" s="1107"/>
      <c r="AA436" s="1107"/>
      <c r="AB436" s="1107"/>
      <c r="AC436" s="1107"/>
      <c r="AD436" s="1107"/>
      <c r="AE436" s="1107"/>
      <c r="AF436" s="1108"/>
      <c r="AG436" s="1114">
        <v>100839</v>
      </c>
      <c r="AH436" s="1114"/>
      <c r="AI436" s="1114"/>
      <c r="AJ436" s="1114"/>
    </row>
    <row r="437" spans="4:36" ht="12.95" customHeight="1">
      <c r="D437" s="1106" t="s">
        <v>1373</v>
      </c>
      <c r="E437" s="1107"/>
      <c r="F437" s="1107"/>
      <c r="G437" s="1107"/>
      <c r="H437" s="1107"/>
      <c r="I437" s="1107"/>
      <c r="J437" s="1107"/>
      <c r="K437" s="1107"/>
      <c r="L437" s="1107"/>
      <c r="M437" s="1107"/>
      <c r="N437" s="1107"/>
      <c r="O437" s="1107"/>
      <c r="P437" s="1107"/>
      <c r="Q437" s="1107"/>
      <c r="R437" s="1107"/>
      <c r="S437" s="1107"/>
      <c r="T437" s="1107"/>
      <c r="U437" s="1107"/>
      <c r="V437" s="1107"/>
      <c r="W437" s="1107"/>
      <c r="X437" s="1107"/>
      <c r="Y437" s="1107"/>
      <c r="Z437" s="1107"/>
      <c r="AA437" s="1107"/>
      <c r="AB437" s="1107"/>
      <c r="AC437" s="1107"/>
      <c r="AD437" s="1107"/>
      <c r="AE437" s="1107"/>
      <c r="AF437" s="1108"/>
      <c r="AG437" s="1327">
        <f>IF(ISERROR(AG436/AG435),"",AG436/AG435)</f>
        <v>1</v>
      </c>
      <c r="AH437" s="1327"/>
      <c r="AI437" s="1327"/>
      <c r="AJ437" s="1327"/>
    </row>
    <row r="438" spans="4:36" ht="12.95" customHeight="1">
      <c r="D438" s="1106" t="s">
        <v>1371</v>
      </c>
      <c r="E438" s="1107"/>
      <c r="F438" s="1107"/>
      <c r="G438" s="1107"/>
      <c r="H438" s="1107"/>
      <c r="I438" s="1107"/>
      <c r="J438" s="1107"/>
      <c r="K438" s="1107"/>
      <c r="L438" s="1107"/>
      <c r="M438" s="1107"/>
      <c r="N438" s="1107"/>
      <c r="O438" s="1107"/>
      <c r="P438" s="1107"/>
      <c r="Q438" s="1107"/>
      <c r="R438" s="1107"/>
      <c r="S438" s="1107"/>
      <c r="T438" s="1107"/>
      <c r="U438" s="1107"/>
      <c r="V438" s="1107"/>
      <c r="W438" s="1107"/>
      <c r="X438" s="1107"/>
      <c r="Y438" s="1107"/>
      <c r="Z438" s="1107"/>
      <c r="AA438" s="1107"/>
      <c r="AB438" s="1107"/>
      <c r="AC438" s="1107"/>
      <c r="AD438" s="1107"/>
      <c r="AE438" s="1107"/>
      <c r="AF438" s="1108"/>
      <c r="AG438" s="1327">
        <f>MIN(IF(AG434&gt;AG437,AG437,AG434),1)</f>
        <v>1</v>
      </c>
      <c r="AH438" s="1327"/>
      <c r="AI438" s="1327"/>
      <c r="AJ438" s="1327"/>
    </row>
    <row r="439" spans="4:36" ht="12.95" customHeight="1">
      <c r="D439" s="1302" t="s">
        <v>2111</v>
      </c>
      <c r="E439" s="1333"/>
      <c r="F439" s="1333"/>
      <c r="G439" s="1333"/>
      <c r="H439" s="1333"/>
      <c r="I439" s="1333"/>
      <c r="J439" s="1333"/>
      <c r="K439" s="1333"/>
      <c r="L439" s="1333"/>
      <c r="M439" s="1333"/>
      <c r="N439" s="1333"/>
      <c r="O439" s="1333"/>
      <c r="P439" s="1333"/>
      <c r="Q439" s="1333"/>
      <c r="R439" s="1333"/>
      <c r="S439" s="1333"/>
      <c r="T439" s="1333"/>
      <c r="U439" s="1333"/>
      <c r="V439" s="1333"/>
      <c r="W439" s="1333"/>
      <c r="X439" s="1333"/>
      <c r="Y439" s="1333"/>
      <c r="Z439" s="1333"/>
      <c r="AA439" s="1333"/>
      <c r="AB439" s="1333"/>
      <c r="AC439" s="1333"/>
      <c r="AD439" s="1333"/>
      <c r="AE439" s="1333"/>
      <c r="AF439" s="1334"/>
      <c r="AG439" s="1114">
        <v>0</v>
      </c>
      <c r="AH439" s="1114"/>
      <c r="AI439" s="1114"/>
      <c r="AJ439" s="1114"/>
    </row>
    <row r="440" spans="4:36" ht="12.95" customHeight="1">
      <c r="D440" s="1106" t="s">
        <v>208</v>
      </c>
      <c r="E440" s="1107"/>
      <c r="F440" s="1107"/>
      <c r="G440" s="1107"/>
      <c r="H440" s="1107"/>
      <c r="I440" s="1107"/>
      <c r="J440" s="1107"/>
      <c r="K440" s="1107"/>
      <c r="L440" s="1107"/>
      <c r="M440" s="1107"/>
      <c r="N440" s="1107"/>
      <c r="O440" s="1107"/>
      <c r="P440" s="1107"/>
      <c r="Q440" s="1107"/>
      <c r="R440" s="1107"/>
      <c r="S440" s="1107"/>
      <c r="T440" s="1107"/>
      <c r="U440" s="1107"/>
      <c r="V440" s="1107"/>
      <c r="W440" s="1107"/>
      <c r="X440" s="1107"/>
      <c r="Y440" s="1107"/>
      <c r="Z440" s="1107"/>
      <c r="AA440" s="1107"/>
      <c r="AB440" s="1107"/>
      <c r="AC440" s="1107"/>
      <c r="AD440" s="1107"/>
      <c r="AE440" s="1107"/>
      <c r="AF440" s="1108"/>
      <c r="AG440" s="1114">
        <v>0</v>
      </c>
      <c r="AH440" s="1114"/>
      <c r="AI440" s="1114"/>
      <c r="AJ440" s="1114"/>
    </row>
    <row r="441" spans="4:36" ht="12.95" customHeight="1">
      <c r="D441" s="1302" t="s">
        <v>1736</v>
      </c>
      <c r="E441" s="1107"/>
      <c r="F441" s="1107"/>
      <c r="G441" s="1107"/>
      <c r="H441" s="1107"/>
      <c r="I441" s="1107"/>
      <c r="J441" s="1107"/>
      <c r="K441" s="1107"/>
      <c r="L441" s="1107"/>
      <c r="M441" s="1107"/>
      <c r="N441" s="1107"/>
      <c r="O441" s="1107"/>
      <c r="P441" s="1107"/>
      <c r="Q441" s="1107"/>
      <c r="R441" s="1107"/>
      <c r="S441" s="1107"/>
      <c r="T441" s="1107"/>
      <c r="U441" s="1107"/>
      <c r="V441" s="1107"/>
      <c r="W441" s="1107"/>
      <c r="X441" s="1107"/>
      <c r="Y441" s="1107"/>
      <c r="Z441" s="1107"/>
      <c r="AA441" s="1107"/>
      <c r="AB441" s="1107"/>
      <c r="AC441" s="1107"/>
      <c r="AD441" s="1107"/>
      <c r="AE441" s="1107"/>
      <c r="AF441" s="1108"/>
      <c r="AG441" s="1114">
        <v>99020</v>
      </c>
      <c r="AH441" s="1114"/>
      <c r="AI441" s="1114"/>
      <c r="AJ441" s="1114"/>
    </row>
    <row r="442" spans="4:36" ht="12.95" customHeight="1">
      <c r="D442" s="1106" t="s">
        <v>1372</v>
      </c>
      <c r="E442" s="1107"/>
      <c r="F442" s="1107"/>
      <c r="G442" s="1107"/>
      <c r="H442" s="1107"/>
      <c r="I442" s="1107"/>
      <c r="J442" s="1107"/>
      <c r="K442" s="1107"/>
      <c r="L442" s="1107"/>
      <c r="M442" s="1107"/>
      <c r="N442" s="1107"/>
      <c r="O442" s="1107"/>
      <c r="P442" s="1107"/>
      <c r="Q442" s="1107"/>
      <c r="R442" s="1107"/>
      <c r="S442" s="1107"/>
      <c r="T442" s="1107"/>
      <c r="U442" s="1107"/>
      <c r="V442" s="1107"/>
      <c r="W442" s="1107"/>
      <c r="X442" s="1107"/>
      <c r="Y442" s="1107"/>
      <c r="Z442" s="1107"/>
      <c r="AA442" s="1107"/>
      <c r="AB442" s="1107"/>
      <c r="AC442" s="1107"/>
      <c r="AD442" s="1107"/>
      <c r="AE442" s="1107"/>
      <c r="AF442" s="1108"/>
      <c r="AG442" s="1114">
        <v>0</v>
      </c>
      <c r="AH442" s="1114"/>
      <c r="AI442" s="1114"/>
      <c r="AJ442" s="1114"/>
    </row>
    <row r="443" spans="4:36" ht="12.95" customHeight="1">
      <c r="D443" s="1106" t="s">
        <v>1374</v>
      </c>
      <c r="E443" s="1107"/>
      <c r="F443" s="1107"/>
      <c r="G443" s="1107"/>
      <c r="H443" s="1107"/>
      <c r="I443" s="1107"/>
      <c r="J443" s="1107"/>
      <c r="K443" s="1107"/>
      <c r="L443" s="1107"/>
      <c r="M443" s="1107"/>
      <c r="N443" s="1107"/>
      <c r="O443" s="1107"/>
      <c r="P443" s="1107"/>
      <c r="Q443" s="1107"/>
      <c r="R443" s="1107"/>
      <c r="S443" s="1107"/>
      <c r="T443" s="1107"/>
      <c r="U443" s="1107"/>
      <c r="V443" s="1107"/>
      <c r="W443" s="1107"/>
      <c r="X443" s="1107"/>
      <c r="Y443" s="1107"/>
      <c r="Z443" s="1107"/>
      <c r="AA443" s="1107"/>
      <c r="AB443" s="1107"/>
      <c r="AC443" s="1107"/>
      <c r="AD443" s="1107"/>
      <c r="AE443" s="1107"/>
      <c r="AF443" s="1108"/>
      <c r="AG443" s="1355">
        <f>AG435+AG439+AG441+AG442</f>
        <v>199859</v>
      </c>
      <c r="AH443" s="1355"/>
      <c r="AI443" s="1355"/>
      <c r="AJ443" s="1355"/>
    </row>
    <row r="444" spans="4:36" ht="12.95" customHeight="1">
      <c r="D444" s="1356" t="s">
        <v>1737</v>
      </c>
      <c r="E444" s="1356"/>
      <c r="F444" s="1356"/>
      <c r="G444" s="1356"/>
      <c r="H444" s="1356"/>
      <c r="I444" s="1356"/>
      <c r="J444" s="1356"/>
      <c r="K444" s="1356"/>
      <c r="L444" s="1356"/>
      <c r="M444" s="1356"/>
      <c r="N444" s="1356"/>
      <c r="O444" s="1356"/>
      <c r="P444" s="1356"/>
      <c r="Q444" s="1356"/>
      <c r="R444" s="1356"/>
      <c r="S444" s="1356"/>
      <c r="T444" s="1356"/>
      <c r="U444" s="1356"/>
      <c r="V444" s="1356"/>
      <c r="W444" s="1356"/>
      <c r="X444" s="1356"/>
      <c r="Y444" s="1356"/>
      <c r="Z444" s="1356"/>
      <c r="AA444" s="1356"/>
      <c r="AB444" s="1356"/>
      <c r="AC444" s="1356"/>
      <c r="AD444" s="1356"/>
      <c r="AE444" s="1356"/>
      <c r="AF444" s="1356"/>
      <c r="AG444" s="1356"/>
      <c r="AH444" s="1356"/>
      <c r="AI444" s="1356"/>
      <c r="AJ444" s="1356"/>
    </row>
    <row r="445" spans="4:36" ht="12.95" customHeight="1">
      <c r="D445" s="1357"/>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7"/>
      <c r="AG445" s="1357"/>
      <c r="AH445" s="1357"/>
      <c r="AI445" s="1357"/>
      <c r="AJ445" s="1357"/>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58">
        <f>IF(AG430=0,"",'Sources and Uses Budget'!B104/Application!AG430)</f>
        <v>295260.04166666669</v>
      </c>
      <c r="AD447" s="1358"/>
      <c r="AE447" s="1358"/>
      <c r="AF447" s="1358"/>
      <c r="AG447" s="1363"/>
      <c r="AH447" s="1363"/>
      <c r="AI447" s="1363"/>
      <c r="AJ447" s="1363"/>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58">
        <f>IF(AG430=0,"",'Sources and Uses Budget'!C104/Application!AG430)</f>
        <v>295260.04166666669</v>
      </c>
      <c r="AD448" s="1358"/>
      <c r="AE448" s="1358"/>
      <c r="AF448" s="1358"/>
      <c r="AG448" s="1363"/>
      <c r="AH448" s="1363"/>
      <c r="AI448" s="1363"/>
      <c r="AJ448" s="1363"/>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58">
        <f>IF(AG430=0,"",('Sources and Uses Budget'!S106+'Sources and Uses Budget'!T106)/Application!AG430)</f>
        <v>267880.95833333331</v>
      </c>
      <c r="AD449" s="1358"/>
      <c r="AE449" s="1358"/>
      <c r="AF449" s="1358"/>
      <c r="AG449" s="362"/>
      <c r="AH449" s="362"/>
      <c r="AI449" s="362"/>
      <c r="AJ449" s="362"/>
    </row>
    <row r="450" spans="1:38" ht="12.95" customHeight="1">
      <c r="D450" s="373"/>
      <c r="E450" s="307"/>
      <c r="F450" s="1104" t="str">
        <f>IF(AG430=0,"",IF(AC447&gt;650000,"Please provide a justification of cost per unit in Tab 12 for all projects with per unit costs of greater than $650,000.",""))</f>
        <v/>
      </c>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293"/>
      <c r="AD450" s="293"/>
      <c r="AE450" s="293"/>
      <c r="AF450" s="293"/>
      <c r="AG450" s="362"/>
      <c r="AH450" s="362"/>
      <c r="AI450" s="362"/>
      <c r="AJ450" s="362"/>
    </row>
    <row r="451" spans="1:38" ht="12.95" customHeight="1">
      <c r="D451" s="373"/>
      <c r="E451" s="307"/>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09" t="s">
        <v>2103</v>
      </c>
      <c r="E460" s="1110"/>
      <c r="F460" s="1110"/>
      <c r="G460" s="1110"/>
      <c r="H460" s="1110"/>
      <c r="I460" s="1110"/>
      <c r="J460" s="1110"/>
      <c r="K460" s="1110"/>
      <c r="L460" s="1110"/>
      <c r="M460" s="1110"/>
      <c r="N460" s="1110"/>
      <c r="O460" s="1110"/>
      <c r="P460" s="1110"/>
      <c r="Q460" s="1110"/>
      <c r="R460" s="1110"/>
      <c r="S460" s="1110"/>
      <c r="T460" s="1110"/>
      <c r="U460" s="1110"/>
      <c r="V460" s="1111"/>
      <c r="W460" s="1115">
        <v>0</v>
      </c>
      <c r="X460" s="1116"/>
      <c r="Y460" s="1117"/>
      <c r="Z460" s="310"/>
      <c r="AA460" s="310"/>
      <c r="AB460" s="310"/>
      <c r="AC460" s="310"/>
      <c r="AD460" s="310"/>
      <c r="AE460" s="310"/>
      <c r="AF460" s="310"/>
      <c r="AG460" s="310"/>
      <c r="AH460" s="310"/>
      <c r="AI460" s="310"/>
      <c r="AJ460" s="41"/>
      <c r="AK460" s="41"/>
      <c r="AL460" s="41"/>
    </row>
    <row r="461" spans="1:38" ht="12.95" customHeight="1">
      <c r="A461" s="41"/>
      <c r="B461" s="41"/>
      <c r="C461" s="41"/>
      <c r="D461" s="1109" t="s">
        <v>213</v>
      </c>
      <c r="E461" s="1110"/>
      <c r="F461" s="1110"/>
      <c r="G461" s="1110"/>
      <c r="H461" s="1110"/>
      <c r="I461" s="1110"/>
      <c r="J461" s="1110"/>
      <c r="K461" s="1110"/>
      <c r="L461" s="1110"/>
      <c r="M461" s="1110"/>
      <c r="N461" s="1110"/>
      <c r="O461" s="1110"/>
      <c r="P461" s="1110"/>
      <c r="Q461" s="1110"/>
      <c r="R461" s="1110"/>
      <c r="S461" s="1110"/>
      <c r="T461" s="1110"/>
      <c r="U461" s="1110"/>
      <c r="V461" s="1111"/>
      <c r="W461" s="1115">
        <v>0</v>
      </c>
      <c r="X461" s="1116"/>
      <c r="Y461" s="1117"/>
      <c r="Z461" s="310"/>
      <c r="AA461" s="310"/>
      <c r="AB461" s="310"/>
      <c r="AC461" s="310"/>
      <c r="AD461" s="310"/>
      <c r="AE461" s="310"/>
      <c r="AF461" s="310"/>
      <c r="AG461" s="310"/>
      <c r="AH461" s="310"/>
      <c r="AI461" s="310"/>
      <c r="AJ461" s="41"/>
      <c r="AK461" s="41"/>
      <c r="AL461" s="41"/>
    </row>
    <row r="462" spans="1:38" ht="12.95" customHeight="1">
      <c r="A462" s="41"/>
      <c r="B462" s="41"/>
      <c r="C462" s="41"/>
      <c r="D462" s="1109" t="s">
        <v>214</v>
      </c>
      <c r="E462" s="1110"/>
      <c r="F462" s="1110"/>
      <c r="G462" s="1110"/>
      <c r="H462" s="1110"/>
      <c r="I462" s="1110"/>
      <c r="J462" s="1110"/>
      <c r="K462" s="1110"/>
      <c r="L462" s="1110"/>
      <c r="M462" s="1110"/>
      <c r="N462" s="1110"/>
      <c r="O462" s="1110"/>
      <c r="P462" s="1110"/>
      <c r="Q462" s="1110"/>
      <c r="R462" s="1110"/>
      <c r="S462" s="1110"/>
      <c r="T462" s="1110"/>
      <c r="U462" s="1110"/>
      <c r="V462" s="1111"/>
      <c r="W462" s="1115">
        <v>0</v>
      </c>
      <c r="X462" s="1116"/>
      <c r="Y462" s="1117"/>
      <c r="Z462" s="310"/>
      <c r="AA462" s="310"/>
      <c r="AB462" s="310"/>
      <c r="AC462" s="310"/>
      <c r="AD462" s="310"/>
      <c r="AE462" s="310"/>
      <c r="AF462" s="310"/>
      <c r="AG462" s="310"/>
      <c r="AH462" s="310"/>
      <c r="AI462" s="310"/>
      <c r="AJ462" s="41"/>
      <c r="AK462" s="41"/>
      <c r="AL462" s="41"/>
    </row>
    <row r="463" spans="1:38" ht="12.95" customHeight="1">
      <c r="A463" s="41"/>
      <c r="B463" s="41"/>
      <c r="C463" s="41"/>
      <c r="D463" s="1109" t="s">
        <v>216</v>
      </c>
      <c r="E463" s="1110"/>
      <c r="F463" s="1110"/>
      <c r="G463" s="1110"/>
      <c r="H463" s="1110"/>
      <c r="I463" s="1110"/>
      <c r="J463" s="1110"/>
      <c r="K463" s="1110"/>
      <c r="L463" s="1110"/>
      <c r="M463" s="1110"/>
      <c r="N463" s="1110"/>
      <c r="O463" s="1110"/>
      <c r="P463" s="1110"/>
      <c r="Q463" s="1110"/>
      <c r="R463" s="1110"/>
      <c r="S463" s="1110"/>
      <c r="T463" s="1110"/>
      <c r="U463" s="1110"/>
      <c r="V463" s="1111"/>
      <c r="W463" s="1115">
        <v>0</v>
      </c>
      <c r="X463" s="1116"/>
      <c r="Y463" s="1117"/>
      <c r="Z463" s="310"/>
      <c r="AA463" s="310"/>
      <c r="AB463" s="310"/>
      <c r="AC463" s="310"/>
      <c r="AD463" s="310"/>
      <c r="AE463" s="310"/>
      <c r="AF463" s="310"/>
      <c r="AG463" s="310"/>
      <c r="AH463" s="310"/>
      <c r="AI463" s="310"/>
      <c r="AJ463" s="41"/>
      <c r="AK463" s="41"/>
      <c r="AL463" s="41"/>
    </row>
    <row r="464" spans="1:38" ht="12.95" customHeight="1">
      <c r="A464" s="41"/>
      <c r="B464" s="41"/>
      <c r="C464" s="41"/>
      <c r="D464" s="1348" t="s">
        <v>1109</v>
      </c>
      <c r="E464" s="1110"/>
      <c r="F464" s="1110"/>
      <c r="G464" s="1110"/>
      <c r="H464" s="1110"/>
      <c r="I464" s="1110"/>
      <c r="J464" s="1110"/>
      <c r="K464" s="1110"/>
      <c r="L464" s="1110"/>
      <c r="M464" s="1110"/>
      <c r="N464" s="1110"/>
      <c r="O464" s="1110"/>
      <c r="P464" s="1110"/>
      <c r="Q464" s="1110"/>
      <c r="R464" s="1110"/>
      <c r="S464" s="1110"/>
      <c r="T464" s="1110"/>
      <c r="U464" s="1110"/>
      <c r="V464" s="1111"/>
      <c r="W464" s="1115">
        <v>0</v>
      </c>
      <c r="X464" s="1116"/>
      <c r="Y464" s="1117"/>
      <c r="Z464" s="310"/>
      <c r="AA464" s="310"/>
      <c r="AB464" s="310"/>
      <c r="AC464" s="310"/>
      <c r="AD464" s="310"/>
      <c r="AE464" s="310"/>
      <c r="AF464" s="310"/>
      <c r="AG464" s="310"/>
      <c r="AH464" s="310"/>
      <c r="AI464" s="310"/>
      <c r="AJ464" s="41"/>
      <c r="AK464" s="41"/>
      <c r="AL464" s="41"/>
    </row>
    <row r="465" spans="1:97" ht="12.95" customHeight="1">
      <c r="A465" s="41"/>
      <c r="B465" s="41"/>
      <c r="C465" s="41"/>
      <c r="D465" s="1109" t="s">
        <v>220</v>
      </c>
      <c r="E465" s="1110"/>
      <c r="F465" s="1110"/>
      <c r="G465" s="1110"/>
      <c r="H465" s="1110"/>
      <c r="I465" s="1110"/>
      <c r="J465" s="1110"/>
      <c r="K465" s="1110"/>
      <c r="L465" s="1110"/>
      <c r="M465" s="1110"/>
      <c r="N465" s="1110"/>
      <c r="O465" s="1110"/>
      <c r="P465" s="1110"/>
      <c r="Q465" s="1110"/>
      <c r="R465" s="1110"/>
      <c r="S465" s="1110"/>
      <c r="T465" s="1110"/>
      <c r="U465" s="1110"/>
      <c r="V465" s="1111"/>
      <c r="W465" s="1115">
        <v>0</v>
      </c>
      <c r="X465" s="1116"/>
      <c r="Y465" s="1117"/>
      <c r="Z465" s="310"/>
      <c r="AA465" s="310"/>
      <c r="AB465" s="310"/>
      <c r="AC465" s="310"/>
      <c r="AD465" s="310"/>
      <c r="AE465" s="310"/>
      <c r="AF465" s="310"/>
      <c r="AG465" s="310"/>
      <c r="AH465" s="310"/>
      <c r="AI465" s="310"/>
      <c r="AJ465" s="41"/>
      <c r="AK465" s="41"/>
      <c r="AL465" s="41"/>
    </row>
    <row r="466" spans="1:97" ht="12.95" customHeight="1">
      <c r="A466" s="557"/>
      <c r="B466" s="557"/>
      <c r="C466" s="557"/>
      <c r="D466" s="1348" t="s">
        <v>1308</v>
      </c>
      <c r="E466" s="1329"/>
      <c r="F466" s="1329"/>
      <c r="G466" s="1329"/>
      <c r="H466" s="1329"/>
      <c r="I466" s="1329"/>
      <c r="J466" s="1329"/>
      <c r="K466" s="1329"/>
      <c r="L466" s="1329"/>
      <c r="M466" s="1329"/>
      <c r="N466" s="1329"/>
      <c r="O466" s="1329"/>
      <c r="P466" s="1329"/>
      <c r="Q466" s="1329"/>
      <c r="R466" s="1329"/>
      <c r="S466" s="1329"/>
      <c r="T466" s="1329"/>
      <c r="U466" s="1329"/>
      <c r="V466" s="1330"/>
      <c r="W466" s="1324">
        <v>0</v>
      </c>
      <c r="X466" s="1325"/>
      <c r="Y466" s="1326"/>
      <c r="Z466" s="558"/>
      <c r="AA466" s="558"/>
      <c r="AB466" s="558"/>
      <c r="AC466" s="558"/>
      <c r="AD466" s="559"/>
      <c r="AE466" s="559"/>
      <c r="AF466" s="559"/>
      <c r="AG466" s="559"/>
      <c r="AH466" s="559"/>
      <c r="AI466" s="559"/>
      <c r="AJ466" s="362"/>
    </row>
    <row r="467" spans="1:97" ht="12.95" customHeight="1">
      <c r="A467" s="557"/>
      <c r="B467" s="557"/>
      <c r="C467" s="557"/>
      <c r="D467" s="1109" t="s">
        <v>2282</v>
      </c>
      <c r="E467" s="1110"/>
      <c r="F467" s="1110"/>
      <c r="G467" s="1110"/>
      <c r="H467" s="1110"/>
      <c r="I467" s="1110"/>
      <c r="J467" s="1110"/>
      <c r="K467" s="1110"/>
      <c r="L467" s="1110"/>
      <c r="M467" s="1110"/>
      <c r="N467" s="1110"/>
      <c r="O467" s="1110"/>
      <c r="P467" s="1110"/>
      <c r="Q467" s="1110"/>
      <c r="R467" s="1110"/>
      <c r="S467" s="1110"/>
      <c r="T467" s="1110"/>
      <c r="U467" s="1110"/>
      <c r="V467" s="1111"/>
      <c r="W467" s="1324">
        <v>0</v>
      </c>
      <c r="X467" s="1325"/>
      <c r="Y467" s="1326"/>
      <c r="Z467" s="558"/>
      <c r="AA467" s="558"/>
      <c r="AB467" s="558"/>
      <c r="AC467" s="558"/>
      <c r="AD467" s="559"/>
      <c r="AE467" s="559"/>
      <c r="AF467" s="559"/>
      <c r="AG467" s="559"/>
      <c r="AH467" s="559"/>
      <c r="AI467" s="559"/>
      <c r="AJ467" s="362"/>
    </row>
    <row r="468" spans="1:97" ht="12.95" customHeight="1">
      <c r="A468" s="41"/>
      <c r="B468" s="41"/>
      <c r="C468" s="41"/>
      <c r="D468" s="1109" t="s">
        <v>2216</v>
      </c>
      <c r="E468" s="1329"/>
      <c r="F468" s="1329"/>
      <c r="G468" s="1329"/>
      <c r="H468" s="1329"/>
      <c r="I468" s="1329"/>
      <c r="J468" s="1329"/>
      <c r="K468" s="1329"/>
      <c r="L468" s="1329"/>
      <c r="M468" s="1329"/>
      <c r="N468" s="1329"/>
      <c r="O468" s="1329"/>
      <c r="P468" s="1329"/>
      <c r="Q468" s="1329"/>
      <c r="R468" s="1329"/>
      <c r="S468" s="1329"/>
      <c r="T468" s="1329"/>
      <c r="U468" s="1329"/>
      <c r="V468" s="1330"/>
      <c r="W468" s="1324">
        <v>18</v>
      </c>
      <c r="X468" s="1325"/>
      <c r="Y468" s="13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53" t="s">
        <v>2396</v>
      </c>
      <c r="H469" s="1554"/>
      <c r="I469" s="1554"/>
      <c r="J469" s="1554"/>
      <c r="K469" s="1554"/>
      <c r="L469" s="1554"/>
      <c r="M469" s="1554"/>
      <c r="N469" s="1554"/>
      <c r="O469" s="1554"/>
      <c r="P469" s="1554"/>
      <c r="Q469" s="1554"/>
      <c r="R469" s="1554"/>
      <c r="S469" s="1554"/>
      <c r="T469" s="1554"/>
      <c r="U469" s="1554"/>
      <c r="V469" s="1555"/>
      <c r="W469" s="1115">
        <v>119</v>
      </c>
      <c r="X469" s="1116"/>
      <c r="Y469" s="1117"/>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331"/>
      <c r="E471" s="1331"/>
      <c r="F471" s="1331"/>
      <c r="G471" s="1331"/>
      <c r="H471" s="1331"/>
      <c r="I471" s="1331"/>
      <c r="J471" s="1331"/>
      <c r="K471" s="1331"/>
      <c r="L471" s="1331"/>
      <c r="M471" s="1331"/>
      <c r="N471" s="1331"/>
      <c r="O471" s="1331"/>
      <c r="P471" s="1331"/>
      <c r="Q471" s="1331"/>
      <c r="R471" s="1331"/>
      <c r="S471" s="1331"/>
      <c r="T471" s="1331"/>
      <c r="U471" s="1331"/>
      <c r="V471" s="1331"/>
      <c r="W471" s="1331"/>
      <c r="X471" s="1331"/>
      <c r="Y471" s="1331"/>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332"/>
      <c r="E472" s="1332"/>
      <c r="F472" s="1332"/>
      <c r="G472" s="1332"/>
      <c r="H472" s="1332"/>
      <c r="I472" s="1332"/>
      <c r="J472" s="1332"/>
      <c r="K472" s="1332"/>
      <c r="L472" s="1332"/>
      <c r="M472" s="1332"/>
      <c r="N472" s="1332"/>
      <c r="O472" s="1332"/>
      <c r="P472" s="1332"/>
      <c r="Q472" s="1332"/>
      <c r="R472" s="1332"/>
      <c r="S472" s="1332"/>
      <c r="T472" s="1332"/>
      <c r="U472" s="1332"/>
      <c r="V472" s="1332"/>
      <c r="W472" s="1332"/>
      <c r="X472" s="1332"/>
      <c r="Y472" s="1332"/>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332"/>
      <c r="E473" s="1332"/>
      <c r="F473" s="1332"/>
      <c r="G473" s="1332"/>
      <c r="H473" s="1332"/>
      <c r="I473" s="1332"/>
      <c r="J473" s="1332"/>
      <c r="K473" s="1332"/>
      <c r="L473" s="1332"/>
      <c r="M473" s="1332"/>
      <c r="N473" s="1332"/>
      <c r="O473" s="1332"/>
      <c r="P473" s="1332"/>
      <c r="Q473" s="1332"/>
      <c r="R473" s="1332"/>
      <c r="S473" s="1332"/>
      <c r="T473" s="1332"/>
      <c r="U473" s="1332"/>
      <c r="V473" s="1332"/>
      <c r="W473" s="1332"/>
      <c r="X473" s="1332"/>
      <c r="Y473" s="1332"/>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97" t="s">
        <v>1028</v>
      </c>
      <c r="B476" s="1097"/>
      <c r="C476" s="1097"/>
      <c r="D476" s="1097"/>
      <c r="E476" s="1097"/>
      <c r="F476" s="1097"/>
      <c r="G476" s="1097"/>
      <c r="H476" s="1097"/>
      <c r="I476" s="1097"/>
      <c r="J476" s="1097"/>
      <c r="K476" s="1097"/>
      <c r="L476" s="1097"/>
      <c r="M476" s="1097"/>
      <c r="N476" s="1097"/>
      <c r="O476" s="1097"/>
      <c r="P476" s="1097"/>
      <c r="Q476" s="1097"/>
      <c r="R476" s="1097"/>
      <c r="S476" s="1097"/>
      <c r="T476" s="1097"/>
      <c r="U476" s="1097"/>
      <c r="V476" s="1097"/>
      <c r="W476" s="1097"/>
      <c r="X476" s="1097"/>
      <c r="Y476" s="1097"/>
      <c r="Z476" s="1097"/>
      <c r="AA476" s="1097"/>
      <c r="AB476" s="1097"/>
      <c r="AC476" s="1097"/>
      <c r="AD476" s="1097"/>
      <c r="AE476" s="1097"/>
      <c r="AF476" s="1097"/>
      <c r="AG476" s="1097"/>
      <c r="AH476" s="1097"/>
      <c r="AI476" s="1097"/>
      <c r="AJ476" s="1097"/>
      <c r="AK476" s="1097"/>
      <c r="AL476" s="1097"/>
      <c r="AM476" s="1097"/>
      <c r="AN476" s="1097"/>
      <c r="AO476" s="1097"/>
      <c r="AP476" s="1097"/>
      <c r="AQ476" s="1097"/>
      <c r="AR476" s="1097"/>
      <c r="AS476" s="1097"/>
      <c r="AT476" s="109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97"/>
      <c r="B477" s="1097"/>
      <c r="C477" s="1097"/>
      <c r="D477" s="1097"/>
      <c r="E477" s="1097"/>
      <c r="F477" s="1097"/>
      <c r="G477" s="1097"/>
      <c r="H477" s="1097"/>
      <c r="I477" s="1097"/>
      <c r="J477" s="1097"/>
      <c r="K477" s="1097"/>
      <c r="L477" s="1097"/>
      <c r="M477" s="1097"/>
      <c r="N477" s="1097"/>
      <c r="O477" s="1097"/>
      <c r="P477" s="1097"/>
      <c r="Q477" s="1097"/>
      <c r="R477" s="1097"/>
      <c r="S477" s="1097"/>
      <c r="T477" s="1097"/>
      <c r="U477" s="1097"/>
      <c r="V477" s="1097"/>
      <c r="W477" s="1097"/>
      <c r="X477" s="1097"/>
      <c r="Y477" s="1097"/>
      <c r="Z477" s="1097"/>
      <c r="AA477" s="1097"/>
      <c r="AB477" s="1097"/>
      <c r="AC477" s="1097"/>
      <c r="AD477" s="1097"/>
      <c r="AE477" s="1097"/>
      <c r="AF477" s="1097"/>
      <c r="AG477" s="1097"/>
      <c r="AH477" s="1097"/>
      <c r="AI477" s="1097"/>
      <c r="AJ477" s="1097"/>
      <c r="AK477" s="1097"/>
      <c r="AL477" s="1097"/>
      <c r="AM477" s="1097"/>
      <c r="AN477" s="1097"/>
      <c r="AO477" s="1097"/>
      <c r="AP477" s="1097"/>
      <c r="AQ477" s="1097"/>
      <c r="AR477" s="1097"/>
      <c r="AS477" s="1097"/>
      <c r="AT477" s="109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9" t="s">
        <v>238</v>
      </c>
      <c r="R481" s="1350"/>
      <c r="S481" s="1350"/>
      <c r="T481" s="1350"/>
      <c r="U481" s="1350"/>
      <c r="V481" s="1350"/>
      <c r="W481" s="1350"/>
      <c r="X481" s="1350"/>
      <c r="Y481" s="1350"/>
      <c r="Z481" s="1350"/>
      <c r="AA481" s="1350"/>
      <c r="AB481" s="1350"/>
      <c r="AC481" s="1350"/>
      <c r="AD481" s="1350"/>
      <c r="AE481" s="1350"/>
      <c r="AF481" s="1350"/>
      <c r="AG481" s="1350"/>
      <c r="AH481" s="1350"/>
      <c r="AI481" s="1350"/>
      <c r="AJ481" s="1350"/>
      <c r="AK481" s="136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19" t="s">
        <v>2397</v>
      </c>
      <c r="R482" s="1067"/>
      <c r="S482" s="1067"/>
      <c r="T482" s="1067"/>
      <c r="U482" s="1067"/>
      <c r="V482" s="1067"/>
      <c r="W482" s="1067"/>
      <c r="X482" s="1067"/>
      <c r="Y482" s="1067"/>
      <c r="Z482" s="1067"/>
      <c r="AA482" s="1067"/>
      <c r="AB482" s="1067"/>
      <c r="AC482" s="1067"/>
      <c r="AD482" s="1067"/>
      <c r="AE482" s="1067"/>
      <c r="AF482" s="1067"/>
      <c r="AG482" s="1067"/>
      <c r="AH482" s="1067"/>
      <c r="AI482" s="1067"/>
      <c r="AJ482" s="1067"/>
      <c r="AK482" s="132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19" t="s">
        <v>2398</v>
      </c>
      <c r="R483" s="1067"/>
      <c r="S483" s="1067"/>
      <c r="T483" s="1067"/>
      <c r="U483" s="1067"/>
      <c r="V483" s="1067"/>
      <c r="W483" s="1067"/>
      <c r="X483" s="1067"/>
      <c r="Y483" s="1067"/>
      <c r="Z483" s="1067"/>
      <c r="AA483" s="1067"/>
      <c r="AB483" s="1067"/>
      <c r="AC483" s="1067"/>
      <c r="AD483" s="1067"/>
      <c r="AE483" s="1067"/>
      <c r="AF483" s="1067"/>
      <c r="AG483" s="1067"/>
      <c r="AH483" s="1067"/>
      <c r="AI483" s="1067"/>
      <c r="AJ483" s="1067"/>
      <c r="AK483" s="132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19" t="s">
        <v>2398</v>
      </c>
      <c r="R484" s="1067"/>
      <c r="S484" s="1067"/>
      <c r="T484" s="1067"/>
      <c r="U484" s="1067"/>
      <c r="V484" s="1067"/>
      <c r="W484" s="1067"/>
      <c r="X484" s="1067"/>
      <c r="Y484" s="1067"/>
      <c r="Z484" s="1067"/>
      <c r="AA484" s="1067"/>
      <c r="AB484" s="1067"/>
      <c r="AC484" s="1067"/>
      <c r="AD484" s="1067"/>
      <c r="AE484" s="1067"/>
      <c r="AF484" s="1067"/>
      <c r="AG484" s="1067"/>
      <c r="AH484" s="1067"/>
      <c r="AI484" s="1067"/>
      <c r="AJ484" s="1067"/>
      <c r="AK484" s="132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2" t="s">
        <v>242</v>
      </c>
      <c r="C485" s="1343"/>
      <c r="D485" s="1343"/>
      <c r="E485" s="1343"/>
      <c r="F485" s="1343"/>
      <c r="G485" s="1343"/>
      <c r="H485" s="1343"/>
      <c r="I485" s="1343"/>
      <c r="J485" s="1343"/>
      <c r="K485" s="1343"/>
      <c r="L485" s="1343"/>
      <c r="M485" s="1343"/>
      <c r="N485" s="1343"/>
      <c r="O485" s="1343"/>
      <c r="P485" s="1344"/>
      <c r="Q485" s="1306" t="s">
        <v>482</v>
      </c>
      <c r="R485" s="1307"/>
      <c r="S485" s="1310" t="s">
        <v>53</v>
      </c>
      <c r="T485" s="1311"/>
      <c r="U485" s="1311"/>
      <c r="V485" s="1311"/>
      <c r="W485" s="1311"/>
      <c r="X485" s="1311"/>
      <c r="Y485" s="1311"/>
      <c r="Z485" s="1311"/>
      <c r="AA485" s="1311"/>
      <c r="AB485" s="1311"/>
      <c r="AC485" s="1311"/>
      <c r="AD485" s="1311"/>
      <c r="AE485" s="1311"/>
      <c r="AF485" s="1311"/>
      <c r="AG485" s="1311"/>
      <c r="AH485" s="1311"/>
      <c r="AI485" s="1311"/>
      <c r="AJ485" s="1311"/>
      <c r="AK485" s="131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5"/>
      <c r="C486" s="1346"/>
      <c r="D486" s="1346"/>
      <c r="E486" s="1346"/>
      <c r="F486" s="1346"/>
      <c r="G486" s="1346"/>
      <c r="H486" s="1346"/>
      <c r="I486" s="1346"/>
      <c r="J486" s="1346"/>
      <c r="K486" s="1346"/>
      <c r="L486" s="1346"/>
      <c r="M486" s="1346"/>
      <c r="N486" s="1346"/>
      <c r="O486" s="1346"/>
      <c r="P486" s="1347"/>
      <c r="Q486" s="1308"/>
      <c r="R486" s="1309"/>
      <c r="S486" s="1313"/>
      <c r="T486" s="1314"/>
      <c r="U486" s="1314"/>
      <c r="V486" s="1314"/>
      <c r="W486" s="1314"/>
      <c r="X486" s="1314"/>
      <c r="Y486" s="1314"/>
      <c r="Z486" s="1314"/>
      <c r="AA486" s="1314"/>
      <c r="AB486" s="1314"/>
      <c r="AC486" s="1314"/>
      <c r="AD486" s="1314"/>
      <c r="AE486" s="1314"/>
      <c r="AF486" s="1314"/>
      <c r="AG486" s="1314"/>
      <c r="AH486" s="1314"/>
      <c r="AI486" s="1314"/>
      <c r="AJ486" s="1314"/>
      <c r="AK486" s="131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2211</v>
      </c>
      <c r="C487" s="814"/>
      <c r="D487" s="814"/>
      <c r="E487" s="814"/>
      <c r="F487" s="814"/>
      <c r="G487" s="814"/>
      <c r="H487" s="814"/>
      <c r="I487" s="814"/>
      <c r="J487" s="814"/>
      <c r="K487" s="814"/>
      <c r="L487" s="814"/>
      <c r="M487" s="814"/>
      <c r="N487" s="814"/>
      <c r="O487" s="814"/>
      <c r="P487" s="814"/>
      <c r="Q487" s="1316" t="s">
        <v>482</v>
      </c>
      <c r="R487" s="1317"/>
      <c r="S487" s="1317"/>
      <c r="T487" s="1317"/>
      <c r="U487" s="1317"/>
      <c r="V487" s="1317"/>
      <c r="W487" s="1317"/>
      <c r="X487" s="1317"/>
      <c r="Y487" s="1317"/>
      <c r="Z487" s="1317"/>
      <c r="AA487" s="1317"/>
      <c r="AB487" s="1317"/>
      <c r="AC487" s="1317"/>
      <c r="AD487" s="1317"/>
      <c r="AE487" s="1317"/>
      <c r="AF487" s="1317"/>
      <c r="AG487" s="1317"/>
      <c r="AH487" s="1317"/>
      <c r="AI487" s="1317"/>
      <c r="AJ487" s="1317"/>
      <c r="AK487" s="131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19" t="s">
        <v>2399</v>
      </c>
      <c r="R488" s="1067"/>
      <c r="S488" s="1067"/>
      <c r="T488" s="1067"/>
      <c r="U488" s="1067"/>
      <c r="V488" s="1067"/>
      <c r="W488" s="1067"/>
      <c r="X488" s="1067"/>
      <c r="Y488" s="1067"/>
      <c r="Z488" s="1067"/>
      <c r="AA488" s="1067"/>
      <c r="AB488" s="1067"/>
      <c r="AC488" s="1067"/>
      <c r="AD488" s="1067"/>
      <c r="AE488" s="1067"/>
      <c r="AF488" s="1067"/>
      <c r="AG488" s="1067"/>
      <c r="AH488" s="1067"/>
      <c r="AI488" s="1067"/>
      <c r="AJ488" s="1067"/>
      <c r="AK488" s="132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19" t="s">
        <v>2400</v>
      </c>
      <c r="R489" s="1067"/>
      <c r="S489" s="1067"/>
      <c r="T489" s="1067"/>
      <c r="U489" s="1067"/>
      <c r="V489" s="1067"/>
      <c r="W489" s="1067"/>
      <c r="X489" s="1067"/>
      <c r="Y489" s="1067"/>
      <c r="Z489" s="1067"/>
      <c r="AA489" s="1067"/>
      <c r="AB489" s="1067"/>
      <c r="AC489" s="1067"/>
      <c r="AD489" s="1067"/>
      <c r="AE489" s="1067"/>
      <c r="AF489" s="1067"/>
      <c r="AG489" s="1067"/>
      <c r="AH489" s="1067"/>
      <c r="AI489" s="1067"/>
      <c r="AJ489" s="1067"/>
      <c r="AK489" s="132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1982</v>
      </c>
      <c r="C490" s="9"/>
      <c r="D490" s="9"/>
      <c r="E490" s="9"/>
      <c r="F490" s="9"/>
      <c r="G490" s="9"/>
      <c r="H490" s="9"/>
      <c r="I490" s="9"/>
      <c r="J490" s="9"/>
      <c r="K490" s="9"/>
      <c r="L490" s="9"/>
      <c r="M490" s="9"/>
      <c r="N490" s="9"/>
      <c r="O490" s="9"/>
      <c r="P490" s="9"/>
      <c r="Q490" s="1319">
        <v>120</v>
      </c>
      <c r="R490" s="1067"/>
      <c r="S490" s="1067"/>
      <c r="T490" s="1067"/>
      <c r="U490" s="1067"/>
      <c r="V490" s="1067"/>
      <c r="W490" s="1067"/>
      <c r="X490" s="1067"/>
      <c r="Y490" s="1067"/>
      <c r="Z490" s="1067"/>
      <c r="AA490" s="1067"/>
      <c r="AB490" s="1067"/>
      <c r="AC490" s="1067"/>
      <c r="AD490" s="1067"/>
      <c r="AE490" s="1067"/>
      <c r="AF490" s="1067"/>
      <c r="AG490" s="1067"/>
      <c r="AH490" s="1067"/>
      <c r="AI490" s="1067"/>
      <c r="AJ490" s="1067"/>
      <c r="AK490" s="132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1983</v>
      </c>
      <c r="C491" s="9"/>
      <c r="D491" s="9"/>
      <c r="E491" s="9"/>
      <c r="F491" s="9"/>
      <c r="G491" s="9"/>
      <c r="H491" s="9"/>
      <c r="I491" s="9"/>
      <c r="J491" s="9"/>
      <c r="K491" s="9"/>
      <c r="L491" s="9"/>
      <c r="M491" s="1321"/>
      <c r="N491" s="1322"/>
      <c r="O491" s="1322"/>
      <c r="P491" s="1323"/>
      <c r="Q491" s="214" t="s">
        <v>1984</v>
      </c>
      <c r="R491" s="9"/>
      <c r="S491" s="9"/>
      <c r="T491" s="9"/>
      <c r="U491" s="9"/>
      <c r="V491" s="9"/>
      <c r="W491" s="9"/>
      <c r="X491" s="9"/>
      <c r="Y491" s="9"/>
      <c r="Z491" s="9"/>
      <c r="AA491" s="9"/>
      <c r="AB491" s="9"/>
      <c r="AC491" s="9"/>
      <c r="AD491" s="9"/>
      <c r="AE491" s="9"/>
      <c r="AF491" s="9"/>
      <c r="AG491" s="9"/>
      <c r="AH491" s="1321">
        <v>120</v>
      </c>
      <c r="AI491" s="1322"/>
      <c r="AJ491" s="1322"/>
      <c r="AK491" s="132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9" t="s">
        <v>246</v>
      </c>
      <c r="AD495" s="1350"/>
      <c r="AE495" s="1350"/>
      <c r="AF495" s="1350"/>
      <c r="AG495" s="1350"/>
      <c r="AH495" s="1350"/>
      <c r="AI495" s="1350"/>
      <c r="AJ495" s="1350"/>
      <c r="AK495" s="136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9" t="s">
        <v>247</v>
      </c>
      <c r="AD496" s="1350"/>
      <c r="AE496" s="1350"/>
      <c r="AF496" s="1350"/>
      <c r="AG496" s="56" t="s">
        <v>248</v>
      </c>
      <c r="AH496" s="1350" t="s">
        <v>249</v>
      </c>
      <c r="AI496" s="1350"/>
      <c r="AJ496" s="1350"/>
      <c r="AK496" s="136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36" t="s">
        <v>250</v>
      </c>
      <c r="C497" s="1337"/>
      <c r="D497" s="1337"/>
      <c r="E497" s="1337"/>
      <c r="F497" s="1337"/>
      <c r="G497" s="1337"/>
      <c r="H497" s="1338"/>
      <c r="I497" s="7" t="s">
        <v>671</v>
      </c>
      <c r="J497" s="7"/>
      <c r="K497" s="7"/>
      <c r="L497" s="7"/>
      <c r="M497" s="7"/>
      <c r="N497" s="7"/>
      <c r="O497" s="7"/>
      <c r="P497" s="7"/>
      <c r="Q497" s="7"/>
      <c r="R497" s="7"/>
      <c r="S497" s="7"/>
      <c r="T497" s="7"/>
      <c r="U497" s="7"/>
      <c r="V497" s="7"/>
      <c r="W497" s="7"/>
      <c r="AC497" s="1335">
        <v>6</v>
      </c>
      <c r="AD497" s="1070"/>
      <c r="AE497" s="1070"/>
      <c r="AF497" s="1070"/>
      <c r="AG497" s="18" t="s">
        <v>248</v>
      </c>
      <c r="AH497" s="1095">
        <v>2005</v>
      </c>
      <c r="AI497" s="1095"/>
      <c r="AJ497" s="1095"/>
      <c r="AK497" s="109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39"/>
      <c r="C498" s="1340"/>
      <c r="D498" s="1340"/>
      <c r="E498" s="1340"/>
      <c r="F498" s="1340"/>
      <c r="G498" s="1340"/>
      <c r="H498" s="1341"/>
      <c r="I498" s="54" t="s">
        <v>672</v>
      </c>
      <c r="J498" s="54"/>
      <c r="K498" s="54"/>
      <c r="L498" s="54"/>
      <c r="M498" s="54"/>
      <c r="N498" s="54"/>
      <c r="O498" s="54"/>
      <c r="P498" s="54"/>
      <c r="Q498" s="54"/>
      <c r="R498" s="54"/>
      <c r="S498" s="54"/>
      <c r="T498" s="54"/>
      <c r="U498" s="54"/>
      <c r="V498" s="54"/>
      <c r="W498" s="54"/>
      <c r="X498" s="54"/>
      <c r="Y498" s="54"/>
      <c r="Z498" s="54"/>
      <c r="AA498" s="54"/>
      <c r="AB498" s="54"/>
      <c r="AC498" s="1335">
        <v>12</v>
      </c>
      <c r="AD498" s="1070"/>
      <c r="AE498" s="1070"/>
      <c r="AF498" s="1070"/>
      <c r="AG498" s="47" t="s">
        <v>248</v>
      </c>
      <c r="AH498" s="1095">
        <v>2024</v>
      </c>
      <c r="AI498" s="1095"/>
      <c r="AJ498" s="1095"/>
      <c r="AK498" s="109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36" t="s">
        <v>673</v>
      </c>
      <c r="C499" s="1337"/>
      <c r="D499" s="1337"/>
      <c r="E499" s="1337"/>
      <c r="F499" s="1337"/>
      <c r="G499" s="1337"/>
      <c r="H499" s="1338"/>
      <c r="I499" s="7" t="s">
        <v>674</v>
      </c>
      <c r="J499" s="7"/>
      <c r="K499" s="7"/>
      <c r="L499" s="7"/>
      <c r="M499" s="7"/>
      <c r="N499" s="7"/>
      <c r="O499" s="7"/>
      <c r="P499" s="7"/>
      <c r="Q499" s="7"/>
      <c r="R499" s="7"/>
      <c r="S499" s="7"/>
      <c r="T499" s="7"/>
      <c r="U499" s="7"/>
      <c r="V499" s="7"/>
      <c r="W499" s="7"/>
      <c r="AC499" s="1335" t="s">
        <v>124</v>
      </c>
      <c r="AD499" s="1070"/>
      <c r="AE499" s="1070"/>
      <c r="AF499" s="1070"/>
      <c r="AG499" s="18" t="s">
        <v>248</v>
      </c>
      <c r="AH499" s="1095"/>
      <c r="AI499" s="1095"/>
      <c r="AJ499" s="1095"/>
      <c r="AK499" s="109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39"/>
      <c r="C500" s="1340"/>
      <c r="D500" s="1340"/>
      <c r="E500" s="1340"/>
      <c r="F500" s="1340"/>
      <c r="G500" s="1340"/>
      <c r="H500" s="1341"/>
      <c r="I500" t="s">
        <v>675</v>
      </c>
      <c r="AC500" s="1335" t="s">
        <v>124</v>
      </c>
      <c r="AD500" s="1070"/>
      <c r="AE500" s="1070"/>
      <c r="AF500" s="1070"/>
      <c r="AG500" s="18" t="s">
        <v>248</v>
      </c>
      <c r="AH500" s="1095"/>
      <c r="AI500" s="1095"/>
      <c r="AJ500" s="1095"/>
      <c r="AK500" s="109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39"/>
      <c r="C501" s="1340"/>
      <c r="D501" s="1340"/>
      <c r="E501" s="1340"/>
      <c r="F501" s="1340"/>
      <c r="G501" s="1340"/>
      <c r="H501" s="1341"/>
      <c r="I501" t="s">
        <v>676</v>
      </c>
      <c r="AC501" s="1335">
        <v>6</v>
      </c>
      <c r="AD501" s="1070"/>
      <c r="AE501" s="1070"/>
      <c r="AF501" s="1070"/>
      <c r="AG501" s="18" t="s">
        <v>248</v>
      </c>
      <c r="AH501" s="1095">
        <v>2024</v>
      </c>
      <c r="AI501" s="1095"/>
      <c r="AJ501" s="1095"/>
      <c r="AK501" s="109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39"/>
      <c r="C502" s="1340"/>
      <c r="D502" s="1340"/>
      <c r="E502" s="1340"/>
      <c r="F502" s="1340"/>
      <c r="G502" s="1340"/>
      <c r="H502" s="1341"/>
      <c r="I502" t="s">
        <v>677</v>
      </c>
      <c r="AC502" s="1335">
        <v>12</v>
      </c>
      <c r="AD502" s="1070"/>
      <c r="AE502" s="1070"/>
      <c r="AF502" s="1070"/>
      <c r="AG502" s="18" t="s">
        <v>248</v>
      </c>
      <c r="AH502" s="1095">
        <v>2024</v>
      </c>
      <c r="AI502" s="1095"/>
      <c r="AJ502" s="1095"/>
      <c r="AK502" s="109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39"/>
      <c r="C503" s="1340"/>
      <c r="D503" s="1340"/>
      <c r="E503" s="1340"/>
      <c r="F503" s="1340"/>
      <c r="G503" s="1340"/>
      <c r="H503" s="1341"/>
      <c r="I503" s="41" t="s">
        <v>678</v>
      </c>
      <c r="AC503" s="1264">
        <v>12</v>
      </c>
      <c r="AD503" s="1265"/>
      <c r="AE503" s="1265"/>
      <c r="AF503" s="1265"/>
      <c r="AG503" s="18" t="s">
        <v>248</v>
      </c>
      <c r="AH503" s="1095">
        <v>2024</v>
      </c>
      <c r="AI503" s="1095"/>
      <c r="AJ503" s="1095"/>
      <c r="AK503" s="109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39"/>
      <c r="C504" s="1340"/>
      <c r="D504" s="1340"/>
      <c r="E504" s="1340"/>
      <c r="F504" s="1340"/>
      <c r="G504" s="1340"/>
      <c r="H504" s="1341"/>
      <c r="I504" s="410" t="s">
        <v>283</v>
      </c>
      <c r="J504" s="54"/>
      <c r="K504" s="54"/>
      <c r="L504" s="1351" t="s">
        <v>562</v>
      </c>
      <c r="M504" s="1301"/>
      <c r="N504" s="1301"/>
      <c r="O504" s="1301"/>
      <c r="P504" s="1301"/>
      <c r="Q504" s="1301"/>
      <c r="R504" s="1301"/>
      <c r="S504" s="1301"/>
      <c r="T504" s="1301"/>
      <c r="U504" s="1301"/>
      <c r="V504" s="1301"/>
      <c r="W504" s="1301"/>
      <c r="X504" s="1301"/>
      <c r="Y504" s="1301"/>
      <c r="Z504" s="1301"/>
      <c r="AA504" s="1301"/>
      <c r="AB504" s="1552"/>
      <c r="AC504" s="1400" t="s">
        <v>124</v>
      </c>
      <c r="AD504" s="1401"/>
      <c r="AE504" s="1401"/>
      <c r="AF504" s="1401"/>
      <c r="AG504" s="47" t="s">
        <v>248</v>
      </c>
      <c r="AH504" s="1095"/>
      <c r="AI504" s="1095"/>
      <c r="AJ504" s="1095"/>
      <c r="AK504" s="109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39"/>
      <c r="C505" s="1340"/>
      <c r="D505" s="1340"/>
      <c r="E505" s="1340"/>
      <c r="F505" s="1340"/>
      <c r="G505" s="1340"/>
      <c r="H505" s="1341"/>
      <c r="I505" s="41" t="s">
        <v>1985</v>
      </c>
      <c r="AC505" s="1399" t="s">
        <v>482</v>
      </c>
      <c r="AD505" s="1399"/>
      <c r="AE505" s="1399"/>
      <c r="AF505" s="1399"/>
      <c r="AG505" s="18"/>
      <c r="AH505" s="1364"/>
      <c r="AI505" s="1364"/>
      <c r="AJ505" s="1364"/>
      <c r="AK505" s="136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39"/>
      <c r="C506" s="1340"/>
      <c r="D506" s="1340"/>
      <c r="E506" s="1340"/>
      <c r="F506" s="1340"/>
      <c r="G506" s="1340"/>
      <c r="H506" s="1341"/>
      <c r="I506" t="s">
        <v>1986</v>
      </c>
      <c r="AC506" s="1264"/>
      <c r="AD506" s="1265"/>
      <c r="AE506" s="1265"/>
      <c r="AF506" s="1266"/>
      <c r="AG506" s="18"/>
      <c r="AH506" s="1364"/>
      <c r="AI506" s="1364"/>
      <c r="AJ506" s="1364"/>
      <c r="AK506" s="136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39"/>
      <c r="C507" s="1340"/>
      <c r="D507" s="1340"/>
      <c r="E507" s="1340"/>
      <c r="F507" s="1340"/>
      <c r="G507" s="1340"/>
      <c r="H507" s="1341"/>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39"/>
      <c r="C508" s="1340"/>
      <c r="D508" s="1340"/>
      <c r="E508" s="1340"/>
      <c r="F508" s="1340"/>
      <c r="G508" s="1340"/>
      <c r="H508" s="1341"/>
      <c r="I508" s="838" t="s">
        <v>1988</v>
      </c>
      <c r="J508" s="54"/>
      <c r="K508" s="54"/>
      <c r="L508" s="54"/>
      <c r="M508" s="54"/>
      <c r="N508" s="54"/>
      <c r="O508" s="54"/>
      <c r="P508" s="54"/>
      <c r="Q508" s="54"/>
      <c r="R508" s="54"/>
      <c r="S508" s="54"/>
      <c r="T508" s="54"/>
      <c r="U508" s="54"/>
      <c r="V508" s="54"/>
      <c r="W508" s="54"/>
      <c r="X508" s="54"/>
      <c r="Y508" s="54"/>
      <c r="Z508" s="54"/>
      <c r="AA508" s="54"/>
      <c r="AB508" s="54"/>
      <c r="AC508" s="1359"/>
      <c r="AD508" s="1360"/>
      <c r="AE508" s="1360"/>
      <c r="AF508" s="1361"/>
      <c r="AG508" s="47"/>
      <c r="AH508" s="1559"/>
      <c r="AI508" s="1559"/>
      <c r="AJ508" s="1559"/>
      <c r="AK508" s="156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36" t="s">
        <v>679</v>
      </c>
      <c r="C509" s="1337"/>
      <c r="D509" s="1337"/>
      <c r="E509" s="1337"/>
      <c r="F509" s="1337"/>
      <c r="G509" s="1337"/>
      <c r="H509" s="1338"/>
      <c r="I509" s="7" t="s">
        <v>680</v>
      </c>
      <c r="J509" s="7"/>
      <c r="K509" s="7"/>
      <c r="L509" s="7"/>
      <c r="M509" s="7"/>
      <c r="N509" s="7"/>
      <c r="O509" s="7"/>
      <c r="P509" s="7"/>
      <c r="Q509" s="7"/>
      <c r="R509" s="7"/>
      <c r="S509" s="7"/>
      <c r="T509" s="7"/>
      <c r="U509" s="7"/>
      <c r="V509" s="7"/>
      <c r="W509" s="7"/>
      <c r="AC509" s="1335">
        <v>2</v>
      </c>
      <c r="AD509" s="1070"/>
      <c r="AE509" s="1070"/>
      <c r="AF509" s="1070"/>
      <c r="AG509" s="18" t="s">
        <v>248</v>
      </c>
      <c r="AH509" s="1095">
        <v>2024</v>
      </c>
      <c r="AI509" s="1095"/>
      <c r="AJ509" s="1095"/>
      <c r="AK509" s="109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39"/>
      <c r="C510" s="1340"/>
      <c r="D510" s="1340"/>
      <c r="E510" s="1340"/>
      <c r="F510" s="1340"/>
      <c r="G510" s="1340"/>
      <c r="H510" s="1341"/>
      <c r="I510" t="s">
        <v>681</v>
      </c>
      <c r="AC510" s="1335">
        <v>6</v>
      </c>
      <c r="AD510" s="1070"/>
      <c r="AE510" s="1070"/>
      <c r="AF510" s="1070"/>
      <c r="AG510" s="18" t="s">
        <v>248</v>
      </c>
      <c r="AH510" s="1095">
        <v>2024</v>
      </c>
      <c r="AI510" s="1095"/>
      <c r="AJ510" s="1095"/>
      <c r="AK510" s="109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39"/>
      <c r="C511" s="1340"/>
      <c r="D511" s="1340"/>
      <c r="E511" s="1340"/>
      <c r="F511" s="1340"/>
      <c r="G511" s="1340"/>
      <c r="H511" s="1341"/>
      <c r="I511" s="54" t="s">
        <v>682</v>
      </c>
      <c r="J511" s="54"/>
      <c r="K511" s="54"/>
      <c r="L511" s="54"/>
      <c r="M511" s="54"/>
      <c r="N511" s="54"/>
      <c r="O511" s="54"/>
      <c r="P511" s="54"/>
      <c r="Q511" s="54"/>
      <c r="R511" s="54"/>
      <c r="S511" s="54"/>
      <c r="T511" s="54"/>
      <c r="U511" s="54"/>
      <c r="V511" s="54"/>
      <c r="W511" s="54"/>
      <c r="X511" s="54"/>
      <c r="Y511" s="54"/>
      <c r="Z511" s="54"/>
      <c r="AA511" s="54"/>
      <c r="AB511" s="54"/>
      <c r="AC511" s="1335">
        <v>12</v>
      </c>
      <c r="AD511" s="1070"/>
      <c r="AE511" s="1070"/>
      <c r="AF511" s="1070"/>
      <c r="AG511" s="47" t="s">
        <v>248</v>
      </c>
      <c r="AH511" s="1095">
        <v>2024</v>
      </c>
      <c r="AI511" s="1095"/>
      <c r="AJ511" s="1095"/>
      <c r="AK511" s="109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36" t="s">
        <v>683</v>
      </c>
      <c r="C512" s="1337"/>
      <c r="D512" s="1337"/>
      <c r="E512" s="1337"/>
      <c r="F512" s="1337"/>
      <c r="G512" s="1337"/>
      <c r="H512" s="1338"/>
      <c r="I512" s="7" t="s">
        <v>680</v>
      </c>
      <c r="J512" s="7"/>
      <c r="K512" s="7"/>
      <c r="L512" s="7"/>
      <c r="M512" s="7"/>
      <c r="N512" s="7"/>
      <c r="O512" s="7"/>
      <c r="P512" s="7"/>
      <c r="Q512" s="7"/>
      <c r="R512" s="7"/>
      <c r="S512" s="7"/>
      <c r="T512" s="7"/>
      <c r="U512" s="7"/>
      <c r="V512" s="7"/>
      <c r="W512" s="7"/>
      <c r="X512" s="7"/>
      <c r="Y512" s="7"/>
      <c r="Z512" s="7"/>
      <c r="AA512" s="7"/>
      <c r="AB512" s="7"/>
      <c r="AC512" s="1128">
        <v>2</v>
      </c>
      <c r="AD512" s="1129"/>
      <c r="AE512" s="1129"/>
      <c r="AF512" s="1129"/>
      <c r="AG512" s="230" t="s">
        <v>248</v>
      </c>
      <c r="AH512" s="1095">
        <v>2024</v>
      </c>
      <c r="AI512" s="1095"/>
      <c r="AJ512" s="1095"/>
      <c r="AK512" s="109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9"/>
      <c r="C513" s="1340"/>
      <c r="D513" s="1340"/>
      <c r="E513" s="1340"/>
      <c r="F513" s="1340"/>
      <c r="G513" s="1340"/>
      <c r="H513" s="1341"/>
      <c r="I513" t="s">
        <v>681</v>
      </c>
      <c r="AC513" s="1335">
        <v>6</v>
      </c>
      <c r="AD513" s="1070"/>
      <c r="AE513" s="1070"/>
      <c r="AF513" s="1070"/>
      <c r="AG513" s="18" t="s">
        <v>248</v>
      </c>
      <c r="AH513" s="1095">
        <v>2024</v>
      </c>
      <c r="AI513" s="1095"/>
      <c r="AJ513" s="1095"/>
      <c r="AK513" s="109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52"/>
      <c r="C514" s="1353"/>
      <c r="D514" s="1353"/>
      <c r="E514" s="1353"/>
      <c r="F514" s="1353"/>
      <c r="G514" s="1353"/>
      <c r="H514" s="1354"/>
      <c r="I514" s="54" t="s">
        <v>682</v>
      </c>
      <c r="J514" s="54"/>
      <c r="K514" s="54"/>
      <c r="L514" s="54"/>
      <c r="M514" s="54"/>
      <c r="N514" s="54"/>
      <c r="O514" s="54"/>
      <c r="P514" s="54"/>
      <c r="Q514" s="54"/>
      <c r="R514" s="54"/>
      <c r="S514" s="54"/>
      <c r="T514" s="54"/>
      <c r="U514" s="54"/>
      <c r="V514" s="54"/>
      <c r="W514" s="54"/>
      <c r="X514" s="54"/>
      <c r="Y514" s="54"/>
      <c r="Z514" s="54"/>
      <c r="AA514" s="54"/>
      <c r="AB514" s="54"/>
      <c r="AC514" s="1335">
        <v>12</v>
      </c>
      <c r="AD514" s="1070"/>
      <c r="AE514" s="1070"/>
      <c r="AF514" s="1070"/>
      <c r="AG514" s="47" t="s">
        <v>248</v>
      </c>
      <c r="AH514" s="1095">
        <v>2026</v>
      </c>
      <c r="AI514" s="1095"/>
      <c r="AJ514" s="1095"/>
      <c r="AK514" s="109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6" t="s">
        <v>684</v>
      </c>
      <c r="C515" s="1337"/>
      <c r="D515" s="1337"/>
      <c r="E515" s="1337"/>
      <c r="F515" s="1337"/>
      <c r="G515" s="1337"/>
      <c r="H515" s="1338"/>
      <c r="I515" s="6" t="s">
        <v>685</v>
      </c>
      <c r="J515" s="7"/>
      <c r="K515" s="7"/>
      <c r="L515" s="7"/>
      <c r="M515" s="7"/>
      <c r="N515" s="7"/>
      <c r="O515" s="1351" t="s">
        <v>2401</v>
      </c>
      <c r="P515" s="1301"/>
      <c r="Q515" s="1301"/>
      <c r="R515" s="1301"/>
      <c r="S515" s="1301"/>
      <c r="T515" s="1301"/>
      <c r="U515" s="1301"/>
      <c r="V515" s="1301"/>
      <c r="W515" s="1301"/>
      <c r="X515" s="1301"/>
      <c r="Y515" s="1301"/>
      <c r="Z515" s="1301"/>
      <c r="AA515" s="1301"/>
      <c r="AB515" s="64"/>
      <c r="AC515" s="1128" t="s">
        <v>124</v>
      </c>
      <c r="AD515" s="1129"/>
      <c r="AE515" s="1129"/>
      <c r="AF515" s="1129"/>
      <c r="AG515" s="230" t="s">
        <v>248</v>
      </c>
      <c r="AH515" s="1095"/>
      <c r="AI515" s="1095"/>
      <c r="AJ515" s="1095"/>
      <c r="AK515" s="109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9"/>
      <c r="C516" s="1340"/>
      <c r="D516" s="1340"/>
      <c r="E516" s="1340"/>
      <c r="F516" s="1340"/>
      <c r="G516" s="1340"/>
      <c r="H516" s="1341"/>
      <c r="I516" s="204" t="s">
        <v>686</v>
      </c>
      <c r="AB516" s="71"/>
      <c r="AC516" s="1335">
        <v>7</v>
      </c>
      <c r="AD516" s="1070"/>
      <c r="AE516" s="1070"/>
      <c r="AF516" s="1070"/>
      <c r="AG516" s="18" t="s">
        <v>248</v>
      </c>
      <c r="AH516" s="1095">
        <v>2023</v>
      </c>
      <c r="AI516" s="1095"/>
      <c r="AJ516" s="1095"/>
      <c r="AK516" s="109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9"/>
      <c r="C517" s="1340"/>
      <c r="D517" s="1340"/>
      <c r="E517" s="1340"/>
      <c r="F517" s="1340"/>
      <c r="G517" s="1340"/>
      <c r="H517" s="1341"/>
      <c r="I517" s="53" t="s">
        <v>687</v>
      </c>
      <c r="J517" s="54"/>
      <c r="K517" s="54"/>
      <c r="L517" s="54"/>
      <c r="M517" s="54"/>
      <c r="N517" s="54"/>
      <c r="O517" s="54"/>
      <c r="P517" s="54"/>
      <c r="Q517" s="54"/>
      <c r="R517" s="54"/>
      <c r="S517" s="54"/>
      <c r="T517" s="54"/>
      <c r="U517" s="54"/>
      <c r="V517" s="54"/>
      <c r="W517" s="54"/>
      <c r="X517" s="54"/>
      <c r="Y517" s="54"/>
      <c r="Z517" s="54"/>
      <c r="AA517" s="54"/>
      <c r="AB517" s="55"/>
      <c r="AC517" s="1335">
        <v>2</v>
      </c>
      <c r="AD517" s="1070"/>
      <c r="AE517" s="1070"/>
      <c r="AF517" s="1070"/>
      <c r="AG517" s="47" t="s">
        <v>248</v>
      </c>
      <c r="AH517" s="1095">
        <v>2024</v>
      </c>
      <c r="AI517" s="1095"/>
      <c r="AJ517" s="1095"/>
      <c r="AK517" s="1096"/>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9"/>
      <c r="C518" s="1340"/>
      <c r="D518" s="1340"/>
      <c r="E518" s="1340"/>
      <c r="F518" s="1340"/>
      <c r="G518" s="1340"/>
      <c r="H518" s="1341"/>
      <c r="I518" s="7" t="s">
        <v>688</v>
      </c>
      <c r="J518" s="7"/>
      <c r="K518" s="7"/>
      <c r="L518" s="7"/>
      <c r="M518" s="7"/>
      <c r="N518" s="7"/>
      <c r="O518" s="1351" t="s">
        <v>2402</v>
      </c>
      <c r="P518" s="1301"/>
      <c r="Q518" s="1301"/>
      <c r="R518" s="1301"/>
      <c r="S518" s="1301"/>
      <c r="T518" s="1301"/>
      <c r="U518" s="1301"/>
      <c r="V518" s="1301"/>
      <c r="W518" s="1301"/>
      <c r="X518" s="1301"/>
      <c r="Y518" s="1301"/>
      <c r="Z518" s="1301"/>
      <c r="AA518" s="1301"/>
      <c r="AC518" s="1335" t="s">
        <v>124</v>
      </c>
      <c r="AD518" s="1070"/>
      <c r="AE518" s="1070"/>
      <c r="AF518" s="1070"/>
      <c r="AG518" s="18" t="s">
        <v>248</v>
      </c>
      <c r="AH518" s="1095"/>
      <c r="AI518" s="1095"/>
      <c r="AJ518" s="1095"/>
      <c r="AK518" s="1096"/>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9"/>
      <c r="C519" s="1340"/>
      <c r="D519" s="1340"/>
      <c r="E519" s="1340"/>
      <c r="F519" s="1340"/>
      <c r="G519" s="1340"/>
      <c r="H519" s="1341"/>
      <c r="I519" t="s">
        <v>686</v>
      </c>
      <c r="AC519" s="1335">
        <v>7</v>
      </c>
      <c r="AD519" s="1070"/>
      <c r="AE519" s="1070"/>
      <c r="AF519" s="1070"/>
      <c r="AG519" s="18" t="s">
        <v>248</v>
      </c>
      <c r="AH519" s="1095">
        <v>2023</v>
      </c>
      <c r="AI519" s="1095"/>
      <c r="AJ519" s="1095"/>
      <c r="AK519" s="1096"/>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9"/>
      <c r="C520" s="1340"/>
      <c r="D520" s="1340"/>
      <c r="E520" s="1340"/>
      <c r="F520" s="1340"/>
      <c r="G520" s="1340"/>
      <c r="H520" s="1341"/>
      <c r="I520" s="54" t="s">
        <v>687</v>
      </c>
      <c r="J520" s="54"/>
      <c r="K520" s="54"/>
      <c r="L520" s="54"/>
      <c r="M520" s="54"/>
      <c r="N520" s="54"/>
      <c r="O520" s="54"/>
      <c r="P520" s="54"/>
      <c r="Q520" s="54"/>
      <c r="R520" s="54"/>
      <c r="S520" s="54"/>
      <c r="T520" s="54"/>
      <c r="U520" s="54"/>
      <c r="V520" s="54"/>
      <c r="W520" s="54"/>
      <c r="X520" s="54"/>
      <c r="Y520" s="54"/>
      <c r="Z520" s="54"/>
      <c r="AA520" s="54"/>
      <c r="AB520" s="54"/>
      <c r="AC520" s="1335">
        <v>2</v>
      </c>
      <c r="AD520" s="1070"/>
      <c r="AE520" s="1070"/>
      <c r="AF520" s="1070"/>
      <c r="AG520" s="47" t="s">
        <v>248</v>
      </c>
      <c r="AH520" s="1095">
        <v>2024</v>
      </c>
      <c r="AI520" s="1095"/>
      <c r="AJ520" s="1095"/>
      <c r="AK520" s="1096"/>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9"/>
      <c r="C521" s="1340"/>
      <c r="D521" s="1340"/>
      <c r="E521" s="1340"/>
      <c r="F521" s="1340"/>
      <c r="G521" s="1340"/>
      <c r="H521" s="1341"/>
      <c r="I521" s="7" t="s">
        <v>688</v>
      </c>
      <c r="J521" s="7"/>
      <c r="K521" s="7"/>
      <c r="L521" s="7"/>
      <c r="M521" s="7"/>
      <c r="N521" s="7"/>
      <c r="O521" s="1351" t="s">
        <v>562</v>
      </c>
      <c r="P521" s="1301"/>
      <c r="Q521" s="1301"/>
      <c r="R521" s="1301"/>
      <c r="S521" s="1301"/>
      <c r="T521" s="1301"/>
      <c r="U521" s="1301"/>
      <c r="V521" s="1301"/>
      <c r="W521" s="1301"/>
      <c r="X521" s="1301"/>
      <c r="Y521" s="1301"/>
      <c r="Z521" s="1301"/>
      <c r="AA521" s="1301"/>
      <c r="AC521" s="1335" t="s">
        <v>124</v>
      </c>
      <c r="AD521" s="1070"/>
      <c r="AE521" s="1070"/>
      <c r="AF521" s="1070"/>
      <c r="AG521" s="18" t="s">
        <v>248</v>
      </c>
      <c r="AH521" s="1095"/>
      <c r="AI521" s="1095"/>
      <c r="AJ521" s="1095"/>
      <c r="AK521" s="1096"/>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9"/>
      <c r="C522" s="1340"/>
      <c r="D522" s="1340"/>
      <c r="E522" s="1340"/>
      <c r="F522" s="1340"/>
      <c r="G522" s="1340"/>
      <c r="H522" s="1341"/>
      <c r="I522" t="s">
        <v>686</v>
      </c>
      <c r="AC522" s="1335" t="s">
        <v>124</v>
      </c>
      <c r="AD522" s="1070"/>
      <c r="AE522" s="1070"/>
      <c r="AF522" s="1070"/>
      <c r="AG522" s="18" t="s">
        <v>248</v>
      </c>
      <c r="AH522" s="1095"/>
      <c r="AI522" s="1095"/>
      <c r="AJ522" s="1095"/>
      <c r="AK522" s="1096"/>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9"/>
      <c r="C523" s="1340"/>
      <c r="D523" s="1340"/>
      <c r="E523" s="1340"/>
      <c r="F523" s="1340"/>
      <c r="G523" s="1340"/>
      <c r="H523" s="1341"/>
      <c r="I523" s="54" t="s">
        <v>687</v>
      </c>
      <c r="J523" s="54"/>
      <c r="K523" s="54"/>
      <c r="L523" s="54"/>
      <c r="M523" s="54"/>
      <c r="N523" s="54"/>
      <c r="O523" s="54"/>
      <c r="P523" s="54"/>
      <c r="Q523" s="54"/>
      <c r="R523" s="54"/>
      <c r="S523" s="54"/>
      <c r="T523" s="54"/>
      <c r="U523" s="54"/>
      <c r="V523" s="54"/>
      <c r="W523" s="54"/>
      <c r="X523" s="54"/>
      <c r="Y523" s="54"/>
      <c r="Z523" s="54"/>
      <c r="AA523" s="54"/>
      <c r="AB523" s="54"/>
      <c r="AC523" s="1335" t="s">
        <v>124</v>
      </c>
      <c r="AD523" s="1070"/>
      <c r="AE523" s="1070"/>
      <c r="AF523" s="1070"/>
      <c r="AG523" s="47" t="s">
        <v>248</v>
      </c>
      <c r="AH523" s="1095"/>
      <c r="AI523" s="1095"/>
      <c r="AJ523" s="1095"/>
      <c r="AK523" s="1096"/>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9"/>
      <c r="C524" s="1340"/>
      <c r="D524" s="1340"/>
      <c r="E524" s="1340"/>
      <c r="F524" s="1340"/>
      <c r="G524" s="1340"/>
      <c r="H524" s="1341"/>
      <c r="I524" s="7" t="s">
        <v>688</v>
      </c>
      <c r="J524" s="7"/>
      <c r="K524" s="7"/>
      <c r="L524" s="7"/>
      <c r="M524" s="7"/>
      <c r="N524" s="7"/>
      <c r="O524" s="1351" t="s">
        <v>562</v>
      </c>
      <c r="P524" s="1301"/>
      <c r="Q524" s="1301"/>
      <c r="R524" s="1301"/>
      <c r="S524" s="1301"/>
      <c r="T524" s="1301"/>
      <c r="U524" s="1301"/>
      <c r="V524" s="1301"/>
      <c r="W524" s="1301"/>
      <c r="X524" s="1301"/>
      <c r="Y524" s="1301"/>
      <c r="Z524" s="1301"/>
      <c r="AA524" s="1301"/>
      <c r="AC524" s="1335" t="s">
        <v>124</v>
      </c>
      <c r="AD524" s="1070"/>
      <c r="AE524" s="1070"/>
      <c r="AF524" s="1070"/>
      <c r="AG524" s="18" t="s">
        <v>248</v>
      </c>
      <c r="AH524" s="1095"/>
      <c r="AI524" s="1095"/>
      <c r="AJ524" s="1095"/>
      <c r="AK524" s="1096"/>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9"/>
      <c r="C525" s="1340"/>
      <c r="D525" s="1340"/>
      <c r="E525" s="1340"/>
      <c r="F525" s="1340"/>
      <c r="G525" s="1340"/>
      <c r="H525" s="1341"/>
      <c r="I525" t="s">
        <v>686</v>
      </c>
      <c r="AC525" s="1335" t="s">
        <v>124</v>
      </c>
      <c r="AD525" s="1070"/>
      <c r="AE525" s="1070"/>
      <c r="AF525" s="1070"/>
      <c r="AG525" s="18" t="s">
        <v>248</v>
      </c>
      <c r="AH525" s="1095"/>
      <c r="AI525" s="1095"/>
      <c r="AJ525" s="1095"/>
      <c r="AK525" s="1096"/>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9"/>
      <c r="C526" s="1340"/>
      <c r="D526" s="1340"/>
      <c r="E526" s="1340"/>
      <c r="F526" s="1340"/>
      <c r="G526" s="1340"/>
      <c r="H526" s="1341"/>
      <c r="I526" s="54" t="s">
        <v>687</v>
      </c>
      <c r="J526" s="54"/>
      <c r="K526" s="54"/>
      <c r="L526" s="54"/>
      <c r="M526" s="54"/>
      <c r="N526" s="54"/>
      <c r="O526" s="54"/>
      <c r="P526" s="54"/>
      <c r="Q526" s="54"/>
      <c r="R526" s="54"/>
      <c r="S526" s="54"/>
      <c r="T526" s="54"/>
      <c r="U526" s="54"/>
      <c r="V526" s="54"/>
      <c r="W526" s="54"/>
      <c r="X526" s="54"/>
      <c r="Y526" s="54"/>
      <c r="Z526" s="54"/>
      <c r="AA526" s="54"/>
      <c r="AB526" s="54"/>
      <c r="AC526" s="1335" t="s">
        <v>124</v>
      </c>
      <c r="AD526" s="1070"/>
      <c r="AE526" s="1070"/>
      <c r="AF526" s="1070"/>
      <c r="AG526" s="47" t="s">
        <v>248</v>
      </c>
      <c r="AH526" s="1095"/>
      <c r="AI526" s="1095"/>
      <c r="AJ526" s="1095"/>
      <c r="AK526" s="1096"/>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9"/>
      <c r="C527" s="1340"/>
      <c r="D527" s="1340"/>
      <c r="E527" s="1340"/>
      <c r="F527" s="1340"/>
      <c r="G527" s="1340"/>
      <c r="H527" s="1341"/>
      <c r="I527" s="7" t="s">
        <v>688</v>
      </c>
      <c r="J527" s="7"/>
      <c r="K527" s="7"/>
      <c r="L527" s="7"/>
      <c r="M527" s="7"/>
      <c r="N527" s="7"/>
      <c r="O527" s="1351" t="s">
        <v>562</v>
      </c>
      <c r="P527" s="1301"/>
      <c r="Q527" s="1301"/>
      <c r="R527" s="1301"/>
      <c r="S527" s="1301"/>
      <c r="T527" s="1301"/>
      <c r="U527" s="1301"/>
      <c r="V527" s="1301"/>
      <c r="W527" s="1301"/>
      <c r="X527" s="1301"/>
      <c r="Y527" s="1301"/>
      <c r="Z527" s="1301"/>
      <c r="AA527" s="1301"/>
      <c r="AC527" s="1335" t="s">
        <v>124</v>
      </c>
      <c r="AD527" s="1070"/>
      <c r="AE527" s="1070"/>
      <c r="AF527" s="1070"/>
      <c r="AG527" s="18" t="s">
        <v>248</v>
      </c>
      <c r="AH527" s="1095"/>
      <c r="AI527" s="1095"/>
      <c r="AJ527" s="1095"/>
      <c r="AK527" s="1096"/>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9"/>
      <c r="C528" s="1340"/>
      <c r="D528" s="1340"/>
      <c r="E528" s="1340"/>
      <c r="F528" s="1340"/>
      <c r="G528" s="1340"/>
      <c r="H528" s="1341"/>
      <c r="I528" t="s">
        <v>686</v>
      </c>
      <c r="AC528" s="1335" t="s">
        <v>124</v>
      </c>
      <c r="AD528" s="1070"/>
      <c r="AE528" s="1070"/>
      <c r="AF528" s="1070"/>
      <c r="AG528" s="47" t="s">
        <v>248</v>
      </c>
      <c r="AH528" s="1095"/>
      <c r="AI528" s="1095"/>
      <c r="AJ528" s="1095"/>
      <c r="AK528" s="1096"/>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39"/>
      <c r="C529" s="1340"/>
      <c r="D529" s="1340"/>
      <c r="E529" s="1340"/>
      <c r="F529" s="1340"/>
      <c r="G529" s="1340"/>
      <c r="H529" s="1341"/>
      <c r="I529" s="54" t="s">
        <v>687</v>
      </c>
      <c r="J529" s="54"/>
      <c r="K529" s="54"/>
      <c r="L529" s="54"/>
      <c r="M529" s="54"/>
      <c r="N529" s="54"/>
      <c r="O529" s="54"/>
      <c r="P529" s="54"/>
      <c r="Q529" s="54"/>
      <c r="R529" s="54"/>
      <c r="S529" s="54"/>
      <c r="T529" s="54"/>
      <c r="U529" s="54"/>
      <c r="V529" s="54"/>
      <c r="W529" s="54"/>
      <c r="X529" s="54"/>
      <c r="Y529" s="54"/>
      <c r="Z529" s="54"/>
      <c r="AA529" s="54"/>
      <c r="AB529" s="54"/>
      <c r="AC529" s="1335" t="s">
        <v>124</v>
      </c>
      <c r="AD529" s="1070"/>
      <c r="AE529" s="1070"/>
      <c r="AF529" s="1070"/>
      <c r="AG529" s="18" t="s">
        <v>248</v>
      </c>
      <c r="AH529" s="1095"/>
      <c r="AI529" s="1095"/>
      <c r="AJ529" s="1095"/>
      <c r="AK529" s="1096"/>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39"/>
      <c r="C530" s="1340"/>
      <c r="D530" s="1340"/>
      <c r="E530" s="1340"/>
      <c r="F530" s="1340"/>
      <c r="G530" s="1340"/>
      <c r="H530" s="1341"/>
      <c r="I530" s="7" t="s">
        <v>688</v>
      </c>
      <c r="J530" s="7"/>
      <c r="K530" s="7"/>
      <c r="L530" s="7"/>
      <c r="M530" s="7"/>
      <c r="N530" s="7"/>
      <c r="O530" s="1351" t="s">
        <v>562</v>
      </c>
      <c r="P530" s="1301"/>
      <c r="Q530" s="1301"/>
      <c r="R530" s="1301"/>
      <c r="S530" s="1301"/>
      <c r="T530" s="1301"/>
      <c r="U530" s="1301"/>
      <c r="V530" s="1301"/>
      <c r="W530" s="1301"/>
      <c r="X530" s="1301"/>
      <c r="Y530" s="1301"/>
      <c r="Z530" s="1301"/>
      <c r="AA530" s="1301"/>
      <c r="AC530" s="1335" t="s">
        <v>124</v>
      </c>
      <c r="AD530" s="1070"/>
      <c r="AE530" s="1070"/>
      <c r="AF530" s="1070"/>
      <c r="AG530" s="47" t="s">
        <v>248</v>
      </c>
      <c r="AH530" s="1095"/>
      <c r="AI530" s="1095"/>
      <c r="AJ530" s="1095"/>
      <c r="AK530" s="1096"/>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39"/>
      <c r="C531" s="1340"/>
      <c r="D531" s="1340"/>
      <c r="E531" s="1340"/>
      <c r="F531" s="1340"/>
      <c r="G531" s="1340"/>
      <c r="H531" s="1341"/>
      <c r="I531" t="s">
        <v>686</v>
      </c>
      <c r="AC531" s="1335" t="s">
        <v>124</v>
      </c>
      <c r="AD531" s="1070"/>
      <c r="AE531" s="1070"/>
      <c r="AF531" s="1070"/>
      <c r="AG531" s="18" t="s">
        <v>248</v>
      </c>
      <c r="AH531" s="1095"/>
      <c r="AI531" s="1095"/>
      <c r="AJ531" s="1095"/>
      <c r="AK531" s="1096"/>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39"/>
      <c r="C532" s="1340"/>
      <c r="D532" s="1340"/>
      <c r="E532" s="1340"/>
      <c r="F532" s="1340"/>
      <c r="G532" s="1340"/>
      <c r="H532" s="1341"/>
      <c r="I532" s="54" t="s">
        <v>687</v>
      </c>
      <c r="J532" s="54"/>
      <c r="K532" s="54"/>
      <c r="L532" s="54"/>
      <c r="M532" s="54"/>
      <c r="N532" s="54"/>
      <c r="O532" s="54"/>
      <c r="P532" s="54"/>
      <c r="Q532" s="54"/>
      <c r="R532" s="54"/>
      <c r="S532" s="54"/>
      <c r="T532" s="54"/>
      <c r="U532" s="54"/>
      <c r="V532" s="54"/>
      <c r="W532" s="54"/>
      <c r="X532" s="54"/>
      <c r="Y532" s="54"/>
      <c r="Z532" s="54"/>
      <c r="AA532" s="54"/>
      <c r="AB532" s="54"/>
      <c r="AC532" s="1335" t="s">
        <v>124</v>
      </c>
      <c r="AD532" s="1070"/>
      <c r="AE532" s="1070"/>
      <c r="AF532" s="1070"/>
      <c r="AG532" s="47" t="s">
        <v>248</v>
      </c>
      <c r="AH532" s="1095"/>
      <c r="AI532" s="1095"/>
      <c r="AJ532" s="1095"/>
      <c r="AK532" s="1096"/>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39"/>
      <c r="C533" s="1340"/>
      <c r="D533" s="1340"/>
      <c r="E533" s="1340"/>
      <c r="F533" s="1340"/>
      <c r="G533" s="1340"/>
      <c r="H533" s="1341"/>
      <c r="I533" s="7" t="s">
        <v>735</v>
      </c>
      <c r="J533" s="7"/>
      <c r="K533" s="7"/>
      <c r="L533" s="7"/>
      <c r="M533" s="7"/>
      <c r="N533" s="7"/>
      <c r="O533" s="7"/>
      <c r="P533" s="7"/>
      <c r="Q533" s="7"/>
      <c r="R533" s="7"/>
      <c r="S533" s="7"/>
      <c r="T533" s="7"/>
      <c r="U533" s="7"/>
      <c r="V533" s="7"/>
      <c r="W533" s="7"/>
      <c r="AC533" s="1335">
        <v>10</v>
      </c>
      <c r="AD533" s="1070"/>
      <c r="AE533" s="1070"/>
      <c r="AF533" s="1070"/>
      <c r="AG533" s="47" t="s">
        <v>248</v>
      </c>
      <c r="AH533" s="1095">
        <v>2025</v>
      </c>
      <c r="AI533" s="1095"/>
      <c r="AJ533" s="1095"/>
      <c r="AK533" s="1096"/>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39"/>
      <c r="C534" s="1340"/>
      <c r="D534" s="1340"/>
      <c r="E534" s="1340"/>
      <c r="F534" s="1340"/>
      <c r="G534" s="1340"/>
      <c r="H534" s="1341"/>
      <c r="I534" t="s">
        <v>736</v>
      </c>
      <c r="AC534" s="1335">
        <v>12</v>
      </c>
      <c r="AD534" s="1070"/>
      <c r="AE534" s="1070"/>
      <c r="AF534" s="1070"/>
      <c r="AG534" s="18" t="s">
        <v>248</v>
      </c>
      <c r="AH534" s="1095">
        <v>2024</v>
      </c>
      <c r="AI534" s="1095"/>
      <c r="AJ534" s="1095"/>
      <c r="AK534" s="1096"/>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39"/>
      <c r="C535" s="1340"/>
      <c r="D535" s="1340"/>
      <c r="E535" s="1340"/>
      <c r="F535" s="1340"/>
      <c r="G535" s="1340"/>
      <c r="H535" s="1341"/>
      <c r="I535" t="s">
        <v>737</v>
      </c>
      <c r="AC535" s="1335">
        <v>6</v>
      </c>
      <c r="AD535" s="1070"/>
      <c r="AE535" s="1070"/>
      <c r="AF535" s="1070"/>
      <c r="AG535" s="47" t="s">
        <v>248</v>
      </c>
      <c r="AH535" s="1095">
        <v>2026</v>
      </c>
      <c r="AI535" s="1095"/>
      <c r="AJ535" s="1095"/>
      <c r="AK535" s="1096"/>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39"/>
      <c r="C536" s="1340"/>
      <c r="D536" s="1340"/>
      <c r="E536" s="1340"/>
      <c r="F536" s="1340"/>
      <c r="G536" s="1340"/>
      <c r="H536" s="1341"/>
      <c r="I536" t="s">
        <v>738</v>
      </c>
      <c r="AC536" s="1335">
        <v>6</v>
      </c>
      <c r="AD536" s="1070"/>
      <c r="AE536" s="1070"/>
      <c r="AF536" s="1070"/>
      <c r="AG536" s="47" t="s">
        <v>248</v>
      </c>
      <c r="AH536" s="1095">
        <v>2026</v>
      </c>
      <c r="AI536" s="1095"/>
      <c r="AJ536" s="1095"/>
      <c r="AK536" s="1096"/>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52"/>
      <c r="C537" s="1353"/>
      <c r="D537" s="1353"/>
      <c r="E537" s="1353"/>
      <c r="F537" s="1353"/>
      <c r="G537" s="1353"/>
      <c r="H537" s="1354"/>
      <c r="I537" s="54" t="s">
        <v>1365</v>
      </c>
      <c r="J537" s="54"/>
      <c r="K537" s="54"/>
      <c r="L537" s="54"/>
      <c r="M537" s="54"/>
      <c r="N537" s="54"/>
      <c r="O537" s="54"/>
      <c r="P537" s="54"/>
      <c r="Q537" s="54"/>
      <c r="R537" s="54"/>
      <c r="S537" s="54"/>
      <c r="T537" s="54"/>
      <c r="U537" s="54"/>
      <c r="V537" s="54"/>
      <c r="W537" s="54"/>
      <c r="X537" s="54"/>
      <c r="Y537" s="54"/>
      <c r="Z537" s="54"/>
      <c r="AA537" s="54"/>
      <c r="AB537" s="54"/>
      <c r="AC537" s="1335">
        <v>9</v>
      </c>
      <c r="AD537" s="1070"/>
      <c r="AE537" s="1070"/>
      <c r="AF537" s="1070"/>
      <c r="AG537" s="47" t="s">
        <v>248</v>
      </c>
      <c r="AH537" s="1095">
        <v>2026</v>
      </c>
      <c r="AI537" s="1095"/>
      <c r="AJ537" s="1095"/>
      <c r="AK537" s="1096"/>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2" t="s">
        <v>498</v>
      </c>
      <c r="B539" s="982"/>
      <c r="C539" s="982"/>
      <c r="D539" s="982"/>
      <c r="E539" s="982"/>
      <c r="F539" s="982"/>
      <c r="G539" s="982"/>
      <c r="H539" s="982"/>
      <c r="I539" s="982"/>
      <c r="J539" s="982"/>
      <c r="K539" s="982"/>
      <c r="L539" s="982"/>
      <c r="M539" s="982"/>
      <c r="N539" s="982"/>
      <c r="O539" s="982"/>
      <c r="P539" s="982"/>
      <c r="Q539" s="982"/>
      <c r="R539" s="982"/>
      <c r="S539" s="982"/>
      <c r="T539" s="982"/>
      <c r="U539" s="982"/>
      <c r="V539" s="982"/>
      <c r="W539" s="982"/>
      <c r="X539" s="982"/>
      <c r="Y539" s="982"/>
      <c r="Z539" s="982"/>
      <c r="AA539" s="982"/>
      <c r="AB539" s="982"/>
      <c r="AC539" s="982"/>
      <c r="AD539" s="982"/>
      <c r="AE539" s="982"/>
      <c r="AF539" s="982"/>
      <c r="AG539" s="982"/>
      <c r="AH539" s="982"/>
      <c r="AI539" s="982"/>
      <c r="AJ539" s="982"/>
      <c r="AK539" s="982"/>
      <c r="AL539" s="982"/>
      <c r="AM539" s="982"/>
      <c r="AN539" s="982"/>
      <c r="AO539" s="982"/>
      <c r="AP539" s="982"/>
      <c r="AQ539" s="982"/>
      <c r="AR539" s="982"/>
      <c r="AS539" s="982"/>
      <c r="AT539" s="982"/>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2"/>
      <c r="B540" s="982"/>
      <c r="C540" s="982"/>
      <c r="D540" s="982"/>
      <c r="E540" s="982"/>
      <c r="F540" s="982"/>
      <c r="G540" s="982"/>
      <c r="H540" s="982"/>
      <c r="I540" s="982"/>
      <c r="J540" s="982"/>
      <c r="K540" s="982"/>
      <c r="L540" s="982"/>
      <c r="M540" s="982"/>
      <c r="N540" s="982"/>
      <c r="O540" s="982"/>
      <c r="P540" s="982"/>
      <c r="Q540" s="982"/>
      <c r="R540" s="982"/>
      <c r="S540" s="982"/>
      <c r="T540" s="982"/>
      <c r="U540" s="982"/>
      <c r="V540" s="982"/>
      <c r="W540" s="982"/>
      <c r="X540" s="982"/>
      <c r="Y540" s="982"/>
      <c r="Z540" s="982"/>
      <c r="AA540" s="982"/>
      <c r="AB540" s="982"/>
      <c r="AC540" s="982"/>
      <c r="AD540" s="982"/>
      <c r="AE540" s="982"/>
      <c r="AF540" s="982"/>
      <c r="AG540" s="982"/>
      <c r="AH540" s="982"/>
      <c r="AI540" s="982"/>
      <c r="AJ540" s="982"/>
      <c r="AK540" s="982"/>
      <c r="AL540" s="982"/>
      <c r="AM540" s="982"/>
      <c r="AN540" s="982"/>
      <c r="AO540" s="982"/>
      <c r="AP540" s="982"/>
      <c r="AQ540" s="982"/>
      <c r="AR540" s="982"/>
      <c r="AS540" s="982"/>
      <c r="AT540" s="982"/>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36" t="s">
        <v>2194</v>
      </c>
      <c r="C546" s="1337"/>
      <c r="D546" s="1337"/>
      <c r="E546" s="1337"/>
      <c r="F546" s="1337"/>
      <c r="G546" s="1337"/>
      <c r="H546" s="1337"/>
      <c r="I546" s="1337"/>
      <c r="J546" s="1337"/>
      <c r="K546" s="1337"/>
      <c r="L546" s="1337"/>
      <c r="M546" s="1368" t="s">
        <v>2168</v>
      </c>
      <c r="N546" s="1368"/>
      <c r="O546" s="1368"/>
      <c r="P546" s="1368"/>
      <c r="Q546" s="1336" t="s">
        <v>440</v>
      </c>
      <c r="R546" s="1337"/>
      <c r="S546" s="1338"/>
      <c r="T546" s="1336" t="s">
        <v>1989</v>
      </c>
      <c r="U546" s="1337"/>
      <c r="V546" s="1338"/>
      <c r="W546" s="1336" t="s">
        <v>740</v>
      </c>
      <c r="X546" s="1337"/>
      <c r="Y546" s="1338"/>
      <c r="Z546" s="1336" t="s">
        <v>1991</v>
      </c>
      <c r="AA546" s="1337"/>
      <c r="AB546" s="1337"/>
      <c r="AC546" s="1337"/>
      <c r="AD546" s="1338"/>
      <c r="AE546" s="1336" t="s">
        <v>1990</v>
      </c>
      <c r="AF546" s="1337"/>
      <c r="AG546" s="1337"/>
      <c r="AH546" s="1338"/>
      <c r="AI546" s="1336" t="s">
        <v>1992</v>
      </c>
      <c r="AJ546" s="1337"/>
      <c r="AK546" s="1337"/>
      <c r="AL546" s="1338"/>
      <c r="AM546" s="1336" t="s">
        <v>741</v>
      </c>
      <c r="AN546" s="1337"/>
      <c r="AO546" s="1337"/>
      <c r="AP546" s="1337"/>
      <c r="AQ546" s="1337"/>
      <c r="AR546" s="1337"/>
      <c r="AS546" s="13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39"/>
      <c r="C547" s="1340"/>
      <c r="D547" s="1340"/>
      <c r="E547" s="1340"/>
      <c r="F547" s="1340"/>
      <c r="G547" s="1340"/>
      <c r="H547" s="1340"/>
      <c r="I547" s="1340"/>
      <c r="J547" s="1340"/>
      <c r="K547" s="1340"/>
      <c r="L547" s="1340"/>
      <c r="M547" s="1368"/>
      <c r="N547" s="1368"/>
      <c r="O547" s="1368"/>
      <c r="P547" s="1368"/>
      <c r="Q547" s="1339"/>
      <c r="R547" s="1340"/>
      <c r="S547" s="1341"/>
      <c r="T547" s="1339"/>
      <c r="U547" s="1340"/>
      <c r="V547" s="1341"/>
      <c r="W547" s="1339"/>
      <c r="X547" s="1340"/>
      <c r="Y547" s="1341"/>
      <c r="Z547" s="1339"/>
      <c r="AA547" s="1340"/>
      <c r="AB547" s="1340"/>
      <c r="AC547" s="1340"/>
      <c r="AD547" s="1341"/>
      <c r="AE547" s="1339"/>
      <c r="AF547" s="1340"/>
      <c r="AG547" s="1340"/>
      <c r="AH547" s="1341"/>
      <c r="AI547" s="1339"/>
      <c r="AJ547" s="1340"/>
      <c r="AK547" s="1340"/>
      <c r="AL547" s="1341"/>
      <c r="AM547" s="1339"/>
      <c r="AN547" s="1340"/>
      <c r="AO547" s="1340"/>
      <c r="AP547" s="1340"/>
      <c r="AQ547" s="1340"/>
      <c r="AR547" s="1340"/>
      <c r="AS547" s="13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52"/>
      <c r="C548" s="1353"/>
      <c r="D548" s="1353"/>
      <c r="E548" s="1353"/>
      <c r="F548" s="1353"/>
      <c r="G548" s="1353"/>
      <c r="H548" s="1353"/>
      <c r="I548" s="1353"/>
      <c r="J548" s="1353"/>
      <c r="K548" s="1353"/>
      <c r="L548" s="1353"/>
      <c r="M548" s="1368"/>
      <c r="N548" s="1368"/>
      <c r="O548" s="1368"/>
      <c r="P548" s="1368"/>
      <c r="Q548" s="1352"/>
      <c r="R548" s="1353"/>
      <c r="S548" s="1354"/>
      <c r="T548" s="1352"/>
      <c r="U548" s="1353"/>
      <c r="V548" s="1354"/>
      <c r="W548" s="1352"/>
      <c r="X548" s="1353"/>
      <c r="Y548" s="1354"/>
      <c r="Z548" s="1352"/>
      <c r="AA548" s="1353"/>
      <c r="AB548" s="1353"/>
      <c r="AC548" s="1353"/>
      <c r="AD548" s="1354"/>
      <c r="AE548" s="1352"/>
      <c r="AF548" s="1353"/>
      <c r="AG548" s="1353"/>
      <c r="AH548" s="1354"/>
      <c r="AI548" s="1352"/>
      <c r="AJ548" s="1353"/>
      <c r="AK548" s="1353"/>
      <c r="AL548" s="1354"/>
      <c r="AM548" s="1352"/>
      <c r="AN548" s="1353"/>
      <c r="AO548" s="1353"/>
      <c r="AP548" s="1353"/>
      <c r="AQ548" s="1353"/>
      <c r="AR548" s="1353"/>
      <c r="AS548" s="135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14" t="s">
        <v>2403</v>
      </c>
      <c r="D549" s="1414"/>
      <c r="E549" s="1414"/>
      <c r="F549" s="1414"/>
      <c r="G549" s="1414"/>
      <c r="H549" s="1414"/>
      <c r="I549" s="1414"/>
      <c r="J549" s="1414"/>
      <c r="K549" s="1414"/>
      <c r="L549" s="1414"/>
      <c r="M549" s="1369" t="s">
        <v>2178</v>
      </c>
      <c r="N549" s="1369"/>
      <c r="O549" s="1369"/>
      <c r="P549" s="1369"/>
      <c r="Q549" s="1288">
        <v>24</v>
      </c>
      <c r="R549" s="1288"/>
      <c r="S549" s="1289"/>
      <c r="T549" s="1287"/>
      <c r="U549" s="1288"/>
      <c r="V549" s="1289"/>
      <c r="W549" s="1297">
        <v>7.0499999999999993E-2</v>
      </c>
      <c r="X549" s="1298"/>
      <c r="Y549" s="1299"/>
      <c r="Z549" s="1290" t="s">
        <v>1977</v>
      </c>
      <c r="AA549" s="1290"/>
      <c r="AB549" s="1290"/>
      <c r="AC549" s="1290"/>
      <c r="AD549" s="1290"/>
      <c r="AE549" s="1291"/>
      <c r="AF549" s="1292"/>
      <c r="AG549" s="1292"/>
      <c r="AH549" s="1293"/>
      <c r="AI549" s="1294"/>
      <c r="AJ549" s="1295"/>
      <c r="AK549" s="1295"/>
      <c r="AL549" s="1296"/>
      <c r="AM549" s="1082">
        <v>27799017</v>
      </c>
      <c r="AN549" s="1083"/>
      <c r="AO549" s="1083"/>
      <c r="AP549" s="1083"/>
      <c r="AQ549" s="1083"/>
      <c r="AR549" s="1083"/>
      <c r="AS549" s="108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14" t="s">
        <v>2404</v>
      </c>
      <c r="D550" s="1414"/>
      <c r="E550" s="1414"/>
      <c r="F550" s="1414"/>
      <c r="G550" s="1414"/>
      <c r="H550" s="1414"/>
      <c r="I550" s="1414"/>
      <c r="J550" s="1414"/>
      <c r="K550" s="1414"/>
      <c r="L550" s="1414"/>
      <c r="M550" s="1369" t="s">
        <v>2180</v>
      </c>
      <c r="N550" s="1369"/>
      <c r="O550" s="1369"/>
      <c r="P550" s="1369"/>
      <c r="Q550" s="1287">
        <v>24</v>
      </c>
      <c r="R550" s="1288"/>
      <c r="S550" s="1289"/>
      <c r="T550" s="1287"/>
      <c r="U550" s="1288"/>
      <c r="V550" s="1289"/>
      <c r="W550" s="1297">
        <v>0.02</v>
      </c>
      <c r="X550" s="1298"/>
      <c r="Y550" s="1299"/>
      <c r="Z550" s="1290" t="s">
        <v>1977</v>
      </c>
      <c r="AA550" s="1290"/>
      <c r="AB550" s="1290"/>
      <c r="AC550" s="1290"/>
      <c r="AD550" s="1290"/>
      <c r="AE550" s="1291"/>
      <c r="AF550" s="1292"/>
      <c r="AG550" s="1292"/>
      <c r="AH550" s="1293"/>
      <c r="AI550" s="1294"/>
      <c r="AJ550" s="1295"/>
      <c r="AK550" s="1295"/>
      <c r="AL550" s="1296"/>
      <c r="AM550" s="1082">
        <v>2400000</v>
      </c>
      <c r="AN550" s="1083"/>
      <c r="AO550" s="1083"/>
      <c r="AP550" s="1083"/>
      <c r="AQ550" s="1083"/>
      <c r="AR550" s="1083"/>
      <c r="AS550" s="108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14" t="s">
        <v>2337</v>
      </c>
      <c r="D551" s="1414"/>
      <c r="E551" s="1414"/>
      <c r="F551" s="1414"/>
      <c r="G551" s="1414"/>
      <c r="H551" s="1414"/>
      <c r="I551" s="1414"/>
      <c r="J551" s="1414"/>
      <c r="K551" s="1414"/>
      <c r="L551" s="1414"/>
      <c r="M551" s="1369" t="s">
        <v>2170</v>
      </c>
      <c r="N551" s="1369"/>
      <c r="O551" s="1369"/>
      <c r="P551" s="1369"/>
      <c r="Q551" s="1287"/>
      <c r="R551" s="1288"/>
      <c r="S551" s="1289"/>
      <c r="T551" s="1287"/>
      <c r="U551" s="1288"/>
      <c r="V551" s="1289"/>
      <c r="W551" s="1297"/>
      <c r="X551" s="1298"/>
      <c r="Y551" s="1299"/>
      <c r="Z551" s="1290" t="s">
        <v>1977</v>
      </c>
      <c r="AA551" s="1290"/>
      <c r="AB551" s="1290"/>
      <c r="AC551" s="1290"/>
      <c r="AD551" s="1290"/>
      <c r="AE551" s="1291"/>
      <c r="AF551" s="1292"/>
      <c r="AG551" s="1292"/>
      <c r="AH551" s="1293"/>
      <c r="AI551" s="1294"/>
      <c r="AJ551" s="1295"/>
      <c r="AK551" s="1295"/>
      <c r="AL551" s="1296"/>
      <c r="AM551" s="1082">
        <v>238870</v>
      </c>
      <c r="AN551" s="1083"/>
      <c r="AO551" s="1083"/>
      <c r="AP551" s="1083"/>
      <c r="AQ551" s="1083"/>
      <c r="AR551" s="1083"/>
      <c r="AS551" s="108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14" t="s">
        <v>2405</v>
      </c>
      <c r="D552" s="1414"/>
      <c r="E552" s="1414"/>
      <c r="F552" s="1414"/>
      <c r="G552" s="1414"/>
      <c r="H552" s="1414"/>
      <c r="I552" s="1414"/>
      <c r="J552" s="1414"/>
      <c r="K552" s="1414"/>
      <c r="L552" s="1414"/>
      <c r="M552" s="1369" t="s">
        <v>2175</v>
      </c>
      <c r="N552" s="1369"/>
      <c r="O552" s="1369"/>
      <c r="P552" s="1369"/>
      <c r="Q552" s="1287"/>
      <c r="R552" s="1288"/>
      <c r="S552" s="1289"/>
      <c r="T552" s="1287"/>
      <c r="U552" s="1288"/>
      <c r="V552" s="1289"/>
      <c r="W552" s="1297"/>
      <c r="X552" s="1298"/>
      <c r="Y552" s="1299"/>
      <c r="Z552" s="1290" t="s">
        <v>1977</v>
      </c>
      <c r="AA552" s="1290"/>
      <c r="AB552" s="1290"/>
      <c r="AC552" s="1290"/>
      <c r="AD552" s="1290"/>
      <c r="AE552" s="1291"/>
      <c r="AF552" s="1292"/>
      <c r="AG552" s="1292"/>
      <c r="AH552" s="1293"/>
      <c r="AI552" s="1294"/>
      <c r="AJ552" s="1295"/>
      <c r="AK552" s="1295"/>
      <c r="AL552" s="1296"/>
      <c r="AM552" s="1082">
        <v>2493318</v>
      </c>
      <c r="AN552" s="1083"/>
      <c r="AO552" s="1083"/>
      <c r="AP552" s="1083"/>
      <c r="AQ552" s="1083"/>
      <c r="AR552" s="1083"/>
      <c r="AS552" s="108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14" t="s">
        <v>2337</v>
      </c>
      <c r="D553" s="1414"/>
      <c r="E553" s="1414"/>
      <c r="F553" s="1414"/>
      <c r="G553" s="1414"/>
      <c r="H553" s="1414"/>
      <c r="I553" s="1414"/>
      <c r="J553" s="1414"/>
      <c r="K553" s="1414"/>
      <c r="L553" s="1414"/>
      <c r="M553" s="1369" t="s">
        <v>2171</v>
      </c>
      <c r="N553" s="1369"/>
      <c r="O553" s="1369"/>
      <c r="P553" s="1369"/>
      <c r="Q553" s="1287"/>
      <c r="R553" s="1288"/>
      <c r="S553" s="1289"/>
      <c r="T553" s="1287"/>
      <c r="U553" s="1288"/>
      <c r="V553" s="1289"/>
      <c r="W553" s="1297"/>
      <c r="X553" s="1298"/>
      <c r="Y553" s="1299"/>
      <c r="Z553" s="1290" t="s">
        <v>1977</v>
      </c>
      <c r="AA553" s="1290"/>
      <c r="AB553" s="1290"/>
      <c r="AC553" s="1290"/>
      <c r="AD553" s="1290"/>
      <c r="AE553" s="1291"/>
      <c r="AF553" s="1292"/>
      <c r="AG553" s="1292"/>
      <c r="AH553" s="1293"/>
      <c r="AI553" s="1294"/>
      <c r="AJ553" s="1295"/>
      <c r="AK553" s="1295"/>
      <c r="AL553" s="1296"/>
      <c r="AM553" s="1082">
        <v>2500000</v>
      </c>
      <c r="AN553" s="1083"/>
      <c r="AO553" s="1083"/>
      <c r="AP553" s="1083"/>
      <c r="AQ553" s="1083"/>
      <c r="AR553" s="1083"/>
      <c r="AS553" s="108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14"/>
      <c r="D554" s="1414"/>
      <c r="E554" s="1414"/>
      <c r="F554" s="1414"/>
      <c r="G554" s="1414"/>
      <c r="H554" s="1414"/>
      <c r="I554" s="1414"/>
      <c r="J554" s="1414"/>
      <c r="K554" s="1414"/>
      <c r="L554" s="1414"/>
      <c r="M554" s="1369" t="s">
        <v>1977</v>
      </c>
      <c r="N554" s="1369"/>
      <c r="O554" s="1369"/>
      <c r="P554" s="1369"/>
      <c r="Q554" s="1287"/>
      <c r="R554" s="1288"/>
      <c r="S554" s="1289"/>
      <c r="T554" s="1287"/>
      <c r="U554" s="1288"/>
      <c r="V554" s="1289"/>
      <c r="W554" s="1297"/>
      <c r="X554" s="1298"/>
      <c r="Y554" s="1299"/>
      <c r="Z554" s="1290" t="s">
        <v>1977</v>
      </c>
      <c r="AA554" s="1290"/>
      <c r="AB554" s="1290"/>
      <c r="AC554" s="1290"/>
      <c r="AD554" s="1290"/>
      <c r="AE554" s="1291"/>
      <c r="AF554" s="1292"/>
      <c r="AG554" s="1292"/>
      <c r="AH554" s="1293"/>
      <c r="AI554" s="1294"/>
      <c r="AJ554" s="1295"/>
      <c r="AK554" s="1295"/>
      <c r="AL554" s="1296"/>
      <c r="AM554" s="1082"/>
      <c r="AN554" s="1083"/>
      <c r="AO554" s="1083"/>
      <c r="AP554" s="1083"/>
      <c r="AQ554" s="1083"/>
      <c r="AR554" s="1083"/>
      <c r="AS554" s="108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14"/>
      <c r="D555" s="1414"/>
      <c r="E555" s="1414"/>
      <c r="F555" s="1414"/>
      <c r="G555" s="1414"/>
      <c r="H555" s="1414"/>
      <c r="I555" s="1414"/>
      <c r="J555" s="1414"/>
      <c r="K555" s="1414"/>
      <c r="L555" s="1414"/>
      <c r="M555" s="1369" t="s">
        <v>1977</v>
      </c>
      <c r="N555" s="1369"/>
      <c r="O555" s="1369"/>
      <c r="P555" s="1369"/>
      <c r="Q555" s="1287"/>
      <c r="R555" s="1288"/>
      <c r="S555" s="1289"/>
      <c r="T555" s="1287"/>
      <c r="U555" s="1288"/>
      <c r="V555" s="1289"/>
      <c r="W555" s="1297"/>
      <c r="X555" s="1298"/>
      <c r="Y555" s="1299"/>
      <c r="Z555" s="1290" t="s">
        <v>1977</v>
      </c>
      <c r="AA555" s="1290"/>
      <c r="AB555" s="1290"/>
      <c r="AC555" s="1290"/>
      <c r="AD555" s="1290"/>
      <c r="AE555" s="1291"/>
      <c r="AF555" s="1292"/>
      <c r="AG555" s="1292"/>
      <c r="AH555" s="1293"/>
      <c r="AI555" s="1294"/>
      <c r="AJ555" s="1295"/>
      <c r="AK555" s="1295"/>
      <c r="AL555" s="1296"/>
      <c r="AM555" s="1082"/>
      <c r="AN555" s="1083"/>
      <c r="AO555" s="1083"/>
      <c r="AP555" s="1083"/>
      <c r="AQ555" s="1083"/>
      <c r="AR555" s="1083"/>
      <c r="AS555" s="108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14"/>
      <c r="D556" s="1414"/>
      <c r="E556" s="1414"/>
      <c r="F556" s="1414"/>
      <c r="G556" s="1414"/>
      <c r="H556" s="1414"/>
      <c r="I556" s="1414"/>
      <c r="J556" s="1414"/>
      <c r="K556" s="1414"/>
      <c r="L556" s="1414"/>
      <c r="M556" s="1369" t="s">
        <v>1977</v>
      </c>
      <c r="N556" s="1369"/>
      <c r="O556" s="1369"/>
      <c r="P556" s="1369"/>
      <c r="Q556" s="1287"/>
      <c r="R556" s="1288"/>
      <c r="S556" s="1289"/>
      <c r="T556" s="1287"/>
      <c r="U556" s="1288"/>
      <c r="V556" s="1289"/>
      <c r="W556" s="1297"/>
      <c r="X556" s="1298"/>
      <c r="Y556" s="1299"/>
      <c r="Z556" s="1290" t="s">
        <v>1977</v>
      </c>
      <c r="AA556" s="1290"/>
      <c r="AB556" s="1290"/>
      <c r="AC556" s="1290"/>
      <c r="AD556" s="1290"/>
      <c r="AE556" s="1291"/>
      <c r="AF556" s="1292"/>
      <c r="AG556" s="1292"/>
      <c r="AH556" s="1293"/>
      <c r="AI556" s="1294"/>
      <c r="AJ556" s="1295"/>
      <c r="AK556" s="1295"/>
      <c r="AL556" s="1296"/>
      <c r="AM556" s="1082"/>
      <c r="AN556" s="1083"/>
      <c r="AO556" s="1083"/>
      <c r="AP556" s="1083"/>
      <c r="AQ556" s="1083"/>
      <c r="AR556" s="1083"/>
      <c r="AS556" s="108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14"/>
      <c r="D557" s="1414"/>
      <c r="E557" s="1414"/>
      <c r="F557" s="1414"/>
      <c r="G557" s="1414"/>
      <c r="H557" s="1414"/>
      <c r="I557" s="1414"/>
      <c r="J557" s="1414"/>
      <c r="K557" s="1414"/>
      <c r="L557" s="1414"/>
      <c r="M557" s="1369" t="s">
        <v>1977</v>
      </c>
      <c r="N557" s="1369"/>
      <c r="O557" s="1369"/>
      <c r="P557" s="1369"/>
      <c r="Q557" s="1287"/>
      <c r="R557" s="1288"/>
      <c r="S557" s="1289"/>
      <c r="T557" s="1287"/>
      <c r="U557" s="1288"/>
      <c r="V557" s="1289"/>
      <c r="W557" s="1297"/>
      <c r="X557" s="1298"/>
      <c r="Y557" s="1299"/>
      <c r="Z557" s="1290" t="s">
        <v>1977</v>
      </c>
      <c r="AA557" s="1290"/>
      <c r="AB557" s="1290"/>
      <c r="AC557" s="1290"/>
      <c r="AD557" s="1290"/>
      <c r="AE557" s="1291"/>
      <c r="AF557" s="1292"/>
      <c r="AG557" s="1292"/>
      <c r="AH557" s="1293"/>
      <c r="AI557" s="1294"/>
      <c r="AJ557" s="1295"/>
      <c r="AK557" s="1295"/>
      <c r="AL557" s="1296"/>
      <c r="AM557" s="1082"/>
      <c r="AN557" s="1083"/>
      <c r="AO557" s="1083"/>
      <c r="AP557" s="1083"/>
      <c r="AQ557" s="1083"/>
      <c r="AR557" s="1083"/>
      <c r="AS557" s="108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14"/>
      <c r="D558" s="1414"/>
      <c r="E558" s="1414"/>
      <c r="F558" s="1414"/>
      <c r="G558" s="1414"/>
      <c r="H558" s="1414"/>
      <c r="I558" s="1414"/>
      <c r="J558" s="1414"/>
      <c r="K558" s="1414"/>
      <c r="L558" s="1414"/>
      <c r="M558" s="1369" t="s">
        <v>1977</v>
      </c>
      <c r="N558" s="1369"/>
      <c r="O558" s="1369"/>
      <c r="P558" s="1369"/>
      <c r="Q558" s="1287"/>
      <c r="R558" s="1288"/>
      <c r="S558" s="1289"/>
      <c r="T558" s="1287"/>
      <c r="U558" s="1288"/>
      <c r="V558" s="1289"/>
      <c r="W558" s="1297"/>
      <c r="X558" s="1298"/>
      <c r="Y558" s="1299"/>
      <c r="Z558" s="1290" t="s">
        <v>1977</v>
      </c>
      <c r="AA558" s="1290"/>
      <c r="AB558" s="1290"/>
      <c r="AC558" s="1290"/>
      <c r="AD558" s="1290"/>
      <c r="AE558" s="1291"/>
      <c r="AF558" s="1292"/>
      <c r="AG558" s="1292"/>
      <c r="AH558" s="1293"/>
      <c r="AI558" s="1294"/>
      <c r="AJ558" s="1295"/>
      <c r="AK558" s="1295"/>
      <c r="AL558" s="1296"/>
      <c r="AM558" s="1082"/>
      <c r="AN558" s="1083"/>
      <c r="AO558" s="1083"/>
      <c r="AP558" s="1083"/>
      <c r="AQ558" s="1083"/>
      <c r="AR558" s="1083"/>
      <c r="AS558" s="108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4"/>
      <c r="D559" s="1414"/>
      <c r="E559" s="1414"/>
      <c r="F559" s="1414"/>
      <c r="G559" s="1414"/>
      <c r="H559" s="1414"/>
      <c r="I559" s="1414"/>
      <c r="J559" s="1414"/>
      <c r="K559" s="1414"/>
      <c r="L559" s="1414"/>
      <c r="M559" s="1369" t="s">
        <v>1977</v>
      </c>
      <c r="N559" s="1369"/>
      <c r="O559" s="1369"/>
      <c r="P559" s="1369"/>
      <c r="Q559" s="1287"/>
      <c r="R559" s="1288"/>
      <c r="S559" s="1289"/>
      <c r="T559" s="1287"/>
      <c r="U559" s="1288"/>
      <c r="V559" s="1289"/>
      <c r="W559" s="1297"/>
      <c r="X559" s="1298"/>
      <c r="Y559" s="1299"/>
      <c r="Z559" s="1290" t="s">
        <v>1977</v>
      </c>
      <c r="AA559" s="1290"/>
      <c r="AB559" s="1290"/>
      <c r="AC559" s="1290"/>
      <c r="AD559" s="1290"/>
      <c r="AE559" s="1291"/>
      <c r="AF559" s="1292"/>
      <c r="AG559" s="1292"/>
      <c r="AH559" s="1293"/>
      <c r="AI559" s="1294"/>
      <c r="AJ559" s="1295"/>
      <c r="AK559" s="1295"/>
      <c r="AL559" s="1296"/>
      <c r="AM559" s="1082"/>
      <c r="AN559" s="1083"/>
      <c r="AO559" s="1083"/>
      <c r="AP559" s="1083"/>
      <c r="AQ559" s="1083"/>
      <c r="AR559" s="1083"/>
      <c r="AS559" s="108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4"/>
      <c r="D560" s="1414"/>
      <c r="E560" s="1414"/>
      <c r="F560" s="1414"/>
      <c r="G560" s="1414"/>
      <c r="H560" s="1414"/>
      <c r="I560" s="1414"/>
      <c r="J560" s="1414"/>
      <c r="K560" s="1414"/>
      <c r="L560" s="1414"/>
      <c r="M560" s="1369" t="s">
        <v>1977</v>
      </c>
      <c r="N560" s="1369"/>
      <c r="O560" s="1369"/>
      <c r="P560" s="1369"/>
      <c r="Q560" s="1287"/>
      <c r="R560" s="1288"/>
      <c r="S560" s="1289"/>
      <c r="T560" s="1287"/>
      <c r="U560" s="1288"/>
      <c r="V560" s="1289"/>
      <c r="W560" s="1297"/>
      <c r="X560" s="1298"/>
      <c r="Y560" s="1299"/>
      <c r="Z560" s="1290" t="s">
        <v>1977</v>
      </c>
      <c r="AA560" s="1290"/>
      <c r="AB560" s="1290"/>
      <c r="AC560" s="1290"/>
      <c r="AD560" s="1290"/>
      <c r="AE560" s="1291"/>
      <c r="AF560" s="1292"/>
      <c r="AG560" s="1292"/>
      <c r="AH560" s="1293"/>
      <c r="AI560" s="1294"/>
      <c r="AJ560" s="1295"/>
      <c r="AK560" s="1295"/>
      <c r="AL560" s="1296"/>
      <c r="AM560" s="1082"/>
      <c r="AN560" s="1083"/>
      <c r="AO560" s="1083"/>
      <c r="AP560" s="1083"/>
      <c r="AQ560" s="1083"/>
      <c r="AR560" s="1083"/>
      <c r="AS560" s="108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7" t="s">
        <v>357</v>
      </c>
      <c r="C561" s="1188"/>
      <c r="D561" s="1188"/>
      <c r="E561" s="1188"/>
      <c r="F561" s="1188"/>
      <c r="G561" s="1188"/>
      <c r="H561" s="1188"/>
      <c r="I561" s="1188"/>
      <c r="J561" s="1188"/>
      <c r="K561" s="1188"/>
      <c r="L561" s="1188"/>
      <c r="M561" s="1188"/>
      <c r="N561" s="1188"/>
      <c r="O561" s="1188"/>
      <c r="P561" s="1188"/>
      <c r="Q561" s="1188"/>
      <c r="R561" s="1188"/>
      <c r="S561" s="1188"/>
      <c r="T561" s="1188"/>
      <c r="U561" s="1468"/>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35431205</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7" t="str">
        <f>C549</f>
        <v>Banner Bank</v>
      </c>
      <c r="H563" s="1267"/>
      <c r="I563" s="1267"/>
      <c r="J563" s="1267"/>
      <c r="K563" s="1267"/>
      <c r="L563" s="1267"/>
      <c r="M563" s="1267"/>
      <c r="N563" s="1267"/>
      <c r="O563" s="1267"/>
      <c r="P563" s="1267"/>
      <c r="Q563" s="1267"/>
      <c r="R563" s="1267"/>
      <c r="S563" s="12"/>
      <c r="T563" s="61" t="s">
        <v>901</v>
      </c>
      <c r="U563" t="s">
        <v>82</v>
      </c>
      <c r="Z563" s="1267" t="str">
        <f>C550</f>
        <v>City of Fresno - CDBG</v>
      </c>
      <c r="AA563" s="1267"/>
      <c r="AB563" s="1267"/>
      <c r="AC563" s="1267"/>
      <c r="AD563" s="1267"/>
      <c r="AE563" s="1267"/>
      <c r="AF563" s="1267"/>
      <c r="AG563" s="1267"/>
      <c r="AH563" s="1267"/>
      <c r="AI563" s="1267"/>
      <c r="AJ563" s="1267"/>
      <c r="AK563" s="126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61" t="s">
        <v>2406</v>
      </c>
      <c r="H564" s="1061"/>
      <c r="I564" s="1061"/>
      <c r="J564" s="1061"/>
      <c r="K564" s="1061"/>
      <c r="L564" s="1061"/>
      <c r="M564" s="1061"/>
      <c r="N564" s="1061"/>
      <c r="O564" s="1061"/>
      <c r="P564" s="1061"/>
      <c r="Q564" s="1061"/>
      <c r="R564" s="1061"/>
      <c r="S564" s="12"/>
      <c r="T564" s="4"/>
      <c r="U564" t="s">
        <v>372</v>
      </c>
      <c r="Z564" s="1061" t="s">
        <v>2417</v>
      </c>
      <c r="AA564" s="1061"/>
      <c r="AB564" s="1061"/>
      <c r="AC564" s="1061"/>
      <c r="AD564" s="1061"/>
      <c r="AE564" s="1061"/>
      <c r="AF564" s="1061"/>
      <c r="AG564" s="1061"/>
      <c r="AH564" s="1061"/>
      <c r="AI564" s="1061"/>
      <c r="AJ564" s="1061"/>
      <c r="AK564" s="106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61" t="s">
        <v>113</v>
      </c>
      <c r="H565" s="1061"/>
      <c r="I565" s="1061"/>
      <c r="J565" s="1061"/>
      <c r="K565" s="1061"/>
      <c r="L565" s="1061"/>
      <c r="M565" s="1061"/>
      <c r="N565" s="1061"/>
      <c r="O565" s="1061"/>
      <c r="P565" s="1061"/>
      <c r="Q565" s="1061"/>
      <c r="R565" s="1061"/>
      <c r="T565" s="4"/>
      <c r="U565" t="s">
        <v>430</v>
      </c>
      <c r="Z565" s="1067" t="s">
        <v>391</v>
      </c>
      <c r="AA565" s="1067"/>
      <c r="AB565" s="1067"/>
      <c r="AC565" s="1067"/>
      <c r="AD565" s="1067"/>
      <c r="AE565" s="1067"/>
      <c r="AF565" s="1067"/>
      <c r="AG565" s="1067"/>
      <c r="AH565" s="1067"/>
      <c r="AI565" s="1067"/>
      <c r="AJ565" s="1067"/>
      <c r="AK565" s="106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61" t="s">
        <v>2407</v>
      </c>
      <c r="H566" s="1061"/>
      <c r="I566" s="1061"/>
      <c r="J566" s="1061"/>
      <c r="K566" s="1061"/>
      <c r="L566" s="1061"/>
      <c r="M566" s="1061"/>
      <c r="N566" s="1061"/>
      <c r="O566" s="1061"/>
      <c r="P566" s="1061"/>
      <c r="Q566" s="1061"/>
      <c r="R566" s="1061"/>
      <c r="S566" s="12"/>
      <c r="T566" s="4"/>
      <c r="U566" t="s">
        <v>833</v>
      </c>
      <c r="Z566" s="1067" t="s">
        <v>2418</v>
      </c>
      <c r="AA566" s="1067"/>
      <c r="AB566" s="1067"/>
      <c r="AC566" s="1067"/>
      <c r="AD566" s="1067"/>
      <c r="AE566" s="1067"/>
      <c r="AF566" s="1067"/>
      <c r="AG566" s="1067"/>
      <c r="AH566" s="1067"/>
      <c r="AI566" s="1067"/>
      <c r="AJ566" s="1067"/>
      <c r="AK566" s="106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3" t="s">
        <v>2408</v>
      </c>
      <c r="H567" s="1263"/>
      <c r="I567" s="1263"/>
      <c r="J567" s="1263"/>
      <c r="K567" s="1263"/>
      <c r="L567" s="1263"/>
      <c r="O567" s="42" t="s">
        <v>818</v>
      </c>
      <c r="P567" s="1268"/>
      <c r="Q567" s="1268"/>
      <c r="R567" s="1268"/>
      <c r="S567" s="14"/>
      <c r="T567" s="4"/>
      <c r="U567" t="s">
        <v>650</v>
      </c>
      <c r="Z567" s="1263" t="s">
        <v>2329</v>
      </c>
      <c r="AA567" s="1263"/>
      <c r="AB567" s="1263"/>
      <c r="AC567" s="1263"/>
      <c r="AD567" s="1263"/>
      <c r="AE567" s="1263"/>
      <c r="AH567" s="42" t="s">
        <v>818</v>
      </c>
      <c r="AI567" s="1268"/>
      <c r="AJ567" s="1268"/>
      <c r="AK567" s="126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61" t="s">
        <v>2409</v>
      </c>
      <c r="I568" s="1061"/>
      <c r="J568" s="1061"/>
      <c r="K568" s="1061"/>
      <c r="L568" s="1061"/>
      <c r="M568" s="1061"/>
      <c r="N568" s="1061"/>
      <c r="O568" s="1061"/>
      <c r="P568" s="1061"/>
      <c r="Q568" s="1061"/>
      <c r="R568" s="1061"/>
      <c r="S568" s="12"/>
      <c r="T568" s="4"/>
      <c r="U568" t="s">
        <v>834</v>
      </c>
      <c r="AA568" s="1061" t="s">
        <v>2419</v>
      </c>
      <c r="AB568" s="1061"/>
      <c r="AC568" s="1061"/>
      <c r="AD568" s="1061"/>
      <c r="AE568" s="1061"/>
      <c r="AF568" s="1061"/>
      <c r="AG568" s="1061"/>
      <c r="AH568" s="1061"/>
      <c r="AI568" s="1061"/>
      <c r="AJ568" s="1061"/>
      <c r="AK568" s="106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66" t="s">
        <v>108</v>
      </c>
      <c r="O569" s="1066"/>
      <c r="T569" s="4"/>
      <c r="U569" t="s">
        <v>836</v>
      </c>
      <c r="AG569" s="1066" t="s">
        <v>108</v>
      </c>
      <c r="AH569" s="106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7" t="str">
        <f>C551</f>
        <v>Dominus Consortium Family LLC</v>
      </c>
      <c r="H571" s="1267"/>
      <c r="I571" s="1267"/>
      <c r="J571" s="1267"/>
      <c r="K571" s="1267"/>
      <c r="L571" s="1267"/>
      <c r="M571" s="1267"/>
      <c r="N571" s="1267"/>
      <c r="O571" s="1267"/>
      <c r="P571" s="1267"/>
      <c r="Q571" s="1267"/>
      <c r="R571" s="1267"/>
      <c r="T571" s="61" t="s">
        <v>431</v>
      </c>
      <c r="U571" t="s">
        <v>82</v>
      </c>
      <c r="Z571" s="1267" t="str">
        <f>C552</f>
        <v xml:space="preserve">WNC &amp; Associates </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61" t="s">
        <v>2391</v>
      </c>
      <c r="H572" s="1061"/>
      <c r="I572" s="1061"/>
      <c r="J572" s="1061"/>
      <c r="K572" s="1061"/>
      <c r="L572" s="1061"/>
      <c r="M572" s="1061"/>
      <c r="N572" s="1061"/>
      <c r="O572" s="1061"/>
      <c r="P572" s="1061"/>
      <c r="Q572" s="1061"/>
      <c r="R572" s="1061"/>
      <c r="T572" s="4"/>
      <c r="U572" t="s">
        <v>372</v>
      </c>
      <c r="Z572" s="1061" t="s">
        <v>2384</v>
      </c>
      <c r="AA572" s="1061"/>
      <c r="AB572" s="1061"/>
      <c r="AC572" s="1061"/>
      <c r="AD572" s="1061"/>
      <c r="AE572" s="1061"/>
      <c r="AF572" s="1061"/>
      <c r="AG572" s="1061"/>
      <c r="AH572" s="1061"/>
      <c r="AI572" s="1061"/>
      <c r="AJ572" s="1061"/>
      <c r="AK572" s="106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67" t="s">
        <v>391</v>
      </c>
      <c r="H573" s="1067"/>
      <c r="I573" s="1067"/>
      <c r="J573" s="1067"/>
      <c r="K573" s="1067"/>
      <c r="L573" s="1067"/>
      <c r="M573" s="1067"/>
      <c r="N573" s="1067"/>
      <c r="O573" s="1067"/>
      <c r="P573" s="1067"/>
      <c r="Q573" s="1067"/>
      <c r="R573" s="1067"/>
      <c r="T573" s="4"/>
      <c r="U573" t="s">
        <v>430</v>
      </c>
      <c r="Z573" s="1067" t="s">
        <v>2413</v>
      </c>
      <c r="AA573" s="1067"/>
      <c r="AB573" s="1067"/>
      <c r="AC573" s="1067"/>
      <c r="AD573" s="1067"/>
      <c r="AE573" s="1067"/>
      <c r="AF573" s="1067"/>
      <c r="AG573" s="1067"/>
      <c r="AH573" s="1067"/>
      <c r="AI573" s="1067"/>
      <c r="AJ573" s="1067"/>
      <c r="AK573" s="10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67" t="s">
        <v>2354</v>
      </c>
      <c r="H574" s="1067"/>
      <c r="I574" s="1067"/>
      <c r="J574" s="1067"/>
      <c r="K574" s="1067"/>
      <c r="L574" s="1067"/>
      <c r="M574" s="1067"/>
      <c r="N574" s="1067"/>
      <c r="O574" s="1067"/>
      <c r="P574" s="1067"/>
      <c r="Q574" s="1067"/>
      <c r="R574" s="1067"/>
      <c r="T574" s="4"/>
      <c r="U574" t="s">
        <v>833</v>
      </c>
      <c r="Z574" s="1067" t="s">
        <v>2414</v>
      </c>
      <c r="AA574" s="1067"/>
      <c r="AB574" s="1067"/>
      <c r="AC574" s="1067"/>
      <c r="AD574" s="1067"/>
      <c r="AE574" s="1067"/>
      <c r="AF574" s="1067"/>
      <c r="AG574" s="1067"/>
      <c r="AH574" s="1067"/>
      <c r="AI574" s="1067"/>
      <c r="AJ574" s="1067"/>
      <c r="AK574" s="106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3" t="s">
        <v>2410</v>
      </c>
      <c r="H575" s="1263"/>
      <c r="I575" s="1263"/>
      <c r="J575" s="1263"/>
      <c r="K575" s="1263"/>
      <c r="L575" s="1263"/>
      <c r="O575" s="42" t="s">
        <v>818</v>
      </c>
      <c r="P575" s="1268"/>
      <c r="Q575" s="1268"/>
      <c r="R575" s="1268"/>
      <c r="T575" s="4"/>
      <c r="U575" t="s">
        <v>650</v>
      </c>
      <c r="Z575" s="1263" t="s">
        <v>2415</v>
      </c>
      <c r="AA575" s="1263"/>
      <c r="AB575" s="1263"/>
      <c r="AC575" s="1263"/>
      <c r="AD575" s="1263"/>
      <c r="AE575" s="1263"/>
      <c r="AH575" s="42" t="s">
        <v>818</v>
      </c>
      <c r="AI575" s="1268"/>
      <c r="AJ575" s="1268"/>
      <c r="AK575" s="126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61" t="s">
        <v>2411</v>
      </c>
      <c r="I576" s="1061"/>
      <c r="J576" s="1061"/>
      <c r="K576" s="1061"/>
      <c r="L576" s="1061"/>
      <c r="M576" s="1061"/>
      <c r="N576" s="1061"/>
      <c r="O576" s="1061"/>
      <c r="P576" s="1061"/>
      <c r="Q576" s="1061"/>
      <c r="R576" s="1061"/>
      <c r="T576" s="4"/>
      <c r="U576" t="s">
        <v>834</v>
      </c>
      <c r="AA576" s="1061" t="s">
        <v>2416</v>
      </c>
      <c r="AB576" s="1061"/>
      <c r="AC576" s="1061"/>
      <c r="AD576" s="1061"/>
      <c r="AE576" s="1061"/>
      <c r="AF576" s="1061"/>
      <c r="AG576" s="1061"/>
      <c r="AH576" s="1061"/>
      <c r="AI576" s="1061"/>
      <c r="AJ576" s="1061"/>
      <c r="AK576" s="106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95" t="s">
        <v>108</v>
      </c>
      <c r="O577" s="1095"/>
      <c r="T577" s="4"/>
      <c r="U577" t="s">
        <v>836</v>
      </c>
      <c r="AG577" s="1095" t="s">
        <v>108</v>
      </c>
      <c r="AH577" s="109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7" t="str">
        <f>C553</f>
        <v>Dominus Consortium Family LLC</v>
      </c>
      <c r="H579" s="1267"/>
      <c r="I579" s="1267"/>
      <c r="J579" s="1267"/>
      <c r="K579" s="1267"/>
      <c r="L579" s="1267"/>
      <c r="M579" s="1267"/>
      <c r="N579" s="1267"/>
      <c r="O579" s="1267"/>
      <c r="P579" s="1267"/>
      <c r="Q579" s="1267"/>
      <c r="R579" s="1267"/>
      <c r="T579" s="61" t="s">
        <v>434</v>
      </c>
      <c r="U579" t="s">
        <v>82</v>
      </c>
      <c r="Z579" s="1267">
        <f>C554</f>
        <v>0</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61" t="s">
        <v>2391</v>
      </c>
      <c r="H580" s="1061"/>
      <c r="I580" s="1061"/>
      <c r="J580" s="1061"/>
      <c r="K580" s="1061"/>
      <c r="L580" s="1061"/>
      <c r="M580" s="1061"/>
      <c r="N580" s="1061"/>
      <c r="O580" s="1061"/>
      <c r="P580" s="1061"/>
      <c r="Q580" s="1061"/>
      <c r="R580" s="1061"/>
      <c r="T580" s="4"/>
      <c r="U580" t="s">
        <v>372</v>
      </c>
      <c r="Z580" s="1061"/>
      <c r="AA580" s="1061"/>
      <c r="AB580" s="1061"/>
      <c r="AC580" s="1061"/>
      <c r="AD580" s="1061"/>
      <c r="AE580" s="1061"/>
      <c r="AF580" s="1061"/>
      <c r="AG580" s="1061"/>
      <c r="AH580" s="1061"/>
      <c r="AI580" s="1061"/>
      <c r="AJ580" s="1061"/>
      <c r="AK580" s="106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61" t="s">
        <v>391</v>
      </c>
      <c r="H581" s="1061"/>
      <c r="I581" s="1061"/>
      <c r="J581" s="1061"/>
      <c r="K581" s="1061"/>
      <c r="L581" s="1061"/>
      <c r="M581" s="1061"/>
      <c r="N581" s="1061"/>
      <c r="O581" s="1061"/>
      <c r="P581" s="1061"/>
      <c r="Q581" s="1061"/>
      <c r="R581" s="1061"/>
      <c r="T581" s="4"/>
      <c r="U581" t="s">
        <v>430</v>
      </c>
      <c r="Z581" s="1067"/>
      <c r="AA581" s="1067"/>
      <c r="AB581" s="1067"/>
      <c r="AC581" s="1067"/>
      <c r="AD581" s="1067"/>
      <c r="AE581" s="1067"/>
      <c r="AF581" s="1067"/>
      <c r="AG581" s="1067"/>
      <c r="AH581" s="1067"/>
      <c r="AI581" s="1067"/>
      <c r="AJ581" s="1067"/>
      <c r="AK581" s="10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61" t="s">
        <v>2354</v>
      </c>
      <c r="H582" s="1061"/>
      <c r="I582" s="1061"/>
      <c r="J582" s="1061"/>
      <c r="K582" s="1061"/>
      <c r="L582" s="1061"/>
      <c r="M582" s="1061"/>
      <c r="N582" s="1061"/>
      <c r="O582" s="1061"/>
      <c r="P582" s="1061"/>
      <c r="Q582" s="1061"/>
      <c r="R582" s="1061"/>
      <c r="T582" s="4"/>
      <c r="U582" t="s">
        <v>833</v>
      </c>
      <c r="Z582" s="1067"/>
      <c r="AA582" s="1067"/>
      <c r="AB582" s="1067"/>
      <c r="AC582" s="1067"/>
      <c r="AD582" s="1067"/>
      <c r="AE582" s="1067"/>
      <c r="AF582" s="1067"/>
      <c r="AG582" s="1067"/>
      <c r="AH582" s="1067"/>
      <c r="AI582" s="1067"/>
      <c r="AJ582" s="1067"/>
      <c r="AK582" s="10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3" t="s">
        <v>2410</v>
      </c>
      <c r="H583" s="1263"/>
      <c r="I583" s="1263"/>
      <c r="J583" s="1263"/>
      <c r="K583" s="1263"/>
      <c r="L583" s="1263"/>
      <c r="O583" s="42" t="s">
        <v>818</v>
      </c>
      <c r="P583" s="1268"/>
      <c r="Q583" s="1268"/>
      <c r="R583" s="1268"/>
      <c r="T583" s="4"/>
      <c r="U583" t="s">
        <v>650</v>
      </c>
      <c r="Z583" s="1263"/>
      <c r="AA583" s="1263"/>
      <c r="AB583" s="1263"/>
      <c r="AC583" s="1263"/>
      <c r="AD583" s="1263"/>
      <c r="AE583" s="1263"/>
      <c r="AH583" s="42" t="s">
        <v>818</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61" t="s">
        <v>2412</v>
      </c>
      <c r="I584" s="1061"/>
      <c r="J584" s="1061"/>
      <c r="K584" s="1061"/>
      <c r="L584" s="1061"/>
      <c r="M584" s="1061"/>
      <c r="N584" s="1061"/>
      <c r="O584" s="1061"/>
      <c r="P584" s="1061"/>
      <c r="Q584" s="1061"/>
      <c r="R584" s="1061"/>
      <c r="T584" s="4"/>
      <c r="U584" t="s">
        <v>834</v>
      </c>
      <c r="AA584" s="1061"/>
      <c r="AB584" s="1061"/>
      <c r="AC584" s="1061"/>
      <c r="AD584" s="1061"/>
      <c r="AE584" s="1061"/>
      <c r="AF584" s="1061"/>
      <c r="AG584" s="1061"/>
      <c r="AH584" s="1061"/>
      <c r="AI584" s="1061"/>
      <c r="AJ584" s="1061"/>
      <c r="AK584" s="106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95" t="s">
        <v>108</v>
      </c>
      <c r="O585" s="1095"/>
      <c r="T585" s="4"/>
      <c r="U585" t="s">
        <v>836</v>
      </c>
      <c r="AG585" s="1095" t="s">
        <v>482</v>
      </c>
      <c r="AH585" s="109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7">
        <f>C555</f>
        <v>0</v>
      </c>
      <c r="H587" s="1267"/>
      <c r="I587" s="1267"/>
      <c r="J587" s="1267"/>
      <c r="K587" s="1267"/>
      <c r="L587" s="1267"/>
      <c r="M587" s="1267"/>
      <c r="N587" s="1267"/>
      <c r="O587" s="1267"/>
      <c r="P587" s="1267"/>
      <c r="Q587" s="1267"/>
      <c r="R587" s="1267"/>
      <c r="T587" s="61" t="s">
        <v>743</v>
      </c>
      <c r="U587" t="s">
        <v>82</v>
      </c>
      <c r="Z587" s="1267">
        <f>C556</f>
        <v>0</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61"/>
      <c r="H588" s="1061"/>
      <c r="I588" s="1061"/>
      <c r="J588" s="1061"/>
      <c r="K588" s="1061"/>
      <c r="L588" s="1061"/>
      <c r="M588" s="1061"/>
      <c r="N588" s="1061"/>
      <c r="O588" s="1061"/>
      <c r="P588" s="1061"/>
      <c r="Q588" s="1061"/>
      <c r="R588" s="1061"/>
      <c r="T588" s="4"/>
      <c r="U588" t="s">
        <v>372</v>
      </c>
      <c r="Z588" s="1061"/>
      <c r="AA588" s="1061"/>
      <c r="AB588" s="1061"/>
      <c r="AC588" s="1061"/>
      <c r="AD588" s="1061"/>
      <c r="AE588" s="1061"/>
      <c r="AF588" s="1061"/>
      <c r="AG588" s="1061"/>
      <c r="AH588" s="1061"/>
      <c r="AI588" s="1061"/>
      <c r="AJ588" s="1061"/>
      <c r="AK588" s="106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61"/>
      <c r="H589" s="1061"/>
      <c r="I589" s="1061"/>
      <c r="J589" s="1061"/>
      <c r="K589" s="1061"/>
      <c r="L589" s="1061"/>
      <c r="M589" s="1061"/>
      <c r="N589" s="1061"/>
      <c r="O589" s="1061"/>
      <c r="P589" s="1061"/>
      <c r="Q589" s="1061"/>
      <c r="R589" s="1061"/>
      <c r="S589"/>
      <c r="T589" s="4"/>
      <c r="U589" t="s">
        <v>430</v>
      </c>
      <c r="V589"/>
      <c r="W589"/>
      <c r="X589"/>
      <c r="Y589"/>
      <c r="Z589" s="1067"/>
      <c r="AA589" s="1067"/>
      <c r="AB589" s="1067"/>
      <c r="AC589" s="1067"/>
      <c r="AD589" s="1067"/>
      <c r="AE589" s="1067"/>
      <c r="AF589" s="1067"/>
      <c r="AG589" s="1067"/>
      <c r="AH589" s="1067"/>
      <c r="AI589" s="1067"/>
      <c r="AJ589" s="1067"/>
      <c r="AK589" s="106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61"/>
      <c r="H590" s="1061"/>
      <c r="I590" s="1061"/>
      <c r="J590" s="1061"/>
      <c r="K590" s="1061"/>
      <c r="L590" s="1061"/>
      <c r="M590" s="1061"/>
      <c r="N590" s="1061"/>
      <c r="O590" s="1061"/>
      <c r="P590" s="1061"/>
      <c r="Q590" s="1061"/>
      <c r="R590" s="1061"/>
      <c r="S590"/>
      <c r="T590" s="4"/>
      <c r="U590" t="s">
        <v>833</v>
      </c>
      <c r="V590"/>
      <c r="W590"/>
      <c r="X590"/>
      <c r="Y590"/>
      <c r="Z590" s="1067"/>
      <c r="AA590" s="1067"/>
      <c r="AB590" s="1067"/>
      <c r="AC590" s="1067"/>
      <c r="AD590" s="1067"/>
      <c r="AE590" s="1067"/>
      <c r="AF590" s="1067"/>
      <c r="AG590" s="1067"/>
      <c r="AH590" s="1067"/>
      <c r="AI590" s="1067"/>
      <c r="AJ590" s="1067"/>
      <c r="AK590" s="1067"/>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2238</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3"/>
      <c r="H591" s="1263"/>
      <c r="I591" s="1263"/>
      <c r="J591" s="1263"/>
      <c r="K591" s="1263"/>
      <c r="L591" s="1263"/>
      <c r="M591"/>
      <c r="N591"/>
      <c r="O591" s="42" t="s">
        <v>818</v>
      </c>
      <c r="P591" s="1268"/>
      <c r="Q591" s="1268"/>
      <c r="R591" s="1268"/>
      <c r="S591"/>
      <c r="T591" s="4"/>
      <c r="U591" t="s">
        <v>650</v>
      </c>
      <c r="V591"/>
      <c r="W591"/>
      <c r="X591"/>
      <c r="Y591"/>
      <c r="Z591" s="1263"/>
      <c r="AA591" s="1263"/>
      <c r="AB591" s="1263"/>
      <c r="AC591" s="1263"/>
      <c r="AD591" s="1263"/>
      <c r="AE591" s="1263"/>
      <c r="AF591"/>
      <c r="AG591"/>
      <c r="AH591" s="42" t="s">
        <v>818</v>
      </c>
      <c r="AI591" s="1268"/>
      <c r="AJ591" s="1268"/>
      <c r="AK591" s="1268"/>
      <c r="AL591"/>
      <c r="AZ591" s="5" t="s">
        <v>441</v>
      </c>
      <c r="BA591" s="41"/>
      <c r="BB591" s="41"/>
      <c r="BC591" s="41"/>
      <c r="BD591" s="41"/>
      <c r="BE591" s="214" t="s">
        <v>351</v>
      </c>
      <c r="BF591" s="215"/>
      <c r="BG591" s="1272"/>
      <c r="BH591" s="1274"/>
      <c r="BI591" s="214" t="s">
        <v>352</v>
      </c>
      <c r="BJ591" s="215"/>
      <c r="BK591" s="1272"/>
      <c r="BL591" s="1274"/>
      <c r="BN591" s="1272">
        <f t="shared" ref="BN591" si="1">IF(B695="SRO/Studio",G695,0)</f>
        <v>0</v>
      </c>
      <c r="BO591" s="1273"/>
      <c r="BP591" s="1273"/>
      <c r="BQ591" s="1273"/>
      <c r="BR591" s="1283"/>
      <c r="BS591" s="1272">
        <f t="shared" ref="BS591" si="2">IF(B695="1 Bedroom",G695,0)</f>
        <v>6</v>
      </c>
      <c r="BT591" s="1273"/>
      <c r="BU591" s="1273"/>
      <c r="BV591" s="1273"/>
      <c r="BW591" s="1274"/>
      <c r="BX591" s="1272">
        <f t="shared" ref="BX591" si="3">IF(B695="2 Bedrooms",G695,0)</f>
        <v>0</v>
      </c>
      <c r="BY591" s="1273"/>
      <c r="BZ591" s="1273"/>
      <c r="CA591" s="1273"/>
      <c r="CB591" s="1274"/>
      <c r="CC591" s="1272">
        <f t="shared" ref="CC591" si="4">IF(B695="3 Bedrooms",G695,0)</f>
        <v>0</v>
      </c>
      <c r="CD591" s="1273"/>
      <c r="CE591" s="1273"/>
      <c r="CF591" s="1273"/>
      <c r="CG591" s="1274"/>
      <c r="CH591" s="1272">
        <f t="shared" ref="CH591" si="5">IF(B695="4 Bedrooms",G695,0)</f>
        <v>0</v>
      </c>
      <c r="CI591" s="1273"/>
      <c r="CJ591" s="1273"/>
      <c r="CK591" s="1273"/>
      <c r="CL591" s="1274"/>
      <c r="CM591" s="1281">
        <f t="shared" ref="CM591" si="6">IF(B695="5 Bedrooms",G695,0)</f>
        <v>0</v>
      </c>
      <c r="CN591" s="1282"/>
      <c r="CO591" s="1282"/>
      <c r="CP591" s="1282"/>
      <c r="CQ591" s="128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61"/>
      <c r="I592" s="1061"/>
      <c r="J592" s="1061"/>
      <c r="K592" s="1061"/>
      <c r="L592" s="1061"/>
      <c r="M592" s="1061"/>
      <c r="N592" s="1061"/>
      <c r="O592" s="1061"/>
      <c r="P592" s="1061"/>
      <c r="Q592" s="1061"/>
      <c r="R592" s="1061"/>
      <c r="S592"/>
      <c r="T592" s="4"/>
      <c r="U592" t="s">
        <v>834</v>
      </c>
      <c r="V592"/>
      <c r="W592"/>
      <c r="X592"/>
      <c r="Y592"/>
      <c r="Z592"/>
      <c r="AA592" s="1061"/>
      <c r="AB592" s="1061"/>
      <c r="AC592" s="1061"/>
      <c r="AD592" s="1061"/>
      <c r="AE592" s="1061"/>
      <c r="AF592" s="1061"/>
      <c r="AG592" s="1061"/>
      <c r="AH592" s="1061"/>
      <c r="AI592" s="1061"/>
      <c r="AJ592" s="1061"/>
      <c r="AK592" s="1061"/>
      <c r="AL592"/>
      <c r="AZ592" s="5" t="s">
        <v>442</v>
      </c>
      <c r="BA592" s="41"/>
      <c r="BB592" s="41"/>
      <c r="BC592" s="41"/>
      <c r="BD592" s="41"/>
      <c r="BE592" s="1278">
        <f>IF(AND(AH695&lt;=0.5,AH695&gt;=0.36),1,0)</f>
        <v>0</v>
      </c>
      <c r="BF592" s="1280"/>
      <c r="BG592" s="1272">
        <f t="shared" ref="BG592:BG615" si="7">IF(BE592=1,G695,0)</f>
        <v>0</v>
      </c>
      <c r="BH592" s="1274"/>
      <c r="BI592" s="1278">
        <f>IF(AND(AH695&lt;=0.35,AH695&gt;0),1,0)</f>
        <v>1</v>
      </c>
      <c r="BJ592" s="1280"/>
      <c r="BK592" s="1272">
        <f t="shared" ref="BK592:BK615" si="8">IF(BI592=1,G695,0)</f>
        <v>6</v>
      </c>
      <c r="BL592" s="1274"/>
      <c r="BN592" s="1272">
        <f t="shared" ref="BN592:BN625" si="9">IF(B696="SRO/Studio",G696,0)</f>
        <v>0</v>
      </c>
      <c r="BO592" s="1273"/>
      <c r="BP592" s="1273"/>
      <c r="BQ592" s="1273"/>
      <c r="BR592" s="1283"/>
      <c r="BS592" s="1272">
        <f t="shared" ref="BS592:BS625" si="10">IF(B696="1 Bedroom",G696,0)</f>
        <v>12</v>
      </c>
      <c r="BT592" s="1273"/>
      <c r="BU592" s="1273"/>
      <c r="BV592" s="1273"/>
      <c r="BW592" s="1274"/>
      <c r="BX592" s="1272">
        <f t="shared" ref="BX592:BX625" si="11">IF(B696="2 Bedrooms",G696,0)</f>
        <v>0</v>
      </c>
      <c r="BY592" s="1273"/>
      <c r="BZ592" s="1273"/>
      <c r="CA592" s="1273"/>
      <c r="CB592" s="1274"/>
      <c r="CC592" s="1272">
        <f t="shared" ref="CC592:CC625" si="12">IF(B696="3 Bedrooms",G696,0)</f>
        <v>0</v>
      </c>
      <c r="CD592" s="1273"/>
      <c r="CE592" s="1273"/>
      <c r="CF592" s="1273"/>
      <c r="CG592" s="1274"/>
      <c r="CH592" s="1272">
        <f t="shared" ref="CH592:CH625" si="13">IF(B696="4 Bedrooms",G696,0)</f>
        <v>0</v>
      </c>
      <c r="CI592" s="1273"/>
      <c r="CJ592" s="1273"/>
      <c r="CK592" s="1273"/>
      <c r="CL592" s="1274"/>
      <c r="CM592" s="1281">
        <f t="shared" ref="CM592:CM625" si="14">IF(B696="5 Bedrooms",G696,0)</f>
        <v>0</v>
      </c>
      <c r="CN592" s="1282"/>
      <c r="CO592" s="1282"/>
      <c r="CP592" s="1282"/>
      <c r="CQ592" s="1283"/>
      <c r="CS592" s="1284">
        <f>IF(AND(B695="SRO/Studio",AH695&lt;=0.3),G695,0)</f>
        <v>0</v>
      </c>
      <c r="CT592" s="1285"/>
      <c r="CU592" s="1285"/>
      <c r="CV592" s="1285"/>
      <c r="CW592" s="1286"/>
      <c r="CX592" s="1284">
        <f>IF(AND(B695="1 Bedroom",AH695&lt;=0.3),G695,0)</f>
        <v>6</v>
      </c>
      <c r="CY592" s="1285"/>
      <c r="CZ592" s="1285"/>
      <c r="DA592" s="1285"/>
      <c r="DB592" s="1286"/>
      <c r="DC592" s="1284">
        <f>IF(AND(B695="2 Bedrooms",AH695&lt;=0.3),G695,0)</f>
        <v>0</v>
      </c>
      <c r="DD592" s="1285"/>
      <c r="DE592" s="1285"/>
      <c r="DF592" s="1285"/>
      <c r="DG592" s="1286"/>
      <c r="DH592" s="1284">
        <f>IF(AND(B695="3 Bedrooms",AH695&lt;=0.3),G695,0)</f>
        <v>0</v>
      </c>
      <c r="DI592" s="1285"/>
      <c r="DJ592" s="1285"/>
      <c r="DK592" s="1285"/>
      <c r="DL592" s="1286"/>
      <c r="DM592" s="1284">
        <f>IF(AND(B695="4 Bedrooms",AH695&lt;=0.3),G695,0)</f>
        <v>0</v>
      </c>
      <c r="DN592" s="1285"/>
      <c r="DO592" s="1285"/>
      <c r="DP592" s="1285"/>
      <c r="DQ592" s="1286"/>
      <c r="DR592" s="1284">
        <f>IF(AND(B695="5 Bedrooms",AH695&lt;=0.3),G695,0)</f>
        <v>0</v>
      </c>
      <c r="DS592" s="1285"/>
      <c r="DT592" s="1285"/>
      <c r="DU592" s="1285"/>
      <c r="DV592" s="1286"/>
    </row>
    <row r="593" spans="1:126" s="5" customFormat="1" ht="12.95" customHeight="1">
      <c r="A593" s="4"/>
      <c r="B593" t="s">
        <v>836</v>
      </c>
      <c r="C593"/>
      <c r="D593"/>
      <c r="E593"/>
      <c r="F593"/>
      <c r="G593"/>
      <c r="H593"/>
      <c r="I593"/>
      <c r="J593"/>
      <c r="K593"/>
      <c r="L593"/>
      <c r="M593"/>
      <c r="N593" s="1095" t="s">
        <v>482</v>
      </c>
      <c r="O593" s="1095"/>
      <c r="P593"/>
      <c r="Q593"/>
      <c r="R593"/>
      <c r="S593"/>
      <c r="T593" s="4"/>
      <c r="U593" t="s">
        <v>836</v>
      </c>
      <c r="V593"/>
      <c r="W593"/>
      <c r="X593"/>
      <c r="Y593"/>
      <c r="Z593"/>
      <c r="AA593"/>
      <c r="AB593"/>
      <c r="AC593"/>
      <c r="AD593"/>
      <c r="AE593"/>
      <c r="AF593"/>
      <c r="AG593" s="1095" t="s">
        <v>482</v>
      </c>
      <c r="AH593" s="1095"/>
      <c r="AI593"/>
      <c r="AJ593"/>
      <c r="AK593"/>
      <c r="AL593"/>
      <c r="AZ593" s="5" t="s">
        <v>780</v>
      </c>
      <c r="BA593" s="41"/>
      <c r="BB593" s="41"/>
      <c r="BC593" s="41"/>
      <c r="BD593" s="41"/>
      <c r="BE593" s="1278">
        <f t="shared" ref="BE593:BE615" si="15">IF(AND(AH696&lt;=0.5,AH696&gt;=0.36),1,0)</f>
        <v>1</v>
      </c>
      <c r="BF593" s="1280"/>
      <c r="BG593" s="1272">
        <f t="shared" si="7"/>
        <v>12</v>
      </c>
      <c r="BH593" s="1274"/>
      <c r="BI593" s="1278">
        <f t="shared" ref="BI593:BI615" si="16">IF(AND(AH696&lt;=0.35,AH696&gt;0),1,0)</f>
        <v>0</v>
      </c>
      <c r="BJ593" s="1280"/>
      <c r="BK593" s="1272">
        <f t="shared" si="8"/>
        <v>0</v>
      </c>
      <c r="BL593" s="1274"/>
      <c r="BN593" s="1272">
        <f t="shared" si="9"/>
        <v>0</v>
      </c>
      <c r="BO593" s="1273"/>
      <c r="BP593" s="1273"/>
      <c r="BQ593" s="1273"/>
      <c r="BR593" s="1283"/>
      <c r="BS593" s="1272">
        <f t="shared" si="10"/>
        <v>24</v>
      </c>
      <c r="BT593" s="1273"/>
      <c r="BU593" s="1273"/>
      <c r="BV593" s="1273"/>
      <c r="BW593" s="1274"/>
      <c r="BX593" s="1272">
        <f t="shared" si="11"/>
        <v>0</v>
      </c>
      <c r="BY593" s="1273"/>
      <c r="BZ593" s="1273"/>
      <c r="CA593" s="1273"/>
      <c r="CB593" s="1274"/>
      <c r="CC593" s="1272">
        <f t="shared" si="12"/>
        <v>0</v>
      </c>
      <c r="CD593" s="1273"/>
      <c r="CE593" s="1273"/>
      <c r="CF593" s="1273"/>
      <c r="CG593" s="1274"/>
      <c r="CH593" s="1272">
        <f t="shared" si="13"/>
        <v>0</v>
      </c>
      <c r="CI593" s="1273"/>
      <c r="CJ593" s="1273"/>
      <c r="CK593" s="1273"/>
      <c r="CL593" s="1274"/>
      <c r="CM593" s="1281">
        <f t="shared" si="14"/>
        <v>0</v>
      </c>
      <c r="CN593" s="1282"/>
      <c r="CO593" s="1282"/>
      <c r="CP593" s="1282"/>
      <c r="CQ593" s="1283"/>
      <c r="CS593" s="1284">
        <f t="shared" ref="CS593:CS615" si="17">IF(AND(B696="SRO/Studio",AH696&lt;=0.3),G696,0)</f>
        <v>0</v>
      </c>
      <c r="CT593" s="1285"/>
      <c r="CU593" s="1285"/>
      <c r="CV593" s="1285"/>
      <c r="CW593" s="1286"/>
      <c r="CX593" s="1284">
        <f t="shared" ref="CX593:CX615" si="18">IF(AND(B696="1 Bedroom",AH696&lt;=0.3),G696,0)</f>
        <v>0</v>
      </c>
      <c r="CY593" s="1285"/>
      <c r="CZ593" s="1285"/>
      <c r="DA593" s="1285"/>
      <c r="DB593" s="1286"/>
      <c r="DC593" s="1284">
        <f t="shared" ref="DC593:DC615" si="19">IF(AND(B696="2 Bedrooms",AH696&lt;=0.3),G696,0)</f>
        <v>0</v>
      </c>
      <c r="DD593" s="1285"/>
      <c r="DE593" s="1285"/>
      <c r="DF593" s="1285"/>
      <c r="DG593" s="1286"/>
      <c r="DH593" s="1284">
        <f t="shared" ref="DH593:DH615" si="20">IF(AND(B696="3 Bedrooms",AH696&lt;=0.3),G696,0)</f>
        <v>0</v>
      </c>
      <c r="DI593" s="1285"/>
      <c r="DJ593" s="1285"/>
      <c r="DK593" s="1285"/>
      <c r="DL593" s="1286"/>
      <c r="DM593" s="1284">
        <f t="shared" ref="DM593:DM615" si="21">IF(AND(B696="4 Bedrooms",AH696&lt;=0.3),G696,0)</f>
        <v>0</v>
      </c>
      <c r="DN593" s="1285"/>
      <c r="DO593" s="1285"/>
      <c r="DP593" s="1285"/>
      <c r="DQ593" s="1286"/>
      <c r="DR593" s="1284">
        <f t="shared" ref="DR593:DR615" si="22">IF(AND(B696="5 Bedrooms",AH696&lt;=0.3),G696,0)</f>
        <v>0</v>
      </c>
      <c r="DS593" s="1285"/>
      <c r="DT593" s="1285"/>
      <c r="DU593" s="1285"/>
      <c r="DV593" s="1286"/>
    </row>
    <row r="594" spans="1:126" ht="12.95" customHeight="1">
      <c r="AZ594" s="5" t="s">
        <v>781</v>
      </c>
      <c r="BA594" s="41"/>
      <c r="BB594" s="41"/>
      <c r="BC594" s="41"/>
      <c r="BD594" s="41"/>
      <c r="BE594" s="1278">
        <f t="shared" si="15"/>
        <v>1</v>
      </c>
      <c r="BF594" s="1280"/>
      <c r="BG594" s="1272">
        <f t="shared" si="7"/>
        <v>24</v>
      </c>
      <c r="BH594" s="1274"/>
      <c r="BI594" s="1278">
        <f t="shared" si="16"/>
        <v>0</v>
      </c>
      <c r="BJ594" s="1280"/>
      <c r="BK594" s="1272">
        <f t="shared" si="8"/>
        <v>0</v>
      </c>
      <c r="BL594" s="1274"/>
      <c r="BN594" s="1272">
        <f t="shared" si="9"/>
        <v>0</v>
      </c>
      <c r="BO594" s="1273"/>
      <c r="BP594" s="1273"/>
      <c r="BQ594" s="1273"/>
      <c r="BR594" s="1283"/>
      <c r="BS594" s="1272">
        <f t="shared" si="10"/>
        <v>17</v>
      </c>
      <c r="BT594" s="1273"/>
      <c r="BU594" s="1273"/>
      <c r="BV594" s="1273"/>
      <c r="BW594" s="1274"/>
      <c r="BX594" s="1272">
        <f t="shared" si="11"/>
        <v>0</v>
      </c>
      <c r="BY594" s="1273"/>
      <c r="BZ594" s="1273"/>
      <c r="CA594" s="1273"/>
      <c r="CB594" s="1274"/>
      <c r="CC594" s="1272">
        <f t="shared" si="12"/>
        <v>0</v>
      </c>
      <c r="CD594" s="1273"/>
      <c r="CE594" s="1273"/>
      <c r="CF594" s="1273"/>
      <c r="CG594" s="1274"/>
      <c r="CH594" s="1272">
        <f t="shared" si="13"/>
        <v>0</v>
      </c>
      <c r="CI594" s="1273"/>
      <c r="CJ594" s="1273"/>
      <c r="CK594" s="1273"/>
      <c r="CL594" s="1274"/>
      <c r="CM594" s="1281">
        <f t="shared" si="14"/>
        <v>0</v>
      </c>
      <c r="CN594" s="1282"/>
      <c r="CO594" s="1282"/>
      <c r="CP594" s="1282"/>
      <c r="CQ594" s="1283"/>
      <c r="CS594" s="1284">
        <f t="shared" si="17"/>
        <v>0</v>
      </c>
      <c r="CT594" s="1285"/>
      <c r="CU594" s="1285"/>
      <c r="CV594" s="1285"/>
      <c r="CW594" s="1286"/>
      <c r="CX594" s="1284">
        <f t="shared" si="18"/>
        <v>0</v>
      </c>
      <c r="CY594" s="1285"/>
      <c r="CZ594" s="1285"/>
      <c r="DA594" s="1285"/>
      <c r="DB594" s="1286"/>
      <c r="DC594" s="1284">
        <f t="shared" si="19"/>
        <v>0</v>
      </c>
      <c r="DD594" s="1285"/>
      <c r="DE594" s="1285"/>
      <c r="DF594" s="1285"/>
      <c r="DG594" s="1286"/>
      <c r="DH594" s="1284">
        <f t="shared" si="20"/>
        <v>0</v>
      </c>
      <c r="DI594" s="1285"/>
      <c r="DJ594" s="1285"/>
      <c r="DK594" s="1285"/>
      <c r="DL594" s="1286"/>
      <c r="DM594" s="1284">
        <f t="shared" si="21"/>
        <v>0</v>
      </c>
      <c r="DN594" s="1285"/>
      <c r="DO594" s="1285"/>
      <c r="DP594" s="1285"/>
      <c r="DQ594" s="1286"/>
      <c r="DR594" s="1284">
        <f t="shared" si="22"/>
        <v>0</v>
      </c>
      <c r="DS594" s="1285"/>
      <c r="DT594" s="1285"/>
      <c r="DU594" s="1285"/>
      <c r="DV594" s="1286"/>
    </row>
    <row r="595" spans="1:126" ht="12.95" customHeight="1">
      <c r="A595" s="61" t="s">
        <v>546</v>
      </c>
      <c r="B595" t="s">
        <v>82</v>
      </c>
      <c r="G595" s="1267">
        <f>C557</f>
        <v>0</v>
      </c>
      <c r="H595" s="1267"/>
      <c r="I595" s="1267"/>
      <c r="J595" s="1267"/>
      <c r="K595" s="1267"/>
      <c r="L595" s="1267"/>
      <c r="M595" s="1267"/>
      <c r="N595" s="1267"/>
      <c r="O595" s="1267"/>
      <c r="P595" s="1267"/>
      <c r="Q595" s="1267"/>
      <c r="R595" s="1267"/>
      <c r="T595" s="61" t="s">
        <v>174</v>
      </c>
      <c r="U595" t="s">
        <v>82</v>
      </c>
      <c r="Z595" s="1267">
        <f>C558</f>
        <v>0</v>
      </c>
      <c r="AA595" s="1267"/>
      <c r="AB595" s="1267"/>
      <c r="AC595" s="1267"/>
      <c r="AD595" s="1267"/>
      <c r="AE595" s="1267"/>
      <c r="AF595" s="1267"/>
      <c r="AG595" s="1267"/>
      <c r="AH595" s="1267"/>
      <c r="AI595" s="1267"/>
      <c r="AJ595" s="1267"/>
      <c r="AK595" s="1267"/>
      <c r="AZ595" s="5" t="s">
        <v>782</v>
      </c>
      <c r="BA595" s="41"/>
      <c r="BB595" s="41"/>
      <c r="BC595" s="41"/>
      <c r="BD595" s="41"/>
      <c r="BE595" s="1278">
        <f t="shared" si="15"/>
        <v>0</v>
      </c>
      <c r="BF595" s="1280"/>
      <c r="BG595" s="1272">
        <f t="shared" si="7"/>
        <v>0</v>
      </c>
      <c r="BH595" s="1274"/>
      <c r="BI595" s="1278">
        <f t="shared" si="16"/>
        <v>0</v>
      </c>
      <c r="BJ595" s="1280"/>
      <c r="BK595" s="1272">
        <f t="shared" si="8"/>
        <v>0</v>
      </c>
      <c r="BL595" s="1274"/>
      <c r="BN595" s="1272">
        <f t="shared" si="9"/>
        <v>0</v>
      </c>
      <c r="BO595" s="1273"/>
      <c r="BP595" s="1273"/>
      <c r="BQ595" s="1273"/>
      <c r="BR595" s="1283"/>
      <c r="BS595" s="1272">
        <f t="shared" si="10"/>
        <v>0</v>
      </c>
      <c r="BT595" s="1273"/>
      <c r="BU595" s="1273"/>
      <c r="BV595" s="1273"/>
      <c r="BW595" s="1274"/>
      <c r="BX595" s="1272">
        <f t="shared" si="11"/>
        <v>3</v>
      </c>
      <c r="BY595" s="1273"/>
      <c r="BZ595" s="1273"/>
      <c r="CA595" s="1273"/>
      <c r="CB595" s="1274"/>
      <c r="CC595" s="1272">
        <f t="shared" si="12"/>
        <v>0</v>
      </c>
      <c r="CD595" s="1273"/>
      <c r="CE595" s="1273"/>
      <c r="CF595" s="1273"/>
      <c r="CG595" s="1274"/>
      <c r="CH595" s="1272">
        <f t="shared" si="13"/>
        <v>0</v>
      </c>
      <c r="CI595" s="1273"/>
      <c r="CJ595" s="1273"/>
      <c r="CK595" s="1273"/>
      <c r="CL595" s="1274"/>
      <c r="CM595" s="1281">
        <f t="shared" si="14"/>
        <v>0</v>
      </c>
      <c r="CN595" s="1282"/>
      <c r="CO595" s="1282"/>
      <c r="CP595" s="1282"/>
      <c r="CQ595" s="1283"/>
      <c r="CS595" s="1284">
        <f t="shared" si="17"/>
        <v>0</v>
      </c>
      <c r="CT595" s="1285"/>
      <c r="CU595" s="1285"/>
      <c r="CV595" s="1285"/>
      <c r="CW595" s="1286"/>
      <c r="CX595" s="1284">
        <f t="shared" si="18"/>
        <v>0</v>
      </c>
      <c r="CY595" s="1285"/>
      <c r="CZ595" s="1285"/>
      <c r="DA595" s="1285"/>
      <c r="DB595" s="1286"/>
      <c r="DC595" s="1284">
        <f t="shared" si="19"/>
        <v>0</v>
      </c>
      <c r="DD595" s="1285"/>
      <c r="DE595" s="1285"/>
      <c r="DF595" s="1285"/>
      <c r="DG595" s="1286"/>
      <c r="DH595" s="1284">
        <f t="shared" si="20"/>
        <v>0</v>
      </c>
      <c r="DI595" s="1285"/>
      <c r="DJ595" s="1285"/>
      <c r="DK595" s="1285"/>
      <c r="DL595" s="1286"/>
      <c r="DM595" s="1284">
        <f t="shared" si="21"/>
        <v>0</v>
      </c>
      <c r="DN595" s="1285"/>
      <c r="DO595" s="1285"/>
      <c r="DP595" s="1285"/>
      <c r="DQ595" s="1286"/>
      <c r="DR595" s="1284">
        <f t="shared" si="22"/>
        <v>0</v>
      </c>
      <c r="DS595" s="1285"/>
      <c r="DT595" s="1285"/>
      <c r="DU595" s="1285"/>
      <c r="DV595" s="1286"/>
    </row>
    <row r="596" spans="1:126" ht="12.95" customHeight="1">
      <c r="A596" s="4"/>
      <c r="B596" t="s">
        <v>372</v>
      </c>
      <c r="G596" s="1061"/>
      <c r="H596" s="1061"/>
      <c r="I596" s="1061"/>
      <c r="J596" s="1061"/>
      <c r="K596" s="1061"/>
      <c r="L596" s="1061"/>
      <c r="M596" s="1061"/>
      <c r="N596" s="1061"/>
      <c r="O596" s="1061"/>
      <c r="P596" s="1061"/>
      <c r="Q596" s="1061"/>
      <c r="R596" s="1061"/>
      <c r="T596" s="4"/>
      <c r="U596" t="s">
        <v>372</v>
      </c>
      <c r="Z596" s="1061"/>
      <c r="AA596" s="1061"/>
      <c r="AB596" s="1061"/>
      <c r="AC596" s="1061"/>
      <c r="AD596" s="1061"/>
      <c r="AE596" s="1061"/>
      <c r="AF596" s="1061"/>
      <c r="AG596" s="1061"/>
      <c r="AH596" s="1061"/>
      <c r="AI596" s="1061"/>
      <c r="AJ596" s="1061"/>
      <c r="AK596" s="1061"/>
      <c r="AZ596" s="5" t="s">
        <v>344</v>
      </c>
      <c r="BA596" s="41"/>
      <c r="BB596" s="41"/>
      <c r="BC596" s="41"/>
      <c r="BD596" s="41"/>
      <c r="BE596" s="1278">
        <f t="shared" si="15"/>
        <v>0</v>
      </c>
      <c r="BF596" s="1280"/>
      <c r="BG596" s="1272">
        <f t="shared" si="7"/>
        <v>0</v>
      </c>
      <c r="BH596" s="1274"/>
      <c r="BI596" s="1278">
        <f t="shared" si="16"/>
        <v>1</v>
      </c>
      <c r="BJ596" s="1280"/>
      <c r="BK596" s="1272">
        <f t="shared" si="8"/>
        <v>3</v>
      </c>
      <c r="BL596" s="1274"/>
      <c r="BN596" s="1272">
        <f t="shared" si="9"/>
        <v>0</v>
      </c>
      <c r="BO596" s="1273"/>
      <c r="BP596" s="1273"/>
      <c r="BQ596" s="1273"/>
      <c r="BR596" s="1283"/>
      <c r="BS596" s="1272">
        <f t="shared" si="10"/>
        <v>0</v>
      </c>
      <c r="BT596" s="1273"/>
      <c r="BU596" s="1273"/>
      <c r="BV596" s="1273"/>
      <c r="BW596" s="1274"/>
      <c r="BX596" s="1272">
        <f t="shared" si="11"/>
        <v>6</v>
      </c>
      <c r="BY596" s="1273"/>
      <c r="BZ596" s="1273"/>
      <c r="CA596" s="1273"/>
      <c r="CB596" s="1274"/>
      <c r="CC596" s="1272">
        <f t="shared" si="12"/>
        <v>0</v>
      </c>
      <c r="CD596" s="1273"/>
      <c r="CE596" s="1273"/>
      <c r="CF596" s="1273"/>
      <c r="CG596" s="1274"/>
      <c r="CH596" s="1272">
        <f t="shared" si="13"/>
        <v>0</v>
      </c>
      <c r="CI596" s="1273"/>
      <c r="CJ596" s="1273"/>
      <c r="CK596" s="1273"/>
      <c r="CL596" s="1274"/>
      <c r="CM596" s="1281">
        <f t="shared" si="14"/>
        <v>0</v>
      </c>
      <c r="CN596" s="1282"/>
      <c r="CO596" s="1282"/>
      <c r="CP596" s="1282"/>
      <c r="CQ596" s="1283"/>
      <c r="CS596" s="1284">
        <f t="shared" si="17"/>
        <v>0</v>
      </c>
      <c r="CT596" s="1285"/>
      <c r="CU596" s="1285"/>
      <c r="CV596" s="1285"/>
      <c r="CW596" s="1286"/>
      <c r="CX596" s="1284">
        <f t="shared" si="18"/>
        <v>0</v>
      </c>
      <c r="CY596" s="1285"/>
      <c r="CZ596" s="1285"/>
      <c r="DA596" s="1285"/>
      <c r="DB596" s="1286"/>
      <c r="DC596" s="1284">
        <f t="shared" si="19"/>
        <v>3</v>
      </c>
      <c r="DD596" s="1285"/>
      <c r="DE596" s="1285"/>
      <c r="DF596" s="1285"/>
      <c r="DG596" s="1286"/>
      <c r="DH596" s="1284">
        <f t="shared" si="20"/>
        <v>0</v>
      </c>
      <c r="DI596" s="1285"/>
      <c r="DJ596" s="1285"/>
      <c r="DK596" s="1285"/>
      <c r="DL596" s="1286"/>
      <c r="DM596" s="1284">
        <f t="shared" si="21"/>
        <v>0</v>
      </c>
      <c r="DN596" s="1285"/>
      <c r="DO596" s="1285"/>
      <c r="DP596" s="1285"/>
      <c r="DQ596" s="1286"/>
      <c r="DR596" s="1284">
        <f t="shared" si="22"/>
        <v>0</v>
      </c>
      <c r="DS596" s="1285"/>
      <c r="DT596" s="1285"/>
      <c r="DU596" s="1285"/>
      <c r="DV596" s="1286"/>
    </row>
    <row r="597" spans="1:126" ht="12.95" customHeight="1">
      <c r="A597" s="4"/>
      <c r="B597" t="s">
        <v>430</v>
      </c>
      <c r="G597" s="1061"/>
      <c r="H597" s="1061"/>
      <c r="I597" s="1061"/>
      <c r="J597" s="1061"/>
      <c r="K597" s="1061"/>
      <c r="L597" s="1061"/>
      <c r="M597" s="1061"/>
      <c r="N597" s="1061"/>
      <c r="O597" s="1061"/>
      <c r="P597" s="1061"/>
      <c r="Q597" s="1061"/>
      <c r="R597" s="1061"/>
      <c r="T597" s="4"/>
      <c r="U597" t="s">
        <v>430</v>
      </c>
      <c r="Z597" s="1067"/>
      <c r="AA597" s="1067"/>
      <c r="AB597" s="1067"/>
      <c r="AC597" s="1067"/>
      <c r="AD597" s="1067"/>
      <c r="AE597" s="1067"/>
      <c r="AF597" s="1067"/>
      <c r="AG597" s="1067"/>
      <c r="AH597" s="1067"/>
      <c r="AI597" s="1067"/>
      <c r="AJ597" s="1067"/>
      <c r="AK597" s="1067"/>
      <c r="AZ597" s="41"/>
      <c r="BA597" s="41"/>
      <c r="BB597" s="41"/>
      <c r="BC597" s="41"/>
      <c r="BD597" s="41"/>
      <c r="BE597" s="1278">
        <f t="shared" si="15"/>
        <v>1</v>
      </c>
      <c r="BF597" s="1280"/>
      <c r="BG597" s="1272">
        <f t="shared" si="7"/>
        <v>6</v>
      </c>
      <c r="BH597" s="1274"/>
      <c r="BI597" s="1278">
        <f t="shared" si="16"/>
        <v>0</v>
      </c>
      <c r="BJ597" s="1280"/>
      <c r="BK597" s="1272">
        <f t="shared" si="8"/>
        <v>0</v>
      </c>
      <c r="BL597" s="1274"/>
      <c r="BN597" s="1272">
        <f t="shared" si="9"/>
        <v>0</v>
      </c>
      <c r="BO597" s="1273"/>
      <c r="BP597" s="1273"/>
      <c r="BQ597" s="1273"/>
      <c r="BR597" s="1283"/>
      <c r="BS597" s="1272">
        <f t="shared" si="10"/>
        <v>0</v>
      </c>
      <c r="BT597" s="1273"/>
      <c r="BU597" s="1273"/>
      <c r="BV597" s="1273"/>
      <c r="BW597" s="1274"/>
      <c r="BX597" s="1272">
        <f t="shared" si="11"/>
        <v>12</v>
      </c>
      <c r="BY597" s="1273"/>
      <c r="BZ597" s="1273"/>
      <c r="CA597" s="1273"/>
      <c r="CB597" s="1274"/>
      <c r="CC597" s="1272">
        <f t="shared" si="12"/>
        <v>0</v>
      </c>
      <c r="CD597" s="1273"/>
      <c r="CE597" s="1273"/>
      <c r="CF597" s="1273"/>
      <c r="CG597" s="1274"/>
      <c r="CH597" s="1272">
        <f t="shared" si="13"/>
        <v>0</v>
      </c>
      <c r="CI597" s="1273"/>
      <c r="CJ597" s="1273"/>
      <c r="CK597" s="1273"/>
      <c r="CL597" s="1274"/>
      <c r="CM597" s="1281">
        <f t="shared" si="14"/>
        <v>0</v>
      </c>
      <c r="CN597" s="1282"/>
      <c r="CO597" s="1282"/>
      <c r="CP597" s="1282"/>
      <c r="CQ597" s="1283"/>
      <c r="CS597" s="1284">
        <f t="shared" si="17"/>
        <v>0</v>
      </c>
      <c r="CT597" s="1285"/>
      <c r="CU597" s="1285"/>
      <c r="CV597" s="1285"/>
      <c r="CW597" s="1286"/>
      <c r="CX597" s="1284">
        <f t="shared" si="18"/>
        <v>0</v>
      </c>
      <c r="CY597" s="1285"/>
      <c r="CZ597" s="1285"/>
      <c r="DA597" s="1285"/>
      <c r="DB597" s="1286"/>
      <c r="DC597" s="1284">
        <f t="shared" si="19"/>
        <v>0</v>
      </c>
      <c r="DD597" s="1285"/>
      <c r="DE597" s="1285"/>
      <c r="DF597" s="1285"/>
      <c r="DG597" s="1286"/>
      <c r="DH597" s="1284">
        <f t="shared" si="20"/>
        <v>0</v>
      </c>
      <c r="DI597" s="1285"/>
      <c r="DJ597" s="1285"/>
      <c r="DK597" s="1285"/>
      <c r="DL597" s="1286"/>
      <c r="DM597" s="1284">
        <f t="shared" si="21"/>
        <v>0</v>
      </c>
      <c r="DN597" s="1285"/>
      <c r="DO597" s="1285"/>
      <c r="DP597" s="1285"/>
      <c r="DQ597" s="1286"/>
      <c r="DR597" s="1284">
        <f t="shared" si="22"/>
        <v>0</v>
      </c>
      <c r="DS597" s="1285"/>
      <c r="DT597" s="1285"/>
      <c r="DU597" s="1285"/>
      <c r="DV597" s="1286"/>
    </row>
    <row r="598" spans="1:126" ht="12.95" customHeight="1">
      <c r="A598" s="4"/>
      <c r="B598" t="s">
        <v>833</v>
      </c>
      <c r="G598" s="1061"/>
      <c r="H598" s="1061"/>
      <c r="I598" s="1061"/>
      <c r="J598" s="1061"/>
      <c r="K598" s="1061"/>
      <c r="L598" s="1061"/>
      <c r="M598" s="1061"/>
      <c r="N598" s="1061"/>
      <c r="O598" s="1061"/>
      <c r="P598" s="1061"/>
      <c r="Q598" s="1061"/>
      <c r="R598" s="1061"/>
      <c r="T598" s="4"/>
      <c r="U598" t="s">
        <v>833</v>
      </c>
      <c r="Z598" s="1067"/>
      <c r="AA598" s="1067"/>
      <c r="AB598" s="1067"/>
      <c r="AC598" s="1067"/>
      <c r="AD598" s="1067"/>
      <c r="AE598" s="1067"/>
      <c r="AF598" s="1067"/>
      <c r="AG598" s="1067"/>
      <c r="AH598" s="1067"/>
      <c r="AI598" s="1067"/>
      <c r="AJ598" s="1067"/>
      <c r="AK598" s="1067"/>
      <c r="AZ598" s="41"/>
      <c r="BA598" s="41"/>
      <c r="BB598" s="41"/>
      <c r="BC598" s="41"/>
      <c r="BD598" s="41"/>
      <c r="BE598" s="1278">
        <f t="shared" si="15"/>
        <v>1</v>
      </c>
      <c r="BF598" s="1280"/>
      <c r="BG598" s="1272">
        <f t="shared" si="7"/>
        <v>12</v>
      </c>
      <c r="BH598" s="1274"/>
      <c r="BI598" s="1278">
        <f t="shared" si="16"/>
        <v>0</v>
      </c>
      <c r="BJ598" s="1280"/>
      <c r="BK598" s="1272">
        <f t="shared" si="8"/>
        <v>0</v>
      </c>
      <c r="BL598" s="1274"/>
      <c r="BN598" s="1272">
        <f t="shared" si="9"/>
        <v>0</v>
      </c>
      <c r="BO598" s="1273"/>
      <c r="BP598" s="1273"/>
      <c r="BQ598" s="1273"/>
      <c r="BR598" s="1283"/>
      <c r="BS598" s="1272">
        <f t="shared" si="10"/>
        <v>0</v>
      </c>
      <c r="BT598" s="1273"/>
      <c r="BU598" s="1273"/>
      <c r="BV598" s="1273"/>
      <c r="BW598" s="1274"/>
      <c r="BX598" s="1272">
        <f t="shared" si="11"/>
        <v>9</v>
      </c>
      <c r="BY598" s="1273"/>
      <c r="BZ598" s="1273"/>
      <c r="CA598" s="1273"/>
      <c r="CB598" s="1274"/>
      <c r="CC598" s="1272">
        <f t="shared" si="12"/>
        <v>0</v>
      </c>
      <c r="CD598" s="1273"/>
      <c r="CE598" s="1273"/>
      <c r="CF598" s="1273"/>
      <c r="CG598" s="1274"/>
      <c r="CH598" s="1272">
        <f t="shared" si="13"/>
        <v>0</v>
      </c>
      <c r="CI598" s="1273"/>
      <c r="CJ598" s="1273"/>
      <c r="CK598" s="1273"/>
      <c r="CL598" s="1274"/>
      <c r="CM598" s="1281">
        <f t="shared" si="14"/>
        <v>0</v>
      </c>
      <c r="CN598" s="1282"/>
      <c r="CO598" s="1282"/>
      <c r="CP598" s="1282"/>
      <c r="CQ598" s="1283"/>
      <c r="CS598" s="1284">
        <f t="shared" si="17"/>
        <v>0</v>
      </c>
      <c r="CT598" s="1285"/>
      <c r="CU598" s="1285"/>
      <c r="CV598" s="1285"/>
      <c r="CW598" s="1286"/>
      <c r="CX598" s="1284">
        <f t="shared" si="18"/>
        <v>0</v>
      </c>
      <c r="CY598" s="1285"/>
      <c r="CZ598" s="1285"/>
      <c r="DA598" s="1285"/>
      <c r="DB598" s="1286"/>
      <c r="DC598" s="1284">
        <f t="shared" si="19"/>
        <v>0</v>
      </c>
      <c r="DD598" s="1285"/>
      <c r="DE598" s="1285"/>
      <c r="DF598" s="1285"/>
      <c r="DG598" s="1286"/>
      <c r="DH598" s="1284">
        <f t="shared" si="20"/>
        <v>0</v>
      </c>
      <c r="DI598" s="1285"/>
      <c r="DJ598" s="1285"/>
      <c r="DK598" s="1285"/>
      <c r="DL598" s="1286"/>
      <c r="DM598" s="1284">
        <f t="shared" si="21"/>
        <v>0</v>
      </c>
      <c r="DN598" s="1285"/>
      <c r="DO598" s="1285"/>
      <c r="DP598" s="1285"/>
      <c r="DQ598" s="1286"/>
      <c r="DR598" s="1284">
        <f t="shared" si="22"/>
        <v>0</v>
      </c>
      <c r="DS598" s="1285"/>
      <c r="DT598" s="1285"/>
      <c r="DU598" s="1285"/>
      <c r="DV598" s="1286"/>
    </row>
    <row r="599" spans="1:126" ht="12.95" customHeight="1">
      <c r="A599" s="4"/>
      <c r="B599" t="s">
        <v>650</v>
      </c>
      <c r="G599" s="1263"/>
      <c r="H599" s="1263"/>
      <c r="I599" s="1263"/>
      <c r="J599" s="1263"/>
      <c r="K599" s="1263"/>
      <c r="L599" s="1263"/>
      <c r="O599" s="42" t="s">
        <v>818</v>
      </c>
      <c r="P599" s="1268"/>
      <c r="Q599" s="1268"/>
      <c r="R599" s="1268"/>
      <c r="T599" s="4"/>
      <c r="U599" t="s">
        <v>650</v>
      </c>
      <c r="Z599" s="1263"/>
      <c r="AA599" s="1263"/>
      <c r="AB599" s="1263"/>
      <c r="AC599" s="1263"/>
      <c r="AD599" s="1263"/>
      <c r="AE599" s="1263"/>
      <c r="AH599" s="42" t="s">
        <v>818</v>
      </c>
      <c r="AI599" s="1268"/>
      <c r="AJ599" s="1268"/>
      <c r="AK599" s="1268"/>
      <c r="AZ599" s="41"/>
      <c r="BA599" s="41"/>
      <c r="BB599" s="41"/>
      <c r="BC599" s="41"/>
      <c r="BD599" s="41"/>
      <c r="BE599" s="1278">
        <f t="shared" si="15"/>
        <v>0</v>
      </c>
      <c r="BF599" s="1280"/>
      <c r="BG599" s="1272">
        <f t="shared" si="7"/>
        <v>0</v>
      </c>
      <c r="BH599" s="1274"/>
      <c r="BI599" s="1278">
        <f t="shared" si="16"/>
        <v>0</v>
      </c>
      <c r="BJ599" s="1280"/>
      <c r="BK599" s="1272">
        <f t="shared" si="8"/>
        <v>0</v>
      </c>
      <c r="BL599" s="1274"/>
      <c r="BN599" s="1272">
        <f t="shared" si="9"/>
        <v>0</v>
      </c>
      <c r="BO599" s="1273"/>
      <c r="BP599" s="1273"/>
      <c r="BQ599" s="1273"/>
      <c r="BR599" s="1283"/>
      <c r="BS599" s="1272">
        <f t="shared" si="10"/>
        <v>0</v>
      </c>
      <c r="BT599" s="1273"/>
      <c r="BU599" s="1273"/>
      <c r="BV599" s="1273"/>
      <c r="BW599" s="1274"/>
      <c r="BX599" s="1272">
        <f t="shared" si="11"/>
        <v>0</v>
      </c>
      <c r="BY599" s="1273"/>
      <c r="BZ599" s="1273"/>
      <c r="CA599" s="1273"/>
      <c r="CB599" s="1274"/>
      <c r="CC599" s="1272">
        <f t="shared" si="12"/>
        <v>3</v>
      </c>
      <c r="CD599" s="1273"/>
      <c r="CE599" s="1273"/>
      <c r="CF599" s="1273"/>
      <c r="CG599" s="1274"/>
      <c r="CH599" s="1272">
        <f t="shared" si="13"/>
        <v>0</v>
      </c>
      <c r="CI599" s="1273"/>
      <c r="CJ599" s="1273"/>
      <c r="CK599" s="1273"/>
      <c r="CL599" s="1274"/>
      <c r="CM599" s="1281">
        <f t="shared" si="14"/>
        <v>0</v>
      </c>
      <c r="CN599" s="1282"/>
      <c r="CO599" s="1282"/>
      <c r="CP599" s="1282"/>
      <c r="CQ599" s="1283"/>
      <c r="CS599" s="1284">
        <f t="shared" si="17"/>
        <v>0</v>
      </c>
      <c r="CT599" s="1285"/>
      <c r="CU599" s="1285"/>
      <c r="CV599" s="1285"/>
      <c r="CW599" s="1286"/>
      <c r="CX599" s="1284">
        <f t="shared" si="18"/>
        <v>0</v>
      </c>
      <c r="CY599" s="1285"/>
      <c r="CZ599" s="1285"/>
      <c r="DA599" s="1285"/>
      <c r="DB599" s="1286"/>
      <c r="DC599" s="1284">
        <f t="shared" si="19"/>
        <v>0</v>
      </c>
      <c r="DD599" s="1285"/>
      <c r="DE599" s="1285"/>
      <c r="DF599" s="1285"/>
      <c r="DG599" s="1286"/>
      <c r="DH599" s="1284">
        <f t="shared" si="20"/>
        <v>0</v>
      </c>
      <c r="DI599" s="1285"/>
      <c r="DJ599" s="1285"/>
      <c r="DK599" s="1285"/>
      <c r="DL599" s="1286"/>
      <c r="DM599" s="1284">
        <f t="shared" si="21"/>
        <v>0</v>
      </c>
      <c r="DN599" s="1285"/>
      <c r="DO599" s="1285"/>
      <c r="DP599" s="1285"/>
      <c r="DQ599" s="1286"/>
      <c r="DR599" s="1284">
        <f t="shared" si="22"/>
        <v>0</v>
      </c>
      <c r="DS599" s="1285"/>
      <c r="DT599" s="1285"/>
      <c r="DU599" s="1285"/>
      <c r="DV599" s="1286"/>
    </row>
    <row r="600" spans="1:126" s="5" customFormat="1" ht="12.95" customHeight="1">
      <c r="A600" s="4"/>
      <c r="B600" t="s">
        <v>834</v>
      </c>
      <c r="C600"/>
      <c r="D600"/>
      <c r="E600"/>
      <c r="F600"/>
      <c r="G600"/>
      <c r="H600" s="1061"/>
      <c r="I600" s="1061"/>
      <c r="J600" s="1061"/>
      <c r="K600" s="1061"/>
      <c r="L600" s="1061"/>
      <c r="M600" s="1061"/>
      <c r="N600" s="1061"/>
      <c r="O600" s="1061"/>
      <c r="P600" s="1061"/>
      <c r="Q600" s="1061"/>
      <c r="R600" s="1061"/>
      <c r="S600"/>
      <c r="T600" s="4"/>
      <c r="U600" t="s">
        <v>834</v>
      </c>
      <c r="V600"/>
      <c r="W600"/>
      <c r="X600"/>
      <c r="Y600"/>
      <c r="Z600"/>
      <c r="AA600" s="1061"/>
      <c r="AB600" s="1061"/>
      <c r="AC600" s="1061"/>
      <c r="AD600" s="1061"/>
      <c r="AE600" s="1061"/>
      <c r="AF600" s="1061"/>
      <c r="AG600" s="1061"/>
      <c r="AH600" s="1061"/>
      <c r="AI600" s="1061"/>
      <c r="AJ600" s="1061"/>
      <c r="AK600" s="1061"/>
      <c r="AL600"/>
      <c r="AZ600" s="41"/>
      <c r="BA600" s="41"/>
      <c r="BB600" s="41"/>
      <c r="BC600" s="41"/>
      <c r="BD600" s="41"/>
      <c r="BE600" s="1278">
        <f t="shared" si="15"/>
        <v>0</v>
      </c>
      <c r="BF600" s="1280"/>
      <c r="BG600" s="1272">
        <f t="shared" si="7"/>
        <v>0</v>
      </c>
      <c r="BH600" s="1274"/>
      <c r="BI600" s="1278">
        <f t="shared" si="16"/>
        <v>1</v>
      </c>
      <c r="BJ600" s="1280"/>
      <c r="BK600" s="1272">
        <f t="shared" si="8"/>
        <v>3</v>
      </c>
      <c r="BL600" s="1274"/>
      <c r="BN600" s="1272">
        <f t="shared" si="9"/>
        <v>0</v>
      </c>
      <c r="BO600" s="1273"/>
      <c r="BP600" s="1273"/>
      <c r="BQ600" s="1273"/>
      <c r="BR600" s="1283"/>
      <c r="BS600" s="1272">
        <f t="shared" si="10"/>
        <v>0</v>
      </c>
      <c r="BT600" s="1273"/>
      <c r="BU600" s="1273"/>
      <c r="BV600" s="1273"/>
      <c r="BW600" s="1274"/>
      <c r="BX600" s="1272">
        <f t="shared" si="11"/>
        <v>0</v>
      </c>
      <c r="BY600" s="1273"/>
      <c r="BZ600" s="1273"/>
      <c r="CA600" s="1273"/>
      <c r="CB600" s="1274"/>
      <c r="CC600" s="1272">
        <f t="shared" si="12"/>
        <v>6</v>
      </c>
      <c r="CD600" s="1273"/>
      <c r="CE600" s="1273"/>
      <c r="CF600" s="1273"/>
      <c r="CG600" s="1274"/>
      <c r="CH600" s="1272">
        <f t="shared" si="13"/>
        <v>0</v>
      </c>
      <c r="CI600" s="1273"/>
      <c r="CJ600" s="1273"/>
      <c r="CK600" s="1273"/>
      <c r="CL600" s="1274"/>
      <c r="CM600" s="1281">
        <f t="shared" si="14"/>
        <v>0</v>
      </c>
      <c r="CN600" s="1282"/>
      <c r="CO600" s="1282"/>
      <c r="CP600" s="1282"/>
      <c r="CQ600" s="1283"/>
      <c r="CS600" s="1284">
        <f t="shared" si="17"/>
        <v>0</v>
      </c>
      <c r="CT600" s="1285"/>
      <c r="CU600" s="1285"/>
      <c r="CV600" s="1285"/>
      <c r="CW600" s="1286"/>
      <c r="CX600" s="1284">
        <f t="shared" si="18"/>
        <v>0</v>
      </c>
      <c r="CY600" s="1285"/>
      <c r="CZ600" s="1285"/>
      <c r="DA600" s="1285"/>
      <c r="DB600" s="1286"/>
      <c r="DC600" s="1284">
        <f t="shared" si="19"/>
        <v>0</v>
      </c>
      <c r="DD600" s="1285"/>
      <c r="DE600" s="1285"/>
      <c r="DF600" s="1285"/>
      <c r="DG600" s="1286"/>
      <c r="DH600" s="1284">
        <f t="shared" si="20"/>
        <v>3</v>
      </c>
      <c r="DI600" s="1285"/>
      <c r="DJ600" s="1285"/>
      <c r="DK600" s="1285"/>
      <c r="DL600" s="1286"/>
      <c r="DM600" s="1284">
        <f t="shared" si="21"/>
        <v>0</v>
      </c>
      <c r="DN600" s="1285"/>
      <c r="DO600" s="1285"/>
      <c r="DP600" s="1285"/>
      <c r="DQ600" s="1286"/>
      <c r="DR600" s="1284">
        <f t="shared" si="22"/>
        <v>0</v>
      </c>
      <c r="DS600" s="1285"/>
      <c r="DT600" s="1285"/>
      <c r="DU600" s="1285"/>
      <c r="DV600" s="1286"/>
    </row>
    <row r="601" spans="1:126" s="5" customFormat="1" ht="12.95" customHeight="1">
      <c r="A601" s="4"/>
      <c r="B601" t="s">
        <v>836</v>
      </c>
      <c r="C601"/>
      <c r="D601"/>
      <c r="E601"/>
      <c r="F601"/>
      <c r="G601"/>
      <c r="H601"/>
      <c r="I601"/>
      <c r="J601"/>
      <c r="K601"/>
      <c r="L601"/>
      <c r="M601"/>
      <c r="N601" s="1095" t="s">
        <v>482</v>
      </c>
      <c r="O601" s="1095"/>
      <c r="P601"/>
      <c r="Q601"/>
      <c r="R601"/>
      <c r="S601"/>
      <c r="T601" s="4"/>
      <c r="U601" t="s">
        <v>836</v>
      </c>
      <c r="V601"/>
      <c r="W601"/>
      <c r="X601"/>
      <c r="Y601"/>
      <c r="Z601"/>
      <c r="AA601"/>
      <c r="AB601"/>
      <c r="AC601"/>
      <c r="AD601"/>
      <c r="AE601"/>
      <c r="AF601"/>
      <c r="AG601" s="1095" t="s">
        <v>482</v>
      </c>
      <c r="AH601" s="1095"/>
      <c r="AI601"/>
      <c r="AJ601"/>
      <c r="AK601"/>
      <c r="AL601"/>
      <c r="AZ601" s="41"/>
      <c r="BA601" s="41"/>
      <c r="BB601" s="41"/>
      <c r="BC601" s="41"/>
      <c r="BD601" s="41"/>
      <c r="BE601" s="1278">
        <f t="shared" si="15"/>
        <v>1</v>
      </c>
      <c r="BF601" s="1280"/>
      <c r="BG601" s="1272">
        <f t="shared" si="7"/>
        <v>6</v>
      </c>
      <c r="BH601" s="1274"/>
      <c r="BI601" s="1278">
        <f t="shared" si="16"/>
        <v>0</v>
      </c>
      <c r="BJ601" s="1280"/>
      <c r="BK601" s="1272">
        <f t="shared" si="8"/>
        <v>0</v>
      </c>
      <c r="BL601" s="1274"/>
      <c r="BN601" s="1272">
        <f t="shared" si="9"/>
        <v>0</v>
      </c>
      <c r="BO601" s="1273"/>
      <c r="BP601" s="1273"/>
      <c r="BQ601" s="1273"/>
      <c r="BR601" s="1283"/>
      <c r="BS601" s="1272">
        <f t="shared" si="10"/>
        <v>0</v>
      </c>
      <c r="BT601" s="1273"/>
      <c r="BU601" s="1273"/>
      <c r="BV601" s="1273"/>
      <c r="BW601" s="1274"/>
      <c r="BX601" s="1272">
        <f t="shared" si="11"/>
        <v>0</v>
      </c>
      <c r="BY601" s="1273"/>
      <c r="BZ601" s="1273"/>
      <c r="CA601" s="1273"/>
      <c r="CB601" s="1274"/>
      <c r="CC601" s="1272">
        <f t="shared" si="12"/>
        <v>12</v>
      </c>
      <c r="CD601" s="1273"/>
      <c r="CE601" s="1273"/>
      <c r="CF601" s="1273"/>
      <c r="CG601" s="1274"/>
      <c r="CH601" s="1272">
        <f t="shared" si="13"/>
        <v>0</v>
      </c>
      <c r="CI601" s="1273"/>
      <c r="CJ601" s="1273"/>
      <c r="CK601" s="1273"/>
      <c r="CL601" s="1274"/>
      <c r="CM601" s="1281">
        <f t="shared" si="14"/>
        <v>0</v>
      </c>
      <c r="CN601" s="1282"/>
      <c r="CO601" s="1282"/>
      <c r="CP601" s="1282"/>
      <c r="CQ601" s="1283"/>
      <c r="CS601" s="1284">
        <f t="shared" si="17"/>
        <v>0</v>
      </c>
      <c r="CT601" s="1285"/>
      <c r="CU601" s="1285"/>
      <c r="CV601" s="1285"/>
      <c r="CW601" s="1286"/>
      <c r="CX601" s="1284">
        <f t="shared" si="18"/>
        <v>0</v>
      </c>
      <c r="CY601" s="1285"/>
      <c r="CZ601" s="1285"/>
      <c r="DA601" s="1285"/>
      <c r="DB601" s="1286"/>
      <c r="DC601" s="1284">
        <f t="shared" si="19"/>
        <v>0</v>
      </c>
      <c r="DD601" s="1285"/>
      <c r="DE601" s="1285"/>
      <c r="DF601" s="1285"/>
      <c r="DG601" s="1286"/>
      <c r="DH601" s="1284">
        <f t="shared" si="20"/>
        <v>0</v>
      </c>
      <c r="DI601" s="1285"/>
      <c r="DJ601" s="1285"/>
      <c r="DK601" s="1285"/>
      <c r="DL601" s="1286"/>
      <c r="DM601" s="1284">
        <f t="shared" si="21"/>
        <v>0</v>
      </c>
      <c r="DN601" s="1285"/>
      <c r="DO601" s="1285"/>
      <c r="DP601" s="1285"/>
      <c r="DQ601" s="1286"/>
      <c r="DR601" s="1284">
        <f t="shared" si="22"/>
        <v>0</v>
      </c>
      <c r="DS601" s="1285"/>
      <c r="DT601" s="1285"/>
      <c r="DU601" s="1285"/>
      <c r="DV601" s="1286"/>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8">
        <f t="shared" si="15"/>
        <v>1</v>
      </c>
      <c r="BF602" s="1280"/>
      <c r="BG602" s="1272">
        <f t="shared" si="7"/>
        <v>12</v>
      </c>
      <c r="BH602" s="1274"/>
      <c r="BI602" s="1278">
        <f t="shared" si="16"/>
        <v>0</v>
      </c>
      <c r="BJ602" s="1280"/>
      <c r="BK602" s="1272">
        <f t="shared" si="8"/>
        <v>0</v>
      </c>
      <c r="BL602" s="1274"/>
      <c r="BN602" s="1272">
        <f t="shared" si="9"/>
        <v>0</v>
      </c>
      <c r="BO602" s="1273"/>
      <c r="BP602" s="1273"/>
      <c r="BQ602" s="1273"/>
      <c r="BR602" s="1283"/>
      <c r="BS602" s="1272">
        <f t="shared" si="10"/>
        <v>0</v>
      </c>
      <c r="BT602" s="1273"/>
      <c r="BU602" s="1273"/>
      <c r="BV602" s="1273"/>
      <c r="BW602" s="1274"/>
      <c r="BX602" s="1272">
        <f t="shared" si="11"/>
        <v>0</v>
      </c>
      <c r="BY602" s="1273"/>
      <c r="BZ602" s="1273"/>
      <c r="CA602" s="1273"/>
      <c r="CB602" s="1274"/>
      <c r="CC602" s="1272">
        <f t="shared" si="12"/>
        <v>9</v>
      </c>
      <c r="CD602" s="1273"/>
      <c r="CE602" s="1273"/>
      <c r="CF602" s="1273"/>
      <c r="CG602" s="1274"/>
      <c r="CH602" s="1272">
        <f t="shared" si="13"/>
        <v>0</v>
      </c>
      <c r="CI602" s="1273"/>
      <c r="CJ602" s="1273"/>
      <c r="CK602" s="1273"/>
      <c r="CL602" s="1274"/>
      <c r="CM602" s="1281">
        <f t="shared" si="14"/>
        <v>0</v>
      </c>
      <c r="CN602" s="1282"/>
      <c r="CO602" s="1282"/>
      <c r="CP602" s="1282"/>
      <c r="CQ602" s="1283"/>
      <c r="CS602" s="1284">
        <f t="shared" si="17"/>
        <v>0</v>
      </c>
      <c r="CT602" s="1285"/>
      <c r="CU602" s="1285"/>
      <c r="CV602" s="1285"/>
      <c r="CW602" s="1286"/>
      <c r="CX602" s="1284">
        <f t="shared" si="18"/>
        <v>0</v>
      </c>
      <c r="CY602" s="1285"/>
      <c r="CZ602" s="1285"/>
      <c r="DA602" s="1285"/>
      <c r="DB602" s="1286"/>
      <c r="DC602" s="1284">
        <f t="shared" si="19"/>
        <v>0</v>
      </c>
      <c r="DD602" s="1285"/>
      <c r="DE602" s="1285"/>
      <c r="DF602" s="1285"/>
      <c r="DG602" s="1286"/>
      <c r="DH602" s="1284">
        <f t="shared" si="20"/>
        <v>0</v>
      </c>
      <c r="DI602" s="1285"/>
      <c r="DJ602" s="1285"/>
      <c r="DK602" s="1285"/>
      <c r="DL602" s="1286"/>
      <c r="DM602" s="1284">
        <f t="shared" si="21"/>
        <v>0</v>
      </c>
      <c r="DN602" s="1285"/>
      <c r="DO602" s="1285"/>
      <c r="DP602" s="1285"/>
      <c r="DQ602" s="1286"/>
      <c r="DR602" s="1284">
        <f t="shared" si="22"/>
        <v>0</v>
      </c>
      <c r="DS602" s="1285"/>
      <c r="DT602" s="1285"/>
      <c r="DU602" s="1285"/>
      <c r="DV602" s="1286"/>
    </row>
    <row r="603" spans="1:126" ht="12.95" customHeight="1">
      <c r="A603" s="61" t="s">
        <v>32</v>
      </c>
      <c r="B603" t="s">
        <v>82</v>
      </c>
      <c r="G603" s="1267">
        <f>C559</f>
        <v>0</v>
      </c>
      <c r="H603" s="1267"/>
      <c r="I603" s="1267"/>
      <c r="J603" s="1267"/>
      <c r="K603" s="1267"/>
      <c r="L603" s="1267"/>
      <c r="M603" s="1267"/>
      <c r="N603" s="1267"/>
      <c r="O603" s="1267"/>
      <c r="P603" s="1267"/>
      <c r="Q603" s="1267"/>
      <c r="R603" s="1267"/>
      <c r="T603" s="61" t="s">
        <v>33</v>
      </c>
      <c r="U603" t="s">
        <v>82</v>
      </c>
      <c r="Z603" s="1267">
        <f>C560</f>
        <v>0</v>
      </c>
      <c r="AA603" s="1267"/>
      <c r="AB603" s="1267"/>
      <c r="AC603" s="1267"/>
      <c r="AD603" s="1267"/>
      <c r="AE603" s="1267"/>
      <c r="AF603" s="1267"/>
      <c r="AG603" s="1267"/>
      <c r="AH603" s="1267"/>
      <c r="AI603" s="1267"/>
      <c r="AJ603" s="1267"/>
      <c r="AK603" s="1267"/>
      <c r="AZ603" s="41"/>
      <c r="BA603" s="41"/>
      <c r="BB603" s="41"/>
      <c r="BC603" s="41"/>
      <c r="BD603" s="41"/>
      <c r="BE603" s="1278">
        <f t="shared" si="15"/>
        <v>0</v>
      </c>
      <c r="BF603" s="1280"/>
      <c r="BG603" s="1272">
        <f t="shared" si="7"/>
        <v>0</v>
      </c>
      <c r="BH603" s="1274"/>
      <c r="BI603" s="1278">
        <f t="shared" si="16"/>
        <v>0</v>
      </c>
      <c r="BJ603" s="1280"/>
      <c r="BK603" s="1272">
        <f t="shared" si="8"/>
        <v>0</v>
      </c>
      <c r="BL603" s="1274"/>
      <c r="BN603" s="1272">
        <f t="shared" si="9"/>
        <v>0</v>
      </c>
      <c r="BO603" s="1273"/>
      <c r="BP603" s="1273"/>
      <c r="BQ603" s="1273"/>
      <c r="BR603" s="1283"/>
      <c r="BS603" s="1272">
        <f t="shared" si="10"/>
        <v>0</v>
      </c>
      <c r="BT603" s="1273"/>
      <c r="BU603" s="1273"/>
      <c r="BV603" s="1273"/>
      <c r="BW603" s="1274"/>
      <c r="BX603" s="1272">
        <f t="shared" si="11"/>
        <v>0</v>
      </c>
      <c r="BY603" s="1273"/>
      <c r="BZ603" s="1273"/>
      <c r="CA603" s="1273"/>
      <c r="CB603" s="1274"/>
      <c r="CC603" s="1272">
        <f t="shared" si="12"/>
        <v>0</v>
      </c>
      <c r="CD603" s="1273"/>
      <c r="CE603" s="1273"/>
      <c r="CF603" s="1273"/>
      <c r="CG603" s="1274"/>
      <c r="CH603" s="1272">
        <f t="shared" si="13"/>
        <v>0</v>
      </c>
      <c r="CI603" s="1273"/>
      <c r="CJ603" s="1273"/>
      <c r="CK603" s="1273"/>
      <c r="CL603" s="1274"/>
      <c r="CM603" s="1281">
        <f t="shared" si="14"/>
        <v>0</v>
      </c>
      <c r="CN603" s="1282"/>
      <c r="CO603" s="1282"/>
      <c r="CP603" s="1282"/>
      <c r="CQ603" s="1283"/>
      <c r="CS603" s="1284">
        <f t="shared" si="17"/>
        <v>0</v>
      </c>
      <c r="CT603" s="1285"/>
      <c r="CU603" s="1285"/>
      <c r="CV603" s="1285"/>
      <c r="CW603" s="1286"/>
      <c r="CX603" s="1284">
        <f t="shared" si="18"/>
        <v>0</v>
      </c>
      <c r="CY603" s="1285"/>
      <c r="CZ603" s="1285"/>
      <c r="DA603" s="1285"/>
      <c r="DB603" s="1286"/>
      <c r="DC603" s="1284">
        <f t="shared" si="19"/>
        <v>0</v>
      </c>
      <c r="DD603" s="1285"/>
      <c r="DE603" s="1285"/>
      <c r="DF603" s="1285"/>
      <c r="DG603" s="1286"/>
      <c r="DH603" s="1284">
        <f t="shared" si="20"/>
        <v>0</v>
      </c>
      <c r="DI603" s="1285"/>
      <c r="DJ603" s="1285"/>
      <c r="DK603" s="1285"/>
      <c r="DL603" s="1286"/>
      <c r="DM603" s="1284">
        <f t="shared" si="21"/>
        <v>0</v>
      </c>
      <c r="DN603" s="1285"/>
      <c r="DO603" s="1285"/>
      <c r="DP603" s="1285"/>
      <c r="DQ603" s="1286"/>
      <c r="DR603" s="1284">
        <f t="shared" si="22"/>
        <v>0</v>
      </c>
      <c r="DS603" s="1285"/>
      <c r="DT603" s="1285"/>
      <c r="DU603" s="1285"/>
      <c r="DV603" s="1286"/>
    </row>
    <row r="604" spans="1:126" ht="12.95" customHeight="1">
      <c r="B604" t="s">
        <v>372</v>
      </c>
      <c r="G604" s="1061"/>
      <c r="H604" s="1061"/>
      <c r="I604" s="1061"/>
      <c r="J604" s="1061"/>
      <c r="K604" s="1061"/>
      <c r="L604" s="1061"/>
      <c r="M604" s="1061"/>
      <c r="N604" s="1061"/>
      <c r="O604" s="1061"/>
      <c r="P604" s="1061"/>
      <c r="Q604" s="1061"/>
      <c r="R604" s="1061"/>
      <c r="U604" t="s">
        <v>372</v>
      </c>
      <c r="Z604" s="1061"/>
      <c r="AA604" s="1061"/>
      <c r="AB604" s="1061"/>
      <c r="AC604" s="1061"/>
      <c r="AD604" s="1061"/>
      <c r="AE604" s="1061"/>
      <c r="AF604" s="1061"/>
      <c r="AG604" s="1061"/>
      <c r="AH604" s="1061"/>
      <c r="AI604" s="1061"/>
      <c r="AJ604" s="1061"/>
      <c r="AK604" s="1061"/>
      <c r="AZ604" s="41"/>
      <c r="BA604" s="41"/>
      <c r="BB604" s="41"/>
      <c r="BC604" s="41"/>
      <c r="BD604" s="41"/>
      <c r="BE604" s="1278">
        <f t="shared" si="15"/>
        <v>0</v>
      </c>
      <c r="BF604" s="1280"/>
      <c r="BG604" s="1272">
        <f t="shared" si="7"/>
        <v>0</v>
      </c>
      <c r="BH604" s="1274"/>
      <c r="BI604" s="1278">
        <f t="shared" si="16"/>
        <v>0</v>
      </c>
      <c r="BJ604" s="1280"/>
      <c r="BK604" s="1272">
        <f t="shared" si="8"/>
        <v>0</v>
      </c>
      <c r="BL604" s="1274"/>
      <c r="BN604" s="1272">
        <f t="shared" si="9"/>
        <v>0</v>
      </c>
      <c r="BO604" s="1273"/>
      <c r="BP604" s="1273"/>
      <c r="BQ604" s="1273"/>
      <c r="BR604" s="1283"/>
      <c r="BS604" s="1272">
        <f t="shared" si="10"/>
        <v>0</v>
      </c>
      <c r="BT604" s="1273"/>
      <c r="BU604" s="1273"/>
      <c r="BV604" s="1273"/>
      <c r="BW604" s="1274"/>
      <c r="BX604" s="1272">
        <f t="shared" si="11"/>
        <v>0</v>
      </c>
      <c r="BY604" s="1273"/>
      <c r="BZ604" s="1273"/>
      <c r="CA604" s="1273"/>
      <c r="CB604" s="1274"/>
      <c r="CC604" s="1272">
        <f t="shared" si="12"/>
        <v>0</v>
      </c>
      <c r="CD604" s="1273"/>
      <c r="CE604" s="1273"/>
      <c r="CF604" s="1273"/>
      <c r="CG604" s="1274"/>
      <c r="CH604" s="1272">
        <f t="shared" si="13"/>
        <v>0</v>
      </c>
      <c r="CI604" s="1273"/>
      <c r="CJ604" s="1273"/>
      <c r="CK604" s="1273"/>
      <c r="CL604" s="1274"/>
      <c r="CM604" s="1281">
        <f t="shared" si="14"/>
        <v>0</v>
      </c>
      <c r="CN604" s="1282"/>
      <c r="CO604" s="1282"/>
      <c r="CP604" s="1282"/>
      <c r="CQ604" s="1283"/>
      <c r="CS604" s="1284">
        <f t="shared" si="17"/>
        <v>0</v>
      </c>
      <c r="CT604" s="1285"/>
      <c r="CU604" s="1285"/>
      <c r="CV604" s="1285"/>
      <c r="CW604" s="1286"/>
      <c r="CX604" s="1284">
        <f t="shared" si="18"/>
        <v>0</v>
      </c>
      <c r="CY604" s="1285"/>
      <c r="CZ604" s="1285"/>
      <c r="DA604" s="1285"/>
      <c r="DB604" s="1286"/>
      <c r="DC604" s="1284">
        <f t="shared" si="19"/>
        <v>0</v>
      </c>
      <c r="DD604" s="1285"/>
      <c r="DE604" s="1285"/>
      <c r="DF604" s="1285"/>
      <c r="DG604" s="1286"/>
      <c r="DH604" s="1284">
        <f t="shared" si="20"/>
        <v>0</v>
      </c>
      <c r="DI604" s="1285"/>
      <c r="DJ604" s="1285"/>
      <c r="DK604" s="1285"/>
      <c r="DL604" s="1286"/>
      <c r="DM604" s="1284">
        <f t="shared" si="21"/>
        <v>0</v>
      </c>
      <c r="DN604" s="1285"/>
      <c r="DO604" s="1285"/>
      <c r="DP604" s="1285"/>
      <c r="DQ604" s="1286"/>
      <c r="DR604" s="1284">
        <f t="shared" si="22"/>
        <v>0</v>
      </c>
      <c r="DS604" s="1285"/>
      <c r="DT604" s="1285"/>
      <c r="DU604" s="1285"/>
      <c r="DV604" s="1286"/>
    </row>
    <row r="605" spans="1:126" ht="12.95" customHeight="1">
      <c r="B605" t="s">
        <v>430</v>
      </c>
      <c r="G605" s="1061"/>
      <c r="H605" s="1061"/>
      <c r="I605" s="1061"/>
      <c r="J605" s="1061"/>
      <c r="K605" s="1061"/>
      <c r="L605" s="1061"/>
      <c r="M605" s="1061"/>
      <c r="N605" s="1061"/>
      <c r="O605" s="1061"/>
      <c r="P605" s="1061"/>
      <c r="Q605" s="1061"/>
      <c r="R605" s="1061"/>
      <c r="U605" t="s">
        <v>430</v>
      </c>
      <c r="Z605" s="1067"/>
      <c r="AA605" s="1067"/>
      <c r="AB605" s="1067"/>
      <c r="AC605" s="1067"/>
      <c r="AD605" s="1067"/>
      <c r="AE605" s="1067"/>
      <c r="AF605" s="1067"/>
      <c r="AG605" s="1067"/>
      <c r="AH605" s="1067"/>
      <c r="AI605" s="1067"/>
      <c r="AJ605" s="1067"/>
      <c r="AK605" s="1067"/>
      <c r="AL605" s="305"/>
      <c r="BA605" s="41"/>
      <c r="BB605" s="41"/>
      <c r="BC605" s="41"/>
      <c r="BD605" s="41"/>
      <c r="BE605" s="1278">
        <f t="shared" si="15"/>
        <v>0</v>
      </c>
      <c r="BF605" s="1280"/>
      <c r="BG605" s="1272">
        <f t="shared" si="7"/>
        <v>0</v>
      </c>
      <c r="BH605" s="1274"/>
      <c r="BI605" s="1278">
        <f t="shared" si="16"/>
        <v>0</v>
      </c>
      <c r="BJ605" s="1280"/>
      <c r="BK605" s="1272">
        <f t="shared" si="8"/>
        <v>0</v>
      </c>
      <c r="BL605" s="1274"/>
      <c r="BN605" s="1272">
        <f t="shared" si="9"/>
        <v>0</v>
      </c>
      <c r="BO605" s="1273"/>
      <c r="BP605" s="1273"/>
      <c r="BQ605" s="1273"/>
      <c r="BR605" s="1283"/>
      <c r="BS605" s="1272">
        <f t="shared" si="10"/>
        <v>0</v>
      </c>
      <c r="BT605" s="1273"/>
      <c r="BU605" s="1273"/>
      <c r="BV605" s="1273"/>
      <c r="BW605" s="1274"/>
      <c r="BX605" s="1272">
        <f t="shared" si="11"/>
        <v>0</v>
      </c>
      <c r="BY605" s="1273"/>
      <c r="BZ605" s="1273"/>
      <c r="CA605" s="1273"/>
      <c r="CB605" s="1274"/>
      <c r="CC605" s="1272">
        <f t="shared" si="12"/>
        <v>0</v>
      </c>
      <c r="CD605" s="1273"/>
      <c r="CE605" s="1273"/>
      <c r="CF605" s="1273"/>
      <c r="CG605" s="1274"/>
      <c r="CH605" s="1272">
        <f t="shared" si="13"/>
        <v>0</v>
      </c>
      <c r="CI605" s="1273"/>
      <c r="CJ605" s="1273"/>
      <c r="CK605" s="1273"/>
      <c r="CL605" s="1274"/>
      <c r="CM605" s="1281">
        <f t="shared" si="14"/>
        <v>0</v>
      </c>
      <c r="CN605" s="1282"/>
      <c r="CO605" s="1282"/>
      <c r="CP605" s="1282"/>
      <c r="CQ605" s="1283"/>
      <c r="CS605" s="1284">
        <f t="shared" si="17"/>
        <v>0</v>
      </c>
      <c r="CT605" s="1285"/>
      <c r="CU605" s="1285"/>
      <c r="CV605" s="1285"/>
      <c r="CW605" s="1286"/>
      <c r="CX605" s="1284">
        <f t="shared" si="18"/>
        <v>0</v>
      </c>
      <c r="CY605" s="1285"/>
      <c r="CZ605" s="1285"/>
      <c r="DA605" s="1285"/>
      <c r="DB605" s="1286"/>
      <c r="DC605" s="1284">
        <f t="shared" si="19"/>
        <v>0</v>
      </c>
      <c r="DD605" s="1285"/>
      <c r="DE605" s="1285"/>
      <c r="DF605" s="1285"/>
      <c r="DG605" s="1286"/>
      <c r="DH605" s="1284">
        <f t="shared" si="20"/>
        <v>0</v>
      </c>
      <c r="DI605" s="1285"/>
      <c r="DJ605" s="1285"/>
      <c r="DK605" s="1285"/>
      <c r="DL605" s="1286"/>
      <c r="DM605" s="1284">
        <f t="shared" si="21"/>
        <v>0</v>
      </c>
      <c r="DN605" s="1285"/>
      <c r="DO605" s="1285"/>
      <c r="DP605" s="1285"/>
      <c r="DQ605" s="1286"/>
      <c r="DR605" s="1284">
        <f t="shared" si="22"/>
        <v>0</v>
      </c>
      <c r="DS605" s="1285"/>
      <c r="DT605" s="1285"/>
      <c r="DU605" s="1285"/>
      <c r="DV605" s="1286"/>
    </row>
    <row r="606" spans="1:126" ht="12.95" customHeight="1">
      <c r="B606" t="s">
        <v>833</v>
      </c>
      <c r="G606" s="1061"/>
      <c r="H606" s="1061"/>
      <c r="I606" s="1061"/>
      <c r="J606" s="1061"/>
      <c r="K606" s="1061"/>
      <c r="L606" s="1061"/>
      <c r="M606" s="1061"/>
      <c r="N606" s="1061"/>
      <c r="O606" s="1061"/>
      <c r="P606" s="1061"/>
      <c r="Q606" s="1061"/>
      <c r="R606" s="1061"/>
      <c r="U606" t="s">
        <v>833</v>
      </c>
      <c r="Z606" s="1067"/>
      <c r="AA606" s="1067"/>
      <c r="AB606" s="1067"/>
      <c r="AC606" s="1067"/>
      <c r="AD606" s="1067"/>
      <c r="AE606" s="1067"/>
      <c r="AF606" s="1067"/>
      <c r="AG606" s="1067"/>
      <c r="AH606" s="1067"/>
      <c r="AI606" s="1067"/>
      <c r="AJ606" s="1067"/>
      <c r="AK606" s="1067"/>
      <c r="AL606" s="305"/>
      <c r="BA606" s="41"/>
      <c r="BB606" s="41"/>
      <c r="BC606" s="41"/>
      <c r="BD606" s="41"/>
      <c r="BE606" s="1278">
        <f t="shared" si="15"/>
        <v>0</v>
      </c>
      <c r="BF606" s="1280"/>
      <c r="BG606" s="1272">
        <f t="shared" si="7"/>
        <v>0</v>
      </c>
      <c r="BH606" s="1274"/>
      <c r="BI606" s="1278">
        <f t="shared" si="16"/>
        <v>0</v>
      </c>
      <c r="BJ606" s="1280"/>
      <c r="BK606" s="1272">
        <f t="shared" si="8"/>
        <v>0</v>
      </c>
      <c r="BL606" s="1274"/>
      <c r="BN606" s="1272">
        <f t="shared" si="9"/>
        <v>0</v>
      </c>
      <c r="BO606" s="1273"/>
      <c r="BP606" s="1273"/>
      <c r="BQ606" s="1273"/>
      <c r="BR606" s="1283"/>
      <c r="BS606" s="1272">
        <f t="shared" si="10"/>
        <v>0</v>
      </c>
      <c r="BT606" s="1273"/>
      <c r="BU606" s="1273"/>
      <c r="BV606" s="1273"/>
      <c r="BW606" s="1274"/>
      <c r="BX606" s="1272">
        <f t="shared" si="11"/>
        <v>0</v>
      </c>
      <c r="BY606" s="1273"/>
      <c r="BZ606" s="1273"/>
      <c r="CA606" s="1273"/>
      <c r="CB606" s="1274"/>
      <c r="CC606" s="1272">
        <f t="shared" si="12"/>
        <v>0</v>
      </c>
      <c r="CD606" s="1273"/>
      <c r="CE606" s="1273"/>
      <c r="CF606" s="1273"/>
      <c r="CG606" s="1274"/>
      <c r="CH606" s="1272">
        <f t="shared" si="13"/>
        <v>0</v>
      </c>
      <c r="CI606" s="1273"/>
      <c r="CJ606" s="1273"/>
      <c r="CK606" s="1273"/>
      <c r="CL606" s="1274"/>
      <c r="CM606" s="1281">
        <f t="shared" si="14"/>
        <v>0</v>
      </c>
      <c r="CN606" s="1282"/>
      <c r="CO606" s="1282"/>
      <c r="CP606" s="1282"/>
      <c r="CQ606" s="1283"/>
      <c r="CS606" s="1284">
        <f t="shared" si="17"/>
        <v>0</v>
      </c>
      <c r="CT606" s="1285"/>
      <c r="CU606" s="1285"/>
      <c r="CV606" s="1285"/>
      <c r="CW606" s="1286"/>
      <c r="CX606" s="1284">
        <f t="shared" si="18"/>
        <v>0</v>
      </c>
      <c r="CY606" s="1285"/>
      <c r="CZ606" s="1285"/>
      <c r="DA606" s="1285"/>
      <c r="DB606" s="1286"/>
      <c r="DC606" s="1284">
        <f t="shared" si="19"/>
        <v>0</v>
      </c>
      <c r="DD606" s="1285"/>
      <c r="DE606" s="1285"/>
      <c r="DF606" s="1285"/>
      <c r="DG606" s="1286"/>
      <c r="DH606" s="1284">
        <f t="shared" si="20"/>
        <v>0</v>
      </c>
      <c r="DI606" s="1285"/>
      <c r="DJ606" s="1285"/>
      <c r="DK606" s="1285"/>
      <c r="DL606" s="1286"/>
      <c r="DM606" s="1284">
        <f t="shared" si="21"/>
        <v>0</v>
      </c>
      <c r="DN606" s="1285"/>
      <c r="DO606" s="1285"/>
      <c r="DP606" s="1285"/>
      <c r="DQ606" s="1286"/>
      <c r="DR606" s="1284">
        <f t="shared" si="22"/>
        <v>0</v>
      </c>
      <c r="DS606" s="1285"/>
      <c r="DT606" s="1285"/>
      <c r="DU606" s="1285"/>
      <c r="DV606" s="1286"/>
    </row>
    <row r="607" spans="1:126" ht="12.95" customHeight="1">
      <c r="B607" t="s">
        <v>650</v>
      </c>
      <c r="G607" s="1263"/>
      <c r="H607" s="1263"/>
      <c r="I607" s="1263"/>
      <c r="J607" s="1263"/>
      <c r="K607" s="1263"/>
      <c r="L607" s="1263"/>
      <c r="O607" s="42" t="s">
        <v>818</v>
      </c>
      <c r="P607" s="1268"/>
      <c r="Q607" s="1268"/>
      <c r="R607" s="1268"/>
      <c r="U607" t="s">
        <v>650</v>
      </c>
      <c r="Z607" s="1263"/>
      <c r="AA607" s="1263"/>
      <c r="AB607" s="1263"/>
      <c r="AC607" s="1263"/>
      <c r="AD607" s="1263"/>
      <c r="AE607" s="1263"/>
      <c r="AH607" s="42" t="s">
        <v>818</v>
      </c>
      <c r="AI607" s="1268"/>
      <c r="AJ607" s="1268"/>
      <c r="AK607" s="1268"/>
      <c r="AZ607" s="41"/>
      <c r="BA607" s="41"/>
      <c r="BB607" s="41"/>
      <c r="BC607" s="41"/>
      <c r="BD607" s="41"/>
      <c r="BE607" s="1278">
        <f t="shared" si="15"/>
        <v>0</v>
      </c>
      <c r="BF607" s="1280"/>
      <c r="BG607" s="1272">
        <f t="shared" si="7"/>
        <v>0</v>
      </c>
      <c r="BH607" s="1274"/>
      <c r="BI607" s="1278">
        <f t="shared" si="16"/>
        <v>0</v>
      </c>
      <c r="BJ607" s="1280"/>
      <c r="BK607" s="1272">
        <f t="shared" si="8"/>
        <v>0</v>
      </c>
      <c r="BL607" s="1274"/>
      <c r="BN607" s="1272">
        <f t="shared" si="9"/>
        <v>0</v>
      </c>
      <c r="BO607" s="1273"/>
      <c r="BP607" s="1273"/>
      <c r="BQ607" s="1273"/>
      <c r="BR607" s="1283"/>
      <c r="BS607" s="1272">
        <f t="shared" si="10"/>
        <v>0</v>
      </c>
      <c r="BT607" s="1273"/>
      <c r="BU607" s="1273"/>
      <c r="BV607" s="1273"/>
      <c r="BW607" s="1274"/>
      <c r="BX607" s="1272">
        <f t="shared" si="11"/>
        <v>0</v>
      </c>
      <c r="BY607" s="1273"/>
      <c r="BZ607" s="1273"/>
      <c r="CA607" s="1273"/>
      <c r="CB607" s="1274"/>
      <c r="CC607" s="1272">
        <f t="shared" si="12"/>
        <v>0</v>
      </c>
      <c r="CD607" s="1273"/>
      <c r="CE607" s="1273"/>
      <c r="CF607" s="1273"/>
      <c r="CG607" s="1274"/>
      <c r="CH607" s="1272">
        <f t="shared" si="13"/>
        <v>0</v>
      </c>
      <c r="CI607" s="1273"/>
      <c r="CJ607" s="1273"/>
      <c r="CK607" s="1273"/>
      <c r="CL607" s="1274"/>
      <c r="CM607" s="1281">
        <f t="shared" si="14"/>
        <v>0</v>
      </c>
      <c r="CN607" s="1282"/>
      <c r="CO607" s="1282"/>
      <c r="CP607" s="1282"/>
      <c r="CQ607" s="1283"/>
      <c r="CS607" s="1284">
        <f t="shared" si="17"/>
        <v>0</v>
      </c>
      <c r="CT607" s="1285"/>
      <c r="CU607" s="1285"/>
      <c r="CV607" s="1285"/>
      <c r="CW607" s="1286"/>
      <c r="CX607" s="1284">
        <f t="shared" si="18"/>
        <v>0</v>
      </c>
      <c r="CY607" s="1285"/>
      <c r="CZ607" s="1285"/>
      <c r="DA607" s="1285"/>
      <c r="DB607" s="1286"/>
      <c r="DC607" s="1284">
        <f t="shared" si="19"/>
        <v>0</v>
      </c>
      <c r="DD607" s="1285"/>
      <c r="DE607" s="1285"/>
      <c r="DF607" s="1285"/>
      <c r="DG607" s="1286"/>
      <c r="DH607" s="1284">
        <f t="shared" si="20"/>
        <v>0</v>
      </c>
      <c r="DI607" s="1285"/>
      <c r="DJ607" s="1285"/>
      <c r="DK607" s="1285"/>
      <c r="DL607" s="1286"/>
      <c r="DM607" s="1284">
        <f t="shared" si="21"/>
        <v>0</v>
      </c>
      <c r="DN607" s="1285"/>
      <c r="DO607" s="1285"/>
      <c r="DP607" s="1285"/>
      <c r="DQ607" s="1286"/>
      <c r="DR607" s="1284">
        <f t="shared" si="22"/>
        <v>0</v>
      </c>
      <c r="DS607" s="1285"/>
      <c r="DT607" s="1285"/>
      <c r="DU607" s="1285"/>
      <c r="DV607" s="1286"/>
    </row>
    <row r="608" spans="1:126" ht="12.95" customHeight="1">
      <c r="B608" t="s">
        <v>834</v>
      </c>
      <c r="H608" s="1061"/>
      <c r="I608" s="1061"/>
      <c r="J608" s="1061"/>
      <c r="K608" s="1061"/>
      <c r="L608" s="1061"/>
      <c r="M608" s="1061"/>
      <c r="N608" s="1061"/>
      <c r="O608" s="1061"/>
      <c r="P608" s="1061"/>
      <c r="Q608" s="1061"/>
      <c r="R608" s="1061"/>
      <c r="U608" t="s">
        <v>834</v>
      </c>
      <c r="AA608" s="1061"/>
      <c r="AB608" s="1061"/>
      <c r="AC608" s="1061"/>
      <c r="AD608" s="1061"/>
      <c r="AE608" s="1061"/>
      <c r="AF608" s="1061"/>
      <c r="AG608" s="1061"/>
      <c r="AH608" s="1061"/>
      <c r="AI608" s="1061"/>
      <c r="AJ608" s="1061"/>
      <c r="AK608" s="1061"/>
      <c r="AZ608" s="41"/>
      <c r="BA608" s="41"/>
      <c r="BB608" s="41"/>
      <c r="BC608" s="41"/>
      <c r="BD608" s="41"/>
      <c r="BE608" s="1278">
        <f t="shared" si="15"/>
        <v>0</v>
      </c>
      <c r="BF608" s="1280"/>
      <c r="BG608" s="1272">
        <f t="shared" si="7"/>
        <v>0</v>
      </c>
      <c r="BH608" s="1274"/>
      <c r="BI608" s="1278">
        <f t="shared" si="16"/>
        <v>0</v>
      </c>
      <c r="BJ608" s="1280"/>
      <c r="BK608" s="1272">
        <f t="shared" si="8"/>
        <v>0</v>
      </c>
      <c r="BL608" s="1274"/>
      <c r="BN608" s="1272">
        <f t="shared" si="9"/>
        <v>0</v>
      </c>
      <c r="BO608" s="1273"/>
      <c r="BP608" s="1273"/>
      <c r="BQ608" s="1273"/>
      <c r="BR608" s="1283"/>
      <c r="BS608" s="1272">
        <f t="shared" si="10"/>
        <v>0</v>
      </c>
      <c r="BT608" s="1273"/>
      <c r="BU608" s="1273"/>
      <c r="BV608" s="1273"/>
      <c r="BW608" s="1274"/>
      <c r="BX608" s="1272">
        <f t="shared" si="11"/>
        <v>0</v>
      </c>
      <c r="BY608" s="1273"/>
      <c r="BZ608" s="1273"/>
      <c r="CA608" s="1273"/>
      <c r="CB608" s="1274"/>
      <c r="CC608" s="1272">
        <f t="shared" si="12"/>
        <v>0</v>
      </c>
      <c r="CD608" s="1273"/>
      <c r="CE608" s="1273"/>
      <c r="CF608" s="1273"/>
      <c r="CG608" s="1274"/>
      <c r="CH608" s="1272">
        <f t="shared" si="13"/>
        <v>0</v>
      </c>
      <c r="CI608" s="1273"/>
      <c r="CJ608" s="1273"/>
      <c r="CK608" s="1273"/>
      <c r="CL608" s="1274"/>
      <c r="CM608" s="1281">
        <f t="shared" si="14"/>
        <v>0</v>
      </c>
      <c r="CN608" s="1282"/>
      <c r="CO608" s="1282"/>
      <c r="CP608" s="1282"/>
      <c r="CQ608" s="1283"/>
      <c r="CS608" s="1284">
        <f t="shared" si="17"/>
        <v>0</v>
      </c>
      <c r="CT608" s="1285"/>
      <c r="CU608" s="1285"/>
      <c r="CV608" s="1285"/>
      <c r="CW608" s="1286"/>
      <c r="CX608" s="1284">
        <f t="shared" si="18"/>
        <v>0</v>
      </c>
      <c r="CY608" s="1285"/>
      <c r="CZ608" s="1285"/>
      <c r="DA608" s="1285"/>
      <c r="DB608" s="1286"/>
      <c r="DC608" s="1284">
        <f t="shared" si="19"/>
        <v>0</v>
      </c>
      <c r="DD608" s="1285"/>
      <c r="DE608" s="1285"/>
      <c r="DF608" s="1285"/>
      <c r="DG608" s="1286"/>
      <c r="DH608" s="1284">
        <f t="shared" si="20"/>
        <v>0</v>
      </c>
      <c r="DI608" s="1285"/>
      <c r="DJ608" s="1285"/>
      <c r="DK608" s="1285"/>
      <c r="DL608" s="1286"/>
      <c r="DM608" s="1284">
        <f t="shared" si="21"/>
        <v>0</v>
      </c>
      <c r="DN608" s="1285"/>
      <c r="DO608" s="1285"/>
      <c r="DP608" s="1285"/>
      <c r="DQ608" s="1286"/>
      <c r="DR608" s="1284">
        <f t="shared" si="22"/>
        <v>0</v>
      </c>
      <c r="DS608" s="1285"/>
      <c r="DT608" s="1285"/>
      <c r="DU608" s="1285"/>
      <c r="DV608" s="1286"/>
    </row>
    <row r="609" spans="1:126" ht="12.95" customHeight="1">
      <c r="B609" t="s">
        <v>836</v>
      </c>
      <c r="N609" s="1066" t="s">
        <v>482</v>
      </c>
      <c r="O609" s="1066"/>
      <c r="U609" t="s">
        <v>836</v>
      </c>
      <c r="AG609" s="1066" t="s">
        <v>482</v>
      </c>
      <c r="AH609" s="1066"/>
      <c r="AZ609" s="41"/>
      <c r="BA609" s="41"/>
      <c r="BB609" s="41"/>
      <c r="BC609" s="41"/>
      <c r="BD609" s="41"/>
      <c r="BE609" s="1278">
        <f t="shared" si="15"/>
        <v>0</v>
      </c>
      <c r="BF609" s="1280"/>
      <c r="BG609" s="1272">
        <f t="shared" si="7"/>
        <v>0</v>
      </c>
      <c r="BH609" s="1274"/>
      <c r="BI609" s="1278">
        <f t="shared" si="16"/>
        <v>0</v>
      </c>
      <c r="BJ609" s="1280"/>
      <c r="BK609" s="1272">
        <f t="shared" si="8"/>
        <v>0</v>
      </c>
      <c r="BL609" s="1274"/>
      <c r="BN609" s="1272">
        <f t="shared" si="9"/>
        <v>0</v>
      </c>
      <c r="BO609" s="1273"/>
      <c r="BP609" s="1273"/>
      <c r="BQ609" s="1273"/>
      <c r="BR609" s="1283"/>
      <c r="BS609" s="1272">
        <f t="shared" si="10"/>
        <v>0</v>
      </c>
      <c r="BT609" s="1273"/>
      <c r="BU609" s="1273"/>
      <c r="BV609" s="1273"/>
      <c r="BW609" s="1274"/>
      <c r="BX609" s="1272">
        <f t="shared" si="11"/>
        <v>0</v>
      </c>
      <c r="BY609" s="1273"/>
      <c r="BZ609" s="1273"/>
      <c r="CA609" s="1273"/>
      <c r="CB609" s="1274"/>
      <c r="CC609" s="1272">
        <f t="shared" si="12"/>
        <v>0</v>
      </c>
      <c r="CD609" s="1273"/>
      <c r="CE609" s="1273"/>
      <c r="CF609" s="1273"/>
      <c r="CG609" s="1274"/>
      <c r="CH609" s="1272">
        <f t="shared" si="13"/>
        <v>0</v>
      </c>
      <c r="CI609" s="1273"/>
      <c r="CJ609" s="1273"/>
      <c r="CK609" s="1273"/>
      <c r="CL609" s="1274"/>
      <c r="CM609" s="1281">
        <f t="shared" si="14"/>
        <v>0</v>
      </c>
      <c r="CN609" s="1282"/>
      <c r="CO609" s="1282"/>
      <c r="CP609" s="1282"/>
      <c r="CQ609" s="1283"/>
      <c r="CS609" s="1284">
        <f t="shared" si="17"/>
        <v>0</v>
      </c>
      <c r="CT609" s="1285"/>
      <c r="CU609" s="1285"/>
      <c r="CV609" s="1285"/>
      <c r="CW609" s="1286"/>
      <c r="CX609" s="1284">
        <f t="shared" si="18"/>
        <v>0</v>
      </c>
      <c r="CY609" s="1285"/>
      <c r="CZ609" s="1285"/>
      <c r="DA609" s="1285"/>
      <c r="DB609" s="1286"/>
      <c r="DC609" s="1284">
        <f t="shared" si="19"/>
        <v>0</v>
      </c>
      <c r="DD609" s="1285"/>
      <c r="DE609" s="1285"/>
      <c r="DF609" s="1285"/>
      <c r="DG609" s="1286"/>
      <c r="DH609" s="1284">
        <f t="shared" si="20"/>
        <v>0</v>
      </c>
      <c r="DI609" s="1285"/>
      <c r="DJ609" s="1285"/>
      <c r="DK609" s="1285"/>
      <c r="DL609" s="1286"/>
      <c r="DM609" s="1284">
        <f t="shared" si="21"/>
        <v>0</v>
      </c>
      <c r="DN609" s="1285"/>
      <c r="DO609" s="1285"/>
      <c r="DP609" s="1285"/>
      <c r="DQ609" s="1286"/>
      <c r="DR609" s="1284">
        <f t="shared" si="22"/>
        <v>0</v>
      </c>
      <c r="DS609" s="1285"/>
      <c r="DT609" s="1285"/>
      <c r="DU609" s="1285"/>
      <c r="DV609" s="1286"/>
    </row>
    <row r="610" spans="1:126" ht="12.95" customHeight="1">
      <c r="AZ610" s="41"/>
      <c r="BA610" s="41"/>
      <c r="BB610" s="41"/>
      <c r="BC610" s="41"/>
      <c r="BD610" s="41"/>
      <c r="BE610" s="1278">
        <f t="shared" si="15"/>
        <v>0</v>
      </c>
      <c r="BF610" s="1280"/>
      <c r="BG610" s="1272">
        <f t="shared" si="7"/>
        <v>0</v>
      </c>
      <c r="BH610" s="1274"/>
      <c r="BI610" s="1278">
        <f t="shared" si="16"/>
        <v>0</v>
      </c>
      <c r="BJ610" s="1280"/>
      <c r="BK610" s="1272">
        <f t="shared" si="8"/>
        <v>0</v>
      </c>
      <c r="BL610" s="1274"/>
      <c r="BN610" s="1272">
        <f t="shared" si="9"/>
        <v>0</v>
      </c>
      <c r="BO610" s="1273"/>
      <c r="BP610" s="1273"/>
      <c r="BQ610" s="1273"/>
      <c r="BR610" s="1283"/>
      <c r="BS610" s="1272">
        <f t="shared" si="10"/>
        <v>0</v>
      </c>
      <c r="BT610" s="1273"/>
      <c r="BU610" s="1273"/>
      <c r="BV610" s="1273"/>
      <c r="BW610" s="1274"/>
      <c r="BX610" s="1272">
        <f t="shared" si="11"/>
        <v>0</v>
      </c>
      <c r="BY610" s="1273"/>
      <c r="BZ610" s="1273"/>
      <c r="CA610" s="1273"/>
      <c r="CB610" s="1274"/>
      <c r="CC610" s="1272">
        <f t="shared" si="12"/>
        <v>0</v>
      </c>
      <c r="CD610" s="1273"/>
      <c r="CE610" s="1273"/>
      <c r="CF610" s="1273"/>
      <c r="CG610" s="1274"/>
      <c r="CH610" s="1272">
        <f t="shared" si="13"/>
        <v>0</v>
      </c>
      <c r="CI610" s="1273"/>
      <c r="CJ610" s="1273"/>
      <c r="CK610" s="1273"/>
      <c r="CL610" s="1274"/>
      <c r="CM610" s="1281">
        <f t="shared" si="14"/>
        <v>0</v>
      </c>
      <c r="CN610" s="1282"/>
      <c r="CO610" s="1282"/>
      <c r="CP610" s="1282"/>
      <c r="CQ610" s="1283"/>
      <c r="CS610" s="1284">
        <f t="shared" si="17"/>
        <v>0</v>
      </c>
      <c r="CT610" s="1285"/>
      <c r="CU610" s="1285"/>
      <c r="CV610" s="1285"/>
      <c r="CW610" s="1286"/>
      <c r="CX610" s="1284">
        <f t="shared" si="18"/>
        <v>0</v>
      </c>
      <c r="CY610" s="1285"/>
      <c r="CZ610" s="1285"/>
      <c r="DA610" s="1285"/>
      <c r="DB610" s="1286"/>
      <c r="DC610" s="1284">
        <f t="shared" si="19"/>
        <v>0</v>
      </c>
      <c r="DD610" s="1285"/>
      <c r="DE610" s="1285"/>
      <c r="DF610" s="1285"/>
      <c r="DG610" s="1286"/>
      <c r="DH610" s="1284">
        <f t="shared" si="20"/>
        <v>0</v>
      </c>
      <c r="DI610" s="1285"/>
      <c r="DJ610" s="1285"/>
      <c r="DK610" s="1285"/>
      <c r="DL610" s="1286"/>
      <c r="DM610" s="1284">
        <f t="shared" si="21"/>
        <v>0</v>
      </c>
      <c r="DN610" s="1285"/>
      <c r="DO610" s="1285"/>
      <c r="DP610" s="1285"/>
      <c r="DQ610" s="1286"/>
      <c r="DR610" s="1284">
        <f t="shared" si="22"/>
        <v>0</v>
      </c>
      <c r="DS610" s="1285"/>
      <c r="DT610" s="1285"/>
      <c r="DU610" s="1285"/>
      <c r="DV610" s="1286"/>
    </row>
    <row r="611" spans="1:126" ht="12.95" customHeight="1">
      <c r="A611" s="982" t="s">
        <v>126</v>
      </c>
      <c r="B611" s="982"/>
      <c r="C611" s="982"/>
      <c r="D611" s="982"/>
      <c r="E611" s="982"/>
      <c r="F611" s="982"/>
      <c r="G611" s="982"/>
      <c r="H611" s="982"/>
      <c r="I611" s="982"/>
      <c r="J611" s="982"/>
      <c r="K611" s="982"/>
      <c r="L611" s="982"/>
      <c r="M611" s="982"/>
      <c r="N611" s="982"/>
      <c r="O611" s="982"/>
      <c r="P611" s="982"/>
      <c r="Q611" s="982"/>
      <c r="R611" s="982"/>
      <c r="S611" s="982"/>
      <c r="T611" s="982"/>
      <c r="U611" s="982"/>
      <c r="V611" s="982"/>
      <c r="W611" s="982"/>
      <c r="X611" s="982"/>
      <c r="Y611" s="982"/>
      <c r="Z611" s="982"/>
      <c r="AA611" s="982"/>
      <c r="AB611" s="982"/>
      <c r="AC611" s="982"/>
      <c r="AD611" s="982"/>
      <c r="AE611" s="982"/>
      <c r="AF611" s="982"/>
      <c r="AG611" s="982"/>
      <c r="AH611" s="982"/>
      <c r="AI611" s="982"/>
      <c r="AJ611" s="982"/>
      <c r="AK611" s="982"/>
      <c r="AL611" s="982"/>
      <c r="AM611" s="982"/>
      <c r="AN611" s="982"/>
      <c r="AO611" s="982"/>
      <c r="AP611" s="982"/>
      <c r="AQ611" s="982"/>
      <c r="AR611" s="982"/>
      <c r="AS611" s="982"/>
      <c r="AT611" s="982"/>
      <c r="AZ611" s="41"/>
      <c r="BA611" s="41"/>
      <c r="BB611" s="41"/>
      <c r="BC611" s="41"/>
      <c r="BD611" s="41"/>
      <c r="BE611" s="1278">
        <f t="shared" si="15"/>
        <v>0</v>
      </c>
      <c r="BF611" s="1280"/>
      <c r="BG611" s="1272">
        <f t="shared" si="7"/>
        <v>0</v>
      </c>
      <c r="BH611" s="1274"/>
      <c r="BI611" s="1278">
        <f t="shared" si="16"/>
        <v>0</v>
      </c>
      <c r="BJ611" s="1280"/>
      <c r="BK611" s="1272">
        <f t="shared" si="8"/>
        <v>0</v>
      </c>
      <c r="BL611" s="1274"/>
      <c r="BN611" s="1272">
        <f t="shared" si="9"/>
        <v>0</v>
      </c>
      <c r="BO611" s="1273"/>
      <c r="BP611" s="1273"/>
      <c r="BQ611" s="1273"/>
      <c r="BR611" s="1283"/>
      <c r="BS611" s="1272">
        <f t="shared" si="10"/>
        <v>0</v>
      </c>
      <c r="BT611" s="1273"/>
      <c r="BU611" s="1273"/>
      <c r="BV611" s="1273"/>
      <c r="BW611" s="1274"/>
      <c r="BX611" s="1272">
        <f t="shared" si="11"/>
        <v>0</v>
      </c>
      <c r="BY611" s="1273"/>
      <c r="BZ611" s="1273"/>
      <c r="CA611" s="1273"/>
      <c r="CB611" s="1274"/>
      <c r="CC611" s="1272">
        <f t="shared" si="12"/>
        <v>0</v>
      </c>
      <c r="CD611" s="1273"/>
      <c r="CE611" s="1273"/>
      <c r="CF611" s="1273"/>
      <c r="CG611" s="1274"/>
      <c r="CH611" s="1272">
        <f t="shared" si="13"/>
        <v>0</v>
      </c>
      <c r="CI611" s="1273"/>
      <c r="CJ611" s="1273"/>
      <c r="CK611" s="1273"/>
      <c r="CL611" s="1274"/>
      <c r="CM611" s="1281">
        <f t="shared" si="14"/>
        <v>0</v>
      </c>
      <c r="CN611" s="1282"/>
      <c r="CO611" s="1282"/>
      <c r="CP611" s="1282"/>
      <c r="CQ611" s="1283"/>
      <c r="CS611" s="1284">
        <f t="shared" si="17"/>
        <v>0</v>
      </c>
      <c r="CT611" s="1285"/>
      <c r="CU611" s="1285"/>
      <c r="CV611" s="1285"/>
      <c r="CW611" s="1286"/>
      <c r="CX611" s="1284">
        <f t="shared" si="18"/>
        <v>0</v>
      </c>
      <c r="CY611" s="1285"/>
      <c r="CZ611" s="1285"/>
      <c r="DA611" s="1285"/>
      <c r="DB611" s="1286"/>
      <c r="DC611" s="1284">
        <f t="shared" si="19"/>
        <v>0</v>
      </c>
      <c r="DD611" s="1285"/>
      <c r="DE611" s="1285"/>
      <c r="DF611" s="1285"/>
      <c r="DG611" s="1286"/>
      <c r="DH611" s="1284">
        <f t="shared" si="20"/>
        <v>0</v>
      </c>
      <c r="DI611" s="1285"/>
      <c r="DJ611" s="1285"/>
      <c r="DK611" s="1285"/>
      <c r="DL611" s="1286"/>
      <c r="DM611" s="1284">
        <f t="shared" si="21"/>
        <v>0</v>
      </c>
      <c r="DN611" s="1285"/>
      <c r="DO611" s="1285"/>
      <c r="DP611" s="1285"/>
      <c r="DQ611" s="1286"/>
      <c r="DR611" s="1284">
        <f t="shared" si="22"/>
        <v>0</v>
      </c>
      <c r="DS611" s="1285"/>
      <c r="DT611" s="1285"/>
      <c r="DU611" s="1285"/>
      <c r="DV611" s="1286"/>
    </row>
    <row r="612" spans="1:126" ht="12.95" customHeight="1">
      <c r="A612" s="982"/>
      <c r="B612" s="982"/>
      <c r="C612" s="982"/>
      <c r="D612" s="982"/>
      <c r="E612" s="982"/>
      <c r="F612" s="982"/>
      <c r="G612" s="982"/>
      <c r="H612" s="982"/>
      <c r="I612" s="982"/>
      <c r="J612" s="982"/>
      <c r="K612" s="982"/>
      <c r="L612" s="982"/>
      <c r="M612" s="982"/>
      <c r="N612" s="982"/>
      <c r="O612" s="982"/>
      <c r="P612" s="982"/>
      <c r="Q612" s="982"/>
      <c r="R612" s="982"/>
      <c r="S612" s="982"/>
      <c r="T612" s="982"/>
      <c r="U612" s="982"/>
      <c r="V612" s="982"/>
      <c r="W612" s="982"/>
      <c r="X612" s="982"/>
      <c r="Y612" s="982"/>
      <c r="Z612" s="982"/>
      <c r="AA612" s="982"/>
      <c r="AB612" s="982"/>
      <c r="AC612" s="982"/>
      <c r="AD612" s="982"/>
      <c r="AE612" s="982"/>
      <c r="AF612" s="982"/>
      <c r="AG612" s="982"/>
      <c r="AH612" s="982"/>
      <c r="AI612" s="982"/>
      <c r="AJ612" s="982"/>
      <c r="AK612" s="982"/>
      <c r="AL612" s="982"/>
      <c r="AM612" s="982"/>
      <c r="AN612" s="982"/>
      <c r="AO612" s="982"/>
      <c r="AP612" s="982"/>
      <c r="AQ612" s="982"/>
      <c r="AR612" s="982"/>
      <c r="AS612" s="982"/>
      <c r="AT612" s="982"/>
      <c r="AZ612" s="41"/>
      <c r="BA612" s="41"/>
      <c r="BB612" s="41"/>
      <c r="BC612" s="41"/>
      <c r="BD612" s="41"/>
      <c r="BE612" s="1278">
        <f t="shared" si="15"/>
        <v>0</v>
      </c>
      <c r="BF612" s="1280"/>
      <c r="BG612" s="1272">
        <f t="shared" si="7"/>
        <v>0</v>
      </c>
      <c r="BH612" s="1274"/>
      <c r="BI612" s="1278">
        <f t="shared" si="16"/>
        <v>0</v>
      </c>
      <c r="BJ612" s="1280"/>
      <c r="BK612" s="1272">
        <f t="shared" si="8"/>
        <v>0</v>
      </c>
      <c r="BL612" s="1274"/>
      <c r="BN612" s="1272">
        <f t="shared" si="9"/>
        <v>0</v>
      </c>
      <c r="BO612" s="1273"/>
      <c r="BP612" s="1273"/>
      <c r="BQ612" s="1273"/>
      <c r="BR612" s="1283"/>
      <c r="BS612" s="1272">
        <f t="shared" si="10"/>
        <v>0</v>
      </c>
      <c r="BT612" s="1273"/>
      <c r="BU612" s="1273"/>
      <c r="BV612" s="1273"/>
      <c r="BW612" s="1274"/>
      <c r="BX612" s="1272">
        <f t="shared" si="11"/>
        <v>0</v>
      </c>
      <c r="BY612" s="1273"/>
      <c r="BZ612" s="1273"/>
      <c r="CA612" s="1273"/>
      <c r="CB612" s="1274"/>
      <c r="CC612" s="1272">
        <f t="shared" si="12"/>
        <v>0</v>
      </c>
      <c r="CD612" s="1273"/>
      <c r="CE612" s="1273"/>
      <c r="CF612" s="1273"/>
      <c r="CG612" s="1274"/>
      <c r="CH612" s="1272">
        <f t="shared" si="13"/>
        <v>0</v>
      </c>
      <c r="CI612" s="1273"/>
      <c r="CJ612" s="1273"/>
      <c r="CK612" s="1273"/>
      <c r="CL612" s="1274"/>
      <c r="CM612" s="1281">
        <f t="shared" si="14"/>
        <v>0</v>
      </c>
      <c r="CN612" s="1282"/>
      <c r="CO612" s="1282"/>
      <c r="CP612" s="1282"/>
      <c r="CQ612" s="1283"/>
      <c r="CS612" s="1284">
        <f t="shared" si="17"/>
        <v>0</v>
      </c>
      <c r="CT612" s="1285"/>
      <c r="CU612" s="1285"/>
      <c r="CV612" s="1285"/>
      <c r="CW612" s="1286"/>
      <c r="CX612" s="1284">
        <f t="shared" si="18"/>
        <v>0</v>
      </c>
      <c r="CY612" s="1285"/>
      <c r="CZ612" s="1285"/>
      <c r="DA612" s="1285"/>
      <c r="DB612" s="1286"/>
      <c r="DC612" s="1284">
        <f t="shared" si="19"/>
        <v>0</v>
      </c>
      <c r="DD612" s="1285"/>
      <c r="DE612" s="1285"/>
      <c r="DF612" s="1285"/>
      <c r="DG612" s="1286"/>
      <c r="DH612" s="1284">
        <f t="shared" si="20"/>
        <v>0</v>
      </c>
      <c r="DI612" s="1285"/>
      <c r="DJ612" s="1285"/>
      <c r="DK612" s="1285"/>
      <c r="DL612" s="1286"/>
      <c r="DM612" s="1284">
        <f t="shared" si="21"/>
        <v>0</v>
      </c>
      <c r="DN612" s="1285"/>
      <c r="DO612" s="1285"/>
      <c r="DP612" s="1285"/>
      <c r="DQ612" s="1286"/>
      <c r="DR612" s="1284">
        <f t="shared" si="22"/>
        <v>0</v>
      </c>
      <c r="DS612" s="1285"/>
      <c r="DT612" s="1285"/>
      <c r="DU612" s="1285"/>
      <c r="DV612" s="1286"/>
    </row>
    <row r="613" spans="1:126" ht="12.95" customHeight="1">
      <c r="AZ613" s="41"/>
      <c r="BA613" s="41"/>
      <c r="BB613" s="41"/>
      <c r="BC613" s="41"/>
      <c r="BD613" s="41"/>
      <c r="BE613" s="1278">
        <f t="shared" si="15"/>
        <v>0</v>
      </c>
      <c r="BF613" s="1280"/>
      <c r="BG613" s="1272">
        <f t="shared" si="7"/>
        <v>0</v>
      </c>
      <c r="BH613" s="1274"/>
      <c r="BI613" s="1278">
        <f t="shared" si="16"/>
        <v>0</v>
      </c>
      <c r="BJ613" s="1280"/>
      <c r="BK613" s="1272">
        <f t="shared" si="8"/>
        <v>0</v>
      </c>
      <c r="BL613" s="1274"/>
      <c r="BN613" s="1272">
        <f t="shared" si="9"/>
        <v>0</v>
      </c>
      <c r="BO613" s="1273"/>
      <c r="BP613" s="1273"/>
      <c r="BQ613" s="1273"/>
      <c r="BR613" s="1283"/>
      <c r="BS613" s="1272">
        <f t="shared" si="10"/>
        <v>0</v>
      </c>
      <c r="BT613" s="1273"/>
      <c r="BU613" s="1273"/>
      <c r="BV613" s="1273"/>
      <c r="BW613" s="1274"/>
      <c r="BX613" s="1272">
        <f t="shared" si="11"/>
        <v>0</v>
      </c>
      <c r="BY613" s="1273"/>
      <c r="BZ613" s="1273"/>
      <c r="CA613" s="1273"/>
      <c r="CB613" s="1274"/>
      <c r="CC613" s="1272">
        <f t="shared" si="12"/>
        <v>0</v>
      </c>
      <c r="CD613" s="1273"/>
      <c r="CE613" s="1273"/>
      <c r="CF613" s="1273"/>
      <c r="CG613" s="1274"/>
      <c r="CH613" s="1272">
        <f t="shared" si="13"/>
        <v>0</v>
      </c>
      <c r="CI613" s="1273"/>
      <c r="CJ613" s="1273"/>
      <c r="CK613" s="1273"/>
      <c r="CL613" s="1274"/>
      <c r="CM613" s="1281">
        <f t="shared" si="14"/>
        <v>0</v>
      </c>
      <c r="CN613" s="1282"/>
      <c r="CO613" s="1282"/>
      <c r="CP613" s="1282"/>
      <c r="CQ613" s="1283"/>
      <c r="CS613" s="1284">
        <f t="shared" si="17"/>
        <v>0</v>
      </c>
      <c r="CT613" s="1285"/>
      <c r="CU613" s="1285"/>
      <c r="CV613" s="1285"/>
      <c r="CW613" s="1286"/>
      <c r="CX613" s="1284">
        <f t="shared" si="18"/>
        <v>0</v>
      </c>
      <c r="CY613" s="1285"/>
      <c r="CZ613" s="1285"/>
      <c r="DA613" s="1285"/>
      <c r="DB613" s="1286"/>
      <c r="DC613" s="1284">
        <f t="shared" si="19"/>
        <v>0</v>
      </c>
      <c r="DD613" s="1285"/>
      <c r="DE613" s="1285"/>
      <c r="DF613" s="1285"/>
      <c r="DG613" s="1286"/>
      <c r="DH613" s="1284">
        <f t="shared" si="20"/>
        <v>0</v>
      </c>
      <c r="DI613" s="1285"/>
      <c r="DJ613" s="1285"/>
      <c r="DK613" s="1285"/>
      <c r="DL613" s="1286"/>
      <c r="DM613" s="1284">
        <f t="shared" si="21"/>
        <v>0</v>
      </c>
      <c r="DN613" s="1285"/>
      <c r="DO613" s="1285"/>
      <c r="DP613" s="1285"/>
      <c r="DQ613" s="1286"/>
      <c r="DR613" s="1284">
        <f t="shared" si="22"/>
        <v>0</v>
      </c>
      <c r="DS613" s="1285"/>
      <c r="DT613" s="1285"/>
      <c r="DU613" s="1285"/>
      <c r="DV613" s="1286"/>
    </row>
    <row r="614" spans="1:126" ht="12.95" customHeight="1">
      <c r="A614" s="3" t="s">
        <v>653</v>
      </c>
      <c r="B614" s="3"/>
      <c r="C614" s="3" t="s">
        <v>837</v>
      </c>
      <c r="AZ614" s="41"/>
      <c r="BA614" s="41"/>
      <c r="BB614" s="41"/>
      <c r="BC614" s="41"/>
      <c r="BD614" s="41"/>
      <c r="BE614" s="1278">
        <f t="shared" si="15"/>
        <v>0</v>
      </c>
      <c r="BF614" s="1280"/>
      <c r="BG614" s="1272">
        <f t="shared" si="7"/>
        <v>0</v>
      </c>
      <c r="BH614" s="1274"/>
      <c r="BI614" s="1278">
        <f t="shared" si="16"/>
        <v>0</v>
      </c>
      <c r="BJ614" s="1280"/>
      <c r="BK614" s="1272">
        <f t="shared" si="8"/>
        <v>0</v>
      </c>
      <c r="BL614" s="1274"/>
      <c r="BN614" s="1272">
        <f t="shared" si="9"/>
        <v>0</v>
      </c>
      <c r="BO614" s="1273"/>
      <c r="BP614" s="1273"/>
      <c r="BQ614" s="1273"/>
      <c r="BR614" s="1283"/>
      <c r="BS614" s="1272">
        <f t="shared" si="10"/>
        <v>0</v>
      </c>
      <c r="BT614" s="1273"/>
      <c r="BU614" s="1273"/>
      <c r="BV614" s="1273"/>
      <c r="BW614" s="1274"/>
      <c r="BX614" s="1272">
        <f t="shared" si="11"/>
        <v>0</v>
      </c>
      <c r="BY614" s="1273"/>
      <c r="BZ614" s="1273"/>
      <c r="CA614" s="1273"/>
      <c r="CB614" s="1274"/>
      <c r="CC614" s="1272">
        <f t="shared" si="12"/>
        <v>0</v>
      </c>
      <c r="CD614" s="1273"/>
      <c r="CE614" s="1273"/>
      <c r="CF614" s="1273"/>
      <c r="CG614" s="1274"/>
      <c r="CH614" s="1272">
        <f t="shared" si="13"/>
        <v>0</v>
      </c>
      <c r="CI614" s="1273"/>
      <c r="CJ614" s="1273"/>
      <c r="CK614" s="1273"/>
      <c r="CL614" s="1274"/>
      <c r="CM614" s="1281">
        <f t="shared" si="14"/>
        <v>0</v>
      </c>
      <c r="CN614" s="1282"/>
      <c r="CO614" s="1282"/>
      <c r="CP614" s="1282"/>
      <c r="CQ614" s="1283"/>
      <c r="CS614" s="1284">
        <f t="shared" si="17"/>
        <v>0</v>
      </c>
      <c r="CT614" s="1285"/>
      <c r="CU614" s="1285"/>
      <c r="CV614" s="1285"/>
      <c r="CW614" s="1286"/>
      <c r="CX614" s="1284">
        <f t="shared" si="18"/>
        <v>0</v>
      </c>
      <c r="CY614" s="1285"/>
      <c r="CZ614" s="1285"/>
      <c r="DA614" s="1285"/>
      <c r="DB614" s="1286"/>
      <c r="DC614" s="1284">
        <f t="shared" si="19"/>
        <v>0</v>
      </c>
      <c r="DD614" s="1285"/>
      <c r="DE614" s="1285"/>
      <c r="DF614" s="1285"/>
      <c r="DG614" s="1286"/>
      <c r="DH614" s="1284">
        <f t="shared" si="20"/>
        <v>0</v>
      </c>
      <c r="DI614" s="1285"/>
      <c r="DJ614" s="1285"/>
      <c r="DK614" s="1285"/>
      <c r="DL614" s="1286"/>
      <c r="DM614" s="1284">
        <f t="shared" si="21"/>
        <v>0</v>
      </c>
      <c r="DN614" s="1285"/>
      <c r="DO614" s="1285"/>
      <c r="DP614" s="1285"/>
      <c r="DQ614" s="1286"/>
      <c r="DR614" s="1284">
        <f t="shared" si="22"/>
        <v>0</v>
      </c>
      <c r="DS614" s="1285"/>
      <c r="DT614" s="1285"/>
      <c r="DU614" s="1285"/>
      <c r="DV614" s="1286"/>
    </row>
    <row r="615" spans="1:126" ht="12.95" customHeight="1">
      <c r="A615" s="3"/>
      <c r="B615" s="3"/>
      <c r="C615" s="3"/>
      <c r="AZ615" s="41"/>
      <c r="BA615" s="41"/>
      <c r="BB615" s="41"/>
      <c r="BC615" s="41"/>
      <c r="BD615" s="41"/>
      <c r="BE615" s="1278">
        <f t="shared" si="15"/>
        <v>0</v>
      </c>
      <c r="BF615" s="1280"/>
      <c r="BG615" s="1272">
        <f t="shared" si="7"/>
        <v>0</v>
      </c>
      <c r="BH615" s="1274"/>
      <c r="BI615" s="1278">
        <f t="shared" si="16"/>
        <v>0</v>
      </c>
      <c r="BJ615" s="1280"/>
      <c r="BK615" s="1272">
        <f t="shared" si="8"/>
        <v>0</v>
      </c>
      <c r="BL615" s="1274"/>
      <c r="BN615" s="1272">
        <f t="shared" si="9"/>
        <v>0</v>
      </c>
      <c r="BO615" s="1273"/>
      <c r="BP615" s="1273"/>
      <c r="BQ615" s="1273"/>
      <c r="BR615" s="1283"/>
      <c r="BS615" s="1272">
        <f t="shared" si="10"/>
        <v>0</v>
      </c>
      <c r="BT615" s="1273"/>
      <c r="BU615" s="1273"/>
      <c r="BV615" s="1273"/>
      <c r="BW615" s="1274"/>
      <c r="BX615" s="1272">
        <f t="shared" si="11"/>
        <v>0</v>
      </c>
      <c r="BY615" s="1273"/>
      <c r="BZ615" s="1273"/>
      <c r="CA615" s="1273"/>
      <c r="CB615" s="1274"/>
      <c r="CC615" s="1272">
        <f t="shared" si="12"/>
        <v>0</v>
      </c>
      <c r="CD615" s="1273"/>
      <c r="CE615" s="1273"/>
      <c r="CF615" s="1273"/>
      <c r="CG615" s="1274"/>
      <c r="CH615" s="1272">
        <f t="shared" si="13"/>
        <v>0</v>
      </c>
      <c r="CI615" s="1273"/>
      <c r="CJ615" s="1273"/>
      <c r="CK615" s="1273"/>
      <c r="CL615" s="1274"/>
      <c r="CM615" s="1281">
        <f t="shared" si="14"/>
        <v>0</v>
      </c>
      <c r="CN615" s="1282"/>
      <c r="CO615" s="1282"/>
      <c r="CP615" s="1282"/>
      <c r="CQ615" s="1283"/>
      <c r="CS615" s="1284">
        <f t="shared" si="17"/>
        <v>0</v>
      </c>
      <c r="CT615" s="1285"/>
      <c r="CU615" s="1285"/>
      <c r="CV615" s="1285"/>
      <c r="CW615" s="1286"/>
      <c r="CX615" s="1284">
        <f t="shared" si="18"/>
        <v>0</v>
      </c>
      <c r="CY615" s="1285"/>
      <c r="CZ615" s="1285"/>
      <c r="DA615" s="1285"/>
      <c r="DB615" s="1286"/>
      <c r="DC615" s="1284">
        <f t="shared" si="19"/>
        <v>0</v>
      </c>
      <c r="DD615" s="1285"/>
      <c r="DE615" s="1285"/>
      <c r="DF615" s="1285"/>
      <c r="DG615" s="1286"/>
      <c r="DH615" s="1284">
        <f t="shared" si="20"/>
        <v>0</v>
      </c>
      <c r="DI615" s="1285"/>
      <c r="DJ615" s="1285"/>
      <c r="DK615" s="1285"/>
      <c r="DL615" s="1286"/>
      <c r="DM615" s="1284">
        <f t="shared" si="21"/>
        <v>0</v>
      </c>
      <c r="DN615" s="1285"/>
      <c r="DO615" s="1285"/>
      <c r="DP615" s="1285"/>
      <c r="DQ615" s="1286"/>
      <c r="DR615" s="1284">
        <f t="shared" si="22"/>
        <v>0</v>
      </c>
      <c r="DS615" s="1285"/>
      <c r="DT615" s="1285"/>
      <c r="DU615" s="1285"/>
      <c r="DV615" s="1286"/>
    </row>
    <row r="616" spans="1:126" ht="12.95" customHeight="1">
      <c r="C616" s="3" t="s">
        <v>2125</v>
      </c>
      <c r="AZ616" s="41"/>
      <c r="BA616" s="41"/>
      <c r="BB616" s="41"/>
      <c r="BC616" s="41"/>
      <c r="BD616" s="41"/>
      <c r="BE616" s="1278">
        <f t="shared" ref="BE616:BE625" si="23">IF(AND(AH719&lt;=0.5,AH719&gt;=0.36),1,0)</f>
        <v>0</v>
      </c>
      <c r="BF616" s="1280"/>
      <c r="BG616" s="1272">
        <f t="shared" ref="BG616:BG625" si="24">IF(BE616=1,G719,0)</f>
        <v>0</v>
      </c>
      <c r="BH616" s="1274"/>
      <c r="BI616" s="1278">
        <f t="shared" ref="BI616:BI625" si="25">IF(AND(AH719&lt;=0.35,AH719&gt;0),1,0)</f>
        <v>0</v>
      </c>
      <c r="BJ616" s="1280"/>
      <c r="BK616" s="1272">
        <f t="shared" ref="BK616:BK625" si="26">IF(BI616=1,G719,0)</f>
        <v>0</v>
      </c>
      <c r="BL616" s="1274"/>
      <c r="BN616" s="1272">
        <f t="shared" si="9"/>
        <v>0</v>
      </c>
      <c r="BO616" s="1273"/>
      <c r="BP616" s="1273"/>
      <c r="BQ616" s="1273"/>
      <c r="BR616" s="1283"/>
      <c r="BS616" s="1272">
        <f t="shared" si="10"/>
        <v>0</v>
      </c>
      <c r="BT616" s="1273"/>
      <c r="BU616" s="1273"/>
      <c r="BV616" s="1273"/>
      <c r="BW616" s="1274"/>
      <c r="BX616" s="1272">
        <f t="shared" si="11"/>
        <v>0</v>
      </c>
      <c r="BY616" s="1273"/>
      <c r="BZ616" s="1273"/>
      <c r="CA616" s="1273"/>
      <c r="CB616" s="1274"/>
      <c r="CC616" s="1272">
        <f t="shared" si="12"/>
        <v>0</v>
      </c>
      <c r="CD616" s="1273"/>
      <c r="CE616" s="1273"/>
      <c r="CF616" s="1273"/>
      <c r="CG616" s="1274"/>
      <c r="CH616" s="1272">
        <f t="shared" si="13"/>
        <v>0</v>
      </c>
      <c r="CI616" s="1273"/>
      <c r="CJ616" s="1273"/>
      <c r="CK616" s="1273"/>
      <c r="CL616" s="1274"/>
      <c r="CM616" s="1281">
        <f t="shared" si="14"/>
        <v>0</v>
      </c>
      <c r="CN616" s="1282"/>
      <c r="CO616" s="1282"/>
      <c r="CP616" s="1282"/>
      <c r="CQ616" s="1283"/>
      <c r="CS616" s="1284">
        <f t="shared" ref="CS616:CS625" si="27">IF(AND(B719="SRO/Studio",AH719&lt;=0.3),G719,0)</f>
        <v>0</v>
      </c>
      <c r="CT616" s="1285"/>
      <c r="CU616" s="1285"/>
      <c r="CV616" s="1285"/>
      <c r="CW616" s="1286"/>
      <c r="CX616" s="1284">
        <f t="shared" ref="CX616:CX625" si="28">IF(AND(B719="1 Bedroom",AH719&lt;=0.3),G719,0)</f>
        <v>0</v>
      </c>
      <c r="CY616" s="1285"/>
      <c r="CZ616" s="1285"/>
      <c r="DA616" s="1285"/>
      <c r="DB616" s="1286"/>
      <c r="DC616" s="1284">
        <f t="shared" ref="DC616:DC625" si="29">IF(AND(B719="2 Bedrooms",AH719&lt;=0.3),G719,0)</f>
        <v>0</v>
      </c>
      <c r="DD616" s="1285"/>
      <c r="DE616" s="1285"/>
      <c r="DF616" s="1285"/>
      <c r="DG616" s="1286"/>
      <c r="DH616" s="1284">
        <f t="shared" ref="DH616:DH625" si="30">IF(AND(B719="3 Bedrooms",AH719&lt;=0.3),G719,0)</f>
        <v>0</v>
      </c>
      <c r="DI616" s="1285"/>
      <c r="DJ616" s="1285"/>
      <c r="DK616" s="1285"/>
      <c r="DL616" s="1286"/>
      <c r="DM616" s="1284">
        <f t="shared" ref="DM616:DM625" si="31">IF(AND(B719="4 Bedrooms",AH719&lt;=0.3),G719,0)</f>
        <v>0</v>
      </c>
      <c r="DN616" s="1285"/>
      <c r="DO616" s="1285"/>
      <c r="DP616" s="1285"/>
      <c r="DQ616" s="1286"/>
      <c r="DR616" s="1284">
        <f t="shared" ref="DR616:DR625" si="32">IF(AND(B719="5 Bedrooms",AH719&lt;=0.3),G719,0)</f>
        <v>0</v>
      </c>
      <c r="DS616" s="1285"/>
      <c r="DT616" s="1285"/>
      <c r="DU616" s="1285"/>
      <c r="DV616" s="1286"/>
    </row>
    <row r="617" spans="1:126" ht="12.95" customHeight="1">
      <c r="B617" s="839"/>
      <c r="C617" s="3"/>
      <c r="AZ617" s="41"/>
      <c r="BA617" s="41"/>
      <c r="BB617" s="41"/>
      <c r="BC617" s="41"/>
      <c r="BD617" s="41"/>
      <c r="BE617" s="1278">
        <f t="shared" si="23"/>
        <v>0</v>
      </c>
      <c r="BF617" s="1280"/>
      <c r="BG617" s="1272">
        <f t="shared" si="24"/>
        <v>0</v>
      </c>
      <c r="BH617" s="1274"/>
      <c r="BI617" s="1278">
        <f t="shared" si="25"/>
        <v>0</v>
      </c>
      <c r="BJ617" s="1280"/>
      <c r="BK617" s="1272">
        <f t="shared" si="26"/>
        <v>0</v>
      </c>
      <c r="BL617" s="1274"/>
      <c r="BN617" s="1272">
        <f t="shared" si="9"/>
        <v>0</v>
      </c>
      <c r="BO617" s="1273"/>
      <c r="BP617" s="1273"/>
      <c r="BQ617" s="1273"/>
      <c r="BR617" s="1283"/>
      <c r="BS617" s="1272">
        <f t="shared" si="10"/>
        <v>0</v>
      </c>
      <c r="BT617" s="1273"/>
      <c r="BU617" s="1273"/>
      <c r="BV617" s="1273"/>
      <c r="BW617" s="1274"/>
      <c r="BX617" s="1272">
        <f t="shared" si="11"/>
        <v>0</v>
      </c>
      <c r="BY617" s="1273"/>
      <c r="BZ617" s="1273"/>
      <c r="CA617" s="1273"/>
      <c r="CB617" s="1274"/>
      <c r="CC617" s="1272">
        <f t="shared" si="12"/>
        <v>0</v>
      </c>
      <c r="CD617" s="1273"/>
      <c r="CE617" s="1273"/>
      <c r="CF617" s="1273"/>
      <c r="CG617" s="1274"/>
      <c r="CH617" s="1272">
        <f t="shared" si="13"/>
        <v>0</v>
      </c>
      <c r="CI617" s="1273"/>
      <c r="CJ617" s="1273"/>
      <c r="CK617" s="1273"/>
      <c r="CL617" s="1274"/>
      <c r="CM617" s="1281">
        <f t="shared" si="14"/>
        <v>0</v>
      </c>
      <c r="CN617" s="1282"/>
      <c r="CO617" s="1282"/>
      <c r="CP617" s="1282"/>
      <c r="CQ617" s="1283"/>
      <c r="CS617" s="1284">
        <f t="shared" si="27"/>
        <v>0</v>
      </c>
      <c r="CT617" s="1285"/>
      <c r="CU617" s="1285"/>
      <c r="CV617" s="1285"/>
      <c r="CW617" s="1286"/>
      <c r="CX617" s="1284">
        <f t="shared" si="28"/>
        <v>0</v>
      </c>
      <c r="CY617" s="1285"/>
      <c r="CZ617" s="1285"/>
      <c r="DA617" s="1285"/>
      <c r="DB617" s="1286"/>
      <c r="DC617" s="1284">
        <f t="shared" si="29"/>
        <v>0</v>
      </c>
      <c r="DD617" s="1285"/>
      <c r="DE617" s="1285"/>
      <c r="DF617" s="1285"/>
      <c r="DG617" s="1286"/>
      <c r="DH617" s="1284">
        <f t="shared" si="30"/>
        <v>0</v>
      </c>
      <c r="DI617" s="1285"/>
      <c r="DJ617" s="1285"/>
      <c r="DK617" s="1285"/>
      <c r="DL617" s="1286"/>
      <c r="DM617" s="1284">
        <f t="shared" si="31"/>
        <v>0</v>
      </c>
      <c r="DN617" s="1285"/>
      <c r="DO617" s="1285"/>
      <c r="DP617" s="1285"/>
      <c r="DQ617" s="1286"/>
      <c r="DR617" s="1284">
        <f t="shared" si="32"/>
        <v>0</v>
      </c>
      <c r="DS617" s="1285"/>
      <c r="DT617" s="1285"/>
      <c r="DU617" s="1285"/>
      <c r="DV617" s="1286"/>
    </row>
    <row r="618" spans="1:126" ht="12.95" customHeight="1">
      <c r="B618" s="1571" t="s">
        <v>2194</v>
      </c>
      <c r="C618" s="1572"/>
      <c r="D618" s="1572"/>
      <c r="E618" s="1572"/>
      <c r="F618" s="1572"/>
      <c r="G618" s="1572"/>
      <c r="H618" s="1572"/>
      <c r="I618" s="1572"/>
      <c r="J618" s="1572"/>
      <c r="K618" s="1572"/>
      <c r="L618" s="1572"/>
      <c r="M618" s="1368" t="s">
        <v>2168</v>
      </c>
      <c r="N618" s="1368"/>
      <c r="O618" s="1368"/>
      <c r="P618" s="1368"/>
      <c r="Q618" s="1336" t="s">
        <v>2198</v>
      </c>
      <c r="R618" s="1337"/>
      <c r="S618" s="1338"/>
      <c r="T618" s="1336" t="s">
        <v>2197</v>
      </c>
      <c r="U618" s="1337"/>
      <c r="V618" s="1338"/>
      <c r="W618" s="1437" t="s">
        <v>740</v>
      </c>
      <c r="X618" s="1437"/>
      <c r="Y618" s="1438"/>
      <c r="Z618" s="1368" t="s">
        <v>2195</v>
      </c>
      <c r="AA618" s="1368"/>
      <c r="AB618" s="1368"/>
      <c r="AC618" s="1425" t="s">
        <v>1990</v>
      </c>
      <c r="AD618" s="1426"/>
      <c r="AE618" s="1427"/>
      <c r="AF618" s="1336" t="s">
        <v>2126</v>
      </c>
      <c r="AG618" s="1337"/>
      <c r="AH618" s="1337"/>
      <c r="AI618" s="1337"/>
      <c r="AJ618" s="1338"/>
      <c r="AK618" s="1562" t="s">
        <v>2127</v>
      </c>
      <c r="AL618" s="1563"/>
      <c r="AM618" s="1563"/>
      <c r="AN618" s="1564"/>
      <c r="AO618" s="1368" t="s">
        <v>741</v>
      </c>
      <c r="AP618" s="1368"/>
      <c r="AQ618" s="1368"/>
      <c r="AR618" s="1368"/>
      <c r="AS618" s="1368"/>
      <c r="AT618" s="41"/>
      <c r="AU618" s="41"/>
      <c r="AV618" s="41"/>
      <c r="AW618" s="41"/>
      <c r="AX618" s="41"/>
      <c r="AY618" s="41"/>
      <c r="AZ618" s="41"/>
      <c r="BE618" s="1278">
        <f t="shared" si="23"/>
        <v>0</v>
      </c>
      <c r="BF618" s="1280"/>
      <c r="BG618" s="1272">
        <f t="shared" si="24"/>
        <v>0</v>
      </c>
      <c r="BH618" s="1274"/>
      <c r="BI618" s="1278">
        <f t="shared" si="25"/>
        <v>0</v>
      </c>
      <c r="BJ618" s="1280"/>
      <c r="BK618" s="1272">
        <f t="shared" si="26"/>
        <v>0</v>
      </c>
      <c r="BL618" s="1274"/>
      <c r="BN618" s="1272">
        <f t="shared" si="9"/>
        <v>0</v>
      </c>
      <c r="BO618" s="1273"/>
      <c r="BP618" s="1273"/>
      <c r="BQ618" s="1273"/>
      <c r="BR618" s="1283"/>
      <c r="BS618" s="1272">
        <f t="shared" si="10"/>
        <v>0</v>
      </c>
      <c r="BT618" s="1273"/>
      <c r="BU618" s="1273"/>
      <c r="BV618" s="1273"/>
      <c r="BW618" s="1274"/>
      <c r="BX618" s="1272">
        <f t="shared" si="11"/>
        <v>0</v>
      </c>
      <c r="BY618" s="1273"/>
      <c r="BZ618" s="1273"/>
      <c r="CA618" s="1273"/>
      <c r="CB618" s="1274"/>
      <c r="CC618" s="1272">
        <f t="shared" si="12"/>
        <v>0</v>
      </c>
      <c r="CD618" s="1273"/>
      <c r="CE618" s="1273"/>
      <c r="CF618" s="1273"/>
      <c r="CG618" s="1274"/>
      <c r="CH618" s="1272">
        <f t="shared" si="13"/>
        <v>0</v>
      </c>
      <c r="CI618" s="1273"/>
      <c r="CJ618" s="1273"/>
      <c r="CK618" s="1273"/>
      <c r="CL618" s="1274"/>
      <c r="CM618" s="1281">
        <f t="shared" si="14"/>
        <v>0</v>
      </c>
      <c r="CN618" s="1282"/>
      <c r="CO618" s="1282"/>
      <c r="CP618" s="1282"/>
      <c r="CQ618" s="1283"/>
      <c r="CS618" s="1284">
        <f t="shared" si="27"/>
        <v>0</v>
      </c>
      <c r="CT618" s="1285"/>
      <c r="CU618" s="1285"/>
      <c r="CV618" s="1285"/>
      <c r="CW618" s="1286"/>
      <c r="CX618" s="1284">
        <f t="shared" si="28"/>
        <v>0</v>
      </c>
      <c r="CY618" s="1285"/>
      <c r="CZ618" s="1285"/>
      <c r="DA618" s="1285"/>
      <c r="DB618" s="1286"/>
      <c r="DC618" s="1284">
        <f t="shared" si="29"/>
        <v>0</v>
      </c>
      <c r="DD618" s="1285"/>
      <c r="DE618" s="1285"/>
      <c r="DF618" s="1285"/>
      <c r="DG618" s="1286"/>
      <c r="DH618" s="1284">
        <f t="shared" si="30"/>
        <v>0</v>
      </c>
      <c r="DI618" s="1285"/>
      <c r="DJ618" s="1285"/>
      <c r="DK618" s="1285"/>
      <c r="DL618" s="1286"/>
      <c r="DM618" s="1284">
        <f t="shared" si="31"/>
        <v>0</v>
      </c>
      <c r="DN618" s="1285"/>
      <c r="DO618" s="1285"/>
      <c r="DP618" s="1285"/>
      <c r="DQ618" s="1286"/>
      <c r="DR618" s="1284">
        <f t="shared" si="32"/>
        <v>0</v>
      </c>
      <c r="DS618" s="1285"/>
      <c r="DT618" s="1285"/>
      <c r="DU618" s="1285"/>
      <c r="DV618" s="1286"/>
    </row>
    <row r="619" spans="1:126" ht="12.95" customHeight="1">
      <c r="B619" s="1573"/>
      <c r="C619" s="1462"/>
      <c r="D619" s="1462"/>
      <c r="E619" s="1462"/>
      <c r="F619" s="1462"/>
      <c r="G619" s="1462"/>
      <c r="H619" s="1462"/>
      <c r="I619" s="1462"/>
      <c r="J619" s="1462"/>
      <c r="K619" s="1462"/>
      <c r="L619" s="1462"/>
      <c r="M619" s="1368"/>
      <c r="N619" s="1368"/>
      <c r="O619" s="1368"/>
      <c r="P619" s="1368"/>
      <c r="Q619" s="1339"/>
      <c r="R619" s="1340"/>
      <c r="S619" s="1341"/>
      <c r="T619" s="1339"/>
      <c r="U619" s="1340"/>
      <c r="V619" s="1341"/>
      <c r="W619" s="1439"/>
      <c r="X619" s="1439"/>
      <c r="Y619" s="1440"/>
      <c r="Z619" s="1368"/>
      <c r="AA619" s="1368"/>
      <c r="AB619" s="1368"/>
      <c r="AC619" s="1428"/>
      <c r="AD619" s="1429"/>
      <c r="AE619" s="1430"/>
      <c r="AF619" s="1339"/>
      <c r="AG619" s="1340"/>
      <c r="AH619" s="1340"/>
      <c r="AI619" s="1340"/>
      <c r="AJ619" s="1341"/>
      <c r="AK619" s="1565"/>
      <c r="AL619" s="1566"/>
      <c r="AM619" s="1566"/>
      <c r="AN619" s="1567"/>
      <c r="AO619" s="1368"/>
      <c r="AP619" s="1368"/>
      <c r="AQ619" s="1368"/>
      <c r="AR619" s="1368"/>
      <c r="AS619" s="1368"/>
      <c r="AT619" s="41"/>
      <c r="AU619" s="41"/>
      <c r="AV619" s="41"/>
      <c r="AW619" s="41"/>
      <c r="AX619" s="41"/>
      <c r="AY619" s="41"/>
      <c r="AZ619" s="41"/>
      <c r="BE619" s="1278">
        <f t="shared" si="23"/>
        <v>0</v>
      </c>
      <c r="BF619" s="1280"/>
      <c r="BG619" s="1272">
        <f t="shared" si="24"/>
        <v>0</v>
      </c>
      <c r="BH619" s="1274"/>
      <c r="BI619" s="1278">
        <f t="shared" si="25"/>
        <v>0</v>
      </c>
      <c r="BJ619" s="1280"/>
      <c r="BK619" s="1272">
        <f t="shared" si="26"/>
        <v>0</v>
      </c>
      <c r="BL619" s="1274"/>
      <c r="BN619" s="1272">
        <f t="shared" si="9"/>
        <v>0</v>
      </c>
      <c r="BO619" s="1273"/>
      <c r="BP619" s="1273"/>
      <c r="BQ619" s="1273"/>
      <c r="BR619" s="1283"/>
      <c r="BS619" s="1272">
        <f t="shared" si="10"/>
        <v>0</v>
      </c>
      <c r="BT619" s="1273"/>
      <c r="BU619" s="1273"/>
      <c r="BV619" s="1273"/>
      <c r="BW619" s="1274"/>
      <c r="BX619" s="1272">
        <f t="shared" si="11"/>
        <v>0</v>
      </c>
      <c r="BY619" s="1273"/>
      <c r="BZ619" s="1273"/>
      <c r="CA619" s="1273"/>
      <c r="CB619" s="1274"/>
      <c r="CC619" s="1272">
        <f t="shared" si="12"/>
        <v>0</v>
      </c>
      <c r="CD619" s="1273"/>
      <c r="CE619" s="1273"/>
      <c r="CF619" s="1273"/>
      <c r="CG619" s="1274"/>
      <c r="CH619" s="1272">
        <f t="shared" si="13"/>
        <v>0</v>
      </c>
      <c r="CI619" s="1273"/>
      <c r="CJ619" s="1273"/>
      <c r="CK619" s="1273"/>
      <c r="CL619" s="1274"/>
      <c r="CM619" s="1281">
        <f t="shared" si="14"/>
        <v>0</v>
      </c>
      <c r="CN619" s="1282"/>
      <c r="CO619" s="1282"/>
      <c r="CP619" s="1282"/>
      <c r="CQ619" s="1283"/>
      <c r="CS619" s="1284">
        <f t="shared" si="27"/>
        <v>0</v>
      </c>
      <c r="CT619" s="1285"/>
      <c r="CU619" s="1285"/>
      <c r="CV619" s="1285"/>
      <c r="CW619" s="1286"/>
      <c r="CX619" s="1284">
        <f t="shared" si="28"/>
        <v>0</v>
      </c>
      <c r="CY619" s="1285"/>
      <c r="CZ619" s="1285"/>
      <c r="DA619" s="1285"/>
      <c r="DB619" s="1286"/>
      <c r="DC619" s="1284">
        <f t="shared" si="29"/>
        <v>0</v>
      </c>
      <c r="DD619" s="1285"/>
      <c r="DE619" s="1285"/>
      <c r="DF619" s="1285"/>
      <c r="DG619" s="1286"/>
      <c r="DH619" s="1284">
        <f t="shared" si="30"/>
        <v>0</v>
      </c>
      <c r="DI619" s="1285"/>
      <c r="DJ619" s="1285"/>
      <c r="DK619" s="1285"/>
      <c r="DL619" s="1286"/>
      <c r="DM619" s="1284">
        <f t="shared" si="31"/>
        <v>0</v>
      </c>
      <c r="DN619" s="1285"/>
      <c r="DO619" s="1285"/>
      <c r="DP619" s="1285"/>
      <c r="DQ619" s="1286"/>
      <c r="DR619" s="1284">
        <f t="shared" si="32"/>
        <v>0</v>
      </c>
      <c r="DS619" s="1285"/>
      <c r="DT619" s="1285"/>
      <c r="DU619" s="1285"/>
      <c r="DV619" s="1286"/>
    </row>
    <row r="620" spans="1:126" ht="12.95" customHeight="1">
      <c r="B620" s="1574"/>
      <c r="C620" s="1575"/>
      <c r="D620" s="1575"/>
      <c r="E620" s="1575"/>
      <c r="F620" s="1575"/>
      <c r="G620" s="1575"/>
      <c r="H620" s="1575"/>
      <c r="I620" s="1575"/>
      <c r="J620" s="1575"/>
      <c r="K620" s="1575"/>
      <c r="L620" s="1575"/>
      <c r="M620" s="1368"/>
      <c r="N620" s="1368"/>
      <c r="O620" s="1368"/>
      <c r="P620" s="1368"/>
      <c r="Q620" s="1352"/>
      <c r="R620" s="1353"/>
      <c r="S620" s="1354"/>
      <c r="T620" s="1352"/>
      <c r="U620" s="1353"/>
      <c r="V620" s="1354"/>
      <c r="W620" s="1441"/>
      <c r="X620" s="1441"/>
      <c r="Y620" s="1442"/>
      <c r="Z620" s="1368"/>
      <c r="AA620" s="1368"/>
      <c r="AB620" s="1368"/>
      <c r="AC620" s="1431"/>
      <c r="AD620" s="1432"/>
      <c r="AE620" s="1433"/>
      <c r="AF620" s="1352"/>
      <c r="AG620" s="1353"/>
      <c r="AH620" s="1353"/>
      <c r="AI620" s="1353"/>
      <c r="AJ620" s="1354"/>
      <c r="AK620" s="1568"/>
      <c r="AL620" s="1569"/>
      <c r="AM620" s="1569"/>
      <c r="AN620" s="1570"/>
      <c r="AO620" s="1368"/>
      <c r="AP620" s="1368"/>
      <c r="AQ620" s="1368"/>
      <c r="AR620" s="1368"/>
      <c r="AS620" s="1368"/>
      <c r="AT620" s="43"/>
      <c r="AU620" s="43"/>
      <c r="AV620" s="43"/>
      <c r="AW620" s="43"/>
      <c r="AX620" s="43"/>
      <c r="AY620" s="43"/>
      <c r="AZ620" s="43"/>
      <c r="BE620" s="1278">
        <f t="shared" si="23"/>
        <v>0</v>
      </c>
      <c r="BF620" s="1280"/>
      <c r="BG620" s="1272">
        <f t="shared" si="24"/>
        <v>0</v>
      </c>
      <c r="BH620" s="1274"/>
      <c r="BI620" s="1278">
        <f t="shared" si="25"/>
        <v>0</v>
      </c>
      <c r="BJ620" s="1280"/>
      <c r="BK620" s="1272">
        <f t="shared" si="26"/>
        <v>0</v>
      </c>
      <c r="BL620" s="1274"/>
      <c r="BN620" s="1272">
        <f t="shared" si="9"/>
        <v>0</v>
      </c>
      <c r="BO620" s="1273"/>
      <c r="BP620" s="1273"/>
      <c r="BQ620" s="1273"/>
      <c r="BR620" s="1283"/>
      <c r="BS620" s="1272">
        <f t="shared" si="10"/>
        <v>0</v>
      </c>
      <c r="BT620" s="1273"/>
      <c r="BU620" s="1273"/>
      <c r="BV620" s="1273"/>
      <c r="BW620" s="1274"/>
      <c r="BX620" s="1272">
        <f t="shared" si="11"/>
        <v>0</v>
      </c>
      <c r="BY620" s="1273"/>
      <c r="BZ620" s="1273"/>
      <c r="CA620" s="1273"/>
      <c r="CB620" s="1274"/>
      <c r="CC620" s="1272">
        <f t="shared" si="12"/>
        <v>0</v>
      </c>
      <c r="CD620" s="1273"/>
      <c r="CE620" s="1273"/>
      <c r="CF620" s="1273"/>
      <c r="CG620" s="1274"/>
      <c r="CH620" s="1272">
        <f t="shared" si="13"/>
        <v>0</v>
      </c>
      <c r="CI620" s="1273"/>
      <c r="CJ620" s="1273"/>
      <c r="CK620" s="1273"/>
      <c r="CL620" s="1274"/>
      <c r="CM620" s="1281">
        <f t="shared" si="14"/>
        <v>0</v>
      </c>
      <c r="CN620" s="1282"/>
      <c r="CO620" s="1282"/>
      <c r="CP620" s="1282"/>
      <c r="CQ620" s="1283"/>
      <c r="CS620" s="1284">
        <f t="shared" si="27"/>
        <v>0</v>
      </c>
      <c r="CT620" s="1285"/>
      <c r="CU620" s="1285"/>
      <c r="CV620" s="1285"/>
      <c r="CW620" s="1286"/>
      <c r="CX620" s="1284">
        <f t="shared" si="28"/>
        <v>0</v>
      </c>
      <c r="CY620" s="1285"/>
      <c r="CZ620" s="1285"/>
      <c r="DA620" s="1285"/>
      <c r="DB620" s="1286"/>
      <c r="DC620" s="1284">
        <f t="shared" si="29"/>
        <v>0</v>
      </c>
      <c r="DD620" s="1285"/>
      <c r="DE620" s="1285"/>
      <c r="DF620" s="1285"/>
      <c r="DG620" s="1286"/>
      <c r="DH620" s="1284">
        <f t="shared" si="30"/>
        <v>0</v>
      </c>
      <c r="DI620" s="1285"/>
      <c r="DJ620" s="1285"/>
      <c r="DK620" s="1285"/>
      <c r="DL620" s="1286"/>
      <c r="DM620" s="1284">
        <f t="shared" si="31"/>
        <v>0</v>
      </c>
      <c r="DN620" s="1285"/>
      <c r="DO620" s="1285"/>
      <c r="DP620" s="1285"/>
      <c r="DQ620" s="1286"/>
      <c r="DR620" s="1284">
        <f t="shared" si="32"/>
        <v>0</v>
      </c>
      <c r="DS620" s="1285"/>
      <c r="DT620" s="1285"/>
      <c r="DU620" s="1285"/>
      <c r="DV620" s="1286"/>
    </row>
    <row r="621" spans="1:126" ht="12.95" customHeight="1">
      <c r="B621" s="57" t="s">
        <v>900</v>
      </c>
      <c r="C621" s="1369" t="s">
        <v>2403</v>
      </c>
      <c r="D621" s="1369"/>
      <c r="E621" s="1369"/>
      <c r="F621" s="1369"/>
      <c r="G621" s="1369"/>
      <c r="H621" s="1369"/>
      <c r="I621" s="1369"/>
      <c r="J621" s="1369"/>
      <c r="K621" s="1369"/>
      <c r="L621" s="1369"/>
      <c r="M621" s="1366" t="s">
        <v>2178</v>
      </c>
      <c r="N621" s="1366"/>
      <c r="O621" s="1366"/>
      <c r="P621" s="1366"/>
      <c r="Q621" s="1443">
        <v>204</v>
      </c>
      <c r="R621" s="1444"/>
      <c r="S621" s="1445"/>
      <c r="T621" s="1422">
        <v>420</v>
      </c>
      <c r="U621" s="1423"/>
      <c r="V621" s="1424"/>
      <c r="W621" s="1434">
        <v>7.0000000000000007E-2</v>
      </c>
      <c r="X621" s="1435"/>
      <c r="Y621" s="1436"/>
      <c r="Z621" s="1416" t="s">
        <v>1977</v>
      </c>
      <c r="AA621" s="1417"/>
      <c r="AB621" s="1418"/>
      <c r="AC621" s="1321"/>
      <c r="AD621" s="1322"/>
      <c r="AE621" s="1323"/>
      <c r="AF621" s="1079"/>
      <c r="AG621" s="1080"/>
      <c r="AH621" s="1080"/>
      <c r="AI621" s="1080"/>
      <c r="AJ621" s="1081"/>
      <c r="AK621" s="1419"/>
      <c r="AL621" s="1420"/>
      <c r="AM621" s="1420"/>
      <c r="AN621" s="1421"/>
      <c r="AO621" s="1076">
        <v>5098020</v>
      </c>
      <c r="AP621" s="1076"/>
      <c r="AQ621" s="1076"/>
      <c r="AR621" s="1076"/>
      <c r="AS621" s="1076"/>
      <c r="AT621" s="946" t="str">
        <f t="shared" ref="AT621:AT632" si="33">IF(AND(NOT(C620=""),C621="",NOT(C622="")),"!","")</f>
        <v/>
      </c>
      <c r="AU621" s="43"/>
      <c r="AV621" s="43"/>
      <c r="AW621" s="43"/>
      <c r="AX621" s="43"/>
      <c r="AY621" s="43"/>
      <c r="BA621" s="41" t="s">
        <v>1977</v>
      </c>
      <c r="BC621" s="43"/>
      <c r="BD621" s="43"/>
      <c r="BE621" s="1278">
        <f t="shared" si="23"/>
        <v>0</v>
      </c>
      <c r="BF621" s="1280"/>
      <c r="BG621" s="1272">
        <f t="shared" si="24"/>
        <v>0</v>
      </c>
      <c r="BH621" s="1274"/>
      <c r="BI621" s="1278">
        <f t="shared" si="25"/>
        <v>0</v>
      </c>
      <c r="BJ621" s="1280"/>
      <c r="BK621" s="1272">
        <f t="shared" si="26"/>
        <v>0</v>
      </c>
      <c r="BL621" s="1274"/>
      <c r="BN621" s="1272">
        <f t="shared" si="9"/>
        <v>0</v>
      </c>
      <c r="BO621" s="1273"/>
      <c r="BP621" s="1273"/>
      <c r="BQ621" s="1273"/>
      <c r="BR621" s="1283"/>
      <c r="BS621" s="1272">
        <f t="shared" si="10"/>
        <v>0</v>
      </c>
      <c r="BT621" s="1273"/>
      <c r="BU621" s="1273"/>
      <c r="BV621" s="1273"/>
      <c r="BW621" s="1274"/>
      <c r="BX621" s="1272">
        <f t="shared" si="11"/>
        <v>0</v>
      </c>
      <c r="BY621" s="1273"/>
      <c r="BZ621" s="1273"/>
      <c r="CA621" s="1273"/>
      <c r="CB621" s="1274"/>
      <c r="CC621" s="1272">
        <f t="shared" si="12"/>
        <v>0</v>
      </c>
      <c r="CD621" s="1273"/>
      <c r="CE621" s="1273"/>
      <c r="CF621" s="1273"/>
      <c r="CG621" s="1274"/>
      <c r="CH621" s="1272">
        <f t="shared" si="13"/>
        <v>0</v>
      </c>
      <c r="CI621" s="1273"/>
      <c r="CJ621" s="1273"/>
      <c r="CK621" s="1273"/>
      <c r="CL621" s="1274"/>
      <c r="CM621" s="1281">
        <f t="shared" si="14"/>
        <v>0</v>
      </c>
      <c r="CN621" s="1282"/>
      <c r="CO621" s="1282"/>
      <c r="CP621" s="1282"/>
      <c r="CQ621" s="1283"/>
      <c r="CS621" s="1284">
        <f t="shared" si="27"/>
        <v>0</v>
      </c>
      <c r="CT621" s="1285"/>
      <c r="CU621" s="1285"/>
      <c r="CV621" s="1285"/>
      <c r="CW621" s="1286"/>
      <c r="CX621" s="1284">
        <f t="shared" si="28"/>
        <v>0</v>
      </c>
      <c r="CY621" s="1285"/>
      <c r="CZ621" s="1285"/>
      <c r="DA621" s="1285"/>
      <c r="DB621" s="1286"/>
      <c r="DC621" s="1284">
        <f t="shared" si="29"/>
        <v>0</v>
      </c>
      <c r="DD621" s="1285"/>
      <c r="DE621" s="1285"/>
      <c r="DF621" s="1285"/>
      <c r="DG621" s="1286"/>
      <c r="DH621" s="1284">
        <f t="shared" si="30"/>
        <v>0</v>
      </c>
      <c r="DI621" s="1285"/>
      <c r="DJ621" s="1285"/>
      <c r="DK621" s="1285"/>
      <c r="DL621" s="1286"/>
      <c r="DM621" s="1284">
        <f t="shared" si="31"/>
        <v>0</v>
      </c>
      <c r="DN621" s="1285"/>
      <c r="DO621" s="1285"/>
      <c r="DP621" s="1285"/>
      <c r="DQ621" s="1286"/>
      <c r="DR621" s="1284">
        <f t="shared" si="32"/>
        <v>0</v>
      </c>
      <c r="DS621" s="1285"/>
      <c r="DT621" s="1285"/>
      <c r="DU621" s="1285"/>
      <c r="DV621" s="1286"/>
    </row>
    <row r="622" spans="1:126" ht="12.95" customHeight="1">
      <c r="B622" s="58" t="s">
        <v>901</v>
      </c>
      <c r="C622" s="1369" t="s">
        <v>2420</v>
      </c>
      <c r="D622" s="1369"/>
      <c r="E622" s="1369"/>
      <c r="F622" s="1369"/>
      <c r="G622" s="1369"/>
      <c r="H622" s="1369"/>
      <c r="I622" s="1369"/>
      <c r="J622" s="1369"/>
      <c r="K622" s="1369"/>
      <c r="L622" s="1369"/>
      <c r="M622" s="1366" t="s">
        <v>2180</v>
      </c>
      <c r="N622" s="1366"/>
      <c r="O622" s="1366"/>
      <c r="P622" s="1366"/>
      <c r="Q622" s="1443">
        <v>660</v>
      </c>
      <c r="R622" s="1444"/>
      <c r="S622" s="1445"/>
      <c r="T622" s="1422"/>
      <c r="U622" s="1423"/>
      <c r="V622" s="1424"/>
      <c r="W622" s="1434">
        <v>0.02</v>
      </c>
      <c r="X622" s="1435"/>
      <c r="Y622" s="1436"/>
      <c r="Z622" s="1416" t="s">
        <v>1977</v>
      </c>
      <c r="AA622" s="1417"/>
      <c r="AB622" s="1418"/>
      <c r="AC622" s="1321"/>
      <c r="AD622" s="1322"/>
      <c r="AE622" s="1323"/>
      <c r="AF622" s="1079"/>
      <c r="AG622" s="1080"/>
      <c r="AH622" s="1080"/>
      <c r="AI622" s="1080"/>
      <c r="AJ622" s="1081"/>
      <c r="AK622" s="1419"/>
      <c r="AL622" s="1420"/>
      <c r="AM622" s="1420"/>
      <c r="AN622" s="1421"/>
      <c r="AO622" s="1076">
        <v>2400000</v>
      </c>
      <c r="AP622" s="1076"/>
      <c r="AQ622" s="1076"/>
      <c r="AR622" s="1076"/>
      <c r="AS622" s="1076"/>
      <c r="AT622" s="946" t="str">
        <f t="shared" si="33"/>
        <v/>
      </c>
      <c r="AU622" s="43"/>
      <c r="AV622" s="43"/>
      <c r="AW622" s="43"/>
      <c r="AX622" s="43"/>
      <c r="AY622" s="43"/>
      <c r="BA622" s="41" t="s">
        <v>789</v>
      </c>
      <c r="BC622" s="43"/>
      <c r="BD622" s="43"/>
      <c r="BE622" s="1278">
        <f t="shared" si="23"/>
        <v>0</v>
      </c>
      <c r="BF622" s="1280"/>
      <c r="BG622" s="1272">
        <f t="shared" si="24"/>
        <v>0</v>
      </c>
      <c r="BH622" s="1274"/>
      <c r="BI622" s="1278">
        <f t="shared" si="25"/>
        <v>0</v>
      </c>
      <c r="BJ622" s="1280"/>
      <c r="BK622" s="1272">
        <f t="shared" si="26"/>
        <v>0</v>
      </c>
      <c r="BL622" s="1274"/>
      <c r="BN622" s="1272">
        <f t="shared" si="9"/>
        <v>0</v>
      </c>
      <c r="BO622" s="1273"/>
      <c r="BP622" s="1273"/>
      <c r="BQ622" s="1273"/>
      <c r="BR622" s="1283"/>
      <c r="BS622" s="1272">
        <f t="shared" si="10"/>
        <v>0</v>
      </c>
      <c r="BT622" s="1273"/>
      <c r="BU622" s="1273"/>
      <c r="BV622" s="1273"/>
      <c r="BW622" s="1274"/>
      <c r="BX622" s="1272">
        <f t="shared" si="11"/>
        <v>0</v>
      </c>
      <c r="BY622" s="1273"/>
      <c r="BZ622" s="1273"/>
      <c r="CA622" s="1273"/>
      <c r="CB622" s="1274"/>
      <c r="CC622" s="1272">
        <f t="shared" si="12"/>
        <v>0</v>
      </c>
      <c r="CD622" s="1273"/>
      <c r="CE622" s="1273"/>
      <c r="CF622" s="1273"/>
      <c r="CG622" s="1274"/>
      <c r="CH622" s="1272">
        <f t="shared" si="13"/>
        <v>0</v>
      </c>
      <c r="CI622" s="1273"/>
      <c r="CJ622" s="1273"/>
      <c r="CK622" s="1273"/>
      <c r="CL622" s="1274"/>
      <c r="CM622" s="1281">
        <f t="shared" si="14"/>
        <v>0</v>
      </c>
      <c r="CN622" s="1282"/>
      <c r="CO622" s="1282"/>
      <c r="CP622" s="1282"/>
      <c r="CQ622" s="1283"/>
      <c r="CS622" s="1284">
        <f t="shared" si="27"/>
        <v>0</v>
      </c>
      <c r="CT622" s="1285"/>
      <c r="CU622" s="1285"/>
      <c r="CV622" s="1285"/>
      <c r="CW622" s="1286"/>
      <c r="CX622" s="1284">
        <f t="shared" si="28"/>
        <v>0</v>
      </c>
      <c r="CY622" s="1285"/>
      <c r="CZ622" s="1285"/>
      <c r="DA622" s="1285"/>
      <c r="DB622" s="1286"/>
      <c r="DC622" s="1284">
        <f t="shared" si="29"/>
        <v>0</v>
      </c>
      <c r="DD622" s="1285"/>
      <c r="DE622" s="1285"/>
      <c r="DF622" s="1285"/>
      <c r="DG622" s="1286"/>
      <c r="DH622" s="1284">
        <f t="shared" si="30"/>
        <v>0</v>
      </c>
      <c r="DI622" s="1285"/>
      <c r="DJ622" s="1285"/>
      <c r="DK622" s="1285"/>
      <c r="DL622" s="1286"/>
      <c r="DM622" s="1284">
        <f t="shared" si="31"/>
        <v>0</v>
      </c>
      <c r="DN622" s="1285"/>
      <c r="DO622" s="1285"/>
      <c r="DP622" s="1285"/>
      <c r="DQ622" s="1286"/>
      <c r="DR622" s="1284">
        <f t="shared" si="32"/>
        <v>0</v>
      </c>
      <c r="DS622" s="1285"/>
      <c r="DT622" s="1285"/>
      <c r="DU622" s="1285"/>
      <c r="DV622" s="1286"/>
    </row>
    <row r="623" spans="1:126" ht="12.95" customHeight="1">
      <c r="B623" s="58" t="s">
        <v>907</v>
      </c>
      <c r="C623" s="1369" t="s">
        <v>2421</v>
      </c>
      <c r="D623" s="1369"/>
      <c r="E623" s="1369"/>
      <c r="F623" s="1369"/>
      <c r="G623" s="1369"/>
      <c r="H623" s="1369"/>
      <c r="I623" s="1369"/>
      <c r="J623" s="1369"/>
      <c r="K623" s="1369"/>
      <c r="L623" s="1369"/>
      <c r="M623" s="1366" t="s">
        <v>2180</v>
      </c>
      <c r="N623" s="1366"/>
      <c r="O623" s="1366"/>
      <c r="P623" s="1366"/>
      <c r="Q623" s="1443">
        <v>660</v>
      </c>
      <c r="R623" s="1444"/>
      <c r="S623" s="1445"/>
      <c r="T623" s="1422"/>
      <c r="U623" s="1423"/>
      <c r="V623" s="1424"/>
      <c r="W623" s="1434">
        <v>0.03</v>
      </c>
      <c r="X623" s="1435"/>
      <c r="Y623" s="1436"/>
      <c r="Z623" s="1416" t="s">
        <v>1977</v>
      </c>
      <c r="AA623" s="1417"/>
      <c r="AB623" s="1418"/>
      <c r="AC623" s="1321"/>
      <c r="AD623" s="1322"/>
      <c r="AE623" s="1323"/>
      <c r="AF623" s="1079"/>
      <c r="AG623" s="1080"/>
      <c r="AH623" s="1080"/>
      <c r="AI623" s="1080"/>
      <c r="AJ623" s="1081"/>
      <c r="AK623" s="1419"/>
      <c r="AL623" s="1420"/>
      <c r="AM623" s="1420"/>
      <c r="AN623" s="1421"/>
      <c r="AO623" s="1076">
        <v>3000000</v>
      </c>
      <c r="AP623" s="1076"/>
      <c r="AQ623" s="1076"/>
      <c r="AR623" s="1076"/>
      <c r="AS623" s="1076"/>
      <c r="AT623" s="946" t="str">
        <f t="shared" si="33"/>
        <v/>
      </c>
      <c r="AU623" s="43"/>
      <c r="AV623" s="43"/>
      <c r="AW623" s="43"/>
      <c r="AX623" s="43"/>
      <c r="AY623" s="43"/>
      <c r="AZ623" s="43"/>
      <c r="BA623" s="41" t="s">
        <v>788</v>
      </c>
      <c r="BB623" s="43"/>
      <c r="BC623" s="43"/>
      <c r="BD623" s="43"/>
      <c r="BE623" s="1278">
        <f t="shared" si="23"/>
        <v>0</v>
      </c>
      <c r="BF623" s="1280"/>
      <c r="BG623" s="1272">
        <f t="shared" si="24"/>
        <v>0</v>
      </c>
      <c r="BH623" s="1274"/>
      <c r="BI623" s="1278">
        <f t="shared" si="25"/>
        <v>0</v>
      </c>
      <c r="BJ623" s="1280"/>
      <c r="BK623" s="1272">
        <f t="shared" si="26"/>
        <v>0</v>
      </c>
      <c r="BL623" s="1274"/>
      <c r="BN623" s="1272">
        <f t="shared" si="9"/>
        <v>0</v>
      </c>
      <c r="BO623" s="1273"/>
      <c r="BP623" s="1273"/>
      <c r="BQ623" s="1273"/>
      <c r="BR623" s="1283"/>
      <c r="BS623" s="1272">
        <f t="shared" si="10"/>
        <v>0</v>
      </c>
      <c r="BT623" s="1273"/>
      <c r="BU623" s="1273"/>
      <c r="BV623" s="1273"/>
      <c r="BW623" s="1274"/>
      <c r="BX623" s="1272">
        <f t="shared" si="11"/>
        <v>0</v>
      </c>
      <c r="BY623" s="1273"/>
      <c r="BZ623" s="1273"/>
      <c r="CA623" s="1273"/>
      <c r="CB623" s="1274"/>
      <c r="CC623" s="1272">
        <f t="shared" si="12"/>
        <v>0</v>
      </c>
      <c r="CD623" s="1273"/>
      <c r="CE623" s="1273"/>
      <c r="CF623" s="1273"/>
      <c r="CG623" s="1274"/>
      <c r="CH623" s="1272">
        <f t="shared" si="13"/>
        <v>0</v>
      </c>
      <c r="CI623" s="1273"/>
      <c r="CJ623" s="1273"/>
      <c r="CK623" s="1273"/>
      <c r="CL623" s="1274"/>
      <c r="CM623" s="1281">
        <f t="shared" si="14"/>
        <v>0</v>
      </c>
      <c r="CN623" s="1282"/>
      <c r="CO623" s="1282"/>
      <c r="CP623" s="1282"/>
      <c r="CQ623" s="1283"/>
      <c r="CS623" s="1284">
        <f t="shared" si="27"/>
        <v>0</v>
      </c>
      <c r="CT623" s="1285"/>
      <c r="CU623" s="1285"/>
      <c r="CV623" s="1285"/>
      <c r="CW623" s="1286"/>
      <c r="CX623" s="1284">
        <f t="shared" si="28"/>
        <v>0</v>
      </c>
      <c r="CY623" s="1285"/>
      <c r="CZ623" s="1285"/>
      <c r="DA623" s="1285"/>
      <c r="DB623" s="1286"/>
      <c r="DC623" s="1284">
        <f t="shared" si="29"/>
        <v>0</v>
      </c>
      <c r="DD623" s="1285"/>
      <c r="DE623" s="1285"/>
      <c r="DF623" s="1285"/>
      <c r="DG623" s="1286"/>
      <c r="DH623" s="1284">
        <f t="shared" si="30"/>
        <v>0</v>
      </c>
      <c r="DI623" s="1285"/>
      <c r="DJ623" s="1285"/>
      <c r="DK623" s="1285"/>
      <c r="DL623" s="1286"/>
      <c r="DM623" s="1284">
        <f t="shared" si="31"/>
        <v>0</v>
      </c>
      <c r="DN623" s="1285"/>
      <c r="DO623" s="1285"/>
      <c r="DP623" s="1285"/>
      <c r="DQ623" s="1286"/>
      <c r="DR623" s="1284">
        <f t="shared" si="32"/>
        <v>0</v>
      </c>
      <c r="DS623" s="1285"/>
      <c r="DT623" s="1285"/>
      <c r="DU623" s="1285"/>
      <c r="DV623" s="1286"/>
    </row>
    <row r="624" spans="1:126" ht="12.95" customHeight="1">
      <c r="B624" s="58" t="s">
        <v>431</v>
      </c>
      <c r="C624" s="1369"/>
      <c r="D624" s="1369"/>
      <c r="E624" s="1369"/>
      <c r="F624" s="1369"/>
      <c r="G624" s="1369"/>
      <c r="H624" s="1369"/>
      <c r="I624" s="1369"/>
      <c r="J624" s="1369"/>
      <c r="K624" s="1369"/>
      <c r="L624" s="1369"/>
      <c r="M624" s="1366" t="s">
        <v>1977</v>
      </c>
      <c r="N624" s="1366"/>
      <c r="O624" s="1366"/>
      <c r="P624" s="1366"/>
      <c r="Q624" s="1443"/>
      <c r="R624" s="1444"/>
      <c r="S624" s="1445"/>
      <c r="T624" s="1422"/>
      <c r="U624" s="1423"/>
      <c r="V624" s="1424"/>
      <c r="W624" s="1434"/>
      <c r="X624" s="1435"/>
      <c r="Y624" s="1436"/>
      <c r="Z624" s="1416" t="s">
        <v>1977</v>
      </c>
      <c r="AA624" s="1417"/>
      <c r="AB624" s="1418"/>
      <c r="AC624" s="1321"/>
      <c r="AD624" s="1322"/>
      <c r="AE624" s="1323"/>
      <c r="AF624" s="1079"/>
      <c r="AG624" s="1080"/>
      <c r="AH624" s="1080"/>
      <c r="AI624" s="1080"/>
      <c r="AJ624" s="1081"/>
      <c r="AK624" s="1419"/>
      <c r="AL624" s="1420"/>
      <c r="AM624" s="1420"/>
      <c r="AN624" s="1421"/>
      <c r="AO624" s="1076"/>
      <c r="AP624" s="1076"/>
      <c r="AQ624" s="1076"/>
      <c r="AR624" s="1076"/>
      <c r="AS624" s="1076"/>
      <c r="AT624" s="946" t="str">
        <f t="shared" si="33"/>
        <v/>
      </c>
      <c r="AU624" s="43"/>
      <c r="AV624" s="43"/>
      <c r="AW624" s="43"/>
      <c r="AX624" s="43"/>
      <c r="AY624" s="43"/>
      <c r="AZ624" s="43"/>
      <c r="BA624" s="41" t="s">
        <v>2196</v>
      </c>
      <c r="BE624" s="1278">
        <f t="shared" si="23"/>
        <v>0</v>
      </c>
      <c r="BF624" s="1280"/>
      <c r="BG624" s="1272">
        <f t="shared" si="24"/>
        <v>0</v>
      </c>
      <c r="BH624" s="1274"/>
      <c r="BI624" s="1278">
        <f t="shared" si="25"/>
        <v>0</v>
      </c>
      <c r="BJ624" s="1280"/>
      <c r="BK624" s="1272">
        <f t="shared" si="26"/>
        <v>0</v>
      </c>
      <c r="BL624" s="1274"/>
      <c r="BN624" s="1272">
        <f t="shared" si="9"/>
        <v>0</v>
      </c>
      <c r="BO624" s="1273"/>
      <c r="BP624" s="1273"/>
      <c r="BQ624" s="1273"/>
      <c r="BR624" s="1283"/>
      <c r="BS624" s="1272">
        <f t="shared" si="10"/>
        <v>0</v>
      </c>
      <c r="BT624" s="1273"/>
      <c r="BU624" s="1273"/>
      <c r="BV624" s="1273"/>
      <c r="BW624" s="1274"/>
      <c r="BX624" s="1272">
        <f t="shared" si="11"/>
        <v>0</v>
      </c>
      <c r="BY624" s="1273"/>
      <c r="BZ624" s="1273"/>
      <c r="CA624" s="1273"/>
      <c r="CB624" s="1274"/>
      <c r="CC624" s="1272">
        <f t="shared" si="12"/>
        <v>0</v>
      </c>
      <c r="CD624" s="1273"/>
      <c r="CE624" s="1273"/>
      <c r="CF624" s="1273"/>
      <c r="CG624" s="1274"/>
      <c r="CH624" s="1272">
        <f t="shared" si="13"/>
        <v>0</v>
      </c>
      <c r="CI624" s="1273"/>
      <c r="CJ624" s="1273"/>
      <c r="CK624" s="1273"/>
      <c r="CL624" s="1274"/>
      <c r="CM624" s="1281">
        <f t="shared" si="14"/>
        <v>0</v>
      </c>
      <c r="CN624" s="1282"/>
      <c r="CO624" s="1282"/>
      <c r="CP624" s="1282"/>
      <c r="CQ624" s="1283"/>
      <c r="CS624" s="1284">
        <f t="shared" si="27"/>
        <v>0</v>
      </c>
      <c r="CT624" s="1285"/>
      <c r="CU624" s="1285"/>
      <c r="CV624" s="1285"/>
      <c r="CW624" s="1286"/>
      <c r="CX624" s="1284">
        <f t="shared" si="28"/>
        <v>0</v>
      </c>
      <c r="CY624" s="1285"/>
      <c r="CZ624" s="1285"/>
      <c r="DA624" s="1285"/>
      <c r="DB624" s="1286"/>
      <c r="DC624" s="1284">
        <f t="shared" si="29"/>
        <v>0</v>
      </c>
      <c r="DD624" s="1285"/>
      <c r="DE624" s="1285"/>
      <c r="DF624" s="1285"/>
      <c r="DG624" s="1286"/>
      <c r="DH624" s="1284">
        <f t="shared" si="30"/>
        <v>0</v>
      </c>
      <c r="DI624" s="1285"/>
      <c r="DJ624" s="1285"/>
      <c r="DK624" s="1285"/>
      <c r="DL624" s="1286"/>
      <c r="DM624" s="1284">
        <f t="shared" si="31"/>
        <v>0</v>
      </c>
      <c r="DN624" s="1285"/>
      <c r="DO624" s="1285"/>
      <c r="DP624" s="1285"/>
      <c r="DQ624" s="1286"/>
      <c r="DR624" s="1284">
        <f t="shared" si="32"/>
        <v>0</v>
      </c>
      <c r="DS624" s="1285"/>
      <c r="DT624" s="1285"/>
      <c r="DU624" s="1285"/>
      <c r="DV624" s="1286"/>
    </row>
    <row r="625" spans="1:126" ht="12.95" customHeight="1">
      <c r="B625" s="58" t="s">
        <v>171</v>
      </c>
      <c r="C625" s="1369"/>
      <c r="D625" s="1369"/>
      <c r="E625" s="1369"/>
      <c r="F625" s="1369"/>
      <c r="G625" s="1369"/>
      <c r="H625" s="1369"/>
      <c r="I625" s="1369"/>
      <c r="J625" s="1369"/>
      <c r="K625" s="1369"/>
      <c r="L625" s="1369"/>
      <c r="M625" s="1366" t="s">
        <v>1977</v>
      </c>
      <c r="N625" s="1366"/>
      <c r="O625" s="1366"/>
      <c r="P625" s="1366"/>
      <c r="Q625" s="1443"/>
      <c r="R625" s="1444"/>
      <c r="S625" s="1445"/>
      <c r="T625" s="1422"/>
      <c r="U625" s="1423"/>
      <c r="V625" s="1424"/>
      <c r="W625" s="1434"/>
      <c r="X625" s="1435"/>
      <c r="Y625" s="1436"/>
      <c r="Z625" s="1416" t="s">
        <v>1977</v>
      </c>
      <c r="AA625" s="1417"/>
      <c r="AB625" s="1418"/>
      <c r="AC625" s="1321"/>
      <c r="AD625" s="1322"/>
      <c r="AE625" s="1323"/>
      <c r="AF625" s="1079"/>
      <c r="AG625" s="1080"/>
      <c r="AH625" s="1080"/>
      <c r="AI625" s="1080"/>
      <c r="AJ625" s="1081"/>
      <c r="AK625" s="1419"/>
      <c r="AL625" s="1420"/>
      <c r="AM625" s="1420"/>
      <c r="AN625" s="1421"/>
      <c r="AO625" s="1076"/>
      <c r="AP625" s="1076"/>
      <c r="AQ625" s="1076"/>
      <c r="AR625" s="1076"/>
      <c r="AS625" s="1076"/>
      <c r="AT625" s="946" t="str">
        <f t="shared" si="33"/>
        <v/>
      </c>
      <c r="AU625" s="43"/>
      <c r="AV625" s="43"/>
      <c r="AW625" s="43"/>
      <c r="AX625" s="43"/>
      <c r="AY625" s="43"/>
      <c r="AZ625" s="43"/>
      <c r="BA625" s="41" t="s">
        <v>499</v>
      </c>
      <c r="BE625" s="1278">
        <f t="shared" si="23"/>
        <v>0</v>
      </c>
      <c r="BF625" s="1280"/>
      <c r="BG625" s="1272">
        <f t="shared" si="24"/>
        <v>0</v>
      </c>
      <c r="BH625" s="1274"/>
      <c r="BI625" s="1278">
        <f t="shared" si="25"/>
        <v>0</v>
      </c>
      <c r="BJ625" s="1280"/>
      <c r="BK625" s="1272">
        <f t="shared" si="26"/>
        <v>0</v>
      </c>
      <c r="BL625" s="1274"/>
      <c r="BN625" s="1272">
        <f t="shared" si="9"/>
        <v>0</v>
      </c>
      <c r="BO625" s="1273"/>
      <c r="BP625" s="1273"/>
      <c r="BQ625" s="1273"/>
      <c r="BR625" s="1283"/>
      <c r="BS625" s="1272">
        <f t="shared" si="10"/>
        <v>0</v>
      </c>
      <c r="BT625" s="1273"/>
      <c r="BU625" s="1273"/>
      <c r="BV625" s="1273"/>
      <c r="BW625" s="1274"/>
      <c r="BX625" s="1272">
        <f t="shared" si="11"/>
        <v>0</v>
      </c>
      <c r="BY625" s="1273"/>
      <c r="BZ625" s="1273"/>
      <c r="CA625" s="1273"/>
      <c r="CB625" s="1274"/>
      <c r="CC625" s="1272">
        <f t="shared" si="12"/>
        <v>0</v>
      </c>
      <c r="CD625" s="1273"/>
      <c r="CE625" s="1273"/>
      <c r="CF625" s="1273"/>
      <c r="CG625" s="1274"/>
      <c r="CH625" s="1272">
        <f t="shared" si="13"/>
        <v>0</v>
      </c>
      <c r="CI625" s="1273"/>
      <c r="CJ625" s="1273"/>
      <c r="CK625" s="1273"/>
      <c r="CL625" s="1274"/>
      <c r="CM625" s="1281">
        <f t="shared" si="14"/>
        <v>0</v>
      </c>
      <c r="CN625" s="1282"/>
      <c r="CO625" s="1282"/>
      <c r="CP625" s="1282"/>
      <c r="CQ625" s="1283"/>
      <c r="CS625" s="1284">
        <f t="shared" si="27"/>
        <v>0</v>
      </c>
      <c r="CT625" s="1285"/>
      <c r="CU625" s="1285"/>
      <c r="CV625" s="1285"/>
      <c r="CW625" s="1286"/>
      <c r="CX625" s="1284">
        <f t="shared" si="28"/>
        <v>0</v>
      </c>
      <c r="CY625" s="1285"/>
      <c r="CZ625" s="1285"/>
      <c r="DA625" s="1285"/>
      <c r="DB625" s="1286"/>
      <c r="DC625" s="1284">
        <f t="shared" si="29"/>
        <v>0</v>
      </c>
      <c r="DD625" s="1285"/>
      <c r="DE625" s="1285"/>
      <c r="DF625" s="1285"/>
      <c r="DG625" s="1286"/>
      <c r="DH625" s="1284">
        <f t="shared" si="30"/>
        <v>0</v>
      </c>
      <c r="DI625" s="1285"/>
      <c r="DJ625" s="1285"/>
      <c r="DK625" s="1285"/>
      <c r="DL625" s="1286"/>
      <c r="DM625" s="1284">
        <f t="shared" si="31"/>
        <v>0</v>
      </c>
      <c r="DN625" s="1285"/>
      <c r="DO625" s="1285"/>
      <c r="DP625" s="1285"/>
      <c r="DQ625" s="1286"/>
      <c r="DR625" s="1284">
        <f t="shared" si="32"/>
        <v>0</v>
      </c>
      <c r="DS625" s="1285"/>
      <c r="DT625" s="1285"/>
      <c r="DU625" s="1285"/>
      <c r="DV625" s="1286"/>
    </row>
    <row r="626" spans="1:126" ht="12.95" customHeight="1">
      <c r="B626" s="58" t="s">
        <v>434</v>
      </c>
      <c r="C626" s="1369"/>
      <c r="D626" s="1369"/>
      <c r="E626" s="1369"/>
      <c r="F626" s="1369"/>
      <c r="G626" s="1369"/>
      <c r="H626" s="1369"/>
      <c r="I626" s="1369"/>
      <c r="J626" s="1369"/>
      <c r="K626" s="1369"/>
      <c r="L626" s="1369"/>
      <c r="M626" s="1366" t="s">
        <v>1977</v>
      </c>
      <c r="N626" s="1366"/>
      <c r="O626" s="1366"/>
      <c r="P626" s="1366"/>
      <c r="Q626" s="1443"/>
      <c r="R626" s="1444"/>
      <c r="S626" s="1445"/>
      <c r="T626" s="1422"/>
      <c r="U626" s="1423"/>
      <c r="V626" s="1424"/>
      <c r="W626" s="1434"/>
      <c r="X626" s="1435"/>
      <c r="Y626" s="1436"/>
      <c r="Z626" s="1416" t="s">
        <v>1977</v>
      </c>
      <c r="AA626" s="1417"/>
      <c r="AB626" s="1418"/>
      <c r="AC626" s="1321"/>
      <c r="AD626" s="1322"/>
      <c r="AE626" s="1323"/>
      <c r="AF626" s="1079"/>
      <c r="AG626" s="1080"/>
      <c r="AH626" s="1080"/>
      <c r="AI626" s="1080"/>
      <c r="AJ626" s="1081"/>
      <c r="AK626" s="1419"/>
      <c r="AL626" s="1420"/>
      <c r="AM626" s="1420"/>
      <c r="AN626" s="1421"/>
      <c r="AO626" s="1076"/>
      <c r="AP626" s="1076"/>
      <c r="AQ626" s="1076"/>
      <c r="AR626" s="1076"/>
      <c r="AS626" s="1076"/>
      <c r="AT626" s="946" t="str">
        <f t="shared" si="33"/>
        <v/>
      </c>
      <c r="AU626" s="43"/>
      <c r="AV626" s="43"/>
      <c r="AW626" s="43"/>
      <c r="AX626" s="43"/>
      <c r="AY626" s="43"/>
      <c r="AZ626" s="43"/>
      <c r="BE626" s="1278">
        <f>IF(AND(AH729&lt;=0.5,AH729&gt;=0.36),1,0)</f>
        <v>0</v>
      </c>
      <c r="BF626" s="1280"/>
      <c r="BG626" s="1272">
        <f>IF(BE626=1,G729,0)</f>
        <v>0</v>
      </c>
      <c r="BH626" s="1274"/>
      <c r="BI626" s="1278">
        <f>IF(AND(AH729&lt;=0.35,AH729&gt;0),1,0)</f>
        <v>0</v>
      </c>
      <c r="BJ626" s="1280"/>
      <c r="BK626" s="1272">
        <f>IF(BI626=1,G729,0)</f>
        <v>0</v>
      </c>
      <c r="BL626" s="1274"/>
      <c r="BN626" s="1278">
        <f>SUM(BN591:BR625)</f>
        <v>0</v>
      </c>
      <c r="BO626" s="1279"/>
      <c r="BP626" s="1279"/>
      <c r="BQ626" s="1279"/>
      <c r="BR626" s="1280"/>
      <c r="BS626" s="1278">
        <f t="shared" ref="BS626" si="34">SUM(BS591:BW625)</f>
        <v>59</v>
      </c>
      <c r="BT626" s="1279"/>
      <c r="BU626" s="1279"/>
      <c r="BV626" s="1279"/>
      <c r="BW626" s="1280"/>
      <c r="BX626" s="1278">
        <f t="shared" ref="BX626" si="35">SUM(BX591:CB625)</f>
        <v>30</v>
      </c>
      <c r="BY626" s="1279"/>
      <c r="BZ626" s="1279"/>
      <c r="CA626" s="1279"/>
      <c r="CB626" s="1280"/>
      <c r="CC626" s="1278">
        <f t="shared" ref="CC626" si="36">SUM(CC591:CG625)</f>
        <v>30</v>
      </c>
      <c r="CD626" s="1279"/>
      <c r="CE626" s="1279"/>
      <c r="CF626" s="1279"/>
      <c r="CG626" s="1280"/>
      <c r="CH626" s="1278">
        <f t="shared" ref="CH626" si="37">SUM(CH591:CL625)</f>
        <v>0</v>
      </c>
      <c r="CI626" s="1279"/>
      <c r="CJ626" s="1279"/>
      <c r="CK626" s="1279"/>
      <c r="CL626" s="1280"/>
      <c r="CM626" s="1278">
        <f t="shared" ref="CM626" si="38">SUM(CM591:CQ625)</f>
        <v>0</v>
      </c>
      <c r="CN626" s="1279"/>
      <c r="CO626" s="1279"/>
      <c r="CP626" s="1279"/>
      <c r="CQ626" s="1280"/>
      <c r="CS626" s="1284">
        <f>IF(AND(B729="SRO/Studio",AH729&lt;=0.3),G729,0)</f>
        <v>0</v>
      </c>
      <c r="CT626" s="1285"/>
      <c r="CU626" s="1285"/>
      <c r="CV626" s="1285"/>
      <c r="CW626" s="1286"/>
      <c r="CX626" s="1284">
        <f>IF(AND(B729="1 Bedroom",AH729&lt;=0.3),G729,0)</f>
        <v>0</v>
      </c>
      <c r="CY626" s="1285"/>
      <c r="CZ626" s="1285"/>
      <c r="DA626" s="1285"/>
      <c r="DB626" s="1286"/>
      <c r="DC626" s="1284">
        <f>IF(AND(B729="2 Bedrooms",AH729&lt;=0.3),G729,0)</f>
        <v>0</v>
      </c>
      <c r="DD626" s="1285"/>
      <c r="DE626" s="1285"/>
      <c r="DF626" s="1285"/>
      <c r="DG626" s="1286"/>
      <c r="DH626" s="1284">
        <f>IF(AND(B729="3 Bedrooms",AH729&lt;=0.3),G729,0)</f>
        <v>0</v>
      </c>
      <c r="DI626" s="1285"/>
      <c r="DJ626" s="1285"/>
      <c r="DK626" s="1285"/>
      <c r="DL626" s="1286"/>
      <c r="DM626" s="1284">
        <f>IF(AND(B729="4 Bedrooms",AH729&lt;=0.3),G729,0)</f>
        <v>0</v>
      </c>
      <c r="DN626" s="1285"/>
      <c r="DO626" s="1285"/>
      <c r="DP626" s="1285"/>
      <c r="DQ626" s="1286"/>
      <c r="DR626" s="1284">
        <f>IF(AND(B729="5 Bedrooms",AH729&lt;=0.3),G729,0)</f>
        <v>0</v>
      </c>
      <c r="DS626" s="1285"/>
      <c r="DT626" s="1285"/>
      <c r="DU626" s="1285"/>
      <c r="DV626" s="1286"/>
    </row>
    <row r="627" spans="1:126" ht="12.95" customHeight="1" thickBot="1">
      <c r="B627" s="58" t="s">
        <v>742</v>
      </c>
      <c r="C627" s="1369"/>
      <c r="D627" s="1369"/>
      <c r="E627" s="1369"/>
      <c r="F627" s="1369"/>
      <c r="G627" s="1369"/>
      <c r="H627" s="1369"/>
      <c r="I627" s="1369"/>
      <c r="J627" s="1369"/>
      <c r="K627" s="1369"/>
      <c r="L627" s="1369"/>
      <c r="M627" s="1366" t="s">
        <v>1977</v>
      </c>
      <c r="N627" s="1366"/>
      <c r="O627" s="1366"/>
      <c r="P627" s="1366"/>
      <c r="Q627" s="1443"/>
      <c r="R627" s="1444"/>
      <c r="S627" s="1445"/>
      <c r="T627" s="1422"/>
      <c r="U627" s="1423"/>
      <c r="V627" s="1424"/>
      <c r="W627" s="1434"/>
      <c r="X627" s="1435"/>
      <c r="Y627" s="1436"/>
      <c r="Z627" s="1416" t="s">
        <v>1977</v>
      </c>
      <c r="AA627" s="1417"/>
      <c r="AB627" s="1418"/>
      <c r="AC627" s="1321"/>
      <c r="AD627" s="1322"/>
      <c r="AE627" s="1323"/>
      <c r="AF627" s="1079"/>
      <c r="AG627" s="1080"/>
      <c r="AH627" s="1080"/>
      <c r="AI627" s="1080"/>
      <c r="AJ627" s="1081"/>
      <c r="AK627" s="1419"/>
      <c r="AL627" s="1420"/>
      <c r="AM627" s="1420"/>
      <c r="AN627" s="1421"/>
      <c r="AO627" s="1076"/>
      <c r="AP627" s="1076"/>
      <c r="AQ627" s="1076"/>
      <c r="AR627" s="1076"/>
      <c r="AS627" s="1076"/>
      <c r="AT627" s="946" t="str">
        <f t="shared" si="33"/>
        <v/>
      </c>
      <c r="AU627" s="43"/>
      <c r="AV627" s="43"/>
      <c r="AW627" s="43"/>
      <c r="AX627" s="43"/>
      <c r="AY627" s="43"/>
      <c r="AZ627" s="43"/>
      <c r="BE627" s="41"/>
      <c r="BF627" s="41"/>
      <c r="BG627" s="1278">
        <f>SUM(BG592:BH626)</f>
        <v>72</v>
      </c>
      <c r="BH627" s="1280"/>
      <c r="BI627" s="41"/>
      <c r="BJ627" s="41"/>
      <c r="BK627" s="1278">
        <f>SUM(BK592:BL626)</f>
        <v>12</v>
      </c>
      <c r="BL627" s="1280"/>
      <c r="BN627" s="41" t="s">
        <v>1723</v>
      </c>
      <c r="BO627" s="41"/>
      <c r="BP627" s="41"/>
      <c r="BQ627" s="41"/>
      <c r="BR627" s="467">
        <f>BN626*1</f>
        <v>0</v>
      </c>
      <c r="BS627" s="41"/>
      <c r="BT627" s="41"/>
      <c r="BU627" s="41"/>
      <c r="BV627" s="41"/>
      <c r="BW627" s="467">
        <f>BS626*1</f>
        <v>59</v>
      </c>
      <c r="BX627" s="41"/>
      <c r="BY627" s="41"/>
      <c r="BZ627" s="41"/>
      <c r="CA627" s="41"/>
      <c r="CB627" s="467">
        <f>BX626*2</f>
        <v>60</v>
      </c>
      <c r="CC627" s="41"/>
      <c r="CD627" s="41"/>
      <c r="CE627" s="41"/>
      <c r="CF627" s="41"/>
      <c r="CG627" s="467">
        <f>CC626*3</f>
        <v>90</v>
      </c>
      <c r="CH627" s="41"/>
      <c r="CI627" s="41"/>
      <c r="CJ627" s="41"/>
      <c r="CK627" s="41"/>
      <c r="CL627" s="467">
        <f>CH626*4</f>
        <v>0</v>
      </c>
      <c r="CM627" s="41"/>
      <c r="CN627" s="41"/>
      <c r="CO627" s="41"/>
      <c r="CP627" s="41"/>
      <c r="CQ627" s="466">
        <f>CM626*5</f>
        <v>0</v>
      </c>
      <c r="CS627" s="1278">
        <f>SUM(CS592:CW626)</f>
        <v>0</v>
      </c>
      <c r="CT627" s="1279"/>
      <c r="CU627" s="1279"/>
      <c r="CV627" s="1279"/>
      <c r="CW627" s="1280"/>
      <c r="CX627" s="1278">
        <f>SUM(CX592:DB626)</f>
        <v>6</v>
      </c>
      <c r="CY627" s="1279"/>
      <c r="CZ627" s="1279"/>
      <c r="DA627" s="1279"/>
      <c r="DB627" s="1280"/>
      <c r="DC627" s="1278">
        <f>SUM(DC592:DG626)</f>
        <v>3</v>
      </c>
      <c r="DD627" s="1279"/>
      <c r="DE627" s="1279"/>
      <c r="DF627" s="1279"/>
      <c r="DG627" s="1280"/>
      <c r="DH627" s="1278">
        <f>SUM(DH592:DL626)</f>
        <v>3</v>
      </c>
      <c r="DI627" s="1279"/>
      <c r="DJ627" s="1279"/>
      <c r="DK627" s="1279"/>
      <c r="DL627" s="1280"/>
      <c r="DM627" s="1278">
        <f>SUM(DM592:DQ626)</f>
        <v>0</v>
      </c>
      <c r="DN627" s="1279"/>
      <c r="DO627" s="1279"/>
      <c r="DP627" s="1279"/>
      <c r="DQ627" s="1280"/>
      <c r="DR627" s="1278">
        <f>SUM(DR592:DV626)</f>
        <v>0</v>
      </c>
      <c r="DS627" s="1279"/>
      <c r="DT627" s="1279"/>
      <c r="DU627" s="1279"/>
      <c r="DV627" s="1280"/>
    </row>
    <row r="628" spans="1:126" ht="12.95" customHeight="1" thickBot="1">
      <c r="B628" s="58" t="s">
        <v>743</v>
      </c>
      <c r="C628" s="1369"/>
      <c r="D628" s="1369"/>
      <c r="E628" s="1369"/>
      <c r="F628" s="1369"/>
      <c r="G628" s="1369"/>
      <c r="H628" s="1369"/>
      <c r="I628" s="1369"/>
      <c r="J628" s="1369"/>
      <c r="K628" s="1369"/>
      <c r="L628" s="1369"/>
      <c r="M628" s="1366" t="s">
        <v>1977</v>
      </c>
      <c r="N628" s="1366"/>
      <c r="O628" s="1366"/>
      <c r="P628" s="1366"/>
      <c r="Q628" s="1443"/>
      <c r="R628" s="1444"/>
      <c r="S628" s="1445"/>
      <c r="T628" s="1422"/>
      <c r="U628" s="1423"/>
      <c r="V628" s="1424"/>
      <c r="W628" s="1434"/>
      <c r="X628" s="1435"/>
      <c r="Y628" s="1436"/>
      <c r="Z628" s="1416" t="s">
        <v>1977</v>
      </c>
      <c r="AA628" s="1417"/>
      <c r="AB628" s="1418"/>
      <c r="AC628" s="1321"/>
      <c r="AD628" s="1322"/>
      <c r="AE628" s="1323"/>
      <c r="AF628" s="1079"/>
      <c r="AG628" s="1080"/>
      <c r="AH628" s="1080"/>
      <c r="AI628" s="1080"/>
      <c r="AJ628" s="1081"/>
      <c r="AK628" s="1419"/>
      <c r="AL628" s="1420"/>
      <c r="AM628" s="1420"/>
      <c r="AN628" s="1421"/>
      <c r="AO628" s="1076"/>
      <c r="AP628" s="1076"/>
      <c r="AQ628" s="1076"/>
      <c r="AR628" s="1076"/>
      <c r="AS628" s="1076"/>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209</v>
      </c>
      <c r="CR628" s="41"/>
      <c r="CS628" s="41"/>
    </row>
    <row r="629" spans="1:126" ht="12.95" customHeight="1">
      <c r="B629" s="58" t="s">
        <v>546</v>
      </c>
      <c r="C629" s="1369"/>
      <c r="D629" s="1369"/>
      <c r="E629" s="1369"/>
      <c r="F629" s="1369"/>
      <c r="G629" s="1369"/>
      <c r="H629" s="1369"/>
      <c r="I629" s="1369"/>
      <c r="J629" s="1369"/>
      <c r="K629" s="1369"/>
      <c r="L629" s="1369"/>
      <c r="M629" s="1366" t="s">
        <v>1977</v>
      </c>
      <c r="N629" s="1366"/>
      <c r="O629" s="1366"/>
      <c r="P629" s="1366"/>
      <c r="Q629" s="1443"/>
      <c r="R629" s="1444"/>
      <c r="S629" s="1445"/>
      <c r="T629" s="1422"/>
      <c r="U629" s="1423"/>
      <c r="V629" s="1424"/>
      <c r="W629" s="1434"/>
      <c r="X629" s="1435"/>
      <c r="Y629" s="1436"/>
      <c r="Z629" s="1416" t="s">
        <v>1977</v>
      </c>
      <c r="AA629" s="1417"/>
      <c r="AB629" s="1418"/>
      <c r="AC629" s="1321"/>
      <c r="AD629" s="1322"/>
      <c r="AE629" s="1323"/>
      <c r="AF629" s="1079"/>
      <c r="AG629" s="1080"/>
      <c r="AH629" s="1080"/>
      <c r="AI629" s="1080"/>
      <c r="AJ629" s="1081"/>
      <c r="AK629" s="1419"/>
      <c r="AL629" s="1420"/>
      <c r="AM629" s="1420"/>
      <c r="AN629" s="1421"/>
      <c r="AO629" s="1076"/>
      <c r="AP629" s="1076"/>
      <c r="AQ629" s="1076"/>
      <c r="AR629" s="1076"/>
      <c r="AS629" s="1076"/>
      <c r="AT629" s="946" t="str">
        <f t="shared" si="33"/>
        <v/>
      </c>
      <c r="AU629" s="41"/>
      <c r="AV629" s="41"/>
      <c r="AW629" s="41"/>
      <c r="AX629" s="41"/>
      <c r="AY629" s="41"/>
      <c r="AZ629" s="41"/>
      <c r="BN629" s="1272">
        <f>IF(J752="SRO/Studio",O752,0)</f>
        <v>0</v>
      </c>
      <c r="BO629" s="1273"/>
      <c r="BP629" s="1273"/>
      <c r="BQ629" s="1273"/>
      <c r="BR629" s="1274"/>
      <c r="BS629" s="1272">
        <f>IF(J752="1 Bedroom",O752,0)</f>
        <v>0</v>
      </c>
      <c r="BT629" s="1273"/>
      <c r="BU629" s="1273"/>
      <c r="BV629" s="1273"/>
      <c r="BW629" s="1274"/>
      <c r="BX629" s="1272">
        <f>IF(J752="2 Bedrooms",O752,0)</f>
        <v>1</v>
      </c>
      <c r="BY629" s="1273"/>
      <c r="BZ629" s="1273"/>
      <c r="CA629" s="1273"/>
      <c r="CB629" s="1274"/>
      <c r="CC629" s="1272">
        <f>IF(J752="3 Bedrooms",O752,0)</f>
        <v>0</v>
      </c>
      <c r="CD629" s="1273"/>
      <c r="CE629" s="1273"/>
      <c r="CF629" s="1273"/>
      <c r="CG629" s="1274"/>
      <c r="CH629" s="1272">
        <f>IF(J752="4 Bedrooms",O752,0)</f>
        <v>0</v>
      </c>
      <c r="CI629" s="1273"/>
      <c r="CJ629" s="1273"/>
      <c r="CK629" s="1273"/>
      <c r="CL629" s="1274"/>
      <c r="CM629" s="1281">
        <f>IF(J752="5 Bedrooms",O752,0)</f>
        <v>0</v>
      </c>
      <c r="CN629" s="1282"/>
      <c r="CO629" s="1282"/>
      <c r="CP629" s="1282"/>
      <c r="CQ629" s="1283"/>
      <c r="CR629" s="41"/>
      <c r="CS629" s="41"/>
    </row>
    <row r="630" spans="1:126" ht="12.95" customHeight="1">
      <c r="B630" s="58" t="s">
        <v>174</v>
      </c>
      <c r="C630" s="1369"/>
      <c r="D630" s="1369"/>
      <c r="E630" s="1369"/>
      <c r="F630" s="1369"/>
      <c r="G630" s="1369"/>
      <c r="H630" s="1369"/>
      <c r="I630" s="1369"/>
      <c r="J630" s="1369"/>
      <c r="K630" s="1369"/>
      <c r="L630" s="1369"/>
      <c r="M630" s="1366" t="s">
        <v>1977</v>
      </c>
      <c r="N630" s="1366"/>
      <c r="O630" s="1366"/>
      <c r="P630" s="1366"/>
      <c r="Q630" s="1443"/>
      <c r="R630" s="1444"/>
      <c r="S630" s="1445"/>
      <c r="T630" s="1422"/>
      <c r="U630" s="1423"/>
      <c r="V630" s="1424"/>
      <c r="W630" s="1434"/>
      <c r="X630" s="1435"/>
      <c r="Y630" s="1436"/>
      <c r="Z630" s="1416" t="s">
        <v>1977</v>
      </c>
      <c r="AA630" s="1417"/>
      <c r="AB630" s="1418"/>
      <c r="AC630" s="1321"/>
      <c r="AD630" s="1322"/>
      <c r="AE630" s="1323"/>
      <c r="AF630" s="1079"/>
      <c r="AG630" s="1080"/>
      <c r="AH630" s="1080"/>
      <c r="AI630" s="1080"/>
      <c r="AJ630" s="1081"/>
      <c r="AK630" s="1419"/>
      <c r="AL630" s="1420"/>
      <c r="AM630" s="1420"/>
      <c r="AN630" s="1421"/>
      <c r="AO630" s="1076"/>
      <c r="AP630" s="1076"/>
      <c r="AQ630" s="1076"/>
      <c r="AR630" s="1076"/>
      <c r="AS630" s="1076"/>
      <c r="AT630" s="946" t="str">
        <f t="shared" si="33"/>
        <v/>
      </c>
      <c r="AU630" s="41"/>
      <c r="AV630" s="41"/>
      <c r="AW630" s="41"/>
      <c r="AX630" s="41"/>
      <c r="AY630" s="41"/>
      <c r="AZ630" s="41"/>
      <c r="BN630" s="1272">
        <f>IF(J753="SRO/Studio",O753,0)</f>
        <v>0</v>
      </c>
      <c r="BO630" s="1273"/>
      <c r="BP630" s="1273"/>
      <c r="BQ630" s="1273"/>
      <c r="BR630" s="1274"/>
      <c r="BS630" s="1272">
        <f>IF(J753="1 Bedroom",O753,0)</f>
        <v>0</v>
      </c>
      <c r="BT630" s="1273"/>
      <c r="BU630" s="1273"/>
      <c r="BV630" s="1273"/>
      <c r="BW630" s="1274"/>
      <c r="BX630" s="1272">
        <f>IF(J753="2 Bedrooms",O753,0)</f>
        <v>0</v>
      </c>
      <c r="BY630" s="1273"/>
      <c r="BZ630" s="1273"/>
      <c r="CA630" s="1273"/>
      <c r="CB630" s="1274"/>
      <c r="CC630" s="1272">
        <f>IF(J753="3 Bedrooms",O753,0)</f>
        <v>0</v>
      </c>
      <c r="CD630" s="1273"/>
      <c r="CE630" s="1273"/>
      <c r="CF630" s="1273"/>
      <c r="CG630" s="1274"/>
      <c r="CH630" s="1272">
        <f>IF(J753="4 Bedrooms",O753,0)</f>
        <v>0</v>
      </c>
      <c r="CI630" s="1273"/>
      <c r="CJ630" s="1273"/>
      <c r="CK630" s="1273"/>
      <c r="CL630" s="1274"/>
      <c r="CM630" s="1281">
        <f>IF(J753="5 Bedrooms",O753,0)</f>
        <v>0</v>
      </c>
      <c r="CN630" s="1282"/>
      <c r="CO630" s="1282"/>
      <c r="CP630" s="1282"/>
      <c r="CQ630" s="1283"/>
      <c r="CR630" s="41"/>
      <c r="CS630" s="41"/>
    </row>
    <row r="631" spans="1:126" ht="12.95" customHeight="1">
      <c r="B631" s="58" t="s">
        <v>32</v>
      </c>
      <c r="C631" s="1369"/>
      <c r="D631" s="1369"/>
      <c r="E631" s="1369"/>
      <c r="F631" s="1369"/>
      <c r="G631" s="1369"/>
      <c r="H631" s="1369"/>
      <c r="I631" s="1369"/>
      <c r="J631" s="1369"/>
      <c r="K631" s="1369"/>
      <c r="L631" s="1369"/>
      <c r="M631" s="1366" t="s">
        <v>1977</v>
      </c>
      <c r="N631" s="1366"/>
      <c r="O631" s="1366"/>
      <c r="P631" s="1366"/>
      <c r="Q631" s="1443"/>
      <c r="R631" s="1444"/>
      <c r="S631" s="1445"/>
      <c r="T631" s="1422"/>
      <c r="U631" s="1423"/>
      <c r="V631" s="1424"/>
      <c r="W631" s="1434"/>
      <c r="X631" s="1435"/>
      <c r="Y631" s="1436"/>
      <c r="Z631" s="1416" t="s">
        <v>1977</v>
      </c>
      <c r="AA631" s="1417"/>
      <c r="AB631" s="1418"/>
      <c r="AC631" s="1321"/>
      <c r="AD631" s="1322"/>
      <c r="AE631" s="1323"/>
      <c r="AF631" s="1079"/>
      <c r="AG631" s="1080"/>
      <c r="AH631" s="1080"/>
      <c r="AI631" s="1080"/>
      <c r="AJ631" s="1081"/>
      <c r="AK631" s="1419"/>
      <c r="AL631" s="1420"/>
      <c r="AM631" s="1420"/>
      <c r="AN631" s="1421"/>
      <c r="AO631" s="1076"/>
      <c r="AP631" s="1076"/>
      <c r="AQ631" s="1076"/>
      <c r="AR631" s="1076"/>
      <c r="AS631" s="1076"/>
      <c r="AT631" s="946" t="str">
        <f t="shared" si="33"/>
        <v/>
      </c>
      <c r="AU631" s="41"/>
      <c r="AV631" s="41"/>
      <c r="AW631" s="41"/>
      <c r="AX631" s="41"/>
      <c r="AY631" s="41"/>
      <c r="AZ631" s="41"/>
      <c r="BN631" s="1272">
        <f>IF(J754="SRO/Studio",O754,0)</f>
        <v>0</v>
      </c>
      <c r="BO631" s="1273"/>
      <c r="BP631" s="1273"/>
      <c r="BQ631" s="1273"/>
      <c r="BR631" s="1274"/>
      <c r="BS631" s="1272">
        <f>IF(J754="1 Bedroom",O754,0)</f>
        <v>0</v>
      </c>
      <c r="BT631" s="1273"/>
      <c r="BU631" s="1273"/>
      <c r="BV631" s="1273"/>
      <c r="BW631" s="1274"/>
      <c r="BX631" s="1272">
        <f>IF(J754="2 Bedrooms",O754,0)</f>
        <v>0</v>
      </c>
      <c r="BY631" s="1273"/>
      <c r="BZ631" s="1273"/>
      <c r="CA631" s="1273"/>
      <c r="CB631" s="1274"/>
      <c r="CC631" s="1272">
        <f>IF(J754="3 Bedrooms",O754,0)</f>
        <v>0</v>
      </c>
      <c r="CD631" s="1273"/>
      <c r="CE631" s="1273"/>
      <c r="CF631" s="1273"/>
      <c r="CG631" s="1274"/>
      <c r="CH631" s="1272">
        <f>IF(J754="4 Bedrooms",O754,0)</f>
        <v>0</v>
      </c>
      <c r="CI631" s="1273"/>
      <c r="CJ631" s="1273"/>
      <c r="CK631" s="1273"/>
      <c r="CL631" s="1274"/>
      <c r="CM631" s="1281">
        <f>IF(J754="5 Bedrooms",O754,0)</f>
        <v>0</v>
      </c>
      <c r="CN631" s="1282"/>
      <c r="CO631" s="1282"/>
      <c r="CP631" s="1282"/>
      <c r="CQ631" s="1283"/>
      <c r="CR631" s="41"/>
      <c r="CS631" s="41"/>
    </row>
    <row r="632" spans="1:126" ht="12.95" customHeight="1">
      <c r="B632" s="58" t="s">
        <v>33</v>
      </c>
      <c r="C632" s="1369"/>
      <c r="D632" s="1369"/>
      <c r="E632" s="1369"/>
      <c r="F632" s="1369"/>
      <c r="G632" s="1369"/>
      <c r="H632" s="1369"/>
      <c r="I632" s="1369"/>
      <c r="J632" s="1369"/>
      <c r="K632" s="1369"/>
      <c r="L632" s="1369"/>
      <c r="M632" s="1366" t="s">
        <v>1977</v>
      </c>
      <c r="N632" s="1366"/>
      <c r="O632" s="1366"/>
      <c r="P632" s="1366"/>
      <c r="Q632" s="1443"/>
      <c r="R632" s="1444"/>
      <c r="S632" s="1445"/>
      <c r="T632" s="1422"/>
      <c r="U632" s="1423"/>
      <c r="V632" s="1424"/>
      <c r="W632" s="1434"/>
      <c r="X632" s="1435"/>
      <c r="Y632" s="1436"/>
      <c r="Z632" s="1416" t="s">
        <v>1977</v>
      </c>
      <c r="AA632" s="1417"/>
      <c r="AB632" s="1418"/>
      <c r="AC632" s="1321"/>
      <c r="AD632" s="1322"/>
      <c r="AE632" s="1323"/>
      <c r="AF632" s="1079"/>
      <c r="AG632" s="1080"/>
      <c r="AH632" s="1080"/>
      <c r="AI632" s="1080"/>
      <c r="AJ632" s="1081"/>
      <c r="AK632" s="1419"/>
      <c r="AL632" s="1420"/>
      <c r="AM632" s="1420"/>
      <c r="AN632" s="1421"/>
      <c r="AO632" s="1076"/>
      <c r="AP632" s="1076"/>
      <c r="AQ632" s="1076"/>
      <c r="AR632" s="1076"/>
      <c r="AS632" s="1076"/>
      <c r="AT632" s="946" t="str">
        <f t="shared" si="33"/>
        <v/>
      </c>
      <c r="AU632" s="43"/>
      <c r="AV632" s="43"/>
      <c r="AW632" s="43"/>
      <c r="AX632" s="43"/>
      <c r="AY632" s="43"/>
      <c r="AZ632" s="43"/>
      <c r="BN632" s="1272">
        <f>IF(J755="SRO/Studio",O755,0)</f>
        <v>0</v>
      </c>
      <c r="BO632" s="1273"/>
      <c r="BP632" s="1273"/>
      <c r="BQ632" s="1273"/>
      <c r="BR632" s="1274"/>
      <c r="BS632" s="1272">
        <f>IF(J755="1 Bedroom",O755,0)</f>
        <v>0</v>
      </c>
      <c r="BT632" s="1273"/>
      <c r="BU632" s="1273"/>
      <c r="BV632" s="1273"/>
      <c r="BW632" s="1274"/>
      <c r="BX632" s="1272">
        <f>IF(J755="2 Bedrooms",O755,0)</f>
        <v>0</v>
      </c>
      <c r="BY632" s="1273"/>
      <c r="BZ632" s="1273"/>
      <c r="CA632" s="1273"/>
      <c r="CB632" s="1274"/>
      <c r="CC632" s="1272">
        <f>IF(J755="3 Bedrooms",O755,0)</f>
        <v>0</v>
      </c>
      <c r="CD632" s="1273"/>
      <c r="CE632" s="1273"/>
      <c r="CF632" s="1273"/>
      <c r="CG632" s="1274"/>
      <c r="CH632" s="1272">
        <f>IF(J755="4 Bedrooms",O755,0)</f>
        <v>0</v>
      </c>
      <c r="CI632" s="1273"/>
      <c r="CJ632" s="1273"/>
      <c r="CK632" s="1273"/>
      <c r="CL632" s="1274"/>
      <c r="CM632" s="1281">
        <f>IF(J755="5 Bedrooms",O755,0)</f>
        <v>0</v>
      </c>
      <c r="CN632" s="1282"/>
      <c r="CO632" s="1282"/>
      <c r="CP632" s="1282"/>
      <c r="CQ632" s="1283"/>
      <c r="CR632" s="41"/>
      <c r="CS632" s="41"/>
    </row>
    <row r="633" spans="1:126" ht="12.95" customHeight="1">
      <c r="B633" s="1187" t="s">
        <v>358</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10498020</v>
      </c>
      <c r="AP633" s="1199"/>
      <c r="AQ633" s="1199"/>
      <c r="AR633" s="1199"/>
      <c r="AS633" s="1200"/>
      <c r="AT633" s="43"/>
      <c r="AU633" s="43"/>
      <c r="AV633" s="43"/>
      <c r="AW633" s="43"/>
      <c r="AX633" s="43"/>
      <c r="AY633" s="43"/>
      <c r="AZ633" s="43"/>
      <c r="BN633" s="1275">
        <f>SUM(BN629:BR632)</f>
        <v>0</v>
      </c>
      <c r="BO633" s="1276"/>
      <c r="BP633" s="1276"/>
      <c r="BQ633" s="1276"/>
      <c r="BR633" s="1277"/>
      <c r="BS633" s="1275">
        <f>SUM(BS629:BW632)</f>
        <v>0</v>
      </c>
      <c r="BT633" s="1276"/>
      <c r="BU633" s="1276"/>
      <c r="BV633" s="1276"/>
      <c r="BW633" s="1277"/>
      <c r="BX633" s="1275">
        <f>SUM(BX629:CB632)</f>
        <v>1</v>
      </c>
      <c r="BY633" s="1276"/>
      <c r="BZ633" s="1276"/>
      <c r="CA633" s="1276"/>
      <c r="CB633" s="1277"/>
      <c r="CC633" s="1275">
        <f>SUM(CC629:CG632)</f>
        <v>0</v>
      </c>
      <c r="CD633" s="1276"/>
      <c r="CE633" s="1276"/>
      <c r="CF633" s="1276"/>
      <c r="CG633" s="1277"/>
      <c r="CH633" s="1275">
        <f>SUM(CH629:CL632)</f>
        <v>0</v>
      </c>
      <c r="CI633" s="1276"/>
      <c r="CJ633" s="1276"/>
      <c r="CK633" s="1276"/>
      <c r="CL633" s="1277"/>
      <c r="CM633" s="1275">
        <f>SUM(CM629:CQ632)</f>
        <v>0</v>
      </c>
      <c r="CN633" s="1276"/>
      <c r="CO633" s="1276"/>
      <c r="CP633" s="1276"/>
      <c r="CQ633" s="1277"/>
      <c r="CS633" s="467">
        <f>BN633+BS633+BX633+CC633+CH633+CM633</f>
        <v>1</v>
      </c>
      <c r="CT633" s="63" t="s">
        <v>1981</v>
      </c>
      <c r="CU633" s="41"/>
    </row>
    <row r="634" spans="1:126" ht="12.95" customHeight="1">
      <c r="B634" s="1187" t="s">
        <v>359</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082">
        <v>24933185</v>
      </c>
      <c r="AP634" s="1083"/>
      <c r="AQ634" s="1083"/>
      <c r="AR634" s="1083"/>
      <c r="AS634" s="1084"/>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67" t="s">
        <v>940</v>
      </c>
      <c r="C635" s="1468"/>
      <c r="D635" s="1468"/>
      <c r="E635" s="1468"/>
      <c r="F635" s="1468"/>
      <c r="G635" s="1468"/>
      <c r="H635" s="1468"/>
      <c r="I635" s="1468"/>
      <c r="J635" s="1468"/>
      <c r="K635" s="1468"/>
      <c r="L635" s="1468"/>
      <c r="M635" s="1468"/>
      <c r="N635" s="1468"/>
      <c r="O635" s="1468"/>
      <c r="P635" s="1468"/>
      <c r="Q635" s="1468"/>
      <c r="R635" s="1468"/>
      <c r="S635" s="1468"/>
      <c r="T635" s="1468"/>
      <c r="U635" s="1468"/>
      <c r="V635" s="1468"/>
      <c r="W635" s="1468"/>
      <c r="X635" s="1468"/>
      <c r="Y635" s="1468"/>
      <c r="Z635" s="1468"/>
      <c r="AA635" s="1468"/>
      <c r="AB635" s="1468"/>
      <c r="AC635" s="1468"/>
      <c r="AD635" s="1468"/>
      <c r="AE635" s="1468"/>
      <c r="AF635" s="1468"/>
      <c r="AG635" s="1468"/>
      <c r="AH635" s="1468"/>
      <c r="AI635" s="1468"/>
      <c r="AJ635" s="1468"/>
      <c r="AK635" s="1468"/>
      <c r="AL635" s="1468"/>
      <c r="AM635" s="1468"/>
      <c r="AN635" s="1469"/>
      <c r="AO635" s="1198">
        <f>AO633+AO634</f>
        <v>35431205</v>
      </c>
      <c r="AP635" s="1199"/>
      <c r="AQ635" s="1199"/>
      <c r="AR635" s="1199"/>
      <c r="AS635" s="1200"/>
      <c r="AT635" s="43"/>
      <c r="AU635" s="43"/>
      <c r="AV635" s="43"/>
      <c r="AW635" s="43"/>
      <c r="AX635" s="43"/>
      <c r="AY635" s="43"/>
      <c r="AZ635" s="43"/>
      <c r="BN635" s="1272">
        <f t="shared" ref="BN635:BN644" si="39">IF(J766="SRO/Studio",O766,0)</f>
        <v>0</v>
      </c>
      <c r="BO635" s="1273"/>
      <c r="BP635" s="1273"/>
      <c r="BQ635" s="1273"/>
      <c r="BR635" s="1274"/>
      <c r="BS635" s="1272">
        <f t="shared" ref="BS635:BS644" si="40">IF(J766="1 Bedroom",O766,0)</f>
        <v>0</v>
      </c>
      <c r="BT635" s="1273"/>
      <c r="BU635" s="1273"/>
      <c r="BV635" s="1273"/>
      <c r="BW635" s="1274"/>
      <c r="BX635" s="1272">
        <f t="shared" ref="BX635:BX644" si="41">IF(J766="2 Bedrooms",O766,0)</f>
        <v>0</v>
      </c>
      <c r="BY635" s="1273"/>
      <c r="BZ635" s="1273"/>
      <c r="CA635" s="1273"/>
      <c r="CB635" s="1274"/>
      <c r="CC635" s="1272">
        <f t="shared" ref="CC635:CC644" si="42">IF(J766="3 Bedrooms",O766,0)</f>
        <v>0</v>
      </c>
      <c r="CD635" s="1273"/>
      <c r="CE635" s="1273"/>
      <c r="CF635" s="1273"/>
      <c r="CG635" s="1274"/>
      <c r="CH635" s="1272">
        <f t="shared" ref="CH635:CH644" si="43">IF(J766="4 Bedrooms",O766,0)</f>
        <v>0</v>
      </c>
      <c r="CI635" s="1273"/>
      <c r="CJ635" s="1273"/>
      <c r="CK635" s="1273"/>
      <c r="CL635" s="1274"/>
      <c r="CM635" s="1272">
        <f t="shared" ref="CM635:CM644" si="44">IF(J766="5 Bedrooms",O766,0)</f>
        <v>0</v>
      </c>
      <c r="CN635" s="1273"/>
      <c r="CO635" s="1273"/>
      <c r="CP635" s="1273"/>
      <c r="CQ635" s="1274"/>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2">
        <f t="shared" si="39"/>
        <v>0</v>
      </c>
      <c r="BO636" s="1273"/>
      <c r="BP636" s="1273"/>
      <c r="BQ636" s="1273"/>
      <c r="BR636" s="1274"/>
      <c r="BS636" s="1272">
        <f t="shared" si="40"/>
        <v>0</v>
      </c>
      <c r="BT636" s="1273"/>
      <c r="BU636" s="1273"/>
      <c r="BV636" s="1273"/>
      <c r="BW636" s="1274"/>
      <c r="BX636" s="1272">
        <f t="shared" si="41"/>
        <v>0</v>
      </c>
      <c r="BY636" s="1273"/>
      <c r="BZ636" s="1273"/>
      <c r="CA636" s="1273"/>
      <c r="CB636" s="1274"/>
      <c r="CC636" s="1272">
        <f t="shared" si="42"/>
        <v>0</v>
      </c>
      <c r="CD636" s="1273"/>
      <c r="CE636" s="1273"/>
      <c r="CF636" s="1273"/>
      <c r="CG636" s="1274"/>
      <c r="CH636" s="1272">
        <f t="shared" si="43"/>
        <v>0</v>
      </c>
      <c r="CI636" s="1273"/>
      <c r="CJ636" s="1273"/>
      <c r="CK636" s="1273"/>
      <c r="CL636" s="1274"/>
      <c r="CM636" s="1272">
        <f t="shared" si="44"/>
        <v>0</v>
      </c>
      <c r="CN636" s="1273"/>
      <c r="CO636" s="1273"/>
      <c r="CP636" s="1273"/>
      <c r="CQ636" s="1274"/>
      <c r="CR636" s="41"/>
      <c r="CS636" s="41"/>
    </row>
    <row r="637" spans="1:126" ht="12.95" customHeight="1">
      <c r="A637" s="61" t="s">
        <v>900</v>
      </c>
      <c r="B637" t="s">
        <v>82</v>
      </c>
      <c r="G637" s="1267" t="str">
        <f>C621</f>
        <v>Banner Bank</v>
      </c>
      <c r="H637" s="1267"/>
      <c r="I637" s="1267"/>
      <c r="J637" s="1267"/>
      <c r="K637" s="1267"/>
      <c r="L637" s="1267"/>
      <c r="M637" s="1267"/>
      <c r="N637" s="1267"/>
      <c r="O637" s="1267"/>
      <c r="P637" s="1267"/>
      <c r="Q637" s="1267"/>
      <c r="R637" s="1267"/>
      <c r="S637" s="12"/>
      <c r="T637" s="61" t="s">
        <v>901</v>
      </c>
      <c r="U637" t="s">
        <v>82</v>
      </c>
      <c r="Z637" s="1267" t="str">
        <f>C622</f>
        <v xml:space="preserve">City of Fresno - CDBG </v>
      </c>
      <c r="AA637" s="1267"/>
      <c r="AB637" s="1267"/>
      <c r="AC637" s="1267"/>
      <c r="AD637" s="1267"/>
      <c r="AE637" s="1267"/>
      <c r="AF637" s="1267"/>
      <c r="AG637" s="1267"/>
      <c r="AH637" s="1267"/>
      <c r="AI637" s="1267"/>
      <c r="AJ637" s="1267"/>
      <c r="AK637" s="1267"/>
      <c r="AM637" s="43"/>
      <c r="AN637" s="43"/>
      <c r="AO637" s="43"/>
      <c r="AP637" s="43"/>
      <c r="AQ637" s="43"/>
      <c r="AR637" s="43"/>
      <c r="AS637" s="43"/>
      <c r="AT637" s="43"/>
      <c r="AU637" s="43"/>
      <c r="AV637" s="43"/>
      <c r="AW637" s="43"/>
      <c r="AX637" s="43"/>
      <c r="AY637" s="43"/>
      <c r="AZ637" s="43"/>
      <c r="BN637" s="1272">
        <f t="shared" si="39"/>
        <v>0</v>
      </c>
      <c r="BO637" s="1273"/>
      <c r="BP637" s="1273"/>
      <c r="BQ637" s="1273"/>
      <c r="BR637" s="1274"/>
      <c r="BS637" s="1272">
        <f t="shared" si="40"/>
        <v>0</v>
      </c>
      <c r="BT637" s="1273"/>
      <c r="BU637" s="1273"/>
      <c r="BV637" s="1273"/>
      <c r="BW637" s="1274"/>
      <c r="BX637" s="1272">
        <f t="shared" si="41"/>
        <v>0</v>
      </c>
      <c r="BY637" s="1273"/>
      <c r="BZ637" s="1273"/>
      <c r="CA637" s="1273"/>
      <c r="CB637" s="1274"/>
      <c r="CC637" s="1272">
        <f t="shared" si="42"/>
        <v>0</v>
      </c>
      <c r="CD637" s="1273"/>
      <c r="CE637" s="1273"/>
      <c r="CF637" s="1273"/>
      <c r="CG637" s="1274"/>
      <c r="CH637" s="1272">
        <f t="shared" si="43"/>
        <v>0</v>
      </c>
      <c r="CI637" s="1273"/>
      <c r="CJ637" s="1273"/>
      <c r="CK637" s="1273"/>
      <c r="CL637" s="1274"/>
      <c r="CM637" s="1272">
        <f t="shared" si="44"/>
        <v>0</v>
      </c>
      <c r="CN637" s="1273"/>
      <c r="CO637" s="1273"/>
      <c r="CP637" s="1273"/>
      <c r="CQ637" s="1274"/>
      <c r="CR637" s="41"/>
      <c r="CS637" s="41"/>
    </row>
    <row r="638" spans="1:126" ht="12.95" customHeight="1">
      <c r="A638" s="4"/>
      <c r="B638" t="s">
        <v>372</v>
      </c>
      <c r="G638" s="1061" t="s">
        <v>2406</v>
      </c>
      <c r="H638" s="1061"/>
      <c r="I638" s="1061"/>
      <c r="J638" s="1061"/>
      <c r="K638" s="1061"/>
      <c r="L638" s="1061"/>
      <c r="M638" s="1061"/>
      <c r="N638" s="1061"/>
      <c r="O638" s="1061"/>
      <c r="P638" s="1061"/>
      <c r="Q638" s="1061"/>
      <c r="R638" s="1061"/>
      <c r="S638" s="12"/>
      <c r="T638" s="4"/>
      <c r="U638" t="s">
        <v>372</v>
      </c>
      <c r="Z638" s="1061" t="s">
        <v>2417</v>
      </c>
      <c r="AA638" s="1061"/>
      <c r="AB638" s="1061"/>
      <c r="AC638" s="1061"/>
      <c r="AD638" s="1061"/>
      <c r="AE638" s="1061"/>
      <c r="AF638" s="1061"/>
      <c r="AG638" s="1061"/>
      <c r="AH638" s="1061"/>
      <c r="AI638" s="1061"/>
      <c r="AJ638" s="1061"/>
      <c r="AK638" s="1061"/>
      <c r="AM638" s="43"/>
      <c r="AN638" s="43"/>
      <c r="AO638" s="43"/>
      <c r="AP638" s="43"/>
      <c r="AQ638" s="43"/>
      <c r="AR638" s="43"/>
      <c r="AS638" s="43"/>
      <c r="AT638" s="43"/>
      <c r="AU638" s="43"/>
      <c r="AV638" s="43"/>
      <c r="AW638" s="43"/>
      <c r="AX638" s="43"/>
      <c r="AY638" s="43"/>
      <c r="AZ638" s="43"/>
      <c r="BN638" s="1272">
        <f t="shared" si="39"/>
        <v>0</v>
      </c>
      <c r="BO638" s="1273"/>
      <c r="BP638" s="1273"/>
      <c r="BQ638" s="1273"/>
      <c r="BR638" s="1274"/>
      <c r="BS638" s="1272">
        <f t="shared" si="40"/>
        <v>0</v>
      </c>
      <c r="BT638" s="1273"/>
      <c r="BU638" s="1273"/>
      <c r="BV638" s="1273"/>
      <c r="BW638" s="1274"/>
      <c r="BX638" s="1272">
        <f t="shared" si="41"/>
        <v>0</v>
      </c>
      <c r="BY638" s="1273"/>
      <c r="BZ638" s="1273"/>
      <c r="CA638" s="1273"/>
      <c r="CB638" s="1274"/>
      <c r="CC638" s="1272">
        <f t="shared" si="42"/>
        <v>0</v>
      </c>
      <c r="CD638" s="1273"/>
      <c r="CE638" s="1273"/>
      <c r="CF638" s="1273"/>
      <c r="CG638" s="1274"/>
      <c r="CH638" s="1272">
        <f t="shared" si="43"/>
        <v>0</v>
      </c>
      <c r="CI638" s="1273"/>
      <c r="CJ638" s="1273"/>
      <c r="CK638" s="1273"/>
      <c r="CL638" s="1274"/>
      <c r="CM638" s="1272">
        <f t="shared" si="44"/>
        <v>0</v>
      </c>
      <c r="CN638" s="1273"/>
      <c r="CO638" s="1273"/>
      <c r="CP638" s="1273"/>
      <c r="CQ638" s="1274"/>
      <c r="CR638" s="41"/>
      <c r="CS638" s="41"/>
    </row>
    <row r="639" spans="1:126" ht="12.95" customHeight="1">
      <c r="A639" s="4"/>
      <c r="B639" t="s">
        <v>430</v>
      </c>
      <c r="G639" s="1061" t="s">
        <v>113</v>
      </c>
      <c r="H639" s="1061"/>
      <c r="I639" s="1061"/>
      <c r="J639" s="1061"/>
      <c r="K639" s="1061"/>
      <c r="L639" s="1061"/>
      <c r="M639" s="1061"/>
      <c r="N639" s="1061"/>
      <c r="O639" s="1061"/>
      <c r="P639" s="1061"/>
      <c r="Q639" s="1061"/>
      <c r="R639" s="1061"/>
      <c r="T639" s="4"/>
      <c r="U639" t="s">
        <v>430</v>
      </c>
      <c r="Z639" s="1067" t="s">
        <v>391</v>
      </c>
      <c r="AA639" s="1067"/>
      <c r="AB639" s="1067"/>
      <c r="AC639" s="1067"/>
      <c r="AD639" s="1067"/>
      <c r="AE639" s="1067"/>
      <c r="AF639" s="1067"/>
      <c r="AG639" s="1067"/>
      <c r="AH639" s="1067"/>
      <c r="AI639" s="1067"/>
      <c r="AJ639" s="1067"/>
      <c r="AK639" s="1067"/>
      <c r="AM639" s="43"/>
      <c r="AN639" s="43"/>
      <c r="AO639" s="43"/>
      <c r="AP639" s="43"/>
      <c r="AQ639" s="43"/>
      <c r="AR639" s="43"/>
      <c r="AS639" s="43"/>
      <c r="AT639" s="43"/>
      <c r="AU639" s="43"/>
      <c r="AV639" s="43"/>
      <c r="AW639" s="43"/>
      <c r="AX639" s="43"/>
      <c r="AY639" s="43"/>
      <c r="AZ639" s="43"/>
      <c r="BN639" s="1272">
        <f t="shared" si="39"/>
        <v>0</v>
      </c>
      <c r="BO639" s="1273"/>
      <c r="BP639" s="1273"/>
      <c r="BQ639" s="1273"/>
      <c r="BR639" s="1274"/>
      <c r="BS639" s="1272">
        <f t="shared" si="40"/>
        <v>0</v>
      </c>
      <c r="BT639" s="1273"/>
      <c r="BU639" s="1273"/>
      <c r="BV639" s="1273"/>
      <c r="BW639" s="1274"/>
      <c r="BX639" s="1272">
        <f t="shared" si="41"/>
        <v>0</v>
      </c>
      <c r="BY639" s="1273"/>
      <c r="BZ639" s="1273"/>
      <c r="CA639" s="1273"/>
      <c r="CB639" s="1274"/>
      <c r="CC639" s="1272">
        <f t="shared" si="42"/>
        <v>0</v>
      </c>
      <c r="CD639" s="1273"/>
      <c r="CE639" s="1273"/>
      <c r="CF639" s="1273"/>
      <c r="CG639" s="1274"/>
      <c r="CH639" s="1272">
        <f t="shared" si="43"/>
        <v>0</v>
      </c>
      <c r="CI639" s="1273"/>
      <c r="CJ639" s="1273"/>
      <c r="CK639" s="1273"/>
      <c r="CL639" s="1274"/>
      <c r="CM639" s="1272">
        <f t="shared" si="44"/>
        <v>0</v>
      </c>
      <c r="CN639" s="1273"/>
      <c r="CO639" s="1273"/>
      <c r="CP639" s="1273"/>
      <c r="CQ639" s="1274"/>
      <c r="CR639" s="41"/>
      <c r="CS639" s="41"/>
    </row>
    <row r="640" spans="1:126" ht="12.95" customHeight="1">
      <c r="A640" s="4"/>
      <c r="B640" t="s">
        <v>833</v>
      </c>
      <c r="G640" s="1061" t="s">
        <v>2407</v>
      </c>
      <c r="H640" s="1061"/>
      <c r="I640" s="1061"/>
      <c r="J640" s="1061"/>
      <c r="K640" s="1061"/>
      <c r="L640" s="1061"/>
      <c r="M640" s="1061"/>
      <c r="N640" s="1061"/>
      <c r="O640" s="1061"/>
      <c r="P640" s="1061"/>
      <c r="Q640" s="1061"/>
      <c r="R640" s="1061"/>
      <c r="S640" s="12"/>
      <c r="T640" s="4"/>
      <c r="U640" t="s">
        <v>833</v>
      </c>
      <c r="Z640" s="1067" t="s">
        <v>2327</v>
      </c>
      <c r="AA640" s="1067"/>
      <c r="AB640" s="1067"/>
      <c r="AC640" s="1067"/>
      <c r="AD640" s="1067"/>
      <c r="AE640" s="1067"/>
      <c r="AF640" s="1067"/>
      <c r="AG640" s="1067"/>
      <c r="AH640" s="1067"/>
      <c r="AI640" s="1067"/>
      <c r="AJ640" s="1067"/>
      <c r="AK640" s="1067"/>
      <c r="AM640" s="43"/>
      <c r="AN640" s="43"/>
      <c r="AO640" s="43"/>
      <c r="AP640" s="43"/>
      <c r="AQ640" s="43"/>
      <c r="AR640" s="43"/>
      <c r="AS640" s="43"/>
      <c r="AT640" s="43"/>
      <c r="AU640" s="43"/>
      <c r="AV640" s="43"/>
      <c r="AW640" s="43"/>
      <c r="AX640" s="43"/>
      <c r="AY640" s="43"/>
      <c r="AZ640" s="43"/>
      <c r="BN640" s="1272">
        <f t="shared" si="39"/>
        <v>0</v>
      </c>
      <c r="BO640" s="1273"/>
      <c r="BP640" s="1273"/>
      <c r="BQ640" s="1273"/>
      <c r="BR640" s="1274"/>
      <c r="BS640" s="1272">
        <f t="shared" si="40"/>
        <v>0</v>
      </c>
      <c r="BT640" s="1273"/>
      <c r="BU640" s="1273"/>
      <c r="BV640" s="1273"/>
      <c r="BW640" s="1274"/>
      <c r="BX640" s="1272">
        <f t="shared" si="41"/>
        <v>0</v>
      </c>
      <c r="BY640" s="1273"/>
      <c r="BZ640" s="1273"/>
      <c r="CA640" s="1273"/>
      <c r="CB640" s="1274"/>
      <c r="CC640" s="1272">
        <f t="shared" si="42"/>
        <v>0</v>
      </c>
      <c r="CD640" s="1273"/>
      <c r="CE640" s="1273"/>
      <c r="CF640" s="1273"/>
      <c r="CG640" s="1274"/>
      <c r="CH640" s="1272">
        <f t="shared" si="43"/>
        <v>0</v>
      </c>
      <c r="CI640" s="1273"/>
      <c r="CJ640" s="1273"/>
      <c r="CK640" s="1273"/>
      <c r="CL640" s="1274"/>
      <c r="CM640" s="1272">
        <f t="shared" si="44"/>
        <v>0</v>
      </c>
      <c r="CN640" s="1273"/>
      <c r="CO640" s="1273"/>
      <c r="CP640" s="1273"/>
      <c r="CQ640" s="1274"/>
      <c r="CR640" s="41"/>
      <c r="CS640" s="41"/>
    </row>
    <row r="641" spans="1:97" ht="12.95" customHeight="1">
      <c r="A641" s="4"/>
      <c r="B641" t="s">
        <v>650</v>
      </c>
      <c r="G641" s="1263" t="s">
        <v>2408</v>
      </c>
      <c r="H641" s="1263"/>
      <c r="I641" s="1263"/>
      <c r="J641" s="1263"/>
      <c r="K641" s="1263"/>
      <c r="L641" s="1263"/>
      <c r="O641" s="42" t="s">
        <v>818</v>
      </c>
      <c r="P641" s="1268"/>
      <c r="Q641" s="1268"/>
      <c r="R641" s="1268"/>
      <c r="S641" s="14"/>
      <c r="T641" s="4"/>
      <c r="U641" t="s">
        <v>650</v>
      </c>
      <c r="Z641" s="1263" t="s">
        <v>2329</v>
      </c>
      <c r="AA641" s="1263"/>
      <c r="AB641" s="1263"/>
      <c r="AC641" s="1263"/>
      <c r="AD641" s="1263"/>
      <c r="AE641" s="1263"/>
      <c r="AH641" s="42" t="s">
        <v>818</v>
      </c>
      <c r="AI641" s="1268"/>
      <c r="AJ641" s="1268"/>
      <c r="AK641" s="1268"/>
      <c r="AM641" s="43"/>
      <c r="AN641" s="43"/>
      <c r="AO641" s="43"/>
      <c r="AP641" s="43"/>
      <c r="AQ641" s="43"/>
      <c r="AR641" s="43"/>
      <c r="AS641" s="43"/>
      <c r="AT641" s="43"/>
      <c r="AU641" s="43"/>
      <c r="AV641" s="43"/>
      <c r="AW641" s="43"/>
      <c r="AX641" s="43"/>
      <c r="AY641" s="43"/>
      <c r="AZ641" s="43"/>
      <c r="BN641" s="1272">
        <f t="shared" si="39"/>
        <v>0</v>
      </c>
      <c r="BO641" s="1273"/>
      <c r="BP641" s="1273"/>
      <c r="BQ641" s="1273"/>
      <c r="BR641" s="1274"/>
      <c r="BS641" s="1272">
        <f t="shared" si="40"/>
        <v>0</v>
      </c>
      <c r="BT641" s="1273"/>
      <c r="BU641" s="1273"/>
      <c r="BV641" s="1273"/>
      <c r="BW641" s="1274"/>
      <c r="BX641" s="1272">
        <f t="shared" si="41"/>
        <v>0</v>
      </c>
      <c r="BY641" s="1273"/>
      <c r="BZ641" s="1273"/>
      <c r="CA641" s="1273"/>
      <c r="CB641" s="1274"/>
      <c r="CC641" s="1272">
        <f t="shared" si="42"/>
        <v>0</v>
      </c>
      <c r="CD641" s="1273"/>
      <c r="CE641" s="1273"/>
      <c r="CF641" s="1273"/>
      <c r="CG641" s="1274"/>
      <c r="CH641" s="1272">
        <f t="shared" si="43"/>
        <v>0</v>
      </c>
      <c r="CI641" s="1273"/>
      <c r="CJ641" s="1273"/>
      <c r="CK641" s="1273"/>
      <c r="CL641" s="1274"/>
      <c r="CM641" s="1272">
        <f t="shared" si="44"/>
        <v>0</v>
      </c>
      <c r="CN641" s="1273"/>
      <c r="CO641" s="1273"/>
      <c r="CP641" s="1273"/>
      <c r="CQ641" s="1274"/>
      <c r="CR641" s="41"/>
      <c r="CS641" s="41"/>
    </row>
    <row r="642" spans="1:97" ht="12.95" customHeight="1">
      <c r="A642" s="4"/>
      <c r="B642" t="s">
        <v>834</v>
      </c>
      <c r="H642" s="1061" t="s">
        <v>2422</v>
      </c>
      <c r="I642" s="1061"/>
      <c r="J642" s="1061"/>
      <c r="K642" s="1061"/>
      <c r="L642" s="1061"/>
      <c r="M642" s="1061"/>
      <c r="N642" s="1061"/>
      <c r="O642" s="1061"/>
      <c r="P642" s="1061"/>
      <c r="Q642" s="1061"/>
      <c r="R642" s="1061"/>
      <c r="S642" s="12"/>
      <c r="T642" s="4"/>
      <c r="U642" t="s">
        <v>834</v>
      </c>
      <c r="AA642" s="1061" t="s">
        <v>2419</v>
      </c>
      <c r="AB642" s="1061"/>
      <c r="AC642" s="1061"/>
      <c r="AD642" s="1061"/>
      <c r="AE642" s="1061"/>
      <c r="AF642" s="1061"/>
      <c r="AG642" s="1061"/>
      <c r="AH642" s="1061"/>
      <c r="AI642" s="1061"/>
      <c r="AJ642" s="1061"/>
      <c r="AK642" s="1061"/>
      <c r="AM642" s="43"/>
      <c r="AN642" s="43"/>
      <c r="AO642" s="43"/>
      <c r="AP642" s="43"/>
      <c r="AQ642" s="43"/>
      <c r="AR642" s="43"/>
      <c r="AS642" s="43"/>
      <c r="AT642" s="43"/>
      <c r="AU642" s="43"/>
      <c r="AV642" s="43"/>
      <c r="AW642" s="43"/>
      <c r="AX642" s="43"/>
      <c r="AY642" s="43"/>
      <c r="AZ642" s="43"/>
      <c r="BN642" s="1272">
        <f t="shared" si="39"/>
        <v>0</v>
      </c>
      <c r="BO642" s="1273"/>
      <c r="BP642" s="1273"/>
      <c r="BQ642" s="1273"/>
      <c r="BR642" s="1274"/>
      <c r="BS642" s="1272">
        <f t="shared" si="40"/>
        <v>0</v>
      </c>
      <c r="BT642" s="1273"/>
      <c r="BU642" s="1273"/>
      <c r="BV642" s="1273"/>
      <c r="BW642" s="1274"/>
      <c r="BX642" s="1272">
        <f t="shared" si="41"/>
        <v>0</v>
      </c>
      <c r="BY642" s="1273"/>
      <c r="BZ642" s="1273"/>
      <c r="CA642" s="1273"/>
      <c r="CB642" s="1274"/>
      <c r="CC642" s="1272">
        <f t="shared" si="42"/>
        <v>0</v>
      </c>
      <c r="CD642" s="1273"/>
      <c r="CE642" s="1273"/>
      <c r="CF642" s="1273"/>
      <c r="CG642" s="1274"/>
      <c r="CH642" s="1272">
        <f t="shared" si="43"/>
        <v>0</v>
      </c>
      <c r="CI642" s="1273"/>
      <c r="CJ642" s="1273"/>
      <c r="CK642" s="1273"/>
      <c r="CL642" s="1274"/>
      <c r="CM642" s="1272">
        <f t="shared" si="44"/>
        <v>0</v>
      </c>
      <c r="CN642" s="1273"/>
      <c r="CO642" s="1273"/>
      <c r="CP642" s="1273"/>
      <c r="CQ642" s="1274"/>
      <c r="CR642" s="41"/>
      <c r="CS642" s="41"/>
    </row>
    <row r="643" spans="1:97" ht="12.95" customHeight="1">
      <c r="A643" s="5"/>
      <c r="B643" t="s">
        <v>836</v>
      </c>
      <c r="N643" s="1066" t="s">
        <v>108</v>
      </c>
      <c r="O643" s="1066"/>
      <c r="T643" s="4"/>
      <c r="U643" t="s">
        <v>836</v>
      </c>
      <c r="AG643" s="1066" t="s">
        <v>108</v>
      </c>
      <c r="AH643" s="1066"/>
      <c r="AM643" s="43"/>
      <c r="AN643" s="43"/>
      <c r="AO643" s="43"/>
      <c r="AP643" s="43"/>
      <c r="AQ643" s="43"/>
      <c r="AR643" s="43"/>
      <c r="AS643" s="43"/>
      <c r="AT643" s="43"/>
      <c r="AU643" s="43"/>
      <c r="AV643" s="43"/>
      <c r="AW643" s="43"/>
      <c r="AX643" s="43"/>
      <c r="AY643" s="43"/>
      <c r="AZ643" s="43"/>
      <c r="BA643" s="43"/>
      <c r="BB643" s="41"/>
      <c r="BC643" s="41"/>
      <c r="BD643" s="41"/>
      <c r="BN643" s="1272">
        <f t="shared" si="39"/>
        <v>0</v>
      </c>
      <c r="BO643" s="1273"/>
      <c r="BP643" s="1273"/>
      <c r="BQ643" s="1273"/>
      <c r="BR643" s="1274"/>
      <c r="BS643" s="1272">
        <f t="shared" si="40"/>
        <v>0</v>
      </c>
      <c r="BT643" s="1273"/>
      <c r="BU643" s="1273"/>
      <c r="BV643" s="1273"/>
      <c r="BW643" s="1274"/>
      <c r="BX643" s="1272">
        <f t="shared" si="41"/>
        <v>0</v>
      </c>
      <c r="BY643" s="1273"/>
      <c r="BZ643" s="1273"/>
      <c r="CA643" s="1273"/>
      <c r="CB643" s="1274"/>
      <c r="CC643" s="1272">
        <f t="shared" si="42"/>
        <v>0</v>
      </c>
      <c r="CD643" s="1273"/>
      <c r="CE643" s="1273"/>
      <c r="CF643" s="1273"/>
      <c r="CG643" s="1274"/>
      <c r="CH643" s="1272">
        <f t="shared" si="43"/>
        <v>0</v>
      </c>
      <c r="CI643" s="1273"/>
      <c r="CJ643" s="1273"/>
      <c r="CK643" s="1273"/>
      <c r="CL643" s="1274"/>
      <c r="CM643" s="1272">
        <f t="shared" si="44"/>
        <v>0</v>
      </c>
      <c r="CN643" s="1273"/>
      <c r="CO643" s="1273"/>
      <c r="CP643" s="1273"/>
      <c r="CQ643" s="1274"/>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2">
        <f t="shared" si="39"/>
        <v>0</v>
      </c>
      <c r="BO644" s="1273"/>
      <c r="BP644" s="1273"/>
      <c r="BQ644" s="1273"/>
      <c r="BR644" s="1274"/>
      <c r="BS644" s="1272">
        <f t="shared" si="40"/>
        <v>0</v>
      </c>
      <c r="BT644" s="1273"/>
      <c r="BU644" s="1273"/>
      <c r="BV644" s="1273"/>
      <c r="BW644" s="1274"/>
      <c r="BX644" s="1272">
        <f t="shared" si="41"/>
        <v>0</v>
      </c>
      <c r="BY644" s="1273"/>
      <c r="BZ644" s="1273"/>
      <c r="CA644" s="1273"/>
      <c r="CB644" s="1274"/>
      <c r="CC644" s="1272">
        <f t="shared" si="42"/>
        <v>0</v>
      </c>
      <c r="CD644" s="1273"/>
      <c r="CE644" s="1273"/>
      <c r="CF644" s="1273"/>
      <c r="CG644" s="1274"/>
      <c r="CH644" s="1272">
        <f t="shared" si="43"/>
        <v>0</v>
      </c>
      <c r="CI644" s="1273"/>
      <c r="CJ644" s="1273"/>
      <c r="CK644" s="1273"/>
      <c r="CL644" s="1274"/>
      <c r="CM644" s="1272">
        <f t="shared" si="44"/>
        <v>0</v>
      </c>
      <c r="CN644" s="1273"/>
      <c r="CO644" s="1273"/>
      <c r="CP644" s="1273"/>
      <c r="CQ644" s="1274"/>
      <c r="CR644" s="41"/>
      <c r="CS644" s="41"/>
    </row>
    <row r="645" spans="1:97" ht="12.95" customHeight="1">
      <c r="A645" s="61" t="s">
        <v>907</v>
      </c>
      <c r="B645" t="s">
        <v>82</v>
      </c>
      <c r="G645" s="1267" t="str">
        <f>C623</f>
        <v>City of Fresno - HOME Funds</v>
      </c>
      <c r="H645" s="1267"/>
      <c r="I645" s="1267"/>
      <c r="J645" s="1267"/>
      <c r="K645" s="1267"/>
      <c r="L645" s="1267"/>
      <c r="M645" s="1267"/>
      <c r="N645" s="1267"/>
      <c r="O645" s="1267"/>
      <c r="P645" s="1267"/>
      <c r="Q645" s="1267"/>
      <c r="R645" s="1267"/>
      <c r="T645" s="61" t="s">
        <v>431</v>
      </c>
      <c r="U645" t="s">
        <v>82</v>
      </c>
      <c r="Z645" s="1267">
        <f>C624</f>
        <v>0</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A645" s="43"/>
      <c r="BB645" s="41"/>
      <c r="BC645" s="41"/>
      <c r="BD645" s="41"/>
      <c r="BN645" s="1275">
        <f>SUM(BN635:BR644)</f>
        <v>0</v>
      </c>
      <c r="BO645" s="1276"/>
      <c r="BP645" s="1276"/>
      <c r="BQ645" s="1276"/>
      <c r="BR645" s="1277"/>
      <c r="BS645" s="1275">
        <f>SUM(BS635:BW644)</f>
        <v>0</v>
      </c>
      <c r="BT645" s="1276"/>
      <c r="BU645" s="1276"/>
      <c r="BV645" s="1276"/>
      <c r="BW645" s="1277"/>
      <c r="BX645" s="1275">
        <f>SUM(BX635:CB644)</f>
        <v>0</v>
      </c>
      <c r="BY645" s="1276"/>
      <c r="BZ645" s="1276"/>
      <c r="CA645" s="1276"/>
      <c r="CB645" s="1277"/>
      <c r="CC645" s="1275">
        <f>SUM(CC635:CG644)</f>
        <v>0</v>
      </c>
      <c r="CD645" s="1276"/>
      <c r="CE645" s="1276"/>
      <c r="CF645" s="1276"/>
      <c r="CG645" s="1277"/>
      <c r="CH645" s="1275">
        <f>SUM(CH635:CL644)</f>
        <v>0</v>
      </c>
      <c r="CI645" s="1276"/>
      <c r="CJ645" s="1276"/>
      <c r="CK645" s="1276"/>
      <c r="CL645" s="1277"/>
      <c r="CM645" s="1275">
        <f>SUM(CM635:CQ644)</f>
        <v>0</v>
      </c>
      <c r="CN645" s="1276"/>
      <c r="CO645" s="1276"/>
      <c r="CP645" s="1276"/>
      <c r="CQ645" s="1277"/>
      <c r="CR645" s="41"/>
      <c r="CS645" s="41"/>
    </row>
    <row r="646" spans="1:97" ht="12.95" customHeight="1" thickBot="1">
      <c r="A646" s="4"/>
      <c r="B646" t="s">
        <v>372</v>
      </c>
      <c r="G646" s="1061" t="s">
        <v>2417</v>
      </c>
      <c r="H646" s="1061"/>
      <c r="I646" s="1061"/>
      <c r="J646" s="1061"/>
      <c r="K646" s="1061"/>
      <c r="L646" s="1061"/>
      <c r="M646" s="1061"/>
      <c r="N646" s="1061"/>
      <c r="O646" s="1061"/>
      <c r="P646" s="1061"/>
      <c r="Q646" s="1061"/>
      <c r="R646" s="1061"/>
      <c r="T646" s="4"/>
      <c r="U646" t="s">
        <v>372</v>
      </c>
      <c r="Z646" s="1061"/>
      <c r="AA646" s="1061"/>
      <c r="AB646" s="1061"/>
      <c r="AC646" s="1061"/>
      <c r="AD646" s="1061"/>
      <c r="AE646" s="1061"/>
      <c r="AF646" s="1061"/>
      <c r="AG646" s="1061"/>
      <c r="AH646" s="1061"/>
      <c r="AI646" s="1061"/>
      <c r="AJ646" s="1061"/>
      <c r="AK646" s="1061"/>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67" t="s">
        <v>391</v>
      </c>
      <c r="H647" s="1067"/>
      <c r="I647" s="1067"/>
      <c r="J647" s="1067"/>
      <c r="K647" s="1067"/>
      <c r="L647" s="1067"/>
      <c r="M647" s="1067"/>
      <c r="N647" s="1067"/>
      <c r="O647" s="1067"/>
      <c r="P647" s="1067"/>
      <c r="Q647" s="1067"/>
      <c r="R647" s="1067"/>
      <c r="T647" s="4"/>
      <c r="U647" t="s">
        <v>430</v>
      </c>
      <c r="Z647" s="1067"/>
      <c r="AA647" s="1067"/>
      <c r="AB647" s="1067"/>
      <c r="AC647" s="1067"/>
      <c r="AD647" s="1067"/>
      <c r="AE647" s="1067"/>
      <c r="AF647" s="1067"/>
      <c r="AG647" s="1067"/>
      <c r="AH647" s="1067"/>
      <c r="AI647" s="1067"/>
      <c r="AJ647" s="1067"/>
      <c r="AK647" s="1067"/>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833</v>
      </c>
      <c r="G648" s="1067" t="s">
        <v>2327</v>
      </c>
      <c r="H648" s="1067"/>
      <c r="I648" s="1067"/>
      <c r="J648" s="1067"/>
      <c r="K648" s="1067"/>
      <c r="L648" s="1067"/>
      <c r="M648" s="1067"/>
      <c r="N648" s="1067"/>
      <c r="O648" s="1067"/>
      <c r="P648" s="1067"/>
      <c r="Q648" s="1067"/>
      <c r="R648" s="1067"/>
      <c r="T648" s="4"/>
      <c r="U648" t="s">
        <v>833</v>
      </c>
      <c r="Z648" s="1067"/>
      <c r="AA648" s="1067"/>
      <c r="AB648" s="1067"/>
      <c r="AC648" s="1067"/>
      <c r="AD648" s="1067"/>
      <c r="AE648" s="1067"/>
      <c r="AF648" s="1067"/>
      <c r="AG648" s="1067"/>
      <c r="AH648" s="1067"/>
      <c r="AI648" s="1067"/>
      <c r="AJ648" s="1067"/>
      <c r="AK648" s="106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3" t="s">
        <v>2329</v>
      </c>
      <c r="H649" s="1263"/>
      <c r="I649" s="1263"/>
      <c r="J649" s="1263"/>
      <c r="K649" s="1263"/>
      <c r="L649" s="1263"/>
      <c r="O649" s="42" t="s">
        <v>818</v>
      </c>
      <c r="P649" s="1268"/>
      <c r="Q649" s="1268"/>
      <c r="R649" s="1268"/>
      <c r="T649" s="4"/>
      <c r="U649" t="s">
        <v>650</v>
      </c>
      <c r="Z649" s="1263"/>
      <c r="AA649" s="1263"/>
      <c r="AB649" s="1263"/>
      <c r="AC649" s="1263"/>
      <c r="AD649" s="1263"/>
      <c r="AE649" s="1263"/>
      <c r="AH649" s="42" t="s">
        <v>818</v>
      </c>
      <c r="AI649" s="1268"/>
      <c r="AJ649" s="1268"/>
      <c r="AK649" s="1268"/>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209</v>
      </c>
      <c r="CR649" s="41"/>
      <c r="CS649" s="41"/>
    </row>
    <row r="650" spans="1:97" ht="12.95" customHeight="1">
      <c r="A650" s="4"/>
      <c r="B650" t="s">
        <v>834</v>
      </c>
      <c r="H650" s="1061" t="s">
        <v>2423</v>
      </c>
      <c r="I650" s="1061"/>
      <c r="J650" s="1061"/>
      <c r="K650" s="1061"/>
      <c r="L650" s="1061"/>
      <c r="M650" s="1061"/>
      <c r="N650" s="1061"/>
      <c r="O650" s="1061"/>
      <c r="P650" s="1061"/>
      <c r="Q650" s="1061"/>
      <c r="R650" s="1061"/>
      <c r="T650" s="4"/>
      <c r="U650" t="s">
        <v>834</v>
      </c>
      <c r="AA650" s="1061"/>
      <c r="AB650" s="1061"/>
      <c r="AC650" s="1061"/>
      <c r="AD650" s="1061"/>
      <c r="AE650" s="1061"/>
      <c r="AF650" s="1061"/>
      <c r="AG650" s="1061"/>
      <c r="AH650" s="1061"/>
      <c r="AI650" s="1061"/>
      <c r="AJ650" s="1061"/>
      <c r="AK650" s="1061"/>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66" t="s">
        <v>108</v>
      </c>
      <c r="O651" s="1066"/>
      <c r="T651" s="4"/>
      <c r="U651" t="s">
        <v>836</v>
      </c>
      <c r="AG651" s="1066" t="s">
        <v>482</v>
      </c>
      <c r="AH651" s="1066"/>
      <c r="AM651" s="41"/>
      <c r="AN651" s="41"/>
      <c r="AO651" s="41"/>
      <c r="AP651" s="41"/>
      <c r="AQ651" s="41"/>
      <c r="AR651" s="41"/>
      <c r="AS651" s="41"/>
      <c r="AT651" s="41"/>
      <c r="AU651" s="41"/>
      <c r="AV651" s="41"/>
      <c r="AW651" s="41"/>
      <c r="AX651" s="41"/>
      <c r="AY651" s="41"/>
      <c r="AZ651" s="41"/>
      <c r="BA651" s="41"/>
      <c r="BB651" s="41"/>
      <c r="BC651" s="41"/>
      <c r="BD651" s="41"/>
      <c r="BN651" s="1275">
        <f>BN626+BN633+BN645</f>
        <v>0</v>
      </c>
      <c r="BO651" s="1276"/>
      <c r="BP651" s="1276"/>
      <c r="BQ651" s="1276"/>
      <c r="BR651" s="1277"/>
      <c r="BS651" s="1275">
        <f>BS626+BS633+BS645</f>
        <v>59</v>
      </c>
      <c r="BT651" s="1276"/>
      <c r="BU651" s="1276"/>
      <c r="BV651" s="1276"/>
      <c r="BW651" s="1277"/>
      <c r="BX651" s="1275">
        <f>BX626+BX633+BX645</f>
        <v>31</v>
      </c>
      <c r="BY651" s="1276"/>
      <c r="BZ651" s="1276"/>
      <c r="CA651" s="1276"/>
      <c r="CB651" s="1277"/>
      <c r="CC651" s="1275">
        <f>CC626+CC633+CC645</f>
        <v>30</v>
      </c>
      <c r="CD651" s="1276"/>
      <c r="CE651" s="1276"/>
      <c r="CF651" s="1276"/>
      <c r="CG651" s="1277"/>
      <c r="CH651" s="1275">
        <f>CH626+CH633+CH645</f>
        <v>0</v>
      </c>
      <c r="CI651" s="1276"/>
      <c r="CJ651" s="1276"/>
      <c r="CK651" s="1276"/>
      <c r="CL651" s="1277"/>
      <c r="CM651" s="1278">
        <f>CM645+CM633+CM626</f>
        <v>0</v>
      </c>
      <c r="CN651" s="1279"/>
      <c r="CO651" s="1279"/>
      <c r="CP651" s="1279"/>
      <c r="CQ651" s="1280"/>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7">
        <f>C625</f>
        <v>0</v>
      </c>
      <c r="H653" s="1267"/>
      <c r="I653" s="1267"/>
      <c r="J653" s="1267"/>
      <c r="K653" s="1267"/>
      <c r="L653" s="1267"/>
      <c r="M653" s="1267"/>
      <c r="N653" s="1267"/>
      <c r="O653" s="1267"/>
      <c r="P653" s="1267"/>
      <c r="Q653" s="1267"/>
      <c r="R653" s="1267"/>
      <c r="T653" s="61" t="s">
        <v>434</v>
      </c>
      <c r="U653" t="s">
        <v>82</v>
      </c>
      <c r="Z653" s="1267">
        <f>C626</f>
        <v>0</v>
      </c>
      <c r="AA653" s="1267"/>
      <c r="AB653" s="1267"/>
      <c r="AC653" s="1267"/>
      <c r="AD653" s="1267"/>
      <c r="AE653" s="1267"/>
      <c r="AF653" s="1267"/>
      <c r="AG653" s="1267"/>
      <c r="AH653" s="1267"/>
      <c r="AI653" s="1267"/>
      <c r="AJ653" s="1267"/>
      <c r="AK653" s="126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61"/>
      <c r="H654" s="1061"/>
      <c r="I654" s="1061"/>
      <c r="J654" s="1061"/>
      <c r="K654" s="1061"/>
      <c r="L654" s="1061"/>
      <c r="M654" s="1061"/>
      <c r="N654" s="1061"/>
      <c r="O654" s="1061"/>
      <c r="P654" s="1061"/>
      <c r="Q654" s="1061"/>
      <c r="R654" s="1061"/>
      <c r="T654" s="4"/>
      <c r="U654" t="s">
        <v>372</v>
      </c>
      <c r="Z654" s="1061"/>
      <c r="AA654" s="1061"/>
      <c r="AB654" s="1061"/>
      <c r="AC654" s="1061"/>
      <c r="AD654" s="1061"/>
      <c r="AE654" s="1061"/>
      <c r="AF654" s="1061"/>
      <c r="AG654" s="1061"/>
      <c r="AH654" s="1061"/>
      <c r="AI654" s="1061"/>
      <c r="AJ654" s="1061"/>
      <c r="AK654" s="106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61"/>
      <c r="H655" s="1061"/>
      <c r="I655" s="1061"/>
      <c r="J655" s="1061"/>
      <c r="K655" s="1061"/>
      <c r="L655" s="1061"/>
      <c r="M655" s="1061"/>
      <c r="N655" s="1061"/>
      <c r="O655" s="1061"/>
      <c r="P655" s="1061"/>
      <c r="Q655" s="1061"/>
      <c r="R655" s="1061"/>
      <c r="T655" s="4"/>
      <c r="U655" t="s">
        <v>430</v>
      </c>
      <c r="Z655" s="1067"/>
      <c r="AA655" s="1067"/>
      <c r="AB655" s="1067"/>
      <c r="AC655" s="1067"/>
      <c r="AD655" s="1067"/>
      <c r="AE655" s="1067"/>
      <c r="AF655" s="1067"/>
      <c r="AG655" s="1067"/>
      <c r="AH655" s="1067"/>
      <c r="AI655" s="1067"/>
      <c r="AJ655" s="1067"/>
      <c r="AK655" s="106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61"/>
      <c r="H656" s="1061"/>
      <c r="I656" s="1061"/>
      <c r="J656" s="1061"/>
      <c r="K656" s="1061"/>
      <c r="L656" s="1061"/>
      <c r="M656" s="1061"/>
      <c r="N656" s="1061"/>
      <c r="O656" s="1061"/>
      <c r="P656" s="1061"/>
      <c r="Q656" s="1061"/>
      <c r="R656" s="1061"/>
      <c r="T656" s="4"/>
      <c r="U656" t="s">
        <v>833</v>
      </c>
      <c r="Z656" s="1067"/>
      <c r="AA656" s="1067"/>
      <c r="AB656" s="1067"/>
      <c r="AC656" s="1067"/>
      <c r="AD656" s="1067"/>
      <c r="AE656" s="1067"/>
      <c r="AF656" s="1067"/>
      <c r="AG656" s="1067"/>
      <c r="AH656" s="1067"/>
      <c r="AI656" s="1067"/>
      <c r="AJ656" s="1067"/>
      <c r="AK656" s="106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3"/>
      <c r="H657" s="1263"/>
      <c r="I657" s="1263"/>
      <c r="J657" s="1263"/>
      <c r="K657" s="1263"/>
      <c r="L657" s="1263"/>
      <c r="O657" s="42" t="s">
        <v>818</v>
      </c>
      <c r="P657" s="1268"/>
      <c r="Q657" s="1268"/>
      <c r="R657" s="1268"/>
      <c r="T657" s="4"/>
      <c r="U657" t="s">
        <v>650</v>
      </c>
      <c r="Z657" s="1263"/>
      <c r="AA657" s="1263"/>
      <c r="AB657" s="1263"/>
      <c r="AC657" s="1263"/>
      <c r="AD657" s="1263"/>
      <c r="AE657" s="1263"/>
      <c r="AH657" s="42" t="s">
        <v>818</v>
      </c>
      <c r="AI657" s="1268"/>
      <c r="AJ657" s="1268"/>
      <c r="AK657" s="126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61"/>
      <c r="I658" s="1061"/>
      <c r="J658" s="1061"/>
      <c r="K658" s="1061"/>
      <c r="L658" s="1061"/>
      <c r="M658" s="1061"/>
      <c r="N658" s="1061"/>
      <c r="O658" s="1061"/>
      <c r="P658" s="1061"/>
      <c r="Q658" s="1061"/>
      <c r="R658" s="1061"/>
      <c r="T658" s="4"/>
      <c r="U658" t="s">
        <v>834</v>
      </c>
      <c r="AA658" s="1061"/>
      <c r="AB658" s="1061"/>
      <c r="AC658" s="1061"/>
      <c r="AD658" s="1061"/>
      <c r="AE658" s="1061"/>
      <c r="AF658" s="1061"/>
      <c r="AG658" s="1061"/>
      <c r="AH658" s="1061"/>
      <c r="AI658" s="1061"/>
      <c r="AJ658" s="1061"/>
      <c r="AK658" s="106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66" t="s">
        <v>482</v>
      </c>
      <c r="O659" s="1066"/>
      <c r="T659" s="4"/>
      <c r="U659" t="s">
        <v>836</v>
      </c>
      <c r="AG659" s="1066" t="s">
        <v>482</v>
      </c>
      <c r="AH659" s="106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7">
        <f>C627</f>
        <v>0</v>
      </c>
      <c r="H661" s="1267"/>
      <c r="I661" s="1267"/>
      <c r="J661" s="1267"/>
      <c r="K661" s="1267"/>
      <c r="L661" s="1267"/>
      <c r="M661" s="1267"/>
      <c r="N661" s="1267"/>
      <c r="O661" s="1267"/>
      <c r="P661" s="1267"/>
      <c r="Q661" s="1267"/>
      <c r="R661" s="1267"/>
      <c r="T661" s="61" t="s">
        <v>743</v>
      </c>
      <c r="U661" t="s">
        <v>82</v>
      </c>
      <c r="Z661" s="1267">
        <f>C628</f>
        <v>0</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61"/>
      <c r="H662" s="1061"/>
      <c r="I662" s="1061"/>
      <c r="J662" s="1061"/>
      <c r="K662" s="1061"/>
      <c r="L662" s="1061"/>
      <c r="M662" s="1061"/>
      <c r="N662" s="1061"/>
      <c r="O662" s="1061"/>
      <c r="P662" s="1061"/>
      <c r="Q662" s="1061"/>
      <c r="R662" s="1061"/>
      <c r="T662" s="4"/>
      <c r="U662" t="s">
        <v>372</v>
      </c>
      <c r="Z662" s="1061"/>
      <c r="AA662" s="1061"/>
      <c r="AB662" s="1061"/>
      <c r="AC662" s="1061"/>
      <c r="AD662" s="1061"/>
      <c r="AE662" s="1061"/>
      <c r="AF662" s="1061"/>
      <c r="AG662" s="1061"/>
      <c r="AH662" s="1061"/>
      <c r="AI662" s="1061"/>
      <c r="AJ662" s="1061"/>
      <c r="AK662" s="106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61"/>
      <c r="H663" s="1061"/>
      <c r="I663" s="1061"/>
      <c r="J663" s="1061"/>
      <c r="K663" s="1061"/>
      <c r="L663" s="1061"/>
      <c r="M663" s="1061"/>
      <c r="N663" s="1061"/>
      <c r="O663" s="1061"/>
      <c r="P663" s="1061"/>
      <c r="Q663" s="1061"/>
      <c r="R663" s="1061"/>
      <c r="T663" s="4"/>
      <c r="U663" t="s">
        <v>430</v>
      </c>
      <c r="Z663" s="1067"/>
      <c r="AA663" s="1067"/>
      <c r="AB663" s="1067"/>
      <c r="AC663" s="1067"/>
      <c r="AD663" s="1067"/>
      <c r="AE663" s="1067"/>
      <c r="AF663" s="1067"/>
      <c r="AG663" s="1067"/>
      <c r="AH663" s="1067"/>
      <c r="AI663" s="1067"/>
      <c r="AJ663" s="1067"/>
      <c r="AK663" s="10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61"/>
      <c r="H664" s="1061"/>
      <c r="I664" s="1061"/>
      <c r="J664" s="1061"/>
      <c r="K664" s="1061"/>
      <c r="L664" s="1061"/>
      <c r="M664" s="1061"/>
      <c r="N664" s="1061"/>
      <c r="O664" s="1061"/>
      <c r="P664" s="1061"/>
      <c r="Q664" s="1061"/>
      <c r="R664" s="1061"/>
      <c r="T664" s="4"/>
      <c r="U664" t="s">
        <v>833</v>
      </c>
      <c r="Z664" s="1067"/>
      <c r="AA664" s="1067"/>
      <c r="AB664" s="1067"/>
      <c r="AC664" s="1067"/>
      <c r="AD664" s="1067"/>
      <c r="AE664" s="1067"/>
      <c r="AF664" s="1067"/>
      <c r="AG664" s="1067"/>
      <c r="AH664" s="1067"/>
      <c r="AI664" s="1067"/>
      <c r="AJ664" s="1067"/>
      <c r="AK664" s="106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3"/>
      <c r="H665" s="1263"/>
      <c r="I665" s="1263"/>
      <c r="J665" s="1263"/>
      <c r="K665" s="1263"/>
      <c r="L665" s="1263"/>
      <c r="O665" s="42" t="s">
        <v>818</v>
      </c>
      <c r="P665" s="1268"/>
      <c r="Q665" s="1268"/>
      <c r="R665" s="1268"/>
      <c r="T665" s="4"/>
      <c r="U665" t="s">
        <v>650</v>
      </c>
      <c r="Z665" s="1263"/>
      <c r="AA665" s="1263"/>
      <c r="AB665" s="1263"/>
      <c r="AC665" s="1263"/>
      <c r="AD665" s="1263"/>
      <c r="AE665" s="1263"/>
      <c r="AH665" s="42" t="s">
        <v>818</v>
      </c>
      <c r="AI665" s="1268"/>
      <c r="AJ665" s="1268"/>
      <c r="AK665" s="126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61"/>
      <c r="I666" s="1061"/>
      <c r="J666" s="1061"/>
      <c r="K666" s="1061"/>
      <c r="L666" s="1061"/>
      <c r="M666" s="1061"/>
      <c r="N666" s="1061"/>
      <c r="O666" s="1061"/>
      <c r="P666" s="1061"/>
      <c r="Q666" s="1061"/>
      <c r="R666" s="1061"/>
      <c r="T666" s="4"/>
      <c r="U666" t="s">
        <v>834</v>
      </c>
      <c r="AA666" s="1061"/>
      <c r="AB666" s="1061"/>
      <c r="AC666" s="1061"/>
      <c r="AD666" s="1061"/>
      <c r="AE666" s="1061"/>
      <c r="AF666" s="1061"/>
      <c r="AG666" s="1061"/>
      <c r="AH666" s="1061"/>
      <c r="AI666" s="1061"/>
      <c r="AJ666" s="1061"/>
      <c r="AK666" s="106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66" t="s">
        <v>482</v>
      </c>
      <c r="O667" s="1066"/>
      <c r="T667" s="4"/>
      <c r="U667" t="s">
        <v>836</v>
      </c>
      <c r="AG667" s="1066" t="s">
        <v>482</v>
      </c>
      <c r="AH667" s="106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7">
        <f>C629</f>
        <v>0</v>
      </c>
      <c r="H669" s="1267"/>
      <c r="I669" s="1267"/>
      <c r="J669" s="1267"/>
      <c r="K669" s="1267"/>
      <c r="L669" s="1267"/>
      <c r="M669" s="1267"/>
      <c r="N669" s="1267"/>
      <c r="O669" s="1267"/>
      <c r="P669" s="1267"/>
      <c r="Q669" s="1267"/>
      <c r="R669" s="1267"/>
      <c r="T669" s="61" t="s">
        <v>174</v>
      </c>
      <c r="U669" t="s">
        <v>82</v>
      </c>
      <c r="Z669" s="1267">
        <f>C630</f>
        <v>0</v>
      </c>
      <c r="AA669" s="1267"/>
      <c r="AB669" s="1267"/>
      <c r="AC669" s="1267"/>
      <c r="AD669" s="1267"/>
      <c r="AE669" s="1267"/>
      <c r="AF669" s="1267"/>
      <c r="AG669" s="1267"/>
      <c r="AH669" s="1267"/>
      <c r="AI669" s="1267"/>
      <c r="AJ669" s="1267"/>
      <c r="AK669" s="126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61"/>
      <c r="H670" s="1061"/>
      <c r="I670" s="1061"/>
      <c r="J670" s="1061"/>
      <c r="K670" s="1061"/>
      <c r="L670" s="1061"/>
      <c r="M670" s="1061"/>
      <c r="N670" s="1061"/>
      <c r="O670" s="1061"/>
      <c r="P670" s="1061"/>
      <c r="Q670" s="1061"/>
      <c r="R670" s="1061"/>
      <c r="T670" s="4"/>
      <c r="U670" t="s">
        <v>372</v>
      </c>
      <c r="Z670" s="1061"/>
      <c r="AA670" s="1061"/>
      <c r="AB670" s="1061"/>
      <c r="AC670" s="1061"/>
      <c r="AD670" s="1061"/>
      <c r="AE670" s="1061"/>
      <c r="AF670" s="1061"/>
      <c r="AG670" s="1061"/>
      <c r="AH670" s="1061"/>
      <c r="AI670" s="1061"/>
      <c r="AJ670" s="1061"/>
      <c r="AK670" s="106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61"/>
      <c r="H671" s="1061"/>
      <c r="I671" s="1061"/>
      <c r="J671" s="1061"/>
      <c r="K671" s="1061"/>
      <c r="L671" s="1061"/>
      <c r="M671" s="1061"/>
      <c r="N671" s="1061"/>
      <c r="O671" s="1061"/>
      <c r="P671" s="1061"/>
      <c r="Q671" s="1061"/>
      <c r="R671" s="1061"/>
      <c r="T671" s="4"/>
      <c r="U671" t="s">
        <v>430</v>
      </c>
      <c r="Z671" s="1067"/>
      <c r="AA671" s="1067"/>
      <c r="AB671" s="1067"/>
      <c r="AC671" s="1067"/>
      <c r="AD671" s="1067"/>
      <c r="AE671" s="1067"/>
      <c r="AF671" s="1067"/>
      <c r="AG671" s="1067"/>
      <c r="AH671" s="1067"/>
      <c r="AI671" s="1067"/>
      <c r="AJ671" s="1067"/>
      <c r="AK671" s="106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61"/>
      <c r="H672" s="1061"/>
      <c r="I672" s="1061"/>
      <c r="J672" s="1061"/>
      <c r="K672" s="1061"/>
      <c r="L672" s="1061"/>
      <c r="M672" s="1061"/>
      <c r="N672" s="1061"/>
      <c r="O672" s="1061"/>
      <c r="P672" s="1061"/>
      <c r="Q672" s="1061"/>
      <c r="R672" s="1061"/>
      <c r="T672" s="4"/>
      <c r="U672" t="s">
        <v>833</v>
      </c>
      <c r="Z672" s="1067"/>
      <c r="AA672" s="1067"/>
      <c r="AB672" s="1067"/>
      <c r="AC672" s="1067"/>
      <c r="AD672" s="1067"/>
      <c r="AE672" s="1067"/>
      <c r="AF672" s="1067"/>
      <c r="AG672" s="1067"/>
      <c r="AH672" s="1067"/>
      <c r="AI672" s="1067"/>
      <c r="AJ672" s="1067"/>
      <c r="AK672" s="106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3"/>
      <c r="H673" s="1263"/>
      <c r="I673" s="1263"/>
      <c r="J673" s="1263"/>
      <c r="K673" s="1263"/>
      <c r="L673" s="1263"/>
      <c r="O673" s="42" t="s">
        <v>818</v>
      </c>
      <c r="P673" s="1268"/>
      <c r="Q673" s="1268"/>
      <c r="R673" s="1268"/>
      <c r="T673" s="4"/>
      <c r="U673" t="s">
        <v>650</v>
      </c>
      <c r="Z673" s="1263"/>
      <c r="AA673" s="1263"/>
      <c r="AB673" s="1263"/>
      <c r="AC673" s="1263"/>
      <c r="AD673" s="1263"/>
      <c r="AE673" s="1263"/>
      <c r="AH673" s="42" t="s">
        <v>818</v>
      </c>
      <c r="AI673" s="1268"/>
      <c r="AJ673" s="1268"/>
      <c r="AK673" s="126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61"/>
      <c r="I674" s="1061"/>
      <c r="J674" s="1061"/>
      <c r="K674" s="1061"/>
      <c r="L674" s="1061"/>
      <c r="M674" s="1061"/>
      <c r="N674" s="1061"/>
      <c r="O674" s="1061"/>
      <c r="P674" s="1061"/>
      <c r="Q674" s="1061"/>
      <c r="R674" s="1061"/>
      <c r="T674" s="4"/>
      <c r="U674" t="s">
        <v>834</v>
      </c>
      <c r="AA674" s="1061"/>
      <c r="AB674" s="1061"/>
      <c r="AC674" s="1061"/>
      <c r="AD674" s="1061"/>
      <c r="AE674" s="1061"/>
      <c r="AF674" s="1061"/>
      <c r="AG674" s="1061"/>
      <c r="AH674" s="1061"/>
      <c r="AI674" s="1061"/>
      <c r="AJ674" s="1061"/>
      <c r="AK674" s="106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66" t="s">
        <v>482</v>
      </c>
      <c r="O675" s="1066"/>
      <c r="T675" s="4"/>
      <c r="U675" t="s">
        <v>836</v>
      </c>
      <c r="AG675" s="1066" t="s">
        <v>482</v>
      </c>
      <c r="AH675" s="106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7">
        <f>C631</f>
        <v>0</v>
      </c>
      <c r="H677" s="1267"/>
      <c r="I677" s="1267"/>
      <c r="J677" s="1267"/>
      <c r="K677" s="1267"/>
      <c r="L677" s="1267"/>
      <c r="M677" s="1267"/>
      <c r="N677" s="1267"/>
      <c r="O677" s="1267"/>
      <c r="P677" s="1267"/>
      <c r="Q677" s="1267"/>
      <c r="R677" s="1267"/>
      <c r="T677" s="61" t="s">
        <v>33</v>
      </c>
      <c r="U677" t="s">
        <v>82</v>
      </c>
      <c r="Z677" s="1267">
        <f>C632</f>
        <v>0</v>
      </c>
      <c r="AA677" s="1267"/>
      <c r="AB677" s="1267"/>
      <c r="AC677" s="1267"/>
      <c r="AD677" s="1267"/>
      <c r="AE677" s="1267"/>
      <c r="AF677" s="1267"/>
      <c r="AG677" s="1267"/>
      <c r="AH677" s="1267"/>
      <c r="AI677" s="1267"/>
      <c r="AJ677" s="1267"/>
      <c r="AK677" s="126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61"/>
      <c r="H678" s="1061"/>
      <c r="I678" s="1061"/>
      <c r="J678" s="1061"/>
      <c r="K678" s="1061"/>
      <c r="L678" s="1061"/>
      <c r="M678" s="1061"/>
      <c r="N678" s="1061"/>
      <c r="O678" s="1061"/>
      <c r="P678" s="1061"/>
      <c r="Q678" s="1061"/>
      <c r="R678" s="1061"/>
      <c r="T678" s="4"/>
      <c r="U678" t="s">
        <v>372</v>
      </c>
      <c r="Z678" s="1061"/>
      <c r="AA678" s="1061"/>
      <c r="AB678" s="1061"/>
      <c r="AC678" s="1061"/>
      <c r="AD678" s="1061"/>
      <c r="AE678" s="1061"/>
      <c r="AF678" s="1061"/>
      <c r="AG678" s="1061"/>
      <c r="AH678" s="1061"/>
      <c r="AI678" s="1061"/>
      <c r="AJ678" s="1061"/>
      <c r="AK678" s="1061"/>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61"/>
      <c r="H679" s="1061"/>
      <c r="I679" s="1061"/>
      <c r="J679" s="1061"/>
      <c r="K679" s="1061"/>
      <c r="L679" s="1061"/>
      <c r="M679" s="1061"/>
      <c r="N679" s="1061"/>
      <c r="O679" s="1061"/>
      <c r="P679" s="1061"/>
      <c r="Q679" s="1061"/>
      <c r="R679" s="1061"/>
      <c r="U679" t="s">
        <v>430</v>
      </c>
      <c r="Z679" s="1067"/>
      <c r="AA679" s="1067"/>
      <c r="AB679" s="1067"/>
      <c r="AC679" s="1067"/>
      <c r="AD679" s="1067"/>
      <c r="AE679" s="1067"/>
      <c r="AF679" s="1067"/>
      <c r="AG679" s="1067"/>
      <c r="AH679" s="1067"/>
      <c r="AI679" s="1067"/>
      <c r="AJ679" s="1067"/>
      <c r="AK679" s="106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61"/>
      <c r="H680" s="1061"/>
      <c r="I680" s="1061"/>
      <c r="J680" s="1061"/>
      <c r="K680" s="1061"/>
      <c r="L680" s="1061"/>
      <c r="M680" s="1061"/>
      <c r="N680" s="1061"/>
      <c r="O680" s="1061"/>
      <c r="P680" s="1061"/>
      <c r="Q680" s="1061"/>
      <c r="R680" s="1061"/>
      <c r="U680" t="s">
        <v>833</v>
      </c>
      <c r="Z680" s="1067"/>
      <c r="AA680" s="1067"/>
      <c r="AB680" s="1067"/>
      <c r="AC680" s="1067"/>
      <c r="AD680" s="1067"/>
      <c r="AE680" s="1067"/>
      <c r="AF680" s="1067"/>
      <c r="AG680" s="1067"/>
      <c r="AH680" s="1067"/>
      <c r="AI680" s="1067"/>
      <c r="AJ680" s="1067"/>
      <c r="AK680" s="106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3"/>
      <c r="H681" s="1263"/>
      <c r="I681" s="1263"/>
      <c r="J681" s="1263"/>
      <c r="K681" s="1263"/>
      <c r="L681" s="1263"/>
      <c r="O681" s="42" t="s">
        <v>818</v>
      </c>
      <c r="P681" s="1268"/>
      <c r="Q681" s="1268"/>
      <c r="R681" s="1268"/>
      <c r="U681" t="s">
        <v>650</v>
      </c>
      <c r="Z681" s="1263"/>
      <c r="AA681" s="1263"/>
      <c r="AB681" s="1263"/>
      <c r="AC681" s="1263"/>
      <c r="AD681" s="1263"/>
      <c r="AE681" s="1263"/>
      <c r="AH681" s="42" t="s">
        <v>818</v>
      </c>
      <c r="AI681" s="1268"/>
      <c r="AJ681" s="1268"/>
      <c r="AK681" s="126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61"/>
      <c r="I682" s="1061"/>
      <c r="J682" s="1061"/>
      <c r="K682" s="1061"/>
      <c r="L682" s="1061"/>
      <c r="M682" s="1061"/>
      <c r="N682" s="1061"/>
      <c r="O682" s="1061"/>
      <c r="P682" s="1061"/>
      <c r="Q682" s="1061"/>
      <c r="R682" s="1061"/>
      <c r="U682" t="s">
        <v>834</v>
      </c>
      <c r="AA682" s="1061"/>
      <c r="AB682" s="1061"/>
      <c r="AC682" s="1061"/>
      <c r="AD682" s="1061"/>
      <c r="AE682" s="1061"/>
      <c r="AF682" s="1061"/>
      <c r="AG682" s="1061"/>
      <c r="AH682" s="1061"/>
      <c r="AI682" s="1061"/>
      <c r="AJ682" s="1061"/>
      <c r="AK682" s="1061"/>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66" t="s">
        <v>482</v>
      </c>
      <c r="O683" s="1066"/>
      <c r="U683" t="s">
        <v>836</v>
      </c>
      <c r="AG683" s="1066" t="s">
        <v>482</v>
      </c>
      <c r="AH683" s="106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97" t="s">
        <v>127</v>
      </c>
      <c r="B686" s="1097"/>
      <c r="C686" s="1097"/>
      <c r="D686" s="1097"/>
      <c r="E686" s="1097"/>
      <c r="F686" s="1097"/>
      <c r="G686" s="1097"/>
      <c r="H686" s="1097"/>
      <c r="I686" s="1097"/>
      <c r="J686" s="1097"/>
      <c r="K686" s="1097"/>
      <c r="L686" s="1097"/>
      <c r="M686" s="1097"/>
      <c r="N686" s="1097"/>
      <c r="O686" s="1097"/>
      <c r="P686" s="1097"/>
      <c r="Q686" s="1097"/>
      <c r="R686" s="1097"/>
      <c r="S686" s="1097"/>
      <c r="T686" s="1097"/>
      <c r="U686" s="1097"/>
      <c r="V686" s="1097"/>
      <c r="W686" s="1097"/>
      <c r="X686" s="1097"/>
      <c r="Y686" s="1097"/>
      <c r="Z686" s="1097"/>
      <c r="AA686" s="1097"/>
      <c r="AB686" s="1097"/>
      <c r="AC686" s="1097"/>
      <c r="AD686" s="1097"/>
      <c r="AE686" s="1097"/>
      <c r="AF686" s="1097"/>
      <c r="AG686" s="1097"/>
      <c r="AH686" s="1097"/>
      <c r="AI686" s="1097"/>
      <c r="AJ686" s="1097"/>
      <c r="AK686" s="1097"/>
      <c r="AL686" s="1097"/>
      <c r="AM686" s="1097"/>
      <c r="AN686" s="1097"/>
      <c r="AO686" s="1097"/>
      <c r="AP686" s="1097"/>
      <c r="AQ686" s="1097"/>
      <c r="AR686" s="1097"/>
      <c r="AS686" s="1097"/>
      <c r="AT686" s="109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97"/>
      <c r="B687" s="1097"/>
      <c r="C687" s="1097"/>
      <c r="D687" s="1097"/>
      <c r="E687" s="1097"/>
      <c r="F687" s="1097"/>
      <c r="G687" s="1097"/>
      <c r="H687" s="1097"/>
      <c r="I687" s="1097"/>
      <c r="J687" s="1097"/>
      <c r="K687" s="1097"/>
      <c r="L687" s="1097"/>
      <c r="M687" s="1097"/>
      <c r="N687" s="1097"/>
      <c r="O687" s="1097"/>
      <c r="P687" s="1097"/>
      <c r="Q687" s="1097"/>
      <c r="R687" s="1097"/>
      <c r="S687" s="1097"/>
      <c r="T687" s="1097"/>
      <c r="U687" s="1097"/>
      <c r="V687" s="1097"/>
      <c r="W687" s="1097"/>
      <c r="X687" s="1097"/>
      <c r="Y687" s="1097"/>
      <c r="Z687" s="1097"/>
      <c r="AA687" s="1097"/>
      <c r="AB687" s="1097"/>
      <c r="AC687" s="1097"/>
      <c r="AD687" s="1097"/>
      <c r="AE687" s="1097"/>
      <c r="AF687" s="1097"/>
      <c r="AG687" s="1097"/>
      <c r="AH687" s="1097"/>
      <c r="AI687" s="1097"/>
      <c r="AJ687" s="1097"/>
      <c r="AK687" s="1097"/>
      <c r="AL687" s="1097"/>
      <c r="AM687" s="1097"/>
      <c r="AN687" s="1097"/>
      <c r="AO687" s="1097"/>
      <c r="AP687" s="1097"/>
      <c r="AQ687" s="1097"/>
      <c r="AR687" s="1097"/>
      <c r="AS687" s="1097"/>
      <c r="AT687" s="1097"/>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97"/>
      <c r="B688" s="1097"/>
      <c r="C688" s="1097"/>
      <c r="D688" s="1097"/>
      <c r="E688" s="1097"/>
      <c r="F688" s="1097"/>
      <c r="G688" s="1097"/>
      <c r="H688" s="1097"/>
      <c r="I688" s="1097"/>
      <c r="J688" s="1097"/>
      <c r="K688" s="1097"/>
      <c r="L688" s="1097"/>
      <c r="M688" s="1097"/>
      <c r="N688" s="1097"/>
      <c r="O688" s="1097"/>
      <c r="P688" s="1097"/>
      <c r="Q688" s="1097"/>
      <c r="R688" s="1097"/>
      <c r="S688" s="1097"/>
      <c r="T688" s="1097"/>
      <c r="U688" s="1097"/>
      <c r="V688" s="1097"/>
      <c r="W688" s="1097"/>
      <c r="X688" s="1097"/>
      <c r="Y688" s="1097"/>
      <c r="Z688" s="1097"/>
      <c r="AA688" s="1097"/>
      <c r="AB688" s="1097"/>
      <c r="AC688" s="1097"/>
      <c r="AD688" s="1097"/>
      <c r="AE688" s="1097"/>
      <c r="AF688" s="1097"/>
      <c r="AG688" s="1097"/>
      <c r="AH688" s="1097"/>
      <c r="AI688" s="1097"/>
      <c r="AJ688" s="1097"/>
      <c r="AK688" s="1097"/>
      <c r="AL688" s="1097"/>
      <c r="AM688" s="1097"/>
      <c r="AN688" s="1097"/>
      <c r="AO688" s="1097"/>
      <c r="AP688" s="1097"/>
      <c r="AQ688" s="1097"/>
      <c r="AR688" s="1097"/>
      <c r="AS688" s="1097"/>
      <c r="AT688" s="1097"/>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54" t="s">
        <v>54</v>
      </c>
      <c r="C691" s="1255"/>
      <c r="D691" s="1255"/>
      <c r="E691" s="1255"/>
      <c r="F691" s="1256"/>
      <c r="G691" s="1254" t="s">
        <v>256</v>
      </c>
      <c r="H691" s="1255"/>
      <c r="I691" s="1255"/>
      <c r="J691" s="1256"/>
      <c r="K691" s="1370" t="s">
        <v>1993</v>
      </c>
      <c r="L691" s="1371"/>
      <c r="M691" s="1371"/>
      <c r="N691" s="1372"/>
      <c r="O691" s="1254" t="s">
        <v>589</v>
      </c>
      <c r="P691" s="1255"/>
      <c r="Q691" s="1255"/>
      <c r="R691" s="1255"/>
      <c r="S691" s="1256"/>
      <c r="T691" s="1254" t="s">
        <v>257</v>
      </c>
      <c r="U691" s="1255"/>
      <c r="V691" s="1255"/>
      <c r="W691" s="1255"/>
      <c r="X691" s="1256"/>
      <c r="Y691" s="1254" t="s">
        <v>258</v>
      </c>
      <c r="Z691" s="1255"/>
      <c r="AA691" s="1255"/>
      <c r="AB691" s="1256"/>
      <c r="AC691" s="1254" t="s">
        <v>259</v>
      </c>
      <c r="AD691" s="1255"/>
      <c r="AE691" s="1255"/>
      <c r="AF691" s="1255"/>
      <c r="AG691" s="1256"/>
      <c r="AH691" s="1254" t="s">
        <v>1994</v>
      </c>
      <c r="AI691" s="1255"/>
      <c r="AJ691" s="1255"/>
      <c r="AK691" s="1255"/>
      <c r="AL691" s="1256"/>
      <c r="AM691" s="1254" t="s">
        <v>1995</v>
      </c>
      <c r="AN691" s="1255"/>
      <c r="AO691" s="1256"/>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57"/>
      <c r="C692" s="1258"/>
      <c r="D692" s="1258"/>
      <c r="E692" s="1258"/>
      <c r="F692" s="1259"/>
      <c r="G692" s="1257"/>
      <c r="H692" s="1258"/>
      <c r="I692" s="1258"/>
      <c r="J692" s="1259"/>
      <c r="K692" s="1373"/>
      <c r="L692" s="1374"/>
      <c r="M692" s="1374"/>
      <c r="N692" s="1375"/>
      <c r="O692" s="1257"/>
      <c r="P692" s="1258"/>
      <c r="Q692" s="1258"/>
      <c r="R692" s="1258"/>
      <c r="S692" s="1259"/>
      <c r="T692" s="1257"/>
      <c r="U692" s="1258"/>
      <c r="V692" s="1258"/>
      <c r="W692" s="1258"/>
      <c r="X692" s="1259"/>
      <c r="Y692" s="1257"/>
      <c r="Z692" s="1258"/>
      <c r="AA692" s="1258"/>
      <c r="AB692" s="1259"/>
      <c r="AC692" s="1257"/>
      <c r="AD692" s="1258"/>
      <c r="AE692" s="1258"/>
      <c r="AF692" s="1258"/>
      <c r="AG692" s="1259"/>
      <c r="AH692" s="1257"/>
      <c r="AI692" s="1258"/>
      <c r="AJ692" s="1258"/>
      <c r="AK692" s="1258"/>
      <c r="AL692" s="1259"/>
      <c r="AM692" s="1257"/>
      <c r="AN692" s="1258"/>
      <c r="AO692" s="1259"/>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57"/>
      <c r="C693" s="1258"/>
      <c r="D693" s="1258"/>
      <c r="E693" s="1258"/>
      <c r="F693" s="1259"/>
      <c r="G693" s="1257"/>
      <c r="H693" s="1258"/>
      <c r="I693" s="1258"/>
      <c r="J693" s="1259"/>
      <c r="K693" s="1373"/>
      <c r="L693" s="1374"/>
      <c r="M693" s="1374"/>
      <c r="N693" s="1375"/>
      <c r="O693" s="1257"/>
      <c r="P693" s="1258"/>
      <c r="Q693" s="1258"/>
      <c r="R693" s="1258"/>
      <c r="S693" s="1259"/>
      <c r="T693" s="1257"/>
      <c r="U693" s="1258"/>
      <c r="V693" s="1258"/>
      <c r="W693" s="1258"/>
      <c r="X693" s="1259"/>
      <c r="Y693" s="1257"/>
      <c r="Z693" s="1258"/>
      <c r="AA693" s="1258"/>
      <c r="AB693" s="1259"/>
      <c r="AC693" s="1257"/>
      <c r="AD693" s="1258"/>
      <c r="AE693" s="1258"/>
      <c r="AF693" s="1258"/>
      <c r="AG693" s="1259"/>
      <c r="AH693" s="1257"/>
      <c r="AI693" s="1258"/>
      <c r="AJ693" s="1258"/>
      <c r="AK693" s="1258"/>
      <c r="AL693" s="1259"/>
      <c r="AM693" s="1257"/>
      <c r="AN693" s="1258"/>
      <c r="AO693" s="1259"/>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60"/>
      <c r="C694" s="1261"/>
      <c r="D694" s="1261"/>
      <c r="E694" s="1261"/>
      <c r="F694" s="1262"/>
      <c r="G694" s="1260"/>
      <c r="H694" s="1261"/>
      <c r="I694" s="1261"/>
      <c r="J694" s="1262"/>
      <c r="K694" s="1373"/>
      <c r="L694" s="1374"/>
      <c r="M694" s="1374"/>
      <c r="N694" s="1375"/>
      <c r="O694" s="1260"/>
      <c r="P694" s="1261"/>
      <c r="Q694" s="1261"/>
      <c r="R694" s="1261"/>
      <c r="S694" s="1262"/>
      <c r="T694" s="1260"/>
      <c r="U694" s="1261"/>
      <c r="V694" s="1261"/>
      <c r="W694" s="1261"/>
      <c r="X694" s="1262"/>
      <c r="Y694" s="1260"/>
      <c r="Z694" s="1261"/>
      <c r="AA694" s="1261"/>
      <c r="AB694" s="1262"/>
      <c r="AC694" s="1260"/>
      <c r="AD694" s="1261"/>
      <c r="AE694" s="1261"/>
      <c r="AF694" s="1261"/>
      <c r="AG694" s="1262"/>
      <c r="AH694" s="1260"/>
      <c r="AI694" s="1261"/>
      <c r="AJ694" s="1261"/>
      <c r="AK694" s="1261"/>
      <c r="AL694" s="1262"/>
      <c r="AM694" s="1260"/>
      <c r="AN694" s="1261"/>
      <c r="AO694" s="1262"/>
      <c r="AV694" s="269" t="s">
        <v>2314</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264" t="s">
        <v>442</v>
      </c>
      <c r="C695" s="1265"/>
      <c r="D695" s="1265"/>
      <c r="E695" s="1265"/>
      <c r="F695" s="1266"/>
      <c r="G695" s="1269">
        <v>6</v>
      </c>
      <c r="H695" s="1270"/>
      <c r="I695" s="1270"/>
      <c r="J695" s="1271"/>
      <c r="K695" s="1248">
        <v>610</v>
      </c>
      <c r="L695" s="1249"/>
      <c r="M695" s="1249"/>
      <c r="N695" s="1250"/>
      <c r="O695" s="1236">
        <v>375</v>
      </c>
      <c r="P695" s="1237"/>
      <c r="Q695" s="1237"/>
      <c r="R695" s="1237"/>
      <c r="S695" s="1238"/>
      <c r="T695" s="1239">
        <f t="shared" ref="T695:T729" si="45">G695*O695</f>
        <v>2250</v>
      </c>
      <c r="U695" s="1240"/>
      <c r="V695" s="1240"/>
      <c r="W695" s="1240"/>
      <c r="X695" s="1241"/>
      <c r="Y695" s="1236">
        <v>120</v>
      </c>
      <c r="Z695" s="1237"/>
      <c r="AA695" s="1237"/>
      <c r="AB695" s="1238"/>
      <c r="AC695" s="1239">
        <f t="shared" ref="AC695:AC729" si="46">O695+Y695</f>
        <v>495</v>
      </c>
      <c r="AD695" s="1240"/>
      <c r="AE695" s="1240"/>
      <c r="AF695" s="1240"/>
      <c r="AG695" s="1241"/>
      <c r="AH695" s="1463">
        <v>0.3</v>
      </c>
      <c r="AI695" s="1464"/>
      <c r="AJ695" s="1464"/>
      <c r="AK695" s="1464"/>
      <c r="AL695" s="1465"/>
      <c r="AM695" s="1245">
        <f>IF($AH695&gt;0,($AC695/$AV695),"")</f>
        <v>0.3</v>
      </c>
      <c r="AN695" s="1246"/>
      <c r="AO695" s="1247"/>
      <c r="AV695" s="43">
        <f t="shared" ref="AV695:AV729" si="47">IF($G695=0,"N/A",VLOOKUP($T$189,TC_Rent,(MATCH($B695,bedrooms,FALSE))))</f>
        <v>1650</v>
      </c>
      <c r="AX695" s="43"/>
      <c r="AY695" s="445">
        <f t="shared" ref="AY695:AY718" si="48">G695</f>
        <v>6</v>
      </c>
      <c r="AZ695" s="452">
        <f t="shared" ref="AZ695:AZ718" si="49">IF($AY$730=0,"",AY695/$AY$730)</f>
        <v>5.0420168067226892E-2</v>
      </c>
      <c r="BA695" s="453">
        <f t="shared" ref="BA695:BA718" si="50">IF(AZ695="","",AZ695*AH695)</f>
        <v>1.5126050420168067E-2</v>
      </c>
      <c r="BB695" s="41"/>
      <c r="BC695" s="41"/>
      <c r="BD695" s="41"/>
      <c r="BE695" s="851">
        <f t="shared" ref="BE695:BE718" si="51">G695</f>
        <v>6</v>
      </c>
      <c r="BF695" s="855">
        <f t="shared" ref="BF695:BF718" si="52">IF(BE695=0,"",BE695/$BE$730)</f>
        <v>5.0420168067226892E-2</v>
      </c>
      <c r="BG695" s="856">
        <f t="shared" ref="BG695:BG718" si="53">IF(BF695="","",BF695*AM695)</f>
        <v>1.5126050420168067E-2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264" t="s">
        <v>442</v>
      </c>
      <c r="C696" s="1265"/>
      <c r="D696" s="1265"/>
      <c r="E696" s="1265"/>
      <c r="F696" s="1266"/>
      <c r="G696" s="1269">
        <v>12</v>
      </c>
      <c r="H696" s="1270"/>
      <c r="I696" s="1270"/>
      <c r="J696" s="1271"/>
      <c r="K696" s="1248">
        <v>610</v>
      </c>
      <c r="L696" s="1249"/>
      <c r="M696" s="1249"/>
      <c r="N696" s="1250"/>
      <c r="O696" s="1236">
        <v>540</v>
      </c>
      <c r="P696" s="1237"/>
      <c r="Q696" s="1237"/>
      <c r="R696" s="1237"/>
      <c r="S696" s="1238"/>
      <c r="T696" s="1239">
        <f t="shared" si="45"/>
        <v>6480</v>
      </c>
      <c r="U696" s="1240"/>
      <c r="V696" s="1240"/>
      <c r="W696" s="1240"/>
      <c r="X696" s="1241"/>
      <c r="Y696" s="1236">
        <v>120</v>
      </c>
      <c r="Z696" s="1237"/>
      <c r="AA696" s="1237"/>
      <c r="AB696" s="1238"/>
      <c r="AC696" s="1239">
        <f t="shared" si="46"/>
        <v>660</v>
      </c>
      <c r="AD696" s="1240"/>
      <c r="AE696" s="1240"/>
      <c r="AF696" s="1240"/>
      <c r="AG696" s="1241"/>
      <c r="AH696" s="1242">
        <v>0.4</v>
      </c>
      <c r="AI696" s="1243"/>
      <c r="AJ696" s="1243"/>
      <c r="AK696" s="1243"/>
      <c r="AL696" s="1244"/>
      <c r="AM696" s="1245">
        <f t="shared" ref="AM696:AM718" si="54">IF($AH696&gt;0,($AC696/$AV696), "")</f>
        <v>0.4</v>
      </c>
      <c r="AN696" s="1246"/>
      <c r="AO696" s="1247"/>
      <c r="AV696" s="43">
        <f t="shared" si="47"/>
        <v>1650</v>
      </c>
      <c r="AX696" s="43"/>
      <c r="AY696" s="446">
        <f t="shared" si="48"/>
        <v>12</v>
      </c>
      <c r="AZ696" s="452">
        <f t="shared" si="49"/>
        <v>0.10084033613445378</v>
      </c>
      <c r="BA696" s="453">
        <f t="shared" si="50"/>
        <v>4.0336134453781515E-2</v>
      </c>
      <c r="BB696" s="41"/>
      <c r="BC696" s="41"/>
      <c r="BD696" s="41"/>
      <c r="BE696" s="851">
        <f t="shared" si="51"/>
        <v>12</v>
      </c>
      <c r="BF696" s="855">
        <f t="shared" si="52"/>
        <v>0.10084033613445378</v>
      </c>
      <c r="BG696" s="856">
        <f t="shared" si="53"/>
        <v>4.0336134453781515E-2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264" t="s">
        <v>442</v>
      </c>
      <c r="C697" s="1265"/>
      <c r="D697" s="1265"/>
      <c r="E697" s="1265"/>
      <c r="F697" s="1266"/>
      <c r="G697" s="1269">
        <v>24</v>
      </c>
      <c r="H697" s="1270"/>
      <c r="I697" s="1270"/>
      <c r="J697" s="1271"/>
      <c r="K697" s="1248">
        <v>610</v>
      </c>
      <c r="L697" s="1249"/>
      <c r="M697" s="1249"/>
      <c r="N697" s="1250"/>
      <c r="O697" s="1236">
        <v>705</v>
      </c>
      <c r="P697" s="1237"/>
      <c r="Q697" s="1237"/>
      <c r="R697" s="1237"/>
      <c r="S697" s="1238"/>
      <c r="T697" s="1239">
        <f t="shared" si="45"/>
        <v>16920</v>
      </c>
      <c r="U697" s="1240"/>
      <c r="V697" s="1240"/>
      <c r="W697" s="1240"/>
      <c r="X697" s="1241"/>
      <c r="Y697" s="1236">
        <v>120</v>
      </c>
      <c r="Z697" s="1237"/>
      <c r="AA697" s="1237"/>
      <c r="AB697" s="1238"/>
      <c r="AC697" s="1239">
        <f t="shared" si="46"/>
        <v>825</v>
      </c>
      <c r="AD697" s="1240"/>
      <c r="AE697" s="1240"/>
      <c r="AF697" s="1240"/>
      <c r="AG697" s="1241"/>
      <c r="AH697" s="1242">
        <v>0.5</v>
      </c>
      <c r="AI697" s="1243"/>
      <c r="AJ697" s="1243"/>
      <c r="AK697" s="1243"/>
      <c r="AL697" s="1244"/>
      <c r="AM697" s="1245">
        <f t="shared" si="54"/>
        <v>0.5</v>
      </c>
      <c r="AN697" s="1246"/>
      <c r="AO697" s="1247"/>
      <c r="AV697" s="43">
        <f t="shared" si="47"/>
        <v>1650</v>
      </c>
      <c r="AX697" s="41"/>
      <c r="AY697" s="446">
        <f t="shared" si="48"/>
        <v>24</v>
      </c>
      <c r="AZ697" s="452">
        <f t="shared" si="49"/>
        <v>0.20168067226890757</v>
      </c>
      <c r="BA697" s="453">
        <f t="shared" si="50"/>
        <v>0.10084033613445378</v>
      </c>
      <c r="BB697" s="41"/>
      <c r="BC697" s="41"/>
      <c r="BD697" s="41"/>
      <c r="BE697" s="851">
        <f t="shared" si="51"/>
        <v>24</v>
      </c>
      <c r="BF697" s="855">
        <f t="shared" si="52"/>
        <v>0.20168067226890757</v>
      </c>
      <c r="BG697" s="856">
        <f t="shared" si="53"/>
        <v>0.10084033613445378</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264" t="s">
        <v>442</v>
      </c>
      <c r="C698" s="1265"/>
      <c r="D698" s="1265"/>
      <c r="E698" s="1265"/>
      <c r="F698" s="1266"/>
      <c r="G698" s="1269">
        <v>17</v>
      </c>
      <c r="H698" s="1270"/>
      <c r="I698" s="1270"/>
      <c r="J698" s="1271"/>
      <c r="K698" s="1248">
        <v>610</v>
      </c>
      <c r="L698" s="1249"/>
      <c r="M698" s="1249"/>
      <c r="N698" s="1250"/>
      <c r="O698" s="1236">
        <v>870</v>
      </c>
      <c r="P698" s="1237"/>
      <c r="Q698" s="1237"/>
      <c r="R698" s="1237"/>
      <c r="S698" s="1238"/>
      <c r="T698" s="1239">
        <f t="shared" si="45"/>
        <v>14790</v>
      </c>
      <c r="U698" s="1240"/>
      <c r="V698" s="1240"/>
      <c r="W698" s="1240"/>
      <c r="X698" s="1241"/>
      <c r="Y698" s="1236">
        <v>120</v>
      </c>
      <c r="Z698" s="1237"/>
      <c r="AA698" s="1237"/>
      <c r="AB698" s="1238"/>
      <c r="AC698" s="1239">
        <f t="shared" si="46"/>
        <v>990</v>
      </c>
      <c r="AD698" s="1240"/>
      <c r="AE698" s="1240"/>
      <c r="AF698" s="1240"/>
      <c r="AG698" s="1241"/>
      <c r="AH698" s="1242">
        <v>0.6</v>
      </c>
      <c r="AI698" s="1243"/>
      <c r="AJ698" s="1243"/>
      <c r="AK698" s="1243"/>
      <c r="AL698" s="1244"/>
      <c r="AM698" s="1245">
        <f t="shared" si="54"/>
        <v>0.6</v>
      </c>
      <c r="AN698" s="1246"/>
      <c r="AO698" s="1247"/>
      <c r="AV698" s="43">
        <f t="shared" si="47"/>
        <v>1650</v>
      </c>
      <c r="AX698" s="41"/>
      <c r="AY698" s="446">
        <f t="shared" si="48"/>
        <v>17</v>
      </c>
      <c r="AZ698" s="452">
        <f t="shared" si="49"/>
        <v>0.14285714285714285</v>
      </c>
      <c r="BA698" s="453">
        <f t="shared" si="50"/>
        <v>8.5714285714285701E-2</v>
      </c>
      <c r="BB698" s="41"/>
      <c r="BC698" s="41"/>
      <c r="BD698" s="41"/>
      <c r="BE698" s="851">
        <f t="shared" si="51"/>
        <v>17</v>
      </c>
      <c r="BF698" s="855">
        <f t="shared" si="52"/>
        <v>0.14285714285714285</v>
      </c>
      <c r="BG698" s="856">
        <f t="shared" si="53"/>
        <v>8.5714285714285701E-2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264" t="s">
        <v>780</v>
      </c>
      <c r="C699" s="1265"/>
      <c r="D699" s="1265"/>
      <c r="E699" s="1265"/>
      <c r="F699" s="1266"/>
      <c r="G699" s="1269">
        <v>3</v>
      </c>
      <c r="H699" s="1270"/>
      <c r="I699" s="1270"/>
      <c r="J699" s="1271"/>
      <c r="K699" s="1248">
        <v>875</v>
      </c>
      <c r="L699" s="1249"/>
      <c r="M699" s="1249"/>
      <c r="N699" s="1250"/>
      <c r="O699" s="1236">
        <v>430</v>
      </c>
      <c r="P699" s="1237"/>
      <c r="Q699" s="1237"/>
      <c r="R699" s="1237"/>
      <c r="S699" s="1238"/>
      <c r="T699" s="1239">
        <f t="shared" si="45"/>
        <v>1290</v>
      </c>
      <c r="U699" s="1240"/>
      <c r="V699" s="1240"/>
      <c r="W699" s="1240"/>
      <c r="X699" s="1241"/>
      <c r="Y699" s="1236">
        <v>164</v>
      </c>
      <c r="Z699" s="1237"/>
      <c r="AA699" s="1237"/>
      <c r="AB699" s="1238"/>
      <c r="AC699" s="1239">
        <f t="shared" si="46"/>
        <v>594</v>
      </c>
      <c r="AD699" s="1240"/>
      <c r="AE699" s="1240"/>
      <c r="AF699" s="1240"/>
      <c r="AG699" s="1241"/>
      <c r="AH699" s="1242">
        <v>0.3</v>
      </c>
      <c r="AI699" s="1243"/>
      <c r="AJ699" s="1243"/>
      <c r="AK699" s="1243"/>
      <c r="AL699" s="1244"/>
      <c r="AM699" s="1245">
        <f t="shared" si="54"/>
        <v>0.3</v>
      </c>
      <c r="AN699" s="1246"/>
      <c r="AO699" s="1247"/>
      <c r="AV699" s="43">
        <f t="shared" si="47"/>
        <v>1980</v>
      </c>
      <c r="AX699" s="41"/>
      <c r="AY699" s="446">
        <f t="shared" si="48"/>
        <v>3</v>
      </c>
      <c r="AZ699" s="452">
        <f t="shared" si="49"/>
        <v>2.5210084033613446E-2</v>
      </c>
      <c r="BA699" s="453">
        <f t="shared" si="50"/>
        <v>7.5630252100840336E-3</v>
      </c>
      <c r="BB699" s="41"/>
      <c r="BC699" s="41"/>
      <c r="BD699" s="41"/>
      <c r="BE699" s="851">
        <f t="shared" si="51"/>
        <v>3</v>
      </c>
      <c r="BF699" s="855">
        <f t="shared" si="52"/>
        <v>2.5210084033613446E-2</v>
      </c>
      <c r="BG699" s="856">
        <f t="shared" si="53"/>
        <v>7.5630252100840336E-3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264" t="s">
        <v>780</v>
      </c>
      <c r="C700" s="1265"/>
      <c r="D700" s="1265"/>
      <c r="E700" s="1265"/>
      <c r="F700" s="1266"/>
      <c r="G700" s="1269">
        <v>6</v>
      </c>
      <c r="H700" s="1270"/>
      <c r="I700" s="1270"/>
      <c r="J700" s="1271"/>
      <c r="K700" s="1248">
        <v>875</v>
      </c>
      <c r="L700" s="1249"/>
      <c r="M700" s="1249"/>
      <c r="N700" s="1250"/>
      <c r="O700" s="1236">
        <v>628</v>
      </c>
      <c r="P700" s="1237"/>
      <c r="Q700" s="1237"/>
      <c r="R700" s="1237"/>
      <c r="S700" s="1238"/>
      <c r="T700" s="1239">
        <f t="shared" si="45"/>
        <v>3768</v>
      </c>
      <c r="U700" s="1240"/>
      <c r="V700" s="1240"/>
      <c r="W700" s="1240"/>
      <c r="X700" s="1241"/>
      <c r="Y700" s="1236">
        <v>164</v>
      </c>
      <c r="Z700" s="1237"/>
      <c r="AA700" s="1237"/>
      <c r="AB700" s="1238"/>
      <c r="AC700" s="1239">
        <f t="shared" si="46"/>
        <v>792</v>
      </c>
      <c r="AD700" s="1240"/>
      <c r="AE700" s="1240"/>
      <c r="AF700" s="1240"/>
      <c r="AG700" s="1241"/>
      <c r="AH700" s="1242">
        <v>0.4</v>
      </c>
      <c r="AI700" s="1243"/>
      <c r="AJ700" s="1243"/>
      <c r="AK700" s="1243"/>
      <c r="AL700" s="1244"/>
      <c r="AM700" s="1245">
        <f t="shared" si="54"/>
        <v>0.4</v>
      </c>
      <c r="AN700" s="1246"/>
      <c r="AO700" s="1247"/>
      <c r="AV700" s="43">
        <f t="shared" si="47"/>
        <v>1980</v>
      </c>
      <c r="AX700" s="41"/>
      <c r="AY700" s="446">
        <f t="shared" si="48"/>
        <v>6</v>
      </c>
      <c r="AZ700" s="452">
        <f t="shared" si="49"/>
        <v>5.0420168067226892E-2</v>
      </c>
      <c r="BA700" s="453">
        <f t="shared" si="50"/>
        <v>2.0168067226890758E-2</v>
      </c>
      <c r="BB700" s="41"/>
      <c r="BC700" s="41"/>
      <c r="BD700" s="41"/>
      <c r="BE700" s="851">
        <f t="shared" si="51"/>
        <v>6</v>
      </c>
      <c r="BF700" s="855">
        <f t="shared" si="52"/>
        <v>5.0420168067226892E-2</v>
      </c>
      <c r="BG700" s="856">
        <f t="shared" si="53"/>
        <v>2.0168067226890758E-2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264" t="s">
        <v>780</v>
      </c>
      <c r="C701" s="1265"/>
      <c r="D701" s="1265"/>
      <c r="E701" s="1265"/>
      <c r="F701" s="1266"/>
      <c r="G701" s="1269">
        <v>12</v>
      </c>
      <c r="H701" s="1270"/>
      <c r="I701" s="1270"/>
      <c r="J701" s="1271"/>
      <c r="K701" s="1248">
        <v>875</v>
      </c>
      <c r="L701" s="1249"/>
      <c r="M701" s="1249"/>
      <c r="N701" s="1250"/>
      <c r="O701" s="1236">
        <v>826</v>
      </c>
      <c r="P701" s="1237"/>
      <c r="Q701" s="1237"/>
      <c r="R701" s="1237"/>
      <c r="S701" s="1238"/>
      <c r="T701" s="1239">
        <f t="shared" si="45"/>
        <v>9912</v>
      </c>
      <c r="U701" s="1240"/>
      <c r="V701" s="1240"/>
      <c r="W701" s="1240"/>
      <c r="X701" s="1241"/>
      <c r="Y701" s="1236">
        <v>164</v>
      </c>
      <c r="Z701" s="1237"/>
      <c r="AA701" s="1237"/>
      <c r="AB701" s="1238"/>
      <c r="AC701" s="1239">
        <f t="shared" si="46"/>
        <v>990</v>
      </c>
      <c r="AD701" s="1240"/>
      <c r="AE701" s="1240"/>
      <c r="AF701" s="1240"/>
      <c r="AG701" s="1241"/>
      <c r="AH701" s="1242">
        <v>0.5</v>
      </c>
      <c r="AI701" s="1243"/>
      <c r="AJ701" s="1243"/>
      <c r="AK701" s="1243"/>
      <c r="AL701" s="1244"/>
      <c r="AM701" s="1245">
        <f t="shared" si="54"/>
        <v>0.5</v>
      </c>
      <c r="AN701" s="1246"/>
      <c r="AO701" s="1247"/>
      <c r="AV701" s="43">
        <f t="shared" si="47"/>
        <v>1980</v>
      </c>
      <c r="AX701" s="41"/>
      <c r="AY701" s="446">
        <f t="shared" si="48"/>
        <v>12</v>
      </c>
      <c r="AZ701" s="452">
        <f t="shared" si="49"/>
        <v>0.10084033613445378</v>
      </c>
      <c r="BA701" s="453">
        <f t="shared" si="50"/>
        <v>5.0420168067226892E-2</v>
      </c>
      <c r="BB701" s="41"/>
      <c r="BC701" s="41"/>
      <c r="BD701" s="41"/>
      <c r="BE701" s="851">
        <f t="shared" si="51"/>
        <v>12</v>
      </c>
      <c r="BF701" s="855">
        <f t="shared" si="52"/>
        <v>0.10084033613445378</v>
      </c>
      <c r="BG701" s="856">
        <f t="shared" si="53"/>
        <v>5.0420168067226892E-2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264" t="s">
        <v>780</v>
      </c>
      <c r="C702" s="1265"/>
      <c r="D702" s="1265"/>
      <c r="E702" s="1265"/>
      <c r="F702" s="1266"/>
      <c r="G702" s="1269">
        <v>9</v>
      </c>
      <c r="H702" s="1270"/>
      <c r="I702" s="1270"/>
      <c r="J702" s="1271"/>
      <c r="K702" s="1248">
        <v>875</v>
      </c>
      <c r="L702" s="1249"/>
      <c r="M702" s="1249"/>
      <c r="N702" s="1250"/>
      <c r="O702" s="1236">
        <v>1024</v>
      </c>
      <c r="P702" s="1237"/>
      <c r="Q702" s="1237"/>
      <c r="R702" s="1237"/>
      <c r="S702" s="1238"/>
      <c r="T702" s="1239">
        <f t="shared" si="45"/>
        <v>9216</v>
      </c>
      <c r="U702" s="1240"/>
      <c r="V702" s="1240"/>
      <c r="W702" s="1240"/>
      <c r="X702" s="1241"/>
      <c r="Y702" s="1236">
        <v>164</v>
      </c>
      <c r="Z702" s="1237"/>
      <c r="AA702" s="1237"/>
      <c r="AB702" s="1238"/>
      <c r="AC702" s="1239">
        <f t="shared" si="46"/>
        <v>1188</v>
      </c>
      <c r="AD702" s="1240"/>
      <c r="AE702" s="1240"/>
      <c r="AF702" s="1240"/>
      <c r="AG702" s="1241"/>
      <c r="AH702" s="1242">
        <v>0.6</v>
      </c>
      <c r="AI702" s="1243"/>
      <c r="AJ702" s="1243"/>
      <c r="AK702" s="1243"/>
      <c r="AL702" s="1244"/>
      <c r="AM702" s="1245">
        <f t="shared" si="54"/>
        <v>0.6</v>
      </c>
      <c r="AN702" s="1246"/>
      <c r="AO702" s="1247"/>
      <c r="AV702" s="43">
        <f t="shared" si="47"/>
        <v>1980</v>
      </c>
      <c r="AX702" s="41"/>
      <c r="AY702" s="446">
        <f t="shared" si="48"/>
        <v>9</v>
      </c>
      <c r="AZ702" s="452">
        <f t="shared" si="49"/>
        <v>7.5630252100840331E-2</v>
      </c>
      <c r="BA702" s="453">
        <f t="shared" si="50"/>
        <v>4.53781512605042E-2</v>
      </c>
      <c r="BB702" s="41"/>
      <c r="BC702" s="41"/>
      <c r="BD702" s="41"/>
      <c r="BE702" s="851">
        <f t="shared" si="51"/>
        <v>9</v>
      </c>
      <c r="BF702" s="855">
        <f t="shared" si="52"/>
        <v>7.5630252100840331E-2</v>
      </c>
      <c r="BG702" s="856">
        <f t="shared" si="53"/>
        <v>4.53781512605042E-2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264" t="s">
        <v>781</v>
      </c>
      <c r="C703" s="1265"/>
      <c r="D703" s="1265"/>
      <c r="E703" s="1265"/>
      <c r="F703" s="1266"/>
      <c r="G703" s="1269">
        <v>3</v>
      </c>
      <c r="H703" s="1270"/>
      <c r="I703" s="1270"/>
      <c r="J703" s="1271"/>
      <c r="K703" s="1248">
        <v>1140</v>
      </c>
      <c r="L703" s="1249"/>
      <c r="M703" s="1249"/>
      <c r="N703" s="1250"/>
      <c r="O703" s="1236">
        <v>479</v>
      </c>
      <c r="P703" s="1237"/>
      <c r="Q703" s="1237"/>
      <c r="R703" s="1237"/>
      <c r="S703" s="1238"/>
      <c r="T703" s="1239">
        <f t="shared" si="45"/>
        <v>1437</v>
      </c>
      <c r="U703" s="1240"/>
      <c r="V703" s="1240"/>
      <c r="W703" s="1240"/>
      <c r="X703" s="1241"/>
      <c r="Y703" s="1236">
        <v>206</v>
      </c>
      <c r="Z703" s="1237"/>
      <c r="AA703" s="1237"/>
      <c r="AB703" s="1238"/>
      <c r="AC703" s="1239">
        <f t="shared" si="46"/>
        <v>685</v>
      </c>
      <c r="AD703" s="1240"/>
      <c r="AE703" s="1240"/>
      <c r="AF703" s="1240"/>
      <c r="AG703" s="1241"/>
      <c r="AH703" s="1242">
        <v>0.3</v>
      </c>
      <c r="AI703" s="1243"/>
      <c r="AJ703" s="1243"/>
      <c r="AK703" s="1243"/>
      <c r="AL703" s="1244"/>
      <c r="AM703" s="1245">
        <f t="shared" si="54"/>
        <v>0.29965004374453191</v>
      </c>
      <c r="AN703" s="1246"/>
      <c r="AO703" s="1247"/>
      <c r="AV703" s="43">
        <f t="shared" si="47"/>
        <v>2286</v>
      </c>
      <c r="AX703" s="41"/>
      <c r="AY703" s="446">
        <f t="shared" si="48"/>
        <v>3</v>
      </c>
      <c r="AZ703" s="452">
        <f t="shared" si="49"/>
        <v>2.5210084033613446E-2</v>
      </c>
      <c r="BA703" s="453">
        <f t="shared" si="50"/>
        <v>7.5630252100840336E-3</v>
      </c>
      <c r="BB703" s="41"/>
      <c r="BC703" s="41"/>
      <c r="BD703" s="41"/>
      <c r="BE703" s="851">
        <f t="shared" si="51"/>
        <v>3</v>
      </c>
      <c r="BF703" s="855">
        <f t="shared" si="52"/>
        <v>2.5210084033613446E-2</v>
      </c>
      <c r="BG703" s="856">
        <f t="shared" si="53"/>
        <v>7.5542027834755946E-3</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264" t="s">
        <v>781</v>
      </c>
      <c r="C704" s="1265"/>
      <c r="D704" s="1265"/>
      <c r="E704" s="1265"/>
      <c r="F704" s="1266"/>
      <c r="G704" s="1269">
        <v>6</v>
      </c>
      <c r="H704" s="1270"/>
      <c r="I704" s="1270"/>
      <c r="J704" s="1271"/>
      <c r="K704" s="1248">
        <v>1140</v>
      </c>
      <c r="L704" s="1249"/>
      <c r="M704" s="1249"/>
      <c r="N704" s="1250"/>
      <c r="O704" s="1236">
        <v>708</v>
      </c>
      <c r="P704" s="1237"/>
      <c r="Q704" s="1237"/>
      <c r="R704" s="1237"/>
      <c r="S704" s="1238"/>
      <c r="T704" s="1239">
        <f t="shared" si="45"/>
        <v>4248</v>
      </c>
      <c r="U704" s="1240"/>
      <c r="V704" s="1240"/>
      <c r="W704" s="1240"/>
      <c r="X704" s="1241"/>
      <c r="Y704" s="1236">
        <v>206</v>
      </c>
      <c r="Z704" s="1237"/>
      <c r="AA704" s="1237"/>
      <c r="AB704" s="1238"/>
      <c r="AC704" s="1239">
        <f t="shared" si="46"/>
        <v>914</v>
      </c>
      <c r="AD704" s="1240"/>
      <c r="AE704" s="1240"/>
      <c r="AF704" s="1240"/>
      <c r="AG704" s="1241"/>
      <c r="AH704" s="1242">
        <v>0.4</v>
      </c>
      <c r="AI704" s="1243"/>
      <c r="AJ704" s="1243"/>
      <c r="AK704" s="1243"/>
      <c r="AL704" s="1244"/>
      <c r="AM704" s="1245">
        <f t="shared" si="54"/>
        <v>0.39982502187226598</v>
      </c>
      <c r="AN704" s="1246"/>
      <c r="AO704" s="1247"/>
      <c r="AV704" s="43">
        <f t="shared" si="47"/>
        <v>2286</v>
      </c>
      <c r="AX704" s="41"/>
      <c r="AY704" s="446">
        <f t="shared" si="48"/>
        <v>6</v>
      </c>
      <c r="AZ704" s="452">
        <f t="shared" si="49"/>
        <v>5.0420168067226892E-2</v>
      </c>
      <c r="BA704" s="453">
        <f t="shared" si="50"/>
        <v>2.0168067226890758E-2</v>
      </c>
      <c r="BB704" s="41"/>
      <c r="BC704" s="41"/>
      <c r="BD704" s="41"/>
      <c r="BE704" s="851">
        <f t="shared" si="51"/>
        <v>6</v>
      </c>
      <c r="BF704" s="855">
        <f t="shared" si="52"/>
        <v>5.0420168067226892E-2</v>
      </c>
      <c r="BG704" s="856">
        <f t="shared" si="53"/>
        <v>2.0159244800282319E-2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264" t="s">
        <v>781</v>
      </c>
      <c r="C705" s="1265"/>
      <c r="D705" s="1265"/>
      <c r="E705" s="1265"/>
      <c r="F705" s="1266"/>
      <c r="G705" s="1269">
        <v>12</v>
      </c>
      <c r="H705" s="1270"/>
      <c r="I705" s="1270"/>
      <c r="J705" s="1271"/>
      <c r="K705" s="1248">
        <v>1140</v>
      </c>
      <c r="L705" s="1249"/>
      <c r="M705" s="1249"/>
      <c r="N705" s="1250"/>
      <c r="O705" s="1236">
        <v>937</v>
      </c>
      <c r="P705" s="1237"/>
      <c r="Q705" s="1237"/>
      <c r="R705" s="1237"/>
      <c r="S705" s="1238"/>
      <c r="T705" s="1239">
        <f t="shared" si="45"/>
        <v>11244</v>
      </c>
      <c r="U705" s="1240"/>
      <c r="V705" s="1240"/>
      <c r="W705" s="1240"/>
      <c r="X705" s="1241"/>
      <c r="Y705" s="1236">
        <v>206</v>
      </c>
      <c r="Z705" s="1237"/>
      <c r="AA705" s="1237"/>
      <c r="AB705" s="1238"/>
      <c r="AC705" s="1239">
        <f t="shared" si="46"/>
        <v>1143</v>
      </c>
      <c r="AD705" s="1240"/>
      <c r="AE705" s="1240"/>
      <c r="AF705" s="1240"/>
      <c r="AG705" s="1241"/>
      <c r="AH705" s="1242">
        <v>0.5</v>
      </c>
      <c r="AI705" s="1243"/>
      <c r="AJ705" s="1243"/>
      <c r="AK705" s="1243"/>
      <c r="AL705" s="1244"/>
      <c r="AM705" s="1245">
        <f t="shared" si="54"/>
        <v>0.5</v>
      </c>
      <c r="AN705" s="1246"/>
      <c r="AO705" s="1247"/>
      <c r="AV705" s="43">
        <f t="shared" si="47"/>
        <v>2286</v>
      </c>
      <c r="AX705" s="41"/>
      <c r="AY705" s="446">
        <f t="shared" si="48"/>
        <v>12</v>
      </c>
      <c r="AZ705" s="452">
        <f t="shared" si="49"/>
        <v>0.10084033613445378</v>
      </c>
      <c r="BA705" s="453">
        <f t="shared" si="50"/>
        <v>5.0420168067226892E-2</v>
      </c>
      <c r="BB705" s="41"/>
      <c r="BC705" s="41"/>
      <c r="BD705" s="41"/>
      <c r="BE705" s="851">
        <f t="shared" si="51"/>
        <v>12</v>
      </c>
      <c r="BF705" s="855">
        <f t="shared" si="52"/>
        <v>0.10084033613445378</v>
      </c>
      <c r="BG705" s="856">
        <f t="shared" si="53"/>
        <v>5.0420168067226892E-2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264" t="s">
        <v>781</v>
      </c>
      <c r="C706" s="1265"/>
      <c r="D706" s="1265"/>
      <c r="E706" s="1265"/>
      <c r="F706" s="1266"/>
      <c r="G706" s="1269">
        <v>9</v>
      </c>
      <c r="H706" s="1270"/>
      <c r="I706" s="1270"/>
      <c r="J706" s="1271"/>
      <c r="K706" s="1248">
        <v>1140</v>
      </c>
      <c r="L706" s="1249"/>
      <c r="M706" s="1249"/>
      <c r="N706" s="1250"/>
      <c r="O706" s="1236">
        <v>1165</v>
      </c>
      <c r="P706" s="1237"/>
      <c r="Q706" s="1237"/>
      <c r="R706" s="1237"/>
      <c r="S706" s="1238"/>
      <c r="T706" s="1239">
        <f t="shared" si="45"/>
        <v>10485</v>
      </c>
      <c r="U706" s="1240"/>
      <c r="V706" s="1240"/>
      <c r="W706" s="1240"/>
      <c r="X706" s="1241"/>
      <c r="Y706" s="1236">
        <v>206</v>
      </c>
      <c r="Z706" s="1237"/>
      <c r="AA706" s="1237"/>
      <c r="AB706" s="1238"/>
      <c r="AC706" s="1239">
        <f t="shared" si="46"/>
        <v>1371</v>
      </c>
      <c r="AD706" s="1240"/>
      <c r="AE706" s="1240"/>
      <c r="AF706" s="1240"/>
      <c r="AG706" s="1241"/>
      <c r="AH706" s="1242">
        <v>0.6</v>
      </c>
      <c r="AI706" s="1243"/>
      <c r="AJ706" s="1243"/>
      <c r="AK706" s="1243"/>
      <c r="AL706" s="1244"/>
      <c r="AM706" s="1245">
        <f t="shared" si="54"/>
        <v>0.59973753280839892</v>
      </c>
      <c r="AN706" s="1246"/>
      <c r="AO706" s="1247"/>
      <c r="AV706" s="43">
        <f t="shared" si="47"/>
        <v>2286</v>
      </c>
      <c r="AX706" s="41"/>
      <c r="AY706" s="446">
        <f t="shared" si="48"/>
        <v>9</v>
      </c>
      <c r="AZ706" s="452">
        <f t="shared" si="49"/>
        <v>7.5630252100840331E-2</v>
      </c>
      <c r="BA706" s="453">
        <f t="shared" si="50"/>
        <v>4.53781512605042E-2</v>
      </c>
      <c r="BB706" s="41"/>
      <c r="BC706" s="41"/>
      <c r="BD706" s="41"/>
      <c r="BE706" s="851">
        <f t="shared" si="51"/>
        <v>9</v>
      </c>
      <c r="BF706" s="855">
        <f t="shared" si="52"/>
        <v>7.5630252100840331E-2</v>
      </c>
      <c r="BG706" s="856">
        <f t="shared" si="53"/>
        <v>4.5358300800635208E-2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264"/>
      <c r="C707" s="1265"/>
      <c r="D707" s="1265"/>
      <c r="E707" s="1265"/>
      <c r="F707" s="1266"/>
      <c r="G707" s="1269"/>
      <c r="H707" s="1270"/>
      <c r="I707" s="1270"/>
      <c r="J707" s="1271"/>
      <c r="K707" s="1248"/>
      <c r="L707" s="1249"/>
      <c r="M707" s="1249"/>
      <c r="N707" s="1250"/>
      <c r="O707" s="1236"/>
      <c r="P707" s="1237"/>
      <c r="Q707" s="1237"/>
      <c r="R707" s="1237"/>
      <c r="S707" s="1238"/>
      <c r="T707" s="1239">
        <f t="shared" si="45"/>
        <v>0</v>
      </c>
      <c r="U707" s="1240"/>
      <c r="V707" s="1240"/>
      <c r="W707" s="1240"/>
      <c r="X707" s="1241"/>
      <c r="Y707" s="1236"/>
      <c r="Z707" s="1237"/>
      <c r="AA707" s="1237"/>
      <c r="AB707" s="1238"/>
      <c r="AC707" s="1239">
        <f t="shared" si="46"/>
        <v>0</v>
      </c>
      <c r="AD707" s="1240"/>
      <c r="AE707" s="1240"/>
      <c r="AF707" s="1240"/>
      <c r="AG707" s="1241"/>
      <c r="AH707" s="1242"/>
      <c r="AI707" s="1243"/>
      <c r="AJ707" s="1243"/>
      <c r="AK707" s="1243"/>
      <c r="AL707" s="1244"/>
      <c r="AM707" s="1245" t="str">
        <f t="shared" si="54"/>
        <v/>
      </c>
      <c r="AN707" s="1246"/>
      <c r="AO707" s="1247"/>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264"/>
      <c r="C708" s="1265"/>
      <c r="D708" s="1265"/>
      <c r="E708" s="1265"/>
      <c r="F708" s="1266"/>
      <c r="G708" s="1269"/>
      <c r="H708" s="1270"/>
      <c r="I708" s="1270"/>
      <c r="J708" s="1271"/>
      <c r="K708" s="1248"/>
      <c r="L708" s="1249"/>
      <c r="M708" s="1249"/>
      <c r="N708" s="1250"/>
      <c r="O708" s="1236"/>
      <c r="P708" s="1237"/>
      <c r="Q708" s="1237"/>
      <c r="R708" s="1237"/>
      <c r="S708" s="1238"/>
      <c r="T708" s="1239">
        <f t="shared" si="45"/>
        <v>0</v>
      </c>
      <c r="U708" s="1240"/>
      <c r="V708" s="1240"/>
      <c r="W708" s="1240"/>
      <c r="X708" s="1241"/>
      <c r="Y708" s="1236"/>
      <c r="Z708" s="1237"/>
      <c r="AA708" s="1237"/>
      <c r="AB708" s="1238"/>
      <c r="AC708" s="1239">
        <f t="shared" si="46"/>
        <v>0</v>
      </c>
      <c r="AD708" s="1240"/>
      <c r="AE708" s="1240"/>
      <c r="AF708" s="1240"/>
      <c r="AG708" s="1241"/>
      <c r="AH708" s="1242"/>
      <c r="AI708" s="1243"/>
      <c r="AJ708" s="1243"/>
      <c r="AK708" s="1243"/>
      <c r="AL708" s="1244"/>
      <c r="AM708" s="1245" t="str">
        <f t="shared" si="54"/>
        <v/>
      </c>
      <c r="AN708" s="1246"/>
      <c r="AO708" s="1247"/>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264"/>
      <c r="C709" s="1265"/>
      <c r="D709" s="1265"/>
      <c r="E709" s="1265"/>
      <c r="F709" s="1266"/>
      <c r="G709" s="1269"/>
      <c r="H709" s="1270"/>
      <c r="I709" s="1270"/>
      <c r="J709" s="1271"/>
      <c r="K709" s="1248"/>
      <c r="L709" s="1249"/>
      <c r="M709" s="1249"/>
      <c r="N709" s="1250"/>
      <c r="O709" s="1236"/>
      <c r="P709" s="1237"/>
      <c r="Q709" s="1237"/>
      <c r="R709" s="1237"/>
      <c r="S709" s="1238"/>
      <c r="T709" s="1239">
        <f t="shared" si="45"/>
        <v>0</v>
      </c>
      <c r="U709" s="1240"/>
      <c r="V709" s="1240"/>
      <c r="W709" s="1240"/>
      <c r="X709" s="1241"/>
      <c r="Y709" s="1236"/>
      <c r="Z709" s="1237"/>
      <c r="AA709" s="1237"/>
      <c r="AB709" s="1238"/>
      <c r="AC709" s="1239">
        <f t="shared" si="46"/>
        <v>0</v>
      </c>
      <c r="AD709" s="1240"/>
      <c r="AE709" s="1240"/>
      <c r="AF709" s="1240"/>
      <c r="AG709" s="1241"/>
      <c r="AH709" s="1242"/>
      <c r="AI709" s="1243"/>
      <c r="AJ709" s="1243"/>
      <c r="AK709" s="1243"/>
      <c r="AL709" s="1244"/>
      <c r="AM709" s="1245" t="str">
        <f t="shared" si="54"/>
        <v/>
      </c>
      <c r="AN709" s="1246"/>
      <c r="AO709" s="1247"/>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264"/>
      <c r="C710" s="1265"/>
      <c r="D710" s="1265"/>
      <c r="E710" s="1265"/>
      <c r="F710" s="1266"/>
      <c r="G710" s="1269"/>
      <c r="H710" s="1270"/>
      <c r="I710" s="1270"/>
      <c r="J710" s="1271"/>
      <c r="K710" s="1248"/>
      <c r="L710" s="1249"/>
      <c r="M710" s="1249"/>
      <c r="N710" s="1250"/>
      <c r="O710" s="1236"/>
      <c r="P710" s="1237"/>
      <c r="Q710" s="1237"/>
      <c r="R710" s="1237"/>
      <c r="S710" s="1238"/>
      <c r="T710" s="1239">
        <f t="shared" si="45"/>
        <v>0</v>
      </c>
      <c r="U710" s="1240"/>
      <c r="V710" s="1240"/>
      <c r="W710" s="1240"/>
      <c r="X710" s="1241"/>
      <c r="Y710" s="1236"/>
      <c r="Z710" s="1237"/>
      <c r="AA710" s="1237"/>
      <c r="AB710" s="1238"/>
      <c r="AC710" s="1239">
        <f t="shared" si="46"/>
        <v>0</v>
      </c>
      <c r="AD710" s="1240"/>
      <c r="AE710" s="1240"/>
      <c r="AF710" s="1240"/>
      <c r="AG710" s="1241"/>
      <c r="AH710" s="1242"/>
      <c r="AI710" s="1243"/>
      <c r="AJ710" s="1243"/>
      <c r="AK710" s="1243"/>
      <c r="AL710" s="1244"/>
      <c r="AM710" s="1245" t="str">
        <f t="shared" si="54"/>
        <v/>
      </c>
      <c r="AN710" s="1246"/>
      <c r="AO710" s="1247"/>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264"/>
      <c r="C711" s="1265"/>
      <c r="D711" s="1265"/>
      <c r="E711" s="1265"/>
      <c r="F711" s="1266"/>
      <c r="G711" s="1269"/>
      <c r="H711" s="1270"/>
      <c r="I711" s="1270"/>
      <c r="J711" s="1271"/>
      <c r="K711" s="1248"/>
      <c r="L711" s="1249"/>
      <c r="M711" s="1249"/>
      <c r="N711" s="1250"/>
      <c r="O711" s="1236"/>
      <c r="P711" s="1237"/>
      <c r="Q711" s="1237"/>
      <c r="R711" s="1237"/>
      <c r="S711" s="1238"/>
      <c r="T711" s="1239">
        <f t="shared" si="45"/>
        <v>0</v>
      </c>
      <c r="U711" s="1240"/>
      <c r="V711" s="1240"/>
      <c r="W711" s="1240"/>
      <c r="X711" s="1241"/>
      <c r="Y711" s="1236"/>
      <c r="Z711" s="1237"/>
      <c r="AA711" s="1237"/>
      <c r="AB711" s="1238"/>
      <c r="AC711" s="1239">
        <f t="shared" si="46"/>
        <v>0</v>
      </c>
      <c r="AD711" s="1240"/>
      <c r="AE711" s="1240"/>
      <c r="AF711" s="1240"/>
      <c r="AG711" s="1241"/>
      <c r="AH711" s="1242"/>
      <c r="AI711" s="1243"/>
      <c r="AJ711" s="1243"/>
      <c r="AK711" s="1243"/>
      <c r="AL711" s="1244"/>
      <c r="AM711" s="1245" t="str">
        <f t="shared" si="54"/>
        <v/>
      </c>
      <c r="AN711" s="1246"/>
      <c r="AO711" s="1247"/>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264"/>
      <c r="C712" s="1265"/>
      <c r="D712" s="1265"/>
      <c r="E712" s="1265"/>
      <c r="F712" s="1266"/>
      <c r="G712" s="1269"/>
      <c r="H712" s="1270"/>
      <c r="I712" s="1270"/>
      <c r="J712" s="1271"/>
      <c r="K712" s="1248"/>
      <c r="L712" s="1249"/>
      <c r="M712" s="1249"/>
      <c r="N712" s="1250"/>
      <c r="O712" s="1236"/>
      <c r="P712" s="1237"/>
      <c r="Q712" s="1237"/>
      <c r="R712" s="1237"/>
      <c r="S712" s="1238"/>
      <c r="T712" s="1239">
        <f t="shared" si="45"/>
        <v>0</v>
      </c>
      <c r="U712" s="1240"/>
      <c r="V712" s="1240"/>
      <c r="W712" s="1240"/>
      <c r="X712" s="1241"/>
      <c r="Y712" s="1236"/>
      <c r="Z712" s="1237"/>
      <c r="AA712" s="1237"/>
      <c r="AB712" s="1238"/>
      <c r="AC712" s="1239">
        <f t="shared" si="46"/>
        <v>0</v>
      </c>
      <c r="AD712" s="1240"/>
      <c r="AE712" s="1240"/>
      <c r="AF712" s="1240"/>
      <c r="AG712" s="1241"/>
      <c r="AH712" s="1242"/>
      <c r="AI712" s="1243"/>
      <c r="AJ712" s="1243"/>
      <c r="AK712" s="1243"/>
      <c r="AL712" s="1244"/>
      <c r="AM712" s="1245" t="str">
        <f t="shared" si="54"/>
        <v/>
      </c>
      <c r="AN712" s="1246"/>
      <c r="AO712" s="1247"/>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264"/>
      <c r="C713" s="1265"/>
      <c r="D713" s="1265"/>
      <c r="E713" s="1265"/>
      <c r="F713" s="1266"/>
      <c r="G713" s="1269"/>
      <c r="H713" s="1270"/>
      <c r="I713" s="1270"/>
      <c r="J713" s="1271"/>
      <c r="K713" s="1248"/>
      <c r="L713" s="1249"/>
      <c r="M713" s="1249"/>
      <c r="N713" s="1250"/>
      <c r="O713" s="1236"/>
      <c r="P713" s="1237"/>
      <c r="Q713" s="1237"/>
      <c r="R713" s="1237"/>
      <c r="S713" s="1238"/>
      <c r="T713" s="1239">
        <f t="shared" si="45"/>
        <v>0</v>
      </c>
      <c r="U713" s="1240"/>
      <c r="V713" s="1240"/>
      <c r="W713" s="1240"/>
      <c r="X713" s="1241"/>
      <c r="Y713" s="1236"/>
      <c r="Z713" s="1237"/>
      <c r="AA713" s="1237"/>
      <c r="AB713" s="1238"/>
      <c r="AC713" s="1239">
        <f t="shared" si="46"/>
        <v>0</v>
      </c>
      <c r="AD713" s="1240"/>
      <c r="AE713" s="1240"/>
      <c r="AF713" s="1240"/>
      <c r="AG713" s="1241"/>
      <c r="AH713" s="1242"/>
      <c r="AI713" s="1243"/>
      <c r="AJ713" s="1243"/>
      <c r="AK713" s="1243"/>
      <c r="AL713" s="1244"/>
      <c r="AM713" s="1245" t="str">
        <f t="shared" si="54"/>
        <v/>
      </c>
      <c r="AN713" s="1246"/>
      <c r="AO713" s="1247"/>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264"/>
      <c r="C714" s="1265"/>
      <c r="D714" s="1265"/>
      <c r="E714" s="1265"/>
      <c r="F714" s="1266"/>
      <c r="G714" s="1269"/>
      <c r="H714" s="1270"/>
      <c r="I714" s="1270"/>
      <c r="J714" s="1271"/>
      <c r="K714" s="1248"/>
      <c r="L714" s="1249"/>
      <c r="M714" s="1249"/>
      <c r="N714" s="1250"/>
      <c r="O714" s="1236"/>
      <c r="P714" s="1237"/>
      <c r="Q714" s="1237"/>
      <c r="R714" s="1237"/>
      <c r="S714" s="1238"/>
      <c r="T714" s="1239">
        <f t="shared" si="45"/>
        <v>0</v>
      </c>
      <c r="U714" s="1240"/>
      <c r="V714" s="1240"/>
      <c r="W714" s="1240"/>
      <c r="X714" s="1241"/>
      <c r="Y714" s="1236"/>
      <c r="Z714" s="1237"/>
      <c r="AA714" s="1237"/>
      <c r="AB714" s="1238"/>
      <c r="AC714" s="1239">
        <f t="shared" si="46"/>
        <v>0</v>
      </c>
      <c r="AD714" s="1240"/>
      <c r="AE714" s="1240"/>
      <c r="AF714" s="1240"/>
      <c r="AG714" s="1241"/>
      <c r="AH714" s="1242"/>
      <c r="AI714" s="1243"/>
      <c r="AJ714" s="1243"/>
      <c r="AK714" s="1243"/>
      <c r="AL714" s="1244"/>
      <c r="AM714" s="1245" t="str">
        <f t="shared" si="54"/>
        <v/>
      </c>
      <c r="AN714" s="1246"/>
      <c r="AO714" s="1247"/>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264"/>
      <c r="C715" s="1265"/>
      <c r="D715" s="1265"/>
      <c r="E715" s="1265"/>
      <c r="F715" s="1266"/>
      <c r="G715" s="1269"/>
      <c r="H715" s="1270"/>
      <c r="I715" s="1270"/>
      <c r="J715" s="1271"/>
      <c r="K715" s="1248"/>
      <c r="L715" s="1249"/>
      <c r="M715" s="1249"/>
      <c r="N715" s="1250"/>
      <c r="O715" s="1236"/>
      <c r="P715" s="1237"/>
      <c r="Q715" s="1237"/>
      <c r="R715" s="1237"/>
      <c r="S715" s="1238"/>
      <c r="T715" s="1239">
        <f t="shared" si="45"/>
        <v>0</v>
      </c>
      <c r="U715" s="1240"/>
      <c r="V715" s="1240"/>
      <c r="W715" s="1240"/>
      <c r="X715" s="1241"/>
      <c r="Y715" s="1236"/>
      <c r="Z715" s="1237"/>
      <c r="AA715" s="1237"/>
      <c r="AB715" s="1238"/>
      <c r="AC715" s="1239">
        <f t="shared" si="46"/>
        <v>0</v>
      </c>
      <c r="AD715" s="1240"/>
      <c r="AE715" s="1240"/>
      <c r="AF715" s="1240"/>
      <c r="AG715" s="1241"/>
      <c r="AH715" s="1242"/>
      <c r="AI715" s="1243"/>
      <c r="AJ715" s="1243"/>
      <c r="AK715" s="1243"/>
      <c r="AL715" s="1244"/>
      <c r="AM715" s="1245" t="str">
        <f t="shared" si="54"/>
        <v/>
      </c>
      <c r="AN715" s="1246"/>
      <c r="AO715" s="1247"/>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264"/>
      <c r="C716" s="1265"/>
      <c r="D716" s="1265"/>
      <c r="E716" s="1265"/>
      <c r="F716" s="1266"/>
      <c r="G716" s="1269"/>
      <c r="H716" s="1270"/>
      <c r="I716" s="1270"/>
      <c r="J716" s="1271"/>
      <c r="K716" s="1248"/>
      <c r="L716" s="1249"/>
      <c r="M716" s="1249"/>
      <c r="N716" s="1250"/>
      <c r="O716" s="1236"/>
      <c r="P716" s="1237"/>
      <c r="Q716" s="1237"/>
      <c r="R716" s="1237"/>
      <c r="S716" s="1238"/>
      <c r="T716" s="1239">
        <f t="shared" si="45"/>
        <v>0</v>
      </c>
      <c r="U716" s="1240"/>
      <c r="V716" s="1240"/>
      <c r="W716" s="1240"/>
      <c r="X716" s="1241"/>
      <c r="Y716" s="1236"/>
      <c r="Z716" s="1237"/>
      <c r="AA716" s="1237"/>
      <c r="AB716" s="1238"/>
      <c r="AC716" s="1239">
        <f t="shared" si="46"/>
        <v>0</v>
      </c>
      <c r="AD716" s="1240"/>
      <c r="AE716" s="1240"/>
      <c r="AF716" s="1240"/>
      <c r="AG716" s="1241"/>
      <c r="AH716" s="1242"/>
      <c r="AI716" s="1243"/>
      <c r="AJ716" s="1243"/>
      <c r="AK716" s="1243"/>
      <c r="AL716" s="1244"/>
      <c r="AM716" s="1245" t="str">
        <f t="shared" si="54"/>
        <v/>
      </c>
      <c r="AN716" s="1246"/>
      <c r="AO716" s="1247"/>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264"/>
      <c r="C717" s="1265"/>
      <c r="D717" s="1265"/>
      <c r="E717" s="1265"/>
      <c r="F717" s="1266"/>
      <c r="G717" s="1269"/>
      <c r="H717" s="1270"/>
      <c r="I717" s="1270"/>
      <c r="J717" s="1271"/>
      <c r="K717" s="1248"/>
      <c r="L717" s="1249"/>
      <c r="M717" s="1249"/>
      <c r="N717" s="1250"/>
      <c r="O717" s="1236"/>
      <c r="P717" s="1237"/>
      <c r="Q717" s="1237"/>
      <c r="R717" s="1237"/>
      <c r="S717" s="1238"/>
      <c r="T717" s="1239">
        <f t="shared" si="45"/>
        <v>0</v>
      </c>
      <c r="U717" s="1240"/>
      <c r="V717" s="1240"/>
      <c r="W717" s="1240"/>
      <c r="X717" s="1241"/>
      <c r="Y717" s="1236"/>
      <c r="Z717" s="1237"/>
      <c r="AA717" s="1237"/>
      <c r="AB717" s="1238"/>
      <c r="AC717" s="1239">
        <f t="shared" si="46"/>
        <v>0</v>
      </c>
      <c r="AD717" s="1240"/>
      <c r="AE717" s="1240"/>
      <c r="AF717" s="1240"/>
      <c r="AG717" s="1241"/>
      <c r="AH717" s="1242"/>
      <c r="AI717" s="1243"/>
      <c r="AJ717" s="1243"/>
      <c r="AK717" s="1243"/>
      <c r="AL717" s="1244"/>
      <c r="AM717" s="1245" t="str">
        <f t="shared" si="54"/>
        <v/>
      </c>
      <c r="AN717" s="1246"/>
      <c r="AO717" s="1247"/>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264"/>
      <c r="C718" s="1265"/>
      <c r="D718" s="1265"/>
      <c r="E718" s="1265"/>
      <c r="F718" s="1266"/>
      <c r="G718" s="1269"/>
      <c r="H718" s="1270"/>
      <c r="I718" s="1270"/>
      <c r="J718" s="1271"/>
      <c r="K718" s="1248"/>
      <c r="L718" s="1249"/>
      <c r="M718" s="1249"/>
      <c r="N718" s="1250"/>
      <c r="O718" s="1236"/>
      <c r="P718" s="1237"/>
      <c r="Q718" s="1237"/>
      <c r="R718" s="1237"/>
      <c r="S718" s="1238"/>
      <c r="T718" s="1239">
        <f t="shared" si="45"/>
        <v>0</v>
      </c>
      <c r="U718" s="1240"/>
      <c r="V718" s="1240"/>
      <c r="W718" s="1240"/>
      <c r="X718" s="1241"/>
      <c r="Y718" s="1236"/>
      <c r="Z718" s="1237"/>
      <c r="AA718" s="1237"/>
      <c r="AB718" s="1238"/>
      <c r="AC718" s="1239">
        <f t="shared" si="46"/>
        <v>0</v>
      </c>
      <c r="AD718" s="1240"/>
      <c r="AE718" s="1240"/>
      <c r="AF718" s="1240"/>
      <c r="AG718" s="1241"/>
      <c r="AH718" s="1242"/>
      <c r="AI718" s="1243"/>
      <c r="AJ718" s="1243"/>
      <c r="AK718" s="1243"/>
      <c r="AL718" s="1244"/>
      <c r="AM718" s="1245" t="str">
        <f t="shared" si="54"/>
        <v/>
      </c>
      <c r="AN718" s="1246"/>
      <c r="AO718" s="1247"/>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264"/>
      <c r="C719" s="1265"/>
      <c r="D719" s="1265"/>
      <c r="E719" s="1265"/>
      <c r="F719" s="1266"/>
      <c r="G719" s="1269"/>
      <c r="H719" s="1270"/>
      <c r="I719" s="1270"/>
      <c r="J719" s="1271"/>
      <c r="K719" s="1248"/>
      <c r="L719" s="1249"/>
      <c r="M719" s="1249"/>
      <c r="N719" s="1250"/>
      <c r="O719" s="1236"/>
      <c r="P719" s="1237"/>
      <c r="Q719" s="1237"/>
      <c r="R719" s="1237"/>
      <c r="S719" s="1238"/>
      <c r="T719" s="1239">
        <f t="shared" ref="T719:T728" si="55">G719*O719</f>
        <v>0</v>
      </c>
      <c r="U719" s="1240"/>
      <c r="V719" s="1240"/>
      <c r="W719" s="1240"/>
      <c r="X719" s="1241"/>
      <c r="Y719" s="1236"/>
      <c r="Z719" s="1237"/>
      <c r="AA719" s="1237"/>
      <c r="AB719" s="1238"/>
      <c r="AC719" s="1239">
        <f t="shared" ref="AC719:AC728" si="56">O719+Y719</f>
        <v>0</v>
      </c>
      <c r="AD719" s="1240"/>
      <c r="AE719" s="1240"/>
      <c r="AF719" s="1240"/>
      <c r="AG719" s="1241"/>
      <c r="AH719" s="1242"/>
      <c r="AI719" s="1243"/>
      <c r="AJ719" s="1243"/>
      <c r="AK719" s="1243"/>
      <c r="AL719" s="1244"/>
      <c r="AM719" s="1245" t="str">
        <f t="shared" ref="AM719:AM728" si="57">IF($AH719&gt;0,($AC719/$AV719), "")</f>
        <v/>
      </c>
      <c r="AN719" s="1246"/>
      <c r="AO719" s="1247"/>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264"/>
      <c r="C720" s="1265"/>
      <c r="D720" s="1265"/>
      <c r="E720" s="1265"/>
      <c r="F720" s="1266"/>
      <c r="G720" s="1269"/>
      <c r="H720" s="1270"/>
      <c r="I720" s="1270"/>
      <c r="J720" s="1271"/>
      <c r="K720" s="1248"/>
      <c r="L720" s="1249"/>
      <c r="M720" s="1249"/>
      <c r="N720" s="1250"/>
      <c r="O720" s="1236"/>
      <c r="P720" s="1237"/>
      <c r="Q720" s="1237"/>
      <c r="R720" s="1237"/>
      <c r="S720" s="1238"/>
      <c r="T720" s="1239">
        <f t="shared" si="55"/>
        <v>0</v>
      </c>
      <c r="U720" s="1240"/>
      <c r="V720" s="1240"/>
      <c r="W720" s="1240"/>
      <c r="X720" s="1241"/>
      <c r="Y720" s="1236"/>
      <c r="Z720" s="1237"/>
      <c r="AA720" s="1237"/>
      <c r="AB720" s="1238"/>
      <c r="AC720" s="1239">
        <f t="shared" si="56"/>
        <v>0</v>
      </c>
      <c r="AD720" s="1240"/>
      <c r="AE720" s="1240"/>
      <c r="AF720" s="1240"/>
      <c r="AG720" s="1241"/>
      <c r="AH720" s="1242"/>
      <c r="AI720" s="1243"/>
      <c r="AJ720" s="1243"/>
      <c r="AK720" s="1243"/>
      <c r="AL720" s="1244"/>
      <c r="AM720" s="1245" t="str">
        <f t="shared" si="57"/>
        <v/>
      </c>
      <c r="AN720" s="1246"/>
      <c r="AO720" s="1247"/>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264"/>
      <c r="C721" s="1265"/>
      <c r="D721" s="1265"/>
      <c r="E721" s="1265"/>
      <c r="F721" s="1266"/>
      <c r="G721" s="1269"/>
      <c r="H721" s="1270"/>
      <c r="I721" s="1270"/>
      <c r="J721" s="1271"/>
      <c r="K721" s="1248"/>
      <c r="L721" s="1249"/>
      <c r="M721" s="1249"/>
      <c r="N721" s="1250"/>
      <c r="O721" s="1236"/>
      <c r="P721" s="1237"/>
      <c r="Q721" s="1237"/>
      <c r="R721" s="1237"/>
      <c r="S721" s="1238"/>
      <c r="T721" s="1239">
        <f t="shared" si="55"/>
        <v>0</v>
      </c>
      <c r="U721" s="1240"/>
      <c r="V721" s="1240"/>
      <c r="W721" s="1240"/>
      <c r="X721" s="1241"/>
      <c r="Y721" s="1236"/>
      <c r="Z721" s="1237"/>
      <c r="AA721" s="1237"/>
      <c r="AB721" s="1238"/>
      <c r="AC721" s="1239">
        <f t="shared" si="56"/>
        <v>0</v>
      </c>
      <c r="AD721" s="1240"/>
      <c r="AE721" s="1240"/>
      <c r="AF721" s="1240"/>
      <c r="AG721" s="1241"/>
      <c r="AH721" s="1242"/>
      <c r="AI721" s="1243"/>
      <c r="AJ721" s="1243"/>
      <c r="AK721" s="1243"/>
      <c r="AL721" s="1244"/>
      <c r="AM721" s="1245" t="str">
        <f t="shared" si="57"/>
        <v/>
      </c>
      <c r="AN721" s="1246"/>
      <c r="AO721" s="1247"/>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264"/>
      <c r="C722" s="1265"/>
      <c r="D722" s="1265"/>
      <c r="E722" s="1265"/>
      <c r="F722" s="1266"/>
      <c r="G722" s="1269"/>
      <c r="H722" s="1270"/>
      <c r="I722" s="1270"/>
      <c r="J722" s="1271"/>
      <c r="K722" s="1248"/>
      <c r="L722" s="1249"/>
      <c r="M722" s="1249"/>
      <c r="N722" s="1250"/>
      <c r="O722" s="1236"/>
      <c r="P722" s="1237"/>
      <c r="Q722" s="1237"/>
      <c r="R722" s="1237"/>
      <c r="S722" s="1238"/>
      <c r="T722" s="1239">
        <f t="shared" si="55"/>
        <v>0</v>
      </c>
      <c r="U722" s="1240"/>
      <c r="V722" s="1240"/>
      <c r="W722" s="1240"/>
      <c r="X722" s="1241"/>
      <c r="Y722" s="1236"/>
      <c r="Z722" s="1237"/>
      <c r="AA722" s="1237"/>
      <c r="AB722" s="1238"/>
      <c r="AC722" s="1239">
        <f t="shared" si="56"/>
        <v>0</v>
      </c>
      <c r="AD722" s="1240"/>
      <c r="AE722" s="1240"/>
      <c r="AF722" s="1240"/>
      <c r="AG722" s="1241"/>
      <c r="AH722" s="1242"/>
      <c r="AI722" s="1243"/>
      <c r="AJ722" s="1243"/>
      <c r="AK722" s="1243"/>
      <c r="AL722" s="1244"/>
      <c r="AM722" s="1245" t="str">
        <f t="shared" si="57"/>
        <v/>
      </c>
      <c r="AN722" s="1246"/>
      <c r="AO722" s="1247"/>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264"/>
      <c r="C723" s="1265"/>
      <c r="D723" s="1265"/>
      <c r="E723" s="1265"/>
      <c r="F723" s="1266"/>
      <c r="G723" s="1269"/>
      <c r="H723" s="1270"/>
      <c r="I723" s="1270"/>
      <c r="J723" s="1271"/>
      <c r="K723" s="1248"/>
      <c r="L723" s="1249"/>
      <c r="M723" s="1249"/>
      <c r="N723" s="1250"/>
      <c r="O723" s="1236"/>
      <c r="P723" s="1237"/>
      <c r="Q723" s="1237"/>
      <c r="R723" s="1237"/>
      <c r="S723" s="1238"/>
      <c r="T723" s="1239">
        <f t="shared" si="55"/>
        <v>0</v>
      </c>
      <c r="U723" s="1240"/>
      <c r="V723" s="1240"/>
      <c r="W723" s="1240"/>
      <c r="X723" s="1241"/>
      <c r="Y723" s="1236"/>
      <c r="Z723" s="1237"/>
      <c r="AA723" s="1237"/>
      <c r="AB723" s="1238"/>
      <c r="AC723" s="1239">
        <f t="shared" si="56"/>
        <v>0</v>
      </c>
      <c r="AD723" s="1240"/>
      <c r="AE723" s="1240"/>
      <c r="AF723" s="1240"/>
      <c r="AG723" s="1241"/>
      <c r="AH723" s="1242"/>
      <c r="AI723" s="1243"/>
      <c r="AJ723" s="1243"/>
      <c r="AK723" s="1243"/>
      <c r="AL723" s="1244"/>
      <c r="AM723" s="1245" t="str">
        <f t="shared" si="57"/>
        <v/>
      </c>
      <c r="AN723" s="1246"/>
      <c r="AO723" s="1247"/>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264"/>
      <c r="C724" s="1265"/>
      <c r="D724" s="1265"/>
      <c r="E724" s="1265"/>
      <c r="F724" s="1266"/>
      <c r="G724" s="1269"/>
      <c r="H724" s="1270"/>
      <c r="I724" s="1270"/>
      <c r="J724" s="1271"/>
      <c r="K724" s="1248"/>
      <c r="L724" s="1249"/>
      <c r="M724" s="1249"/>
      <c r="N724" s="1250"/>
      <c r="O724" s="1236"/>
      <c r="P724" s="1237"/>
      <c r="Q724" s="1237"/>
      <c r="R724" s="1237"/>
      <c r="S724" s="1238"/>
      <c r="T724" s="1239">
        <f t="shared" si="55"/>
        <v>0</v>
      </c>
      <c r="U724" s="1240"/>
      <c r="V724" s="1240"/>
      <c r="W724" s="1240"/>
      <c r="X724" s="1241"/>
      <c r="Y724" s="1236"/>
      <c r="Z724" s="1237"/>
      <c r="AA724" s="1237"/>
      <c r="AB724" s="1238"/>
      <c r="AC724" s="1239">
        <f t="shared" si="56"/>
        <v>0</v>
      </c>
      <c r="AD724" s="1240"/>
      <c r="AE724" s="1240"/>
      <c r="AF724" s="1240"/>
      <c r="AG724" s="1241"/>
      <c r="AH724" s="1242"/>
      <c r="AI724" s="1243"/>
      <c r="AJ724" s="1243"/>
      <c r="AK724" s="1243"/>
      <c r="AL724" s="1244"/>
      <c r="AM724" s="1245" t="str">
        <f t="shared" si="57"/>
        <v/>
      </c>
      <c r="AN724" s="1246"/>
      <c r="AO724" s="1247"/>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264"/>
      <c r="C725" s="1265"/>
      <c r="D725" s="1265"/>
      <c r="E725" s="1265"/>
      <c r="F725" s="1266"/>
      <c r="G725" s="1269"/>
      <c r="H725" s="1270"/>
      <c r="I725" s="1270"/>
      <c r="J725" s="1271"/>
      <c r="K725" s="1248"/>
      <c r="L725" s="1249"/>
      <c r="M725" s="1249"/>
      <c r="N725" s="1250"/>
      <c r="O725" s="1236"/>
      <c r="P725" s="1237"/>
      <c r="Q725" s="1237"/>
      <c r="R725" s="1237"/>
      <c r="S725" s="1238"/>
      <c r="T725" s="1239">
        <f t="shared" si="55"/>
        <v>0</v>
      </c>
      <c r="U725" s="1240"/>
      <c r="V725" s="1240"/>
      <c r="W725" s="1240"/>
      <c r="X725" s="1241"/>
      <c r="Y725" s="1236"/>
      <c r="Z725" s="1237"/>
      <c r="AA725" s="1237"/>
      <c r="AB725" s="1238"/>
      <c r="AC725" s="1239">
        <f t="shared" si="56"/>
        <v>0</v>
      </c>
      <c r="AD725" s="1240"/>
      <c r="AE725" s="1240"/>
      <c r="AF725" s="1240"/>
      <c r="AG725" s="1241"/>
      <c r="AH725" s="1242"/>
      <c r="AI725" s="1243"/>
      <c r="AJ725" s="1243"/>
      <c r="AK725" s="1243"/>
      <c r="AL725" s="1244"/>
      <c r="AM725" s="1245" t="str">
        <f t="shared" si="57"/>
        <v/>
      </c>
      <c r="AN725" s="1246"/>
      <c r="AO725" s="1247"/>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264"/>
      <c r="C726" s="1265"/>
      <c r="D726" s="1265"/>
      <c r="E726" s="1265"/>
      <c r="F726" s="1266"/>
      <c r="G726" s="1269"/>
      <c r="H726" s="1270"/>
      <c r="I726" s="1270"/>
      <c r="J726" s="1271"/>
      <c r="K726" s="1248"/>
      <c r="L726" s="1249"/>
      <c r="M726" s="1249"/>
      <c r="N726" s="1250"/>
      <c r="O726" s="1236"/>
      <c r="P726" s="1237"/>
      <c r="Q726" s="1237"/>
      <c r="R726" s="1237"/>
      <c r="S726" s="1238"/>
      <c r="T726" s="1239">
        <f t="shared" si="55"/>
        <v>0</v>
      </c>
      <c r="U726" s="1240"/>
      <c r="V726" s="1240"/>
      <c r="W726" s="1240"/>
      <c r="X726" s="1241"/>
      <c r="Y726" s="1236"/>
      <c r="Z726" s="1237"/>
      <c r="AA726" s="1237"/>
      <c r="AB726" s="1238"/>
      <c r="AC726" s="1239">
        <f t="shared" si="56"/>
        <v>0</v>
      </c>
      <c r="AD726" s="1240"/>
      <c r="AE726" s="1240"/>
      <c r="AF726" s="1240"/>
      <c r="AG726" s="1241"/>
      <c r="AH726" s="1242"/>
      <c r="AI726" s="1243"/>
      <c r="AJ726" s="1243"/>
      <c r="AK726" s="1243"/>
      <c r="AL726" s="1244"/>
      <c r="AM726" s="1245" t="str">
        <f t="shared" si="57"/>
        <v/>
      </c>
      <c r="AN726" s="1246"/>
      <c r="AO726" s="1247"/>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264"/>
      <c r="C727" s="1265"/>
      <c r="D727" s="1265"/>
      <c r="E727" s="1265"/>
      <c r="F727" s="1266"/>
      <c r="G727" s="1269"/>
      <c r="H727" s="1270"/>
      <c r="I727" s="1270"/>
      <c r="J727" s="1271"/>
      <c r="K727" s="1248"/>
      <c r="L727" s="1249"/>
      <c r="M727" s="1249"/>
      <c r="N727" s="1250"/>
      <c r="O727" s="1236"/>
      <c r="P727" s="1237"/>
      <c r="Q727" s="1237"/>
      <c r="R727" s="1237"/>
      <c r="S727" s="1238"/>
      <c r="T727" s="1239">
        <f t="shared" si="55"/>
        <v>0</v>
      </c>
      <c r="U727" s="1240"/>
      <c r="V727" s="1240"/>
      <c r="W727" s="1240"/>
      <c r="X727" s="1241"/>
      <c r="Y727" s="1236"/>
      <c r="Z727" s="1237"/>
      <c r="AA727" s="1237"/>
      <c r="AB727" s="1238"/>
      <c r="AC727" s="1239">
        <f t="shared" si="56"/>
        <v>0</v>
      </c>
      <c r="AD727" s="1240"/>
      <c r="AE727" s="1240"/>
      <c r="AF727" s="1240"/>
      <c r="AG727" s="1241"/>
      <c r="AH727" s="1242"/>
      <c r="AI727" s="1243"/>
      <c r="AJ727" s="1243"/>
      <c r="AK727" s="1243"/>
      <c r="AL727" s="1244"/>
      <c r="AM727" s="1245" t="str">
        <f t="shared" si="57"/>
        <v/>
      </c>
      <c r="AN727" s="1246"/>
      <c r="AO727" s="1247"/>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264"/>
      <c r="C728" s="1265"/>
      <c r="D728" s="1265"/>
      <c r="E728" s="1265"/>
      <c r="F728" s="1266"/>
      <c r="G728" s="1269"/>
      <c r="H728" s="1270"/>
      <c r="I728" s="1270"/>
      <c r="J728" s="1271"/>
      <c r="K728" s="1248"/>
      <c r="L728" s="1249"/>
      <c r="M728" s="1249"/>
      <c r="N728" s="1250"/>
      <c r="O728" s="1236"/>
      <c r="P728" s="1237"/>
      <c r="Q728" s="1237"/>
      <c r="R728" s="1237"/>
      <c r="S728" s="1238"/>
      <c r="T728" s="1239">
        <f t="shared" si="55"/>
        <v>0</v>
      </c>
      <c r="U728" s="1240"/>
      <c r="V728" s="1240"/>
      <c r="W728" s="1240"/>
      <c r="X728" s="1241"/>
      <c r="Y728" s="1236"/>
      <c r="Z728" s="1237"/>
      <c r="AA728" s="1237"/>
      <c r="AB728" s="1238"/>
      <c r="AC728" s="1239">
        <f t="shared" si="56"/>
        <v>0</v>
      </c>
      <c r="AD728" s="1240"/>
      <c r="AE728" s="1240"/>
      <c r="AF728" s="1240"/>
      <c r="AG728" s="1241"/>
      <c r="AH728" s="1242"/>
      <c r="AI728" s="1243"/>
      <c r="AJ728" s="1243"/>
      <c r="AK728" s="1243"/>
      <c r="AL728" s="1244"/>
      <c r="AM728" s="1245" t="str">
        <f t="shared" si="57"/>
        <v/>
      </c>
      <c r="AN728" s="1246"/>
      <c r="AO728" s="1247"/>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64"/>
      <c r="C729" s="1265"/>
      <c r="D729" s="1265"/>
      <c r="E729" s="1265"/>
      <c r="F729" s="1266"/>
      <c r="G729" s="1269"/>
      <c r="H729" s="1270"/>
      <c r="I729" s="1270"/>
      <c r="J729" s="1271"/>
      <c r="K729" s="1248"/>
      <c r="L729" s="1249"/>
      <c r="M729" s="1249"/>
      <c r="N729" s="1250"/>
      <c r="O729" s="1236"/>
      <c r="P729" s="1237"/>
      <c r="Q729" s="1237"/>
      <c r="R729" s="1237"/>
      <c r="S729" s="1238"/>
      <c r="T729" s="1239">
        <f t="shared" si="45"/>
        <v>0</v>
      </c>
      <c r="U729" s="1240"/>
      <c r="V729" s="1240"/>
      <c r="W729" s="1240"/>
      <c r="X729" s="1241"/>
      <c r="Y729" s="1236"/>
      <c r="Z729" s="1237"/>
      <c r="AA729" s="1237"/>
      <c r="AB729" s="1238"/>
      <c r="AC729" s="1239">
        <f t="shared" si="46"/>
        <v>0</v>
      </c>
      <c r="AD729" s="1240"/>
      <c r="AE729" s="1240"/>
      <c r="AF729" s="1240"/>
      <c r="AG729" s="1241"/>
      <c r="AH729" s="1242"/>
      <c r="AI729" s="1243"/>
      <c r="AJ729" s="1243"/>
      <c r="AK729" s="1243"/>
      <c r="AL729" s="1244"/>
      <c r="AM729" s="1245" t="str">
        <f>IF($AH729&gt;0,($AC729/$AV729), "")</f>
        <v/>
      </c>
      <c r="AN729" s="1246"/>
      <c r="AO729" s="1247"/>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7" t="s">
        <v>877</v>
      </c>
      <c r="C730" s="1188"/>
      <c r="D730" s="1188"/>
      <c r="E730" s="1188"/>
      <c r="F730" s="1189"/>
      <c r="G730" s="1492">
        <f>SUM(G695:J729)</f>
        <v>119</v>
      </c>
      <c r="H730" s="1493"/>
      <c r="I730" s="1493"/>
      <c r="J730" s="1494"/>
      <c r="O730" s="430" t="s">
        <v>876</v>
      </c>
      <c r="P730" s="168"/>
      <c r="Q730" s="168"/>
      <c r="R730" s="168"/>
      <c r="S730" s="842"/>
      <c r="T730" s="1239">
        <f>SUM(T695:X729)</f>
        <v>92040</v>
      </c>
      <c r="U730" s="1240"/>
      <c r="V730" s="1240"/>
      <c r="W730" s="1240"/>
      <c r="X730" s="1241"/>
      <c r="AC730" s="843" t="s">
        <v>1139</v>
      </c>
      <c r="AD730" s="844"/>
      <c r="AE730" s="844"/>
      <c r="AF730" s="844"/>
      <c r="AG730" s="845"/>
      <c r="AH730" s="1251">
        <f>BA730</f>
        <v>0.48907563025210077</v>
      </c>
      <c r="AI730" s="1252"/>
      <c r="AJ730" s="1252"/>
      <c r="AK730" s="1252"/>
      <c r="AL730" s="1253"/>
      <c r="AM730" s="1251">
        <f>IFERROR(BG730,0)</f>
        <v>0.48903813493901488</v>
      </c>
      <c r="AN730" s="1252"/>
      <c r="AO730" s="1253"/>
      <c r="AX730" s="62" t="s">
        <v>875</v>
      </c>
      <c r="AY730" s="454">
        <f>SUM(AY695:AY729)</f>
        <v>119</v>
      </c>
      <c r="AZ730" s="455">
        <f>SUM(AZ695:AZ729)</f>
        <v>1</v>
      </c>
      <c r="BA730" s="455">
        <f>SUM(BA695:BA729)</f>
        <v>0.48907563025210077</v>
      </c>
      <c r="BB730" s="41"/>
      <c r="BC730" s="41"/>
      <c r="BD730" s="41"/>
      <c r="BE730" s="852">
        <f>SUM(BE695:BE729)</f>
        <v>119</v>
      </c>
      <c r="BF730" s="853">
        <f>SUM(BF695:BF729)</f>
        <v>1</v>
      </c>
      <c r="BG730" s="853">
        <f>SUM(BG695:BG729)</f>
        <v>0.48903813493901488</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2" t="s">
        <v>2059</v>
      </c>
      <c r="D731" s="1462"/>
      <c r="E731" s="1462"/>
      <c r="F731" s="1462"/>
      <c r="G731" s="1462"/>
      <c r="H731" s="1462"/>
      <c r="I731" s="1462"/>
      <c r="J731" s="1462"/>
      <c r="K731" s="1462"/>
      <c r="L731" s="1462"/>
      <c r="M731" s="1462"/>
      <c r="N731" s="1462"/>
      <c r="O731" s="1462"/>
      <c r="P731" s="1462"/>
      <c r="Q731" s="1462"/>
      <c r="R731" s="1462"/>
      <c r="S731" s="1462"/>
      <c r="T731" s="1462"/>
      <c r="U731" s="1462"/>
      <c r="V731" s="1462"/>
      <c r="W731" s="1462"/>
      <c r="X731" s="1462"/>
      <c r="Y731" s="1462"/>
      <c r="Z731" s="1462"/>
      <c r="AA731" s="1462"/>
      <c r="AB731" s="1462"/>
      <c r="AC731" s="1462"/>
      <c r="AD731" s="1462"/>
      <c r="AE731" s="1462"/>
      <c r="AF731" s="1462"/>
      <c r="AG731" s="1462"/>
      <c r="AH731" s="1462"/>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2"/>
      <c r="D732" s="1462"/>
      <c r="E732" s="1462"/>
      <c r="F732" s="1462"/>
      <c r="G732" s="1462"/>
      <c r="H732" s="1462"/>
      <c r="I732" s="1462"/>
      <c r="J732" s="1462"/>
      <c r="K732" s="1462"/>
      <c r="L732" s="1462"/>
      <c r="M732" s="1462"/>
      <c r="N732" s="1462"/>
      <c r="O732" s="1462"/>
      <c r="P732" s="1462"/>
      <c r="Q732" s="1462"/>
      <c r="R732" s="1462"/>
      <c r="S732" s="1462"/>
      <c r="T732" s="1462"/>
      <c r="U732" s="1462"/>
      <c r="V732" s="1462"/>
      <c r="W732" s="1462"/>
      <c r="X732" s="1462"/>
      <c r="Y732" s="1462"/>
      <c r="Z732" s="1462"/>
      <c r="AA732" s="1462"/>
      <c r="AB732" s="1462"/>
      <c r="AC732" s="1462"/>
      <c r="AD732" s="1462"/>
      <c r="AE732" s="1462"/>
      <c r="AF732" s="1462"/>
      <c r="AG732" s="1462"/>
      <c r="AH732" s="1462"/>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2060</v>
      </c>
      <c r="D733" s="922"/>
      <c r="E733" s="922"/>
      <c r="F733" s="922"/>
      <c r="G733" s="923"/>
      <c r="H733" s="923"/>
      <c r="I733" s="923"/>
      <c r="J733" s="923"/>
      <c r="K733" s="922"/>
      <c r="L733" s="922"/>
      <c r="M733" s="922"/>
      <c r="N733" s="922"/>
      <c r="O733" s="1501">
        <f>CQ628</f>
        <v>209</v>
      </c>
      <c r="P733" s="1501"/>
      <c r="Q733" s="1501"/>
      <c r="R733" s="1501"/>
      <c r="S733" s="924"/>
      <c r="T733" s="924"/>
      <c r="U733" s="270" t="s">
        <v>2061</v>
      </c>
      <c r="V733" s="922"/>
      <c r="W733" s="922"/>
      <c r="X733" s="922"/>
      <c r="Y733" s="923"/>
      <c r="Z733" s="923"/>
      <c r="AA733" s="923"/>
      <c r="AB733" s="923"/>
      <c r="AC733" s="922"/>
      <c r="AD733" s="922"/>
      <c r="AE733" s="922"/>
      <c r="AF733" s="922"/>
      <c r="AG733" s="1466"/>
      <c r="AH733" s="1466"/>
      <c r="AI733" s="1466"/>
      <c r="AJ733" s="1466"/>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104" t="str">
        <f>IF(G730&lt;&gt;AG433,"! Total Low-Income Units in the Unit Mix Table above does not match the number of Total Low-Income Units on row #"&amp;TEXT(ROW(AG433),"#"),"")</f>
        <v/>
      </c>
      <c r="D734" s="1104"/>
      <c r="E734" s="1104"/>
      <c r="F734" s="1104"/>
      <c r="G734" s="1104"/>
      <c r="H734" s="1104"/>
      <c r="I734" s="1104"/>
      <c r="J734" s="1104"/>
      <c r="K734" s="1104"/>
      <c r="L734" s="1104"/>
      <c r="M734" s="1104"/>
      <c r="N734" s="1104"/>
      <c r="O734" s="1104"/>
      <c r="P734" s="1104"/>
      <c r="Q734" s="1104"/>
      <c r="R734" s="1104"/>
      <c r="S734" s="1104"/>
      <c r="T734" s="1104"/>
      <c r="U734" s="1104"/>
      <c r="V734" s="1104"/>
      <c r="W734" s="1104"/>
      <c r="X734" s="1104"/>
      <c r="Y734" s="1104"/>
      <c r="Z734" s="1104"/>
      <c r="AA734" s="1104"/>
      <c r="AB734" s="1104"/>
      <c r="AC734" s="1104"/>
      <c r="AD734" s="1104"/>
      <c r="AE734" s="1104"/>
      <c r="AF734" s="1104"/>
      <c r="AG734" s="1104"/>
      <c r="AH734" s="1104"/>
      <c r="AI734" s="1104"/>
      <c r="AJ734" s="1104"/>
      <c r="AK734" s="1104"/>
      <c r="AL734" s="1104"/>
      <c r="AM734" s="1104"/>
      <c r="AN734" s="1104"/>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104"/>
      <c r="D735" s="1104"/>
      <c r="E735" s="1104"/>
      <c r="F735" s="1104"/>
      <c r="G735" s="1104"/>
      <c r="H735" s="1104"/>
      <c r="I735" s="1104"/>
      <c r="J735" s="1104"/>
      <c r="K735" s="1104"/>
      <c r="L735" s="1104"/>
      <c r="M735" s="1104"/>
      <c r="N735" s="1104"/>
      <c r="O735" s="1104"/>
      <c r="P735" s="1104"/>
      <c r="Q735" s="1104"/>
      <c r="R735" s="1104"/>
      <c r="S735" s="1104"/>
      <c r="T735" s="1104"/>
      <c r="U735" s="1104"/>
      <c r="V735" s="1104"/>
      <c r="W735" s="1104"/>
      <c r="X735" s="1104"/>
      <c r="Y735" s="1104"/>
      <c r="Z735" s="1104"/>
      <c r="AA735" s="1104"/>
      <c r="AB735" s="1104"/>
      <c r="AC735" s="1104"/>
      <c r="AD735" s="1104"/>
      <c r="AE735" s="1104"/>
      <c r="AF735" s="1104"/>
      <c r="AG735" s="1104"/>
      <c r="AH735" s="1104"/>
      <c r="AI735" s="1104"/>
      <c r="AJ735" s="1104"/>
      <c r="AK735" s="1104"/>
      <c r="AL735" s="1104"/>
      <c r="AM735" s="1104"/>
      <c r="AN735" s="1104"/>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496" t="s">
        <v>124</v>
      </c>
      <c r="AA736" s="1496"/>
      <c r="AB736" s="1496"/>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6" t="s">
        <v>2057</v>
      </c>
      <c r="C737" s="986"/>
      <c r="D737" s="986"/>
      <c r="E737" s="986"/>
      <c r="F737" s="986"/>
      <c r="G737" s="986"/>
      <c r="H737" s="986"/>
      <c r="I737" s="986"/>
      <c r="J737" s="986"/>
      <c r="K737" s="986"/>
      <c r="L737" s="986"/>
      <c r="M737" s="986"/>
      <c r="N737" s="986"/>
      <c r="O737" s="986"/>
      <c r="P737" s="986"/>
      <c r="Q737" s="986"/>
      <c r="R737" s="986"/>
      <c r="S737" s="986"/>
      <c r="T737" s="986"/>
      <c r="U737" s="986"/>
      <c r="V737" s="986"/>
      <c r="W737" s="986"/>
      <c r="X737" s="986"/>
      <c r="Y737" s="986"/>
      <c r="Z737" s="986"/>
      <c r="AA737" s="986"/>
      <c r="AB737" s="986"/>
      <c r="AC737" s="986"/>
      <c r="AD737" s="986"/>
      <c r="AE737" s="986"/>
      <c r="AF737" s="986"/>
      <c r="AG737" s="986"/>
      <c r="AH737" s="986"/>
      <c r="AI737" s="986"/>
      <c r="AJ737" s="986"/>
      <c r="AK737" s="986"/>
      <c r="AL737" s="986"/>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6"/>
      <c r="C738" s="986"/>
      <c r="D738" s="986"/>
      <c r="E738" s="986"/>
      <c r="F738" s="986"/>
      <c r="G738" s="986"/>
      <c r="H738" s="986"/>
      <c r="I738" s="986"/>
      <c r="J738" s="986"/>
      <c r="K738" s="986"/>
      <c r="L738" s="986"/>
      <c r="M738" s="986"/>
      <c r="N738" s="986"/>
      <c r="O738" s="986"/>
      <c r="P738" s="986"/>
      <c r="Q738" s="986"/>
      <c r="R738" s="986"/>
      <c r="S738" s="986"/>
      <c r="T738" s="986"/>
      <c r="U738" s="986"/>
      <c r="V738" s="986"/>
      <c r="W738" s="986"/>
      <c r="X738" s="986"/>
      <c r="Y738" s="986"/>
      <c r="Z738" s="986"/>
      <c r="AA738" s="986"/>
      <c r="AB738" s="986"/>
      <c r="AC738" s="986"/>
      <c r="AD738" s="986"/>
      <c r="AE738" s="986"/>
      <c r="AF738" s="986"/>
      <c r="AG738" s="986"/>
      <c r="AH738" s="986"/>
      <c r="AI738" s="986"/>
      <c r="AJ738" s="986"/>
      <c r="AK738" s="986"/>
      <c r="AL738" s="986"/>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6" t="s">
        <v>1518</v>
      </c>
      <c r="D740" s="986"/>
      <c r="E740" s="986"/>
      <c r="F740" s="986"/>
      <c r="G740" s="986"/>
      <c r="H740" s="986"/>
      <c r="I740" s="986"/>
      <c r="J740" s="986"/>
      <c r="K740" s="986"/>
      <c r="L740" s="986"/>
      <c r="M740" s="986"/>
      <c r="N740" s="986"/>
      <c r="O740" s="986"/>
      <c r="P740" s="986"/>
      <c r="Q740" s="986"/>
      <c r="R740" s="986"/>
      <c r="S740" s="986"/>
      <c r="T740" s="986"/>
      <c r="U740" s="986"/>
      <c r="V740" s="986"/>
      <c r="W740" s="986"/>
      <c r="X740" s="986"/>
      <c r="Y740" s="986"/>
      <c r="Z740" s="986"/>
      <c r="AA740" s="986"/>
      <c r="AB740" s="986"/>
      <c r="AC740" s="986"/>
      <c r="AD740" s="986"/>
      <c r="AE740" s="986"/>
      <c r="AF740" s="986"/>
      <c r="AG740" s="986"/>
      <c r="AH740" s="986"/>
      <c r="AI740" s="986"/>
      <c r="AJ740" s="986"/>
      <c r="AK740" s="986"/>
      <c r="AL740" s="986"/>
      <c r="AM740" s="986"/>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6"/>
      <c r="D741" s="986"/>
      <c r="E741" s="986"/>
      <c r="F741" s="986"/>
      <c r="G741" s="986"/>
      <c r="H741" s="986"/>
      <c r="I741" s="986"/>
      <c r="J741" s="986"/>
      <c r="K741" s="986"/>
      <c r="L741" s="986"/>
      <c r="M741" s="986"/>
      <c r="N741" s="986"/>
      <c r="O741" s="986"/>
      <c r="P741" s="986"/>
      <c r="Q741" s="986"/>
      <c r="R741" s="986"/>
      <c r="S741" s="986"/>
      <c r="T741" s="986"/>
      <c r="U741" s="986"/>
      <c r="V741" s="986"/>
      <c r="W741" s="986"/>
      <c r="X741" s="986"/>
      <c r="Y741" s="986"/>
      <c r="Z741" s="986"/>
      <c r="AA741" s="986"/>
      <c r="AB741" s="986"/>
      <c r="AC741" s="986"/>
      <c r="AD741" s="986"/>
      <c r="AE741" s="986"/>
      <c r="AF741" s="986"/>
      <c r="AG741" s="986"/>
      <c r="AH741" s="986"/>
      <c r="AI741" s="986"/>
      <c r="AJ741" s="986"/>
      <c r="AK741" s="986"/>
      <c r="AL741" s="986"/>
      <c r="AM741" s="986"/>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6"/>
      <c r="D742" s="986"/>
      <c r="E742" s="986"/>
      <c r="F742" s="986"/>
      <c r="G742" s="986"/>
      <c r="H742" s="986"/>
      <c r="I742" s="986"/>
      <c r="J742" s="986"/>
      <c r="K742" s="986"/>
      <c r="L742" s="986"/>
      <c r="M742" s="986"/>
      <c r="N742" s="986"/>
      <c r="O742" s="986"/>
      <c r="P742" s="986"/>
      <c r="Q742" s="986"/>
      <c r="R742" s="986"/>
      <c r="S742" s="986"/>
      <c r="T742" s="986"/>
      <c r="U742" s="986"/>
      <c r="V742" s="986"/>
      <c r="W742" s="986"/>
      <c r="X742" s="986"/>
      <c r="Y742" s="986"/>
      <c r="Z742" s="986"/>
      <c r="AA742" s="986"/>
      <c r="AB742" s="986"/>
      <c r="AC742" s="986"/>
      <c r="AD742" s="986"/>
      <c r="AE742" s="986"/>
      <c r="AF742" s="986"/>
      <c r="AG742" s="986"/>
      <c r="AH742" s="986"/>
      <c r="AI742" s="986"/>
      <c r="AJ742" s="986"/>
      <c r="AK742" s="986"/>
      <c r="AL742" s="986"/>
      <c r="AM742" s="98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6"/>
      <c r="D743" s="986"/>
      <c r="E743" s="986"/>
      <c r="F743" s="986"/>
      <c r="G743" s="986"/>
      <c r="H743" s="986"/>
      <c r="I743" s="986"/>
      <c r="J743" s="986"/>
      <c r="K743" s="986"/>
      <c r="L743" s="986"/>
      <c r="M743" s="986"/>
      <c r="N743" s="986"/>
      <c r="O743" s="986"/>
      <c r="P743" s="986"/>
      <c r="Q743" s="986"/>
      <c r="R743" s="986"/>
      <c r="S743" s="986"/>
      <c r="T743" s="986"/>
      <c r="U743" s="986"/>
      <c r="V743" s="986"/>
      <c r="W743" s="986"/>
      <c r="X743" s="986"/>
      <c r="Y743" s="986"/>
      <c r="Z743" s="986"/>
      <c r="AA743" s="986"/>
      <c r="AB743" s="986"/>
      <c r="AC743" s="986"/>
      <c r="AD743" s="986"/>
      <c r="AE743" s="986"/>
      <c r="AF743" s="986"/>
      <c r="AG743" s="986"/>
      <c r="AH743" s="986"/>
      <c r="AI743" s="986"/>
      <c r="AJ743" s="986"/>
      <c r="AK743" s="986"/>
      <c r="AL743" s="986"/>
      <c r="AM743" s="986"/>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6"/>
      <c r="D744" s="986"/>
      <c r="E744" s="986"/>
      <c r="F744" s="986"/>
      <c r="G744" s="986"/>
      <c r="H744" s="986"/>
      <c r="I744" s="986"/>
      <c r="J744" s="986"/>
      <c r="K744" s="986"/>
      <c r="L744" s="986"/>
      <c r="M744" s="986"/>
      <c r="N744" s="986"/>
      <c r="O744" s="986"/>
      <c r="P744" s="986"/>
      <c r="Q744" s="986"/>
      <c r="R744" s="986"/>
      <c r="S744" s="986"/>
      <c r="T744" s="986"/>
      <c r="U744" s="986"/>
      <c r="V744" s="986"/>
      <c r="W744" s="986"/>
      <c r="X744" s="986"/>
      <c r="Y744" s="986"/>
      <c r="Z744" s="986"/>
      <c r="AA744" s="986"/>
      <c r="AB744" s="986"/>
      <c r="AC744" s="986"/>
      <c r="AD744" s="986"/>
      <c r="AE744" s="986"/>
      <c r="AF744" s="986"/>
      <c r="AG744" s="986"/>
      <c r="AH744" s="986"/>
      <c r="AI744" s="986"/>
      <c r="AJ744" s="986"/>
      <c r="AK744" s="986"/>
      <c r="AL744" s="986"/>
      <c r="AM744" s="986"/>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6"/>
      <c r="D745" s="986"/>
      <c r="E745" s="986"/>
      <c r="F745" s="986"/>
      <c r="G745" s="986"/>
      <c r="H745" s="986"/>
      <c r="I745" s="986"/>
      <c r="J745" s="986"/>
      <c r="K745" s="986"/>
      <c r="L745" s="986"/>
      <c r="M745" s="986"/>
      <c r="N745" s="986"/>
      <c r="O745" s="986"/>
      <c r="P745" s="986"/>
      <c r="Q745" s="986"/>
      <c r="R745" s="986"/>
      <c r="S745" s="986"/>
      <c r="T745" s="986"/>
      <c r="U745" s="986"/>
      <c r="V745" s="986"/>
      <c r="W745" s="986"/>
      <c r="X745" s="986"/>
      <c r="Y745" s="986"/>
      <c r="Z745" s="986"/>
      <c r="AA745" s="986"/>
      <c r="AB745" s="986"/>
      <c r="AC745" s="986"/>
      <c r="AD745" s="986"/>
      <c r="AE745" s="986"/>
      <c r="AF745" s="986"/>
      <c r="AG745" s="986"/>
      <c r="AH745" s="986"/>
      <c r="AI745" s="986"/>
      <c r="AJ745" s="986"/>
      <c r="AK745" s="986"/>
      <c r="AL745" s="986"/>
      <c r="AM745" s="986"/>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6"/>
      <c r="D746" s="986"/>
      <c r="E746" s="986"/>
      <c r="F746" s="986"/>
      <c r="G746" s="986"/>
      <c r="H746" s="986"/>
      <c r="I746" s="986"/>
      <c r="J746" s="986"/>
      <c r="K746" s="986"/>
      <c r="L746" s="986"/>
      <c r="M746" s="986"/>
      <c r="N746" s="986"/>
      <c r="O746" s="986"/>
      <c r="P746" s="986"/>
      <c r="Q746" s="986"/>
      <c r="R746" s="986"/>
      <c r="S746" s="986"/>
      <c r="T746" s="986"/>
      <c r="U746" s="986"/>
      <c r="V746" s="986"/>
      <c r="W746" s="986"/>
      <c r="X746" s="986"/>
      <c r="Y746" s="986"/>
      <c r="Z746" s="986"/>
      <c r="AA746" s="986"/>
      <c r="AB746" s="986"/>
      <c r="AC746" s="986"/>
      <c r="AD746" s="986"/>
      <c r="AE746" s="986"/>
      <c r="AF746" s="986"/>
      <c r="AG746" s="986"/>
      <c r="AH746" s="986"/>
      <c r="AI746" s="986"/>
      <c r="AJ746" s="986"/>
      <c r="AK746" s="986"/>
      <c r="AL746" s="986"/>
      <c r="AM746" s="98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6"/>
      <c r="D747" s="986"/>
      <c r="E747" s="986"/>
      <c r="F747" s="986"/>
      <c r="G747" s="986"/>
      <c r="H747" s="986"/>
      <c r="I747" s="986"/>
      <c r="J747" s="986"/>
      <c r="K747" s="986"/>
      <c r="L747" s="986"/>
      <c r="M747" s="986"/>
      <c r="N747" s="986"/>
      <c r="O747" s="986"/>
      <c r="P747" s="986"/>
      <c r="Q747" s="986"/>
      <c r="R747" s="986"/>
      <c r="S747" s="986"/>
      <c r="T747" s="986"/>
      <c r="U747" s="986"/>
      <c r="V747" s="986"/>
      <c r="W747" s="986"/>
      <c r="X747" s="986"/>
      <c r="Y747" s="986"/>
      <c r="Z747" s="986"/>
      <c r="AA747" s="986"/>
      <c r="AB747" s="986"/>
      <c r="AC747" s="986"/>
      <c r="AD747" s="986"/>
      <c r="AE747" s="986"/>
      <c r="AF747" s="986"/>
      <c r="AG747" s="986"/>
      <c r="AH747" s="986"/>
      <c r="AI747" s="986"/>
      <c r="AJ747" s="986"/>
      <c r="AK747" s="986"/>
      <c r="AL747" s="986"/>
      <c r="AM747" s="98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54" t="s">
        <v>54</v>
      </c>
      <c r="K748" s="1255"/>
      <c r="L748" s="1255"/>
      <c r="M748" s="1255"/>
      <c r="N748" s="1256"/>
      <c r="O748" s="1497" t="s">
        <v>256</v>
      </c>
      <c r="P748" s="1497"/>
      <c r="Q748" s="1497"/>
      <c r="R748" s="1497"/>
      <c r="S748" s="1497"/>
      <c r="T748" s="1370" t="s">
        <v>1993</v>
      </c>
      <c r="U748" s="1371"/>
      <c r="V748" s="1371"/>
      <c r="W748" s="1372"/>
      <c r="X748" s="1254" t="s">
        <v>589</v>
      </c>
      <c r="Y748" s="1255"/>
      <c r="Z748" s="1255"/>
      <c r="AA748" s="1255"/>
      <c r="AB748" s="1256"/>
      <c r="AC748" s="1254" t="s">
        <v>257</v>
      </c>
      <c r="AD748" s="1255"/>
      <c r="AE748" s="1255"/>
      <c r="AF748" s="1255"/>
      <c r="AG748" s="125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57"/>
      <c r="K749" s="1258"/>
      <c r="L749" s="1258"/>
      <c r="M749" s="1258"/>
      <c r="N749" s="1259"/>
      <c r="O749" s="1497"/>
      <c r="P749" s="1497"/>
      <c r="Q749" s="1497"/>
      <c r="R749" s="1497"/>
      <c r="S749" s="1497"/>
      <c r="T749" s="1373"/>
      <c r="U749" s="1374"/>
      <c r="V749" s="1374"/>
      <c r="W749" s="1375"/>
      <c r="X749" s="1257"/>
      <c r="Y749" s="1258"/>
      <c r="Z749" s="1258"/>
      <c r="AA749" s="1258"/>
      <c r="AB749" s="1259"/>
      <c r="AC749" s="1257"/>
      <c r="AD749" s="1258"/>
      <c r="AE749" s="1258"/>
      <c r="AF749" s="1258"/>
      <c r="AG749" s="125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57"/>
      <c r="K750" s="1258"/>
      <c r="L750" s="1258"/>
      <c r="M750" s="1258"/>
      <c r="N750" s="1259"/>
      <c r="O750" s="1497"/>
      <c r="P750" s="1497"/>
      <c r="Q750" s="1497"/>
      <c r="R750" s="1497"/>
      <c r="S750" s="1497"/>
      <c r="T750" s="1373"/>
      <c r="U750" s="1374"/>
      <c r="V750" s="1374"/>
      <c r="W750" s="1375"/>
      <c r="X750" s="1257"/>
      <c r="Y750" s="1258"/>
      <c r="Z750" s="1258"/>
      <c r="AA750" s="1258"/>
      <c r="AB750" s="1259"/>
      <c r="AC750" s="1257"/>
      <c r="AD750" s="1258"/>
      <c r="AE750" s="1258"/>
      <c r="AF750" s="1258"/>
      <c r="AG750" s="1259"/>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60"/>
      <c r="K751" s="1261"/>
      <c r="L751" s="1261"/>
      <c r="M751" s="1261"/>
      <c r="N751" s="1262"/>
      <c r="O751" s="1497"/>
      <c r="P751" s="1497"/>
      <c r="Q751" s="1497"/>
      <c r="R751" s="1497"/>
      <c r="S751" s="1497"/>
      <c r="T751" s="1486"/>
      <c r="U751" s="1487"/>
      <c r="V751" s="1487"/>
      <c r="W751" s="1488"/>
      <c r="X751" s="1260"/>
      <c r="Y751" s="1261"/>
      <c r="Z751" s="1261"/>
      <c r="AA751" s="1261"/>
      <c r="AB751" s="1262"/>
      <c r="AC751" s="1260"/>
      <c r="AD751" s="1261"/>
      <c r="AE751" s="1261"/>
      <c r="AF751" s="1261"/>
      <c r="AG751" s="1262"/>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264" t="s">
        <v>780</v>
      </c>
      <c r="K752" s="1265"/>
      <c r="L752" s="1265"/>
      <c r="M752" s="1265"/>
      <c r="N752" s="1266"/>
      <c r="O752" s="1452">
        <v>1</v>
      </c>
      <c r="P752" s="1452"/>
      <c r="Q752" s="1452"/>
      <c r="R752" s="1452"/>
      <c r="S752" s="1452"/>
      <c r="T752" s="1248">
        <v>875</v>
      </c>
      <c r="U752" s="1249"/>
      <c r="V752" s="1249"/>
      <c r="W752" s="1250"/>
      <c r="X752" s="1236"/>
      <c r="Y752" s="1237"/>
      <c r="Z752" s="1237"/>
      <c r="AA752" s="1237"/>
      <c r="AB752" s="1238"/>
      <c r="AC752" s="1239">
        <f>X752*O752</f>
        <v>0</v>
      </c>
      <c r="AD752" s="1240"/>
      <c r="AE752" s="1240"/>
      <c r="AF752" s="1240"/>
      <c r="AG752" s="124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64"/>
      <c r="K753" s="1265"/>
      <c r="L753" s="1265"/>
      <c r="M753" s="1265"/>
      <c r="N753" s="1266"/>
      <c r="O753" s="1452"/>
      <c r="P753" s="1452"/>
      <c r="Q753" s="1452"/>
      <c r="R753" s="1452"/>
      <c r="S753" s="1452"/>
      <c r="T753" s="1248"/>
      <c r="U753" s="1249"/>
      <c r="V753" s="1249"/>
      <c r="W753" s="1250"/>
      <c r="X753" s="1236"/>
      <c r="Y753" s="1237"/>
      <c r="Z753" s="1237"/>
      <c r="AA753" s="1237"/>
      <c r="AB753" s="1238"/>
      <c r="AC753" s="1239">
        <f>X753*O753</f>
        <v>0</v>
      </c>
      <c r="AD753" s="1240"/>
      <c r="AE753" s="1240"/>
      <c r="AF753" s="1240"/>
      <c r="AG753" s="124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64"/>
      <c r="K754" s="1265"/>
      <c r="L754" s="1265"/>
      <c r="M754" s="1265"/>
      <c r="N754" s="1266"/>
      <c r="O754" s="1452"/>
      <c r="P754" s="1452"/>
      <c r="Q754" s="1452"/>
      <c r="R754" s="1452"/>
      <c r="S754" s="1452"/>
      <c r="T754" s="1248"/>
      <c r="U754" s="1249"/>
      <c r="V754" s="1249"/>
      <c r="W754" s="1250"/>
      <c r="X754" s="1236"/>
      <c r="Y754" s="1237"/>
      <c r="Z754" s="1237"/>
      <c r="AA754" s="1237"/>
      <c r="AB754" s="1238"/>
      <c r="AC754" s="1239">
        <f>X754*O754</f>
        <v>0</v>
      </c>
      <c r="AD754" s="1240"/>
      <c r="AE754" s="1240"/>
      <c r="AF754" s="1240"/>
      <c r="AG754" s="124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64"/>
      <c r="K755" s="1265"/>
      <c r="L755" s="1265"/>
      <c r="M755" s="1265"/>
      <c r="N755" s="1266"/>
      <c r="O755" s="1452"/>
      <c r="P755" s="1452"/>
      <c r="Q755" s="1452"/>
      <c r="R755" s="1452"/>
      <c r="S755" s="1452"/>
      <c r="T755" s="1248"/>
      <c r="U755" s="1249"/>
      <c r="V755" s="1249"/>
      <c r="W755" s="1250"/>
      <c r="X755" s="1236"/>
      <c r="Y755" s="1237"/>
      <c r="Z755" s="1237"/>
      <c r="AA755" s="1237"/>
      <c r="AB755" s="1238"/>
      <c r="AC755" s="1239">
        <f>X755*O755</f>
        <v>0</v>
      </c>
      <c r="AD755" s="1240"/>
      <c r="AE755" s="1240"/>
      <c r="AF755" s="1240"/>
      <c r="AG755" s="12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7" t="s">
        <v>877</v>
      </c>
      <c r="K756" s="1188"/>
      <c r="L756" s="1188"/>
      <c r="M756" s="1188"/>
      <c r="N756" s="1189"/>
      <c r="O756" s="1278">
        <f>SUM(O752:S755)</f>
        <v>1</v>
      </c>
      <c r="P756" s="1279"/>
      <c r="Q756" s="1279"/>
      <c r="R756" s="1279"/>
      <c r="S756" s="1280"/>
      <c r="X756" s="1187" t="s">
        <v>876</v>
      </c>
      <c r="Y756" s="1188"/>
      <c r="Z756" s="1188"/>
      <c r="AA756" s="1188"/>
      <c r="AB756" s="1189"/>
      <c r="AC756" s="1239">
        <f>SUM(AC752:AG755)</f>
        <v>0</v>
      </c>
      <c r="AD756" s="1240"/>
      <c r="AE756" s="1240"/>
      <c r="AF756" s="1240"/>
      <c r="AG756" s="12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070" t="s">
        <v>482</v>
      </c>
      <c r="K758" s="1070"/>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54" t="s">
        <v>54</v>
      </c>
      <c r="K762" s="1255"/>
      <c r="L762" s="1255"/>
      <c r="M762" s="1255"/>
      <c r="N762" s="1256"/>
      <c r="O762" s="1497" t="s">
        <v>256</v>
      </c>
      <c r="P762" s="1497"/>
      <c r="Q762" s="1497"/>
      <c r="R762" s="1497"/>
      <c r="S762" s="1497"/>
      <c r="T762" s="1370" t="s">
        <v>1993</v>
      </c>
      <c r="U762" s="1371"/>
      <c r="V762" s="1371"/>
      <c r="W762" s="1372"/>
      <c r="X762" s="1254" t="s">
        <v>589</v>
      </c>
      <c r="Y762" s="1255"/>
      <c r="Z762" s="1255"/>
      <c r="AA762" s="1255"/>
      <c r="AB762" s="1256"/>
      <c r="AC762" s="1254" t="s">
        <v>257</v>
      </c>
      <c r="AD762" s="1255"/>
      <c r="AE762" s="1255"/>
      <c r="AF762" s="1255"/>
      <c r="AG762" s="125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57"/>
      <c r="K763" s="1258"/>
      <c r="L763" s="1258"/>
      <c r="M763" s="1258"/>
      <c r="N763" s="1259"/>
      <c r="O763" s="1497"/>
      <c r="P763" s="1497"/>
      <c r="Q763" s="1497"/>
      <c r="R763" s="1497"/>
      <c r="S763" s="1497"/>
      <c r="T763" s="1373"/>
      <c r="U763" s="1374"/>
      <c r="V763" s="1374"/>
      <c r="W763" s="1375"/>
      <c r="X763" s="1257"/>
      <c r="Y763" s="1258"/>
      <c r="Z763" s="1258"/>
      <c r="AA763" s="1258"/>
      <c r="AB763" s="1259"/>
      <c r="AC763" s="1257"/>
      <c r="AD763" s="1258"/>
      <c r="AE763" s="1258"/>
      <c r="AF763" s="1258"/>
      <c r="AG763" s="125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57"/>
      <c r="K764" s="1258"/>
      <c r="L764" s="1258"/>
      <c r="M764" s="1258"/>
      <c r="N764" s="1259"/>
      <c r="O764" s="1497"/>
      <c r="P764" s="1497"/>
      <c r="Q764" s="1497"/>
      <c r="R764" s="1497"/>
      <c r="S764" s="1497"/>
      <c r="T764" s="1373"/>
      <c r="U764" s="1374"/>
      <c r="V764" s="1374"/>
      <c r="W764" s="1375"/>
      <c r="X764" s="1257"/>
      <c r="Y764" s="1258"/>
      <c r="Z764" s="1258"/>
      <c r="AA764" s="1258"/>
      <c r="AB764" s="1259"/>
      <c r="AC764" s="1257"/>
      <c r="AD764" s="1258"/>
      <c r="AE764" s="1258"/>
      <c r="AF764" s="1258"/>
      <c r="AG764" s="125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60"/>
      <c r="K765" s="1261"/>
      <c r="L765" s="1261"/>
      <c r="M765" s="1261"/>
      <c r="N765" s="1262"/>
      <c r="O765" s="1497"/>
      <c r="P765" s="1497"/>
      <c r="Q765" s="1497"/>
      <c r="R765" s="1497"/>
      <c r="S765" s="1497"/>
      <c r="T765" s="1486"/>
      <c r="U765" s="1487"/>
      <c r="V765" s="1487"/>
      <c r="W765" s="1488"/>
      <c r="X765" s="1260"/>
      <c r="Y765" s="1261"/>
      <c r="Z765" s="1261"/>
      <c r="AA765" s="1261"/>
      <c r="AB765" s="1262"/>
      <c r="AC765" s="1260"/>
      <c r="AD765" s="1261"/>
      <c r="AE765" s="1261"/>
      <c r="AF765" s="1261"/>
      <c r="AG765" s="126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264"/>
      <c r="K766" s="1265"/>
      <c r="L766" s="1265"/>
      <c r="M766" s="1265"/>
      <c r="N766" s="1266"/>
      <c r="O766" s="1452"/>
      <c r="P766" s="1452"/>
      <c r="Q766" s="1452"/>
      <c r="R766" s="1452"/>
      <c r="S766" s="1452"/>
      <c r="T766" s="1248"/>
      <c r="U766" s="1249"/>
      <c r="V766" s="1249"/>
      <c r="W766" s="1250"/>
      <c r="X766" s="1236"/>
      <c r="Y766" s="1237"/>
      <c r="Z766" s="1237"/>
      <c r="AA766" s="1237"/>
      <c r="AB766" s="1238"/>
      <c r="AC766" s="1239">
        <f t="shared" ref="AC766:AC775" si="64">X766*O766</f>
        <v>0</v>
      </c>
      <c r="AD766" s="1240"/>
      <c r="AE766" s="1240"/>
      <c r="AF766" s="1240"/>
      <c r="AG766" s="124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264"/>
      <c r="K767" s="1265"/>
      <c r="L767" s="1265"/>
      <c r="M767" s="1265"/>
      <c r="N767" s="1266"/>
      <c r="O767" s="1452"/>
      <c r="P767" s="1452"/>
      <c r="Q767" s="1452"/>
      <c r="R767" s="1452"/>
      <c r="S767" s="1452"/>
      <c r="T767" s="1248"/>
      <c r="U767" s="1249"/>
      <c r="V767" s="1249"/>
      <c r="W767" s="1250"/>
      <c r="X767" s="1236"/>
      <c r="Y767" s="1237"/>
      <c r="Z767" s="1237"/>
      <c r="AA767" s="1237"/>
      <c r="AB767" s="1238"/>
      <c r="AC767" s="1239">
        <f t="shared" si="64"/>
        <v>0</v>
      </c>
      <c r="AD767" s="1240"/>
      <c r="AE767" s="1240"/>
      <c r="AF767" s="1240"/>
      <c r="AG767" s="124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264"/>
      <c r="K768" s="1265"/>
      <c r="L768" s="1265"/>
      <c r="M768" s="1265"/>
      <c r="N768" s="1266"/>
      <c r="O768" s="1452"/>
      <c r="P768" s="1452"/>
      <c r="Q768" s="1452"/>
      <c r="R768" s="1452"/>
      <c r="S768" s="1452"/>
      <c r="T768" s="1248"/>
      <c r="U768" s="1249"/>
      <c r="V768" s="1249"/>
      <c r="W768" s="1250"/>
      <c r="X768" s="1236"/>
      <c r="Y768" s="1237"/>
      <c r="Z768" s="1237"/>
      <c r="AA768" s="1237"/>
      <c r="AB768" s="1238"/>
      <c r="AC768" s="1239">
        <f t="shared" si="64"/>
        <v>0</v>
      </c>
      <c r="AD768" s="1240"/>
      <c r="AE768" s="1240"/>
      <c r="AF768" s="1240"/>
      <c r="AG768" s="124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264"/>
      <c r="K769" s="1265"/>
      <c r="L769" s="1265"/>
      <c r="M769" s="1265"/>
      <c r="N769" s="1266"/>
      <c r="O769" s="1452"/>
      <c r="P769" s="1452"/>
      <c r="Q769" s="1452"/>
      <c r="R769" s="1452"/>
      <c r="S769" s="1452"/>
      <c r="T769" s="1248"/>
      <c r="U769" s="1249"/>
      <c r="V769" s="1249"/>
      <c r="W769" s="1250"/>
      <c r="X769" s="1236"/>
      <c r="Y769" s="1237"/>
      <c r="Z769" s="1237"/>
      <c r="AA769" s="1237"/>
      <c r="AB769" s="1238"/>
      <c r="AC769" s="1239">
        <f t="shared" si="64"/>
        <v>0</v>
      </c>
      <c r="AD769" s="1240"/>
      <c r="AE769" s="1240"/>
      <c r="AF769" s="1240"/>
      <c r="AG769" s="124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264"/>
      <c r="K770" s="1265"/>
      <c r="L770" s="1265"/>
      <c r="M770" s="1265"/>
      <c r="N770" s="1266"/>
      <c r="O770" s="1452"/>
      <c r="P770" s="1452"/>
      <c r="Q770" s="1452"/>
      <c r="R770" s="1452"/>
      <c r="S770" s="1452"/>
      <c r="T770" s="1248"/>
      <c r="U770" s="1249"/>
      <c r="V770" s="1249"/>
      <c r="W770" s="1250"/>
      <c r="X770" s="1236"/>
      <c r="Y770" s="1237"/>
      <c r="Z770" s="1237"/>
      <c r="AA770" s="1237"/>
      <c r="AB770" s="1238"/>
      <c r="AC770" s="1239">
        <f t="shared" si="64"/>
        <v>0</v>
      </c>
      <c r="AD770" s="1240"/>
      <c r="AE770" s="1240"/>
      <c r="AF770" s="1240"/>
      <c r="AG770" s="124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264"/>
      <c r="K771" s="1265"/>
      <c r="L771" s="1265"/>
      <c r="M771" s="1265"/>
      <c r="N771" s="1266"/>
      <c r="O771" s="1452"/>
      <c r="P771" s="1452"/>
      <c r="Q771" s="1452"/>
      <c r="R771" s="1452"/>
      <c r="S771" s="1452"/>
      <c r="T771" s="1248"/>
      <c r="U771" s="1249"/>
      <c r="V771" s="1249"/>
      <c r="W771" s="1250"/>
      <c r="X771" s="1236"/>
      <c r="Y771" s="1237"/>
      <c r="Z771" s="1237"/>
      <c r="AA771" s="1237"/>
      <c r="AB771" s="1238"/>
      <c r="AC771" s="1239">
        <f t="shared" si="64"/>
        <v>0</v>
      </c>
      <c r="AD771" s="1240"/>
      <c r="AE771" s="1240"/>
      <c r="AF771" s="1240"/>
      <c r="AG771" s="124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264"/>
      <c r="K772" s="1265"/>
      <c r="L772" s="1265"/>
      <c r="M772" s="1265"/>
      <c r="N772" s="1266"/>
      <c r="O772" s="1452"/>
      <c r="P772" s="1452"/>
      <c r="Q772" s="1452"/>
      <c r="R772" s="1452"/>
      <c r="S772" s="1452"/>
      <c r="T772" s="1248"/>
      <c r="U772" s="1249"/>
      <c r="V772" s="1249"/>
      <c r="W772" s="1250"/>
      <c r="X772" s="1236"/>
      <c r="Y772" s="1237"/>
      <c r="Z772" s="1237"/>
      <c r="AA772" s="1237"/>
      <c r="AB772" s="1238"/>
      <c r="AC772" s="1239">
        <f t="shared" si="64"/>
        <v>0</v>
      </c>
      <c r="AD772" s="1240"/>
      <c r="AE772" s="1240"/>
      <c r="AF772" s="1240"/>
      <c r="AG772" s="124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264"/>
      <c r="K773" s="1265"/>
      <c r="L773" s="1265"/>
      <c r="M773" s="1265"/>
      <c r="N773" s="1266"/>
      <c r="O773" s="1452"/>
      <c r="P773" s="1452"/>
      <c r="Q773" s="1452"/>
      <c r="R773" s="1452"/>
      <c r="S773" s="1452"/>
      <c r="T773" s="1248"/>
      <c r="U773" s="1249"/>
      <c r="V773" s="1249"/>
      <c r="W773" s="1250"/>
      <c r="X773" s="1236"/>
      <c r="Y773" s="1237"/>
      <c r="Z773" s="1237"/>
      <c r="AA773" s="1237"/>
      <c r="AB773" s="1238"/>
      <c r="AC773" s="1239">
        <f t="shared" si="64"/>
        <v>0</v>
      </c>
      <c r="AD773" s="1240"/>
      <c r="AE773" s="1240"/>
      <c r="AF773" s="1240"/>
      <c r="AG773" s="124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264"/>
      <c r="K774" s="1265"/>
      <c r="L774" s="1265"/>
      <c r="M774" s="1265"/>
      <c r="N774" s="1266"/>
      <c r="O774" s="1452"/>
      <c r="P774" s="1452"/>
      <c r="Q774" s="1452"/>
      <c r="R774" s="1452"/>
      <c r="S774" s="1452"/>
      <c r="T774" s="1248"/>
      <c r="U774" s="1249"/>
      <c r="V774" s="1249"/>
      <c r="W774" s="1250"/>
      <c r="X774" s="1236"/>
      <c r="Y774" s="1237"/>
      <c r="Z774" s="1237"/>
      <c r="AA774" s="1237"/>
      <c r="AB774" s="1238"/>
      <c r="AC774" s="1239">
        <f t="shared" si="64"/>
        <v>0</v>
      </c>
      <c r="AD774" s="1240"/>
      <c r="AE774" s="1240"/>
      <c r="AF774" s="1240"/>
      <c r="AG774" s="124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264"/>
      <c r="K775" s="1265"/>
      <c r="L775" s="1265"/>
      <c r="M775" s="1265"/>
      <c r="N775" s="1266"/>
      <c r="O775" s="1452"/>
      <c r="P775" s="1452"/>
      <c r="Q775" s="1452"/>
      <c r="R775" s="1452"/>
      <c r="S775" s="1452"/>
      <c r="T775" s="1248"/>
      <c r="U775" s="1249"/>
      <c r="V775" s="1249"/>
      <c r="W775" s="1250"/>
      <c r="X775" s="1236"/>
      <c r="Y775" s="1237"/>
      <c r="Z775" s="1237"/>
      <c r="AA775" s="1237"/>
      <c r="AB775" s="1238"/>
      <c r="AC775" s="1239">
        <f t="shared" si="64"/>
        <v>0</v>
      </c>
      <c r="AD775" s="1240"/>
      <c r="AE775" s="1240"/>
      <c r="AF775" s="1240"/>
      <c r="AG775" s="124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7" t="s">
        <v>877</v>
      </c>
      <c r="K776" s="1188"/>
      <c r="L776" s="1188"/>
      <c r="M776" s="1188"/>
      <c r="N776" s="1189"/>
      <c r="O776" s="1501">
        <f>SUM(O766:S775)</f>
        <v>0</v>
      </c>
      <c r="P776" s="1501"/>
      <c r="Q776" s="1501"/>
      <c r="R776" s="1501"/>
      <c r="S776" s="1501"/>
      <c r="X776" s="430" t="s">
        <v>876</v>
      </c>
      <c r="Y776" s="168"/>
      <c r="Z776" s="168"/>
      <c r="AA776" s="168"/>
      <c r="AB776" s="842"/>
      <c r="AC776" s="1239">
        <f>SUM(AC766:AG775)</f>
        <v>0</v>
      </c>
      <c r="AD776" s="1240"/>
      <c r="AE776" s="1240"/>
      <c r="AF776" s="1240"/>
      <c r="AG776" s="124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104" t="str">
        <f>IF(O776&lt;&gt;AG431,"! Total market rate units in the Unit Mix Table above does not match the number of market rate units on row #"&amp;TEXT(ROW(AG431),"#"),"")</f>
        <v/>
      </c>
      <c r="D777" s="1104"/>
      <c r="E777" s="1104"/>
      <c r="F777" s="1104"/>
      <c r="G777" s="1104"/>
      <c r="H777" s="1104"/>
      <c r="I777" s="1104"/>
      <c r="J777" s="1104"/>
      <c r="K777" s="1104"/>
      <c r="L777" s="1104"/>
      <c r="M777" s="1104"/>
      <c r="N777" s="1104"/>
      <c r="O777" s="1104"/>
      <c r="P777" s="1104"/>
      <c r="Q777" s="1104"/>
      <c r="R777" s="1104"/>
      <c r="S777" s="1104"/>
      <c r="T777" s="1104"/>
      <c r="U777" s="1104"/>
      <c r="V777" s="1104"/>
      <c r="W777" s="1104"/>
      <c r="X777" s="1104"/>
      <c r="Y777" s="1104"/>
      <c r="Z777" s="1104"/>
      <c r="AA777" s="1104"/>
      <c r="AB777" s="1104"/>
      <c r="AC777" s="1104"/>
      <c r="AD777" s="1104"/>
      <c r="AE777" s="1104"/>
      <c r="AF777" s="1104"/>
      <c r="AG777" s="1104"/>
      <c r="AH777" s="1104"/>
      <c r="AI777" s="1104"/>
      <c r="AJ777" s="1104"/>
      <c r="AK777" s="1104"/>
      <c r="AL777" s="1104"/>
      <c r="AM777" s="1104"/>
      <c r="AN777" s="1104"/>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104"/>
      <c r="D778" s="1104"/>
      <c r="E778" s="1104"/>
      <c r="F778" s="1104"/>
      <c r="G778" s="1104"/>
      <c r="H778" s="1104"/>
      <c r="I778" s="1104"/>
      <c r="J778" s="1104"/>
      <c r="K778" s="1104"/>
      <c r="L778" s="1104"/>
      <c r="M778" s="1104"/>
      <c r="N778" s="1104"/>
      <c r="O778" s="1104"/>
      <c r="P778" s="1104"/>
      <c r="Q778" s="1104"/>
      <c r="R778" s="1104"/>
      <c r="S778" s="1104"/>
      <c r="T778" s="1104"/>
      <c r="U778" s="1104"/>
      <c r="V778" s="1104"/>
      <c r="W778" s="1104"/>
      <c r="X778" s="1104"/>
      <c r="Y778" s="1104"/>
      <c r="Z778" s="1104"/>
      <c r="AA778" s="1104"/>
      <c r="AB778" s="1104"/>
      <c r="AC778" s="1104"/>
      <c r="AD778" s="1104"/>
      <c r="AE778" s="1104"/>
      <c r="AF778" s="1104"/>
      <c r="AG778" s="1104"/>
      <c r="AH778" s="1104"/>
      <c r="AI778" s="1104"/>
      <c r="AJ778" s="1104"/>
      <c r="AK778" s="1104"/>
      <c r="AL778" s="1104"/>
      <c r="AM778" s="1104"/>
      <c r="AN778" s="1104"/>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78">
        <f>T730+AC756+AC776</f>
        <v>92040</v>
      </c>
      <c r="Z779" s="1378"/>
      <c r="AA779" s="1378"/>
      <c r="AB779" s="1378"/>
      <c r="AC779" s="137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78">
        <f>(T730+AC756+AC776)*12</f>
        <v>1104480</v>
      </c>
      <c r="Z780" s="1378"/>
      <c r="AA780" s="1378"/>
      <c r="AB780" s="1378"/>
      <c r="AC780" s="137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500"/>
      <c r="AA785" s="1490"/>
      <c r="AB785" s="1490"/>
      <c r="AC785" s="1490"/>
      <c r="AD785" s="1490"/>
      <c r="AE785" s="149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89">
        <v>0</v>
      </c>
      <c r="AA786" s="1490"/>
      <c r="AB786" s="1490"/>
      <c r="AC786" s="1490"/>
      <c r="AD786" s="1490"/>
      <c r="AE786" s="149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98">
        <v>0</v>
      </c>
      <c r="AA787" s="1409"/>
      <c r="AB787" s="1409"/>
      <c r="AC787" s="1409"/>
      <c r="AD787" s="1409"/>
      <c r="AE787" s="149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30">
        <f>'Subsidy Contract Calculation'!I40</f>
        <v>0</v>
      </c>
      <c r="AA788" s="1531"/>
      <c r="AB788" s="1531"/>
      <c r="AC788" s="1531"/>
      <c r="AD788" s="1531"/>
      <c r="AE788" s="153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082">
        <v>14400</v>
      </c>
      <c r="AA792" s="1083"/>
      <c r="AB792" s="1083"/>
      <c r="AC792" s="1083"/>
      <c r="AD792" s="1083"/>
      <c r="AE792" s="108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082">
        <v>8640</v>
      </c>
      <c r="AA793" s="1083"/>
      <c r="AB793" s="1083"/>
      <c r="AC793" s="1083"/>
      <c r="AD793" s="1083"/>
      <c r="AE793" s="108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082"/>
      <c r="AA794" s="1083"/>
      <c r="AB794" s="1083"/>
      <c r="AC794" s="1083"/>
      <c r="AD794" s="1083"/>
      <c r="AE794" s="108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085" t="s">
        <v>562</v>
      </c>
      <c r="Q795" s="1086"/>
      <c r="R795" s="1086"/>
      <c r="S795" s="1086"/>
      <c r="T795" s="1086"/>
      <c r="U795" s="1086"/>
      <c r="V795" s="1086"/>
      <c r="W795" s="1086"/>
      <c r="X795" s="1086"/>
      <c r="Y795" s="1087"/>
      <c r="Z795" s="1082"/>
      <c r="AA795" s="1083"/>
      <c r="AB795" s="1083"/>
      <c r="AC795" s="1083"/>
      <c r="AD795" s="1083"/>
      <c r="AE795" s="108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8">
        <f>SUM(Z792:AE795)</f>
        <v>23040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8">
        <f>Z796+Y780+Z788</f>
        <v>1127520</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6" t="s">
        <v>878</v>
      </c>
      <c r="N802" s="1546"/>
      <c r="O802" s="1546"/>
      <c r="P802" s="1547"/>
      <c r="Q802" s="1502" t="s">
        <v>263</v>
      </c>
      <c r="R802" s="1502"/>
      <c r="S802" s="1502"/>
      <c r="T802" s="1502"/>
      <c r="U802" s="1502" t="s">
        <v>264</v>
      </c>
      <c r="V802" s="1502"/>
      <c r="W802" s="1502"/>
      <c r="X802" s="1502"/>
      <c r="Y802" s="1502" t="s">
        <v>265</v>
      </c>
      <c r="Z802" s="1502"/>
      <c r="AA802" s="1502"/>
      <c r="AB802" s="1502"/>
      <c r="AC802" s="1502" t="s">
        <v>31</v>
      </c>
      <c r="AD802" s="1502"/>
      <c r="AE802" s="1502"/>
      <c r="AF802" s="1502"/>
      <c r="AG802" s="1495" t="s">
        <v>563</v>
      </c>
      <c r="AH802" s="1495"/>
      <c r="AI802" s="1495"/>
      <c r="AJ802" s="149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1"/>
      <c r="N803" s="1541"/>
      <c r="O803" s="1541"/>
      <c r="P803" s="1542"/>
      <c r="Q803" s="1502"/>
      <c r="R803" s="1502"/>
      <c r="S803" s="1502"/>
      <c r="T803" s="1502"/>
      <c r="U803" s="1502"/>
      <c r="V803" s="1502"/>
      <c r="W803" s="1502"/>
      <c r="X803" s="1502"/>
      <c r="Y803" s="1502"/>
      <c r="Z803" s="1502"/>
      <c r="AA803" s="1502"/>
      <c r="AB803" s="1502"/>
      <c r="AC803" s="1502"/>
      <c r="AD803" s="1502"/>
      <c r="AE803" s="1502"/>
      <c r="AF803" s="1502"/>
      <c r="AG803" s="1495"/>
      <c r="AH803" s="1495"/>
      <c r="AI803" s="1495"/>
      <c r="AJ803" s="149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24" t="s">
        <v>694</v>
      </c>
      <c r="D804" s="1267"/>
      <c r="E804" s="1267"/>
      <c r="F804" s="1267"/>
      <c r="G804" s="1267"/>
      <c r="H804" s="1267"/>
      <c r="I804" s="54"/>
      <c r="J804" s="54"/>
      <c r="K804" s="54"/>
      <c r="L804" s="55"/>
      <c r="M804" s="1077"/>
      <c r="N804" s="1077"/>
      <c r="O804" s="1077"/>
      <c r="P804" s="1077"/>
      <c r="Q804" s="1077">
        <v>25</v>
      </c>
      <c r="R804" s="1077"/>
      <c r="S804" s="1077"/>
      <c r="T804" s="1077"/>
      <c r="U804" s="1077">
        <v>31</v>
      </c>
      <c r="V804" s="1077"/>
      <c r="W804" s="1077"/>
      <c r="X804" s="1077"/>
      <c r="Y804" s="1077">
        <v>37</v>
      </c>
      <c r="Z804" s="1077"/>
      <c r="AA804" s="1077"/>
      <c r="AB804" s="1077"/>
      <c r="AC804" s="1079"/>
      <c r="AD804" s="1080"/>
      <c r="AE804" s="1080"/>
      <c r="AF804" s="1081"/>
      <c r="AG804" s="1079"/>
      <c r="AH804" s="1080"/>
      <c r="AI804" s="1080"/>
      <c r="AJ804" s="108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79" t="s">
        <v>695</v>
      </c>
      <c r="D805" s="1333"/>
      <c r="E805" s="1333"/>
      <c r="F805" s="1333"/>
      <c r="G805" s="1333"/>
      <c r="H805" s="1333"/>
      <c r="I805" s="9"/>
      <c r="J805" s="9"/>
      <c r="K805" s="9"/>
      <c r="L805" s="52"/>
      <c r="M805" s="1077"/>
      <c r="N805" s="1077"/>
      <c r="O805" s="1077"/>
      <c r="P805" s="1077"/>
      <c r="Q805" s="1077">
        <v>26</v>
      </c>
      <c r="R805" s="1077"/>
      <c r="S805" s="1077"/>
      <c r="T805" s="1077"/>
      <c r="U805" s="1077">
        <v>33</v>
      </c>
      <c r="V805" s="1077"/>
      <c r="W805" s="1077"/>
      <c r="X805" s="1077"/>
      <c r="Y805" s="1077">
        <v>40</v>
      </c>
      <c r="Z805" s="1077"/>
      <c r="AA805" s="1077"/>
      <c r="AB805" s="1077"/>
      <c r="AC805" s="1079"/>
      <c r="AD805" s="1080"/>
      <c r="AE805" s="1080"/>
      <c r="AF805" s="1081"/>
      <c r="AG805" s="1079"/>
      <c r="AH805" s="1080"/>
      <c r="AI805" s="1080"/>
      <c r="AJ805" s="108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79" t="s">
        <v>71</v>
      </c>
      <c r="D806" s="1333"/>
      <c r="E806" s="1333"/>
      <c r="F806" s="1333"/>
      <c r="G806" s="1333"/>
      <c r="H806" s="1333"/>
      <c r="I806" s="66"/>
      <c r="J806" s="66"/>
      <c r="K806" s="66"/>
      <c r="L806" s="67"/>
      <c r="M806" s="1077"/>
      <c r="N806" s="1077"/>
      <c r="O806" s="1077"/>
      <c r="P806" s="1077"/>
      <c r="Q806" s="1077">
        <v>11</v>
      </c>
      <c r="R806" s="1077"/>
      <c r="S806" s="1077"/>
      <c r="T806" s="1077"/>
      <c r="U806" s="1077">
        <v>16</v>
      </c>
      <c r="V806" s="1077"/>
      <c r="W806" s="1077"/>
      <c r="X806" s="1077"/>
      <c r="Y806" s="1077">
        <v>21</v>
      </c>
      <c r="Z806" s="1077"/>
      <c r="AA806" s="1077"/>
      <c r="AB806" s="1077"/>
      <c r="AC806" s="1079"/>
      <c r="AD806" s="1080"/>
      <c r="AE806" s="1080"/>
      <c r="AF806" s="1081"/>
      <c r="AG806" s="1079"/>
      <c r="AH806" s="1080"/>
      <c r="AI806" s="1080"/>
      <c r="AJ806" s="108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79" t="s">
        <v>178</v>
      </c>
      <c r="D807" s="1333"/>
      <c r="E807" s="1333"/>
      <c r="F807" s="1333"/>
      <c r="G807" s="1333"/>
      <c r="H807" s="1333"/>
      <c r="I807" s="66"/>
      <c r="J807" s="66"/>
      <c r="K807" s="66"/>
      <c r="L807" s="67"/>
      <c r="M807" s="1077"/>
      <c r="N807" s="1077"/>
      <c r="O807" s="1077"/>
      <c r="P807" s="1077"/>
      <c r="Q807" s="1077"/>
      <c r="R807" s="1077"/>
      <c r="S807" s="1077"/>
      <c r="T807" s="1077"/>
      <c r="U807" s="1077"/>
      <c r="V807" s="1077"/>
      <c r="W807" s="1077"/>
      <c r="X807" s="1077"/>
      <c r="Y807" s="1077"/>
      <c r="Z807" s="1077"/>
      <c r="AA807" s="1077"/>
      <c r="AB807" s="1077"/>
      <c r="AC807" s="1079"/>
      <c r="AD807" s="1080"/>
      <c r="AE807" s="1080"/>
      <c r="AF807" s="1081"/>
      <c r="AG807" s="1079"/>
      <c r="AH807" s="1080"/>
      <c r="AI807" s="1080"/>
      <c r="AJ807" s="108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79" t="s">
        <v>790</v>
      </c>
      <c r="D808" s="1333"/>
      <c r="E808" s="1333"/>
      <c r="F808" s="1333"/>
      <c r="G808" s="1333"/>
      <c r="H808" s="1333"/>
      <c r="I808" s="66"/>
      <c r="J808" s="66"/>
      <c r="K808" s="66"/>
      <c r="L808" s="67"/>
      <c r="M808" s="1077"/>
      <c r="N808" s="1077"/>
      <c r="O808" s="1077"/>
      <c r="P808" s="1077"/>
      <c r="Q808" s="1077">
        <v>35</v>
      </c>
      <c r="R808" s="1077"/>
      <c r="S808" s="1077"/>
      <c r="T808" s="1077"/>
      <c r="U808" s="1077">
        <v>52</v>
      </c>
      <c r="V808" s="1077"/>
      <c r="W808" s="1077"/>
      <c r="X808" s="1077"/>
      <c r="Y808" s="1077">
        <v>68</v>
      </c>
      <c r="Z808" s="1077"/>
      <c r="AA808" s="1077"/>
      <c r="AB808" s="1077"/>
      <c r="AC808" s="1079"/>
      <c r="AD808" s="1080"/>
      <c r="AE808" s="1080"/>
      <c r="AF808" s="1081"/>
      <c r="AG808" s="1079"/>
      <c r="AH808" s="1080"/>
      <c r="AI808" s="1080"/>
      <c r="AJ808" s="108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06" t="s">
        <v>943</v>
      </c>
      <c r="D809" s="1333"/>
      <c r="E809" s="1333"/>
      <c r="F809" s="1333"/>
      <c r="G809" s="1333"/>
      <c r="H809" s="1333"/>
      <c r="I809" s="66"/>
      <c r="J809" s="66"/>
      <c r="K809" s="66"/>
      <c r="L809" s="67"/>
      <c r="M809" s="1077"/>
      <c r="N809" s="1077"/>
      <c r="O809" s="1077"/>
      <c r="P809" s="1077"/>
      <c r="Q809" s="1077"/>
      <c r="R809" s="1077"/>
      <c r="S809" s="1077"/>
      <c r="T809" s="1077"/>
      <c r="U809" s="1077"/>
      <c r="V809" s="1077"/>
      <c r="W809" s="1077"/>
      <c r="X809" s="1077"/>
      <c r="Y809" s="1077"/>
      <c r="Z809" s="1077"/>
      <c r="AA809" s="1077"/>
      <c r="AB809" s="1077"/>
      <c r="AC809" s="1079"/>
      <c r="AD809" s="1080"/>
      <c r="AE809" s="1080"/>
      <c r="AF809" s="1081"/>
      <c r="AG809" s="1079"/>
      <c r="AH809" s="1080"/>
      <c r="AI809" s="1080"/>
      <c r="AJ809" s="108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46" t="s">
        <v>2424</v>
      </c>
      <c r="G810" s="1086"/>
      <c r="H810" s="1086"/>
      <c r="I810" s="1086"/>
      <c r="J810" s="1086"/>
      <c r="K810" s="1086"/>
      <c r="L810" s="1086"/>
      <c r="M810" s="1077"/>
      <c r="N810" s="1077"/>
      <c r="O810" s="1077"/>
      <c r="P810" s="1077"/>
      <c r="Q810" s="1077">
        <v>23</v>
      </c>
      <c r="R810" s="1077"/>
      <c r="S810" s="1077"/>
      <c r="T810" s="1077"/>
      <c r="U810" s="1077">
        <v>32</v>
      </c>
      <c r="V810" s="1077"/>
      <c r="W810" s="1077"/>
      <c r="X810" s="1077"/>
      <c r="Y810" s="1077">
        <v>40</v>
      </c>
      <c r="Z810" s="1077"/>
      <c r="AA810" s="1077"/>
      <c r="AB810" s="1077"/>
      <c r="AC810" s="1079"/>
      <c r="AD810" s="1080"/>
      <c r="AE810" s="1080"/>
      <c r="AF810" s="1081"/>
      <c r="AG810" s="1079"/>
      <c r="AH810" s="1080"/>
      <c r="AI810" s="1080"/>
      <c r="AJ810" s="108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7" t="s">
        <v>876</v>
      </c>
      <c r="D811" s="1188"/>
      <c r="E811" s="1188"/>
      <c r="F811" s="1188"/>
      <c r="G811" s="1188"/>
      <c r="H811" s="1188"/>
      <c r="I811" s="1188"/>
      <c r="J811" s="1188"/>
      <c r="K811" s="1188"/>
      <c r="L811" s="1189"/>
      <c r="M811" s="1075">
        <f>SUM(M804:P810)</f>
        <v>0</v>
      </c>
      <c r="N811" s="1075"/>
      <c r="O811" s="1075"/>
      <c r="P811" s="1075"/>
      <c r="Q811" s="1075">
        <f>SUM(Q804:T810)</f>
        <v>120</v>
      </c>
      <c r="R811" s="1075"/>
      <c r="S811" s="1075"/>
      <c r="T811" s="1075"/>
      <c r="U811" s="1075">
        <f>SUM(U804:X810)</f>
        <v>164</v>
      </c>
      <c r="V811" s="1075"/>
      <c r="W811" s="1075"/>
      <c r="X811" s="1075"/>
      <c r="Y811" s="1075">
        <f>SUM(Y804:AB810)</f>
        <v>206</v>
      </c>
      <c r="Z811" s="1075"/>
      <c r="AA811" s="1075"/>
      <c r="AB811" s="1075"/>
      <c r="AC811" s="1075">
        <f>SUM(AC804:AF810)</f>
        <v>0</v>
      </c>
      <c r="AD811" s="1075"/>
      <c r="AE811" s="1075"/>
      <c r="AF811" s="1075"/>
      <c r="AG811" s="1075">
        <f>SUM(AG804:AJ810)</f>
        <v>0</v>
      </c>
      <c r="AH811" s="1075"/>
      <c r="AI811" s="1075"/>
      <c r="AJ811" s="107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388" t="s">
        <v>2425</v>
      </c>
      <c r="D816" s="1389"/>
      <c r="E816" s="1389"/>
      <c r="F816" s="1389"/>
      <c r="G816" s="1389"/>
      <c r="H816" s="1389"/>
      <c r="I816" s="1389"/>
      <c r="J816" s="1389"/>
      <c r="K816" s="1389"/>
      <c r="L816" s="1389"/>
      <c r="M816" s="1389"/>
      <c r="N816" s="1389"/>
      <c r="O816" s="1389"/>
      <c r="P816" s="1389"/>
      <c r="Q816" s="1389"/>
      <c r="R816" s="1389"/>
      <c r="S816" s="1389"/>
      <c r="T816" s="1389"/>
      <c r="U816" s="1389"/>
      <c r="V816" s="1389"/>
      <c r="W816" s="1389"/>
      <c r="X816" s="1389"/>
      <c r="Y816" s="1389"/>
      <c r="Z816" s="1389"/>
      <c r="AA816" s="1389"/>
      <c r="AB816" s="1389"/>
      <c r="AC816" s="1389"/>
      <c r="AD816" s="1389"/>
      <c r="AE816" s="1389"/>
      <c r="AF816" s="1389"/>
      <c r="AG816" s="1389"/>
      <c r="AH816" s="1389"/>
      <c r="AI816" s="1389"/>
      <c r="AJ816" s="139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08" t="s">
        <v>368</v>
      </c>
      <c r="BB819" s="150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076">
        <v>12500</v>
      </c>
      <c r="X821" s="1076"/>
      <c r="Y821" s="1076"/>
      <c r="Z821" s="1076"/>
      <c r="AA821" s="1076"/>
      <c r="AB821" s="1076"/>
      <c r="AC821" s="1076"/>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076">
        <v>2000</v>
      </c>
      <c r="X822" s="1076"/>
      <c r="Y822" s="1076"/>
      <c r="Z822" s="1076"/>
      <c r="AA822" s="1076"/>
      <c r="AB822" s="1076"/>
      <c r="AC822" s="1076"/>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076">
        <v>8750</v>
      </c>
      <c r="X823" s="1076"/>
      <c r="Y823" s="1076"/>
      <c r="Z823" s="1076"/>
      <c r="AA823" s="1076"/>
      <c r="AB823" s="1076"/>
      <c r="AC823" s="1076"/>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076">
        <v>16750</v>
      </c>
      <c r="X824" s="1076"/>
      <c r="Y824" s="1076"/>
      <c r="Z824" s="1076"/>
      <c r="AA824" s="1076"/>
      <c r="AB824" s="1076"/>
      <c r="AC824" s="107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46" t="s">
        <v>2450</v>
      </c>
      <c r="N825" s="1086"/>
      <c r="O825" s="1086"/>
      <c r="P825" s="1086"/>
      <c r="Q825" s="1086"/>
      <c r="R825" s="1086"/>
      <c r="S825" s="1086"/>
      <c r="T825" s="1086"/>
      <c r="U825" s="1086"/>
      <c r="V825" s="1087"/>
      <c r="W825" s="1076">
        <v>4250</v>
      </c>
      <c r="X825" s="1076"/>
      <c r="Y825" s="1076"/>
      <c r="Z825" s="1076"/>
      <c r="AA825" s="1076"/>
      <c r="AB825" s="1076"/>
      <c r="AC825" s="107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05" t="str">
        <f>T189</f>
        <v>Fresno</v>
      </c>
      <c r="BP825" s="1506"/>
      <c r="BQ825" s="1506"/>
      <c r="BR825" s="1506"/>
      <c r="BS825" s="1506"/>
      <c r="BT825" s="1506"/>
      <c r="BU825" s="150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8">
        <f>SUM(W821:AC825)</f>
        <v>44250</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7" t="s">
        <v>469</v>
      </c>
      <c r="K828" s="1188"/>
      <c r="L828" s="1188"/>
      <c r="M828" s="1188"/>
      <c r="N828" s="1188"/>
      <c r="O828" s="1188"/>
      <c r="P828" s="1188"/>
      <c r="Q828" s="1188"/>
      <c r="R828" s="1188"/>
      <c r="S828" s="1188"/>
      <c r="T828" s="1188"/>
      <c r="U828" s="1188"/>
      <c r="V828" s="1189"/>
      <c r="W828" s="1082">
        <v>70800</v>
      </c>
      <c r="X828" s="1083"/>
      <c r="Y828" s="1083"/>
      <c r="Z828" s="1083"/>
      <c r="AA828" s="1083"/>
      <c r="AB828" s="1083"/>
      <c r="AC828" s="108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7"/>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7">
        <v>19500</v>
      </c>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7">
        <v>51250</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7">
        <v>44250</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04">
        <f>SUM(W830:AC833)</f>
        <v>115000</v>
      </c>
      <c r="X834" s="1504"/>
      <c r="Y834" s="1504"/>
      <c r="Z834" s="1504"/>
      <c r="AA834" s="1504"/>
      <c r="AB834" s="1504"/>
      <c r="AC834" s="1504"/>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088">
        <v>104000</v>
      </c>
      <c r="X836" s="1089"/>
      <c r="Y836" s="1089"/>
      <c r="Z836" s="1089"/>
      <c r="AA836" s="1089"/>
      <c r="AB836" s="1089"/>
      <c r="AC836" s="109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1932</v>
      </c>
      <c r="K837" s="9"/>
      <c r="L837" s="9"/>
      <c r="M837" s="9"/>
      <c r="N837" s="9"/>
      <c r="O837" s="9"/>
      <c r="P837" s="9"/>
      <c r="Q837" s="9"/>
      <c r="R837" s="9"/>
      <c r="S837" s="9"/>
      <c r="T837" s="1207">
        <v>3</v>
      </c>
      <c r="U837" s="1208"/>
      <c r="V837" s="120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088">
        <v>96000</v>
      </c>
      <c r="X838" s="1089"/>
      <c r="Y838" s="1089"/>
      <c r="Z838" s="1089"/>
      <c r="AA838" s="1089"/>
      <c r="AB838" s="1089"/>
      <c r="AC838" s="109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1933</v>
      </c>
      <c r="K839" s="9"/>
      <c r="L839" s="9"/>
      <c r="M839" s="9"/>
      <c r="N839" s="9"/>
      <c r="O839" s="9"/>
      <c r="P839" s="9"/>
      <c r="Q839" s="9"/>
      <c r="R839" s="9"/>
      <c r="S839" s="9"/>
      <c r="T839" s="1207"/>
      <c r="U839" s="1208"/>
      <c r="V839" s="120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85" t="s">
        <v>562</v>
      </c>
      <c r="N840" s="1086"/>
      <c r="O840" s="1086"/>
      <c r="P840" s="1086"/>
      <c r="Q840" s="1086"/>
      <c r="R840" s="1086"/>
      <c r="S840" s="1086"/>
      <c r="T840" s="1086"/>
      <c r="U840" s="1086"/>
      <c r="V840" s="1087"/>
      <c r="W840" s="1088"/>
      <c r="X840" s="1089"/>
      <c r="Y840" s="1089"/>
      <c r="Z840" s="1089"/>
      <c r="AA840" s="1089"/>
      <c r="AB840" s="1089"/>
      <c r="AC840" s="1090"/>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49">
        <f>SUM(W836:AC840)</f>
        <v>200000</v>
      </c>
      <c r="X841" s="1550"/>
      <c r="Y841" s="1550"/>
      <c r="Z841" s="1550"/>
      <c r="AA841" s="1550"/>
      <c r="AB841" s="1550"/>
      <c r="AC841" s="155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088">
        <v>50000</v>
      </c>
      <c r="X842" s="1089"/>
      <c r="Y842" s="1089"/>
      <c r="Z842" s="1089"/>
      <c r="AA842" s="1089"/>
      <c r="AB842" s="1089"/>
      <c r="AC842" s="1090"/>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076">
        <v>7800</v>
      </c>
      <c r="X844" s="1076"/>
      <c r="Y844" s="1076"/>
      <c r="Z844" s="1076"/>
      <c r="AA844" s="1076"/>
      <c r="AB844" s="1076"/>
      <c r="AC844" s="107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076">
        <v>15200</v>
      </c>
      <c r="X845" s="1076"/>
      <c r="Y845" s="1076"/>
      <c r="Z845" s="1076"/>
      <c r="AA845" s="1076"/>
      <c r="AB845" s="1076"/>
      <c r="AC845" s="107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076"/>
      <c r="X846" s="1076"/>
      <c r="Y846" s="1076"/>
      <c r="Z846" s="1076"/>
      <c r="AA846" s="1076"/>
      <c r="AB846" s="1076"/>
      <c r="AC846" s="107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076">
        <v>14500</v>
      </c>
      <c r="X847" s="1076"/>
      <c r="Y847" s="1076"/>
      <c r="Z847" s="1076"/>
      <c r="AA847" s="1076"/>
      <c r="AB847" s="1076"/>
      <c r="AC847" s="107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076">
        <v>14000</v>
      </c>
      <c r="X848" s="1076"/>
      <c r="Y848" s="1076"/>
      <c r="Z848" s="1076"/>
      <c r="AA848" s="1076"/>
      <c r="AB848" s="1076"/>
      <c r="AC848" s="107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076">
        <v>8500</v>
      </c>
      <c r="X849" s="1076"/>
      <c r="Y849" s="1076"/>
      <c r="Z849" s="1076"/>
      <c r="AA849" s="1076"/>
      <c r="AB849" s="1076"/>
      <c r="AC849" s="107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85" t="s">
        <v>562</v>
      </c>
      <c r="N850" s="1086"/>
      <c r="O850" s="1086"/>
      <c r="P850" s="1086"/>
      <c r="Q850" s="1086"/>
      <c r="R850" s="1086"/>
      <c r="S850" s="1086"/>
      <c r="T850" s="1086"/>
      <c r="U850" s="1086"/>
      <c r="V850" s="1087"/>
      <c r="W850" s="1076"/>
      <c r="X850" s="1076"/>
      <c r="Y850" s="1076"/>
      <c r="Z850" s="1076"/>
      <c r="AA850" s="1076"/>
      <c r="AB850" s="1076"/>
      <c r="AC850" s="107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78">
        <f>SUM(W844:AC850)</f>
        <v>60000</v>
      </c>
      <c r="X851" s="1378"/>
      <c r="Y851" s="1378"/>
      <c r="Z851" s="1378"/>
      <c r="AA851" s="1378"/>
      <c r="AB851" s="1378"/>
      <c r="AC851" s="137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1866</v>
      </c>
      <c r="D853"/>
      <c r="E853"/>
      <c r="F853"/>
      <c r="G853"/>
      <c r="H853"/>
      <c r="I853"/>
      <c r="J853" s="8" t="s">
        <v>283</v>
      </c>
      <c r="K853" s="9"/>
      <c r="L853" s="9"/>
      <c r="M853" s="1085" t="s">
        <v>562</v>
      </c>
      <c r="N853" s="1086"/>
      <c r="O853" s="1086"/>
      <c r="P853" s="1086"/>
      <c r="Q853" s="1086"/>
      <c r="R853" s="1086"/>
      <c r="S853" s="1086"/>
      <c r="T853" s="1086"/>
      <c r="U853" s="1086"/>
      <c r="V853" s="1087"/>
      <c r="W853" s="1082"/>
      <c r="X853" s="1083"/>
      <c r="Y853" s="1083"/>
      <c r="Z853" s="1083"/>
      <c r="AA853" s="1083"/>
      <c r="AB853" s="1083"/>
      <c r="AC853" s="108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1867</v>
      </c>
      <c r="D854"/>
      <c r="E854"/>
      <c r="F854"/>
      <c r="G854"/>
      <c r="H854"/>
      <c r="I854"/>
      <c r="J854" s="8" t="s">
        <v>283</v>
      </c>
      <c r="K854" s="9"/>
      <c r="L854" s="9"/>
      <c r="M854" s="1085" t="s">
        <v>562</v>
      </c>
      <c r="N854" s="1086"/>
      <c r="O854" s="1086"/>
      <c r="P854" s="1086"/>
      <c r="Q854" s="1086"/>
      <c r="R854" s="1086"/>
      <c r="S854" s="1086"/>
      <c r="T854" s="1086"/>
      <c r="U854" s="1086"/>
      <c r="V854" s="1087"/>
      <c r="W854" s="1082"/>
      <c r="X854" s="1083"/>
      <c r="Y854" s="1083"/>
      <c r="Z854" s="1083"/>
      <c r="AA854" s="1083"/>
      <c r="AB854" s="1083"/>
      <c r="AC854" s="108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085" t="s">
        <v>562</v>
      </c>
      <c r="N855" s="1086"/>
      <c r="O855" s="1086"/>
      <c r="P855" s="1086"/>
      <c r="Q855" s="1086"/>
      <c r="R855" s="1086"/>
      <c r="S855" s="1086"/>
      <c r="T855" s="1086"/>
      <c r="U855" s="1086"/>
      <c r="V855" s="1087"/>
      <c r="W855" s="1082"/>
      <c r="X855" s="1083"/>
      <c r="Y855" s="1083"/>
      <c r="Z855" s="1083"/>
      <c r="AA855" s="1083"/>
      <c r="AB855" s="1083"/>
      <c r="AC855" s="108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085" t="s">
        <v>562</v>
      </c>
      <c r="N856" s="1086"/>
      <c r="O856" s="1086"/>
      <c r="P856" s="1086"/>
      <c r="Q856" s="1086"/>
      <c r="R856" s="1086"/>
      <c r="S856" s="1086"/>
      <c r="T856" s="1086"/>
      <c r="U856" s="1086"/>
      <c r="V856" s="1087"/>
      <c r="W856" s="1082"/>
      <c r="X856" s="1083"/>
      <c r="Y856" s="1083"/>
      <c r="Z856" s="1083"/>
      <c r="AA856" s="1083"/>
      <c r="AB856" s="1083"/>
      <c r="AC856" s="108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085" t="s">
        <v>562</v>
      </c>
      <c r="N857" s="1086"/>
      <c r="O857" s="1086"/>
      <c r="P857" s="1086"/>
      <c r="Q857" s="1086"/>
      <c r="R857" s="1086"/>
      <c r="S857" s="1086"/>
      <c r="T857" s="1086"/>
      <c r="U857" s="1086"/>
      <c r="V857" s="1087"/>
      <c r="W857" s="1082"/>
      <c r="X857" s="1083"/>
      <c r="Y857" s="1083"/>
      <c r="Z857" s="1083"/>
      <c r="AA857" s="1083"/>
      <c r="AB857" s="1083"/>
      <c r="AC857" s="108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8">
        <f>SUM(W853:AC857)</f>
        <v>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540050</v>
      </c>
      <c r="AD862" s="1199"/>
      <c r="AE862" s="1199"/>
      <c r="AF862" s="1199"/>
      <c r="AG862" s="1199"/>
      <c r="AH862" s="120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3">
        <f>O776+O756+G730</f>
        <v>120</v>
      </c>
      <c r="AD863" s="1194"/>
      <c r="AE863" s="1194"/>
      <c r="AF863" s="1194"/>
      <c r="AG863" s="1194"/>
      <c r="AH863" s="119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518" t="s">
        <v>346</v>
      </c>
      <c r="F864" s="1519"/>
      <c r="G864" s="1519"/>
      <c r="H864" s="1519"/>
      <c r="I864" s="1519"/>
      <c r="J864" s="1519"/>
      <c r="K864" s="1519"/>
      <c r="L864" s="1519"/>
      <c r="M864" s="1519"/>
      <c r="N864" s="1519"/>
      <c r="O864" s="1519"/>
      <c r="P864" s="1519"/>
      <c r="Q864" s="1519"/>
      <c r="R864" s="1519"/>
      <c r="S864" s="1519"/>
      <c r="T864" s="1519"/>
      <c r="U864" s="1519"/>
      <c r="V864" s="1519"/>
      <c r="W864" s="1519"/>
      <c r="X864" s="1519"/>
      <c r="Y864" s="1519"/>
      <c r="Z864" s="1519"/>
      <c r="AA864" s="1519"/>
      <c r="AB864" s="1520"/>
      <c r="AC864" s="1376">
        <f>IF(ISERROR((ROUNDDOWN(AC862/AC863,0))),0,(ROUNDDOWN(AC862/AC863,0)))</f>
        <v>4500</v>
      </c>
      <c r="AD864" s="1377"/>
      <c r="AE864" s="1377"/>
      <c r="AF864" s="1377"/>
      <c r="AG864" s="1377"/>
      <c r="AH864" s="137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74">
        <v>238870</v>
      </c>
      <c r="AD865" s="1078"/>
      <c r="AE865" s="1078"/>
      <c r="AF865" s="1078"/>
      <c r="AG865" s="1078"/>
      <c r="AH865" s="107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084"/>
      <c r="AD866" s="1076"/>
      <c r="AE866" s="1076"/>
      <c r="AF866" s="1076"/>
      <c r="AG866" s="1076"/>
      <c r="AH866" s="1076"/>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082">
        <v>24600</v>
      </c>
      <c r="AD867" s="1083"/>
      <c r="AE867" s="1083"/>
      <c r="AF867" s="1083"/>
      <c r="AG867" s="1083"/>
      <c r="AH867" s="1084"/>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082">
        <v>30000</v>
      </c>
      <c r="AD868" s="1083"/>
      <c r="AE868" s="1083"/>
      <c r="AF868" s="1083"/>
      <c r="AG868" s="1083"/>
      <c r="AH868" s="1084"/>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082">
        <v>7500</v>
      </c>
      <c r="AD869" s="1083"/>
      <c r="AE869" s="1083"/>
      <c r="AF869" s="1083"/>
      <c r="AG869" s="1083"/>
      <c r="AH869" s="1084"/>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082"/>
      <c r="AD870" s="1083"/>
      <c r="AE870" s="1083"/>
      <c r="AF870" s="1083"/>
      <c r="AG870" s="1083"/>
      <c r="AH870" s="1084"/>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227"/>
      <c r="AD871" s="1076"/>
      <c r="AE871" s="1076"/>
      <c r="AF871" s="1076"/>
      <c r="AG871" s="1076"/>
      <c r="AH871" s="1076"/>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201" t="s">
        <v>1209</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076"/>
      <c r="AD872" s="1076"/>
      <c r="AE872" s="1076"/>
      <c r="AF872" s="1076"/>
      <c r="AG872" s="1076"/>
      <c r="AH872" s="1076"/>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201" t="s">
        <v>1209</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076"/>
      <c r="AD873" s="1076"/>
      <c r="AE873" s="1076"/>
      <c r="AF873" s="1076"/>
      <c r="AG873" s="1076"/>
      <c r="AH873" s="1076"/>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391"/>
      <c r="AD874" s="1391"/>
      <c r="AE874" s="1391"/>
      <c r="AF874" s="1391"/>
      <c r="AG874" s="1391"/>
      <c r="AH874" s="1391"/>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16"/>
      <c r="AO875" s="1516"/>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082"/>
      <c r="AA877" s="1083"/>
      <c r="AB877" s="1083"/>
      <c r="AC877" s="1083"/>
      <c r="AD877" s="1083"/>
      <c r="AE877" s="1084"/>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082"/>
      <c r="AA878" s="1083"/>
      <c r="AB878" s="1083"/>
      <c r="AC878" s="1083"/>
      <c r="AD878" s="1083"/>
      <c r="AE878" s="1084"/>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082"/>
      <c r="AA879" s="1083"/>
      <c r="AB879" s="1083"/>
      <c r="AC879" s="1083"/>
      <c r="AD879" s="1083"/>
      <c r="AE879" s="1084"/>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97" t="s">
        <v>128</v>
      </c>
      <c r="B887" s="1097"/>
      <c r="C887" s="1097"/>
      <c r="D887" s="1097"/>
      <c r="E887" s="1097"/>
      <c r="F887" s="1097"/>
      <c r="G887" s="1097"/>
      <c r="H887" s="1097"/>
      <c r="I887" s="1097"/>
      <c r="J887" s="1097"/>
      <c r="K887" s="1097"/>
      <c r="L887" s="1097"/>
      <c r="M887" s="1097"/>
      <c r="N887" s="1097"/>
      <c r="O887" s="1097"/>
      <c r="P887" s="1097"/>
      <c r="Q887" s="1097"/>
      <c r="R887" s="1097"/>
      <c r="S887" s="1097"/>
      <c r="T887" s="1097"/>
      <c r="U887" s="1097"/>
      <c r="V887" s="1097"/>
      <c r="W887" s="1097"/>
      <c r="X887" s="1097"/>
      <c r="Y887" s="1097"/>
      <c r="Z887" s="1097"/>
      <c r="AA887" s="1097"/>
      <c r="AB887" s="1097"/>
      <c r="AC887" s="1097"/>
      <c r="AD887" s="1097"/>
      <c r="AE887" s="1097"/>
      <c r="AF887" s="1097"/>
      <c r="AG887" s="1097"/>
      <c r="AH887" s="1097"/>
      <c r="AI887" s="1097"/>
      <c r="AJ887" s="1097"/>
      <c r="AK887" s="1097"/>
      <c r="AL887" s="1097"/>
      <c r="AM887" s="1097"/>
      <c r="AN887" s="1097"/>
      <c r="AO887" s="1097"/>
      <c r="AP887" s="1097"/>
      <c r="AQ887" s="1097"/>
      <c r="AR887" s="1097"/>
      <c r="AS887" s="1097"/>
      <c r="AT887" s="109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97"/>
      <c r="B888" s="1097"/>
      <c r="C888" s="1097"/>
      <c r="D888" s="1097"/>
      <c r="E888" s="1097"/>
      <c r="F888" s="1097"/>
      <c r="G888" s="1097"/>
      <c r="H888" s="1097"/>
      <c r="I888" s="1097"/>
      <c r="J888" s="1097"/>
      <c r="K888" s="1097"/>
      <c r="L888" s="1097"/>
      <c r="M888" s="1097"/>
      <c r="N888" s="1097"/>
      <c r="O888" s="1097"/>
      <c r="P888" s="1097"/>
      <c r="Q888" s="1097"/>
      <c r="R888" s="1097"/>
      <c r="S888" s="1097"/>
      <c r="T888" s="1097"/>
      <c r="U888" s="1097"/>
      <c r="V888" s="1097"/>
      <c r="W888" s="1097"/>
      <c r="X888" s="1097"/>
      <c r="Y888" s="1097"/>
      <c r="Z888" s="1097"/>
      <c r="AA888" s="1097"/>
      <c r="AB888" s="1097"/>
      <c r="AC888" s="1097"/>
      <c r="AD888" s="1097"/>
      <c r="AE888" s="1097"/>
      <c r="AF888" s="1097"/>
      <c r="AG888" s="1097"/>
      <c r="AH888" s="1097"/>
      <c r="AI888" s="1097"/>
      <c r="AJ888" s="1097"/>
      <c r="AK888" s="1097"/>
      <c r="AL888" s="1097"/>
      <c r="AM888" s="1097"/>
      <c r="AN888" s="1097"/>
      <c r="AO888" s="1097"/>
      <c r="AP888" s="1097"/>
      <c r="AQ888" s="1097"/>
      <c r="AR888" s="1097"/>
      <c r="AS888" s="1097"/>
      <c r="AT888" s="109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3" t="s">
        <v>961</v>
      </c>
      <c r="G892" s="1544"/>
      <c r="H892" s="1544"/>
      <c r="I892" s="1544"/>
      <c r="J892" s="1544"/>
      <c r="K892" s="1544"/>
      <c r="L892" s="1544"/>
      <c r="M892" s="1544"/>
      <c r="N892" s="1544"/>
      <c r="O892" s="1544"/>
      <c r="P892" s="1544"/>
      <c r="Q892" s="1544"/>
      <c r="R892" s="1544"/>
      <c r="S892" s="1544"/>
      <c r="T892" s="1545"/>
      <c r="U892" s="1548" t="s">
        <v>345</v>
      </c>
      <c r="V892" s="1546"/>
      <c r="W892" s="1546"/>
      <c r="X892" s="1546"/>
      <c r="Y892" s="1546"/>
      <c r="Z892" s="1546"/>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7" t="s">
        <v>1039</v>
      </c>
      <c r="G893" s="1538"/>
      <c r="H893" s="1538"/>
      <c r="I893" s="1538"/>
      <c r="J893" s="1538"/>
      <c r="K893" s="1538"/>
      <c r="L893" s="1538"/>
      <c r="M893" s="1538"/>
      <c r="N893" s="1538"/>
      <c r="O893" s="1538"/>
      <c r="P893" s="1538"/>
      <c r="Q893" s="1538"/>
      <c r="R893" s="1538"/>
      <c r="S893" s="1538"/>
      <c r="T893" s="1539"/>
      <c r="U893" s="1537"/>
      <c r="V893" s="1538"/>
      <c r="W893" s="1538"/>
      <c r="X893" s="1538"/>
      <c r="Y893" s="1538"/>
      <c r="Z893" s="1538"/>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0"/>
      <c r="G894" s="1541"/>
      <c r="H894" s="1541"/>
      <c r="I894" s="1541"/>
      <c r="J894" s="1541"/>
      <c r="K894" s="1541"/>
      <c r="L894" s="1541"/>
      <c r="M894" s="1541"/>
      <c r="N894" s="1541"/>
      <c r="O894" s="1541"/>
      <c r="P894" s="1541"/>
      <c r="Q894" s="1541"/>
      <c r="R894" s="1541"/>
      <c r="S894" s="1541"/>
      <c r="T894" s="1542"/>
      <c r="U894" s="1540"/>
      <c r="V894" s="1541"/>
      <c r="W894" s="1541"/>
      <c r="X894" s="1541"/>
      <c r="Y894" s="1541"/>
      <c r="Z894" s="1541"/>
      <c r="AA894" s="198"/>
      <c r="AB894" s="1196" t="s">
        <v>56</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91" t="s">
        <v>158</v>
      </c>
      <c r="G895" s="1092"/>
      <c r="H895" s="1092"/>
      <c r="I895" s="1092"/>
      <c r="J895" s="1092"/>
      <c r="K895" s="1092"/>
      <c r="L895" s="1092"/>
      <c r="M895" s="1092"/>
      <c r="N895" s="1092"/>
      <c r="O895" s="1092"/>
      <c r="P895" s="1092"/>
      <c r="Q895" s="1092"/>
      <c r="R895" s="1092"/>
      <c r="S895" s="1092"/>
      <c r="T895" s="1093"/>
      <c r="U895" s="1094" t="s">
        <v>108</v>
      </c>
      <c r="V895" s="1095"/>
      <c r="W895" s="1095"/>
      <c r="X895" s="1095"/>
      <c r="Y895" s="1095"/>
      <c r="Z895" s="1096"/>
      <c r="AA895" s="1072">
        <v>3000000</v>
      </c>
      <c r="AB895" s="1073"/>
      <c r="AC895" s="1073"/>
      <c r="AD895" s="1073"/>
      <c r="AE895" s="1073"/>
      <c r="AF895" s="10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91" t="s">
        <v>160</v>
      </c>
      <c r="G896" s="1092"/>
      <c r="H896" s="1092"/>
      <c r="I896" s="1092"/>
      <c r="J896" s="1092"/>
      <c r="K896" s="1092"/>
      <c r="L896" s="1092"/>
      <c r="M896" s="1092"/>
      <c r="N896" s="1092"/>
      <c r="O896" s="1092"/>
      <c r="P896" s="1092"/>
      <c r="Q896" s="1092"/>
      <c r="R896" s="1092"/>
      <c r="S896" s="1092"/>
      <c r="T896" s="1093"/>
      <c r="U896" s="1094" t="s">
        <v>108</v>
      </c>
      <c r="V896" s="1095"/>
      <c r="W896" s="1095"/>
      <c r="X896" s="1095"/>
      <c r="Y896" s="1095"/>
      <c r="Z896" s="1096"/>
      <c r="AA896" s="1072">
        <v>2400000</v>
      </c>
      <c r="AB896" s="1073"/>
      <c r="AC896" s="1073"/>
      <c r="AD896" s="1073"/>
      <c r="AE896" s="1073"/>
      <c r="AF896" s="10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204" t="s">
        <v>946</v>
      </c>
      <c r="G897" s="1205"/>
      <c r="H897" s="1205"/>
      <c r="I897" s="1205"/>
      <c r="J897" s="1205"/>
      <c r="K897" s="1205"/>
      <c r="L897" s="1205"/>
      <c r="M897" s="1205"/>
      <c r="N897" s="1205"/>
      <c r="O897" s="1205"/>
      <c r="P897" s="1205"/>
      <c r="Q897" s="1205"/>
      <c r="R897" s="1205"/>
      <c r="S897" s="1205"/>
      <c r="T897" s="1206"/>
      <c r="U897" s="1094" t="s">
        <v>124</v>
      </c>
      <c r="V897" s="1095"/>
      <c r="W897" s="1095"/>
      <c r="X897" s="1095"/>
      <c r="Y897" s="1095"/>
      <c r="Z897" s="1096"/>
      <c r="AA897" s="1072"/>
      <c r="AB897" s="1073"/>
      <c r="AC897" s="1073"/>
      <c r="AD897" s="1073"/>
      <c r="AE897" s="1073"/>
      <c r="AF897" s="10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204" t="s">
        <v>947</v>
      </c>
      <c r="G898" s="1205"/>
      <c r="H898" s="1205"/>
      <c r="I898" s="1205"/>
      <c r="J898" s="1205"/>
      <c r="K898" s="1205"/>
      <c r="L898" s="1205"/>
      <c r="M898" s="1205"/>
      <c r="N898" s="1205"/>
      <c r="O898" s="1205"/>
      <c r="P898" s="1205"/>
      <c r="Q898" s="1205"/>
      <c r="R898" s="1205"/>
      <c r="S898" s="1205"/>
      <c r="T898" s="1206"/>
      <c r="U898" s="1094" t="s">
        <v>124</v>
      </c>
      <c r="V898" s="1095"/>
      <c r="W898" s="1095"/>
      <c r="X898" s="1095"/>
      <c r="Y898" s="1095"/>
      <c r="Z898" s="1096"/>
      <c r="AA898" s="1072"/>
      <c r="AB898" s="1073"/>
      <c r="AC898" s="1073"/>
      <c r="AD898" s="1073"/>
      <c r="AE898" s="1073"/>
      <c r="AF898" s="10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204" t="s">
        <v>948</v>
      </c>
      <c r="G899" s="1205"/>
      <c r="H899" s="1205"/>
      <c r="I899" s="1205"/>
      <c r="J899" s="1205"/>
      <c r="K899" s="1205"/>
      <c r="L899" s="1205"/>
      <c r="M899" s="1205"/>
      <c r="N899" s="1205"/>
      <c r="O899" s="1205"/>
      <c r="P899" s="1205"/>
      <c r="Q899" s="1205"/>
      <c r="R899" s="1205"/>
      <c r="S899" s="1205"/>
      <c r="T899" s="1206"/>
      <c r="U899" s="1094" t="s">
        <v>124</v>
      </c>
      <c r="V899" s="1095"/>
      <c r="W899" s="1095"/>
      <c r="X899" s="1095"/>
      <c r="Y899" s="1095"/>
      <c r="Z899" s="1096"/>
      <c r="AA899" s="1072"/>
      <c r="AB899" s="1073"/>
      <c r="AC899" s="1073"/>
      <c r="AD899" s="1073"/>
      <c r="AE899" s="1073"/>
      <c r="AF899" s="10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91" t="s">
        <v>159</v>
      </c>
      <c r="G900" s="1092"/>
      <c r="H900" s="1092"/>
      <c r="I900" s="1092"/>
      <c r="J900" s="1092"/>
      <c r="K900" s="1092"/>
      <c r="L900" s="1092"/>
      <c r="M900" s="1092"/>
      <c r="N900" s="1092"/>
      <c r="O900" s="1092"/>
      <c r="P900" s="1092"/>
      <c r="Q900" s="1092"/>
      <c r="R900" s="1092"/>
      <c r="S900" s="1092"/>
      <c r="T900" s="1093"/>
      <c r="U900" s="1094" t="s">
        <v>124</v>
      </c>
      <c r="V900" s="1095"/>
      <c r="W900" s="1095"/>
      <c r="X900" s="1095"/>
      <c r="Y900" s="1095"/>
      <c r="Z900" s="1096"/>
      <c r="AA900" s="1072"/>
      <c r="AB900" s="1073"/>
      <c r="AC900" s="1073"/>
      <c r="AD900" s="1073"/>
      <c r="AE900" s="1073"/>
      <c r="AF900" s="10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91" t="s">
        <v>2286</v>
      </c>
      <c r="G901" s="1092"/>
      <c r="H901" s="1092"/>
      <c r="I901" s="1092"/>
      <c r="J901" s="1092"/>
      <c r="K901" s="1092"/>
      <c r="L901" s="1092"/>
      <c r="M901" s="1092"/>
      <c r="N901" s="1092"/>
      <c r="O901" s="1092"/>
      <c r="P901" s="1092"/>
      <c r="Q901" s="1092"/>
      <c r="R901" s="1092"/>
      <c r="S901" s="1092"/>
      <c r="T901" s="1093"/>
      <c r="U901" s="1094" t="s">
        <v>124</v>
      </c>
      <c r="V901" s="1095"/>
      <c r="W901" s="1095"/>
      <c r="X901" s="1095"/>
      <c r="Y901" s="1095"/>
      <c r="Z901" s="1096"/>
      <c r="AA901" s="1072"/>
      <c r="AB901" s="1073"/>
      <c r="AC901" s="1073"/>
      <c r="AD901" s="1073"/>
      <c r="AE901" s="1073"/>
      <c r="AF901" s="10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91" t="s">
        <v>161</v>
      </c>
      <c r="G902" s="1092"/>
      <c r="H902" s="1092"/>
      <c r="I902" s="1092"/>
      <c r="J902" s="1092"/>
      <c r="K902" s="1092"/>
      <c r="L902" s="1092"/>
      <c r="M902" s="1092"/>
      <c r="N902" s="1092"/>
      <c r="O902" s="1092"/>
      <c r="P902" s="1092"/>
      <c r="Q902" s="1092"/>
      <c r="R902" s="1092"/>
      <c r="S902" s="1092"/>
      <c r="T902" s="1093"/>
      <c r="U902" s="1094" t="s">
        <v>124</v>
      </c>
      <c r="V902" s="1095"/>
      <c r="W902" s="1095"/>
      <c r="X902" s="1095"/>
      <c r="Y902" s="1095"/>
      <c r="Z902" s="1096"/>
      <c r="AA902" s="1072"/>
      <c r="AB902" s="1073"/>
      <c r="AC902" s="1073"/>
      <c r="AD902" s="1073"/>
      <c r="AE902" s="1073"/>
      <c r="AF902" s="10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91" t="s">
        <v>2283</v>
      </c>
      <c r="G903" s="1092"/>
      <c r="H903" s="1092"/>
      <c r="I903" s="1092"/>
      <c r="J903" s="1092"/>
      <c r="K903" s="1092"/>
      <c r="L903" s="1092"/>
      <c r="M903" s="1092"/>
      <c r="N903" s="1092"/>
      <c r="O903" s="1092"/>
      <c r="P903" s="1092"/>
      <c r="Q903" s="1092"/>
      <c r="R903" s="1092"/>
      <c r="S903" s="1092"/>
      <c r="T903" s="1093"/>
      <c r="U903" s="1094" t="s">
        <v>124</v>
      </c>
      <c r="V903" s="1095"/>
      <c r="W903" s="1095"/>
      <c r="X903" s="1095"/>
      <c r="Y903" s="1095"/>
      <c r="Z903" s="1096"/>
      <c r="AA903" s="1072"/>
      <c r="AB903" s="1073"/>
      <c r="AC903" s="1073"/>
      <c r="AD903" s="1073"/>
      <c r="AE903" s="1073"/>
      <c r="AF903" s="10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91" t="s">
        <v>2284</v>
      </c>
      <c r="G904" s="1092"/>
      <c r="H904" s="1092"/>
      <c r="I904" s="1092"/>
      <c r="J904" s="1092"/>
      <c r="K904" s="1092"/>
      <c r="L904" s="1092"/>
      <c r="M904" s="1092"/>
      <c r="N904" s="1092"/>
      <c r="O904" s="1092"/>
      <c r="P904" s="1092"/>
      <c r="Q904" s="1092"/>
      <c r="R904" s="1092"/>
      <c r="S904" s="1092"/>
      <c r="T904" s="1093"/>
      <c r="U904" s="1094" t="s">
        <v>124</v>
      </c>
      <c r="V904" s="1095"/>
      <c r="W904" s="1095"/>
      <c r="X904" s="1095"/>
      <c r="Y904" s="1095"/>
      <c r="Z904" s="1096"/>
      <c r="AA904" s="1072"/>
      <c r="AB904" s="1073"/>
      <c r="AC904" s="1073"/>
      <c r="AD904" s="1073"/>
      <c r="AE904" s="1073"/>
      <c r="AF904" s="10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91" t="s">
        <v>2285</v>
      </c>
      <c r="G905" s="1092"/>
      <c r="H905" s="1092"/>
      <c r="I905" s="1092"/>
      <c r="J905" s="1092"/>
      <c r="K905" s="1092"/>
      <c r="L905" s="1092"/>
      <c r="M905" s="1092"/>
      <c r="N905" s="1092"/>
      <c r="O905" s="1092"/>
      <c r="P905" s="1092"/>
      <c r="Q905" s="1092"/>
      <c r="R905" s="1092"/>
      <c r="S905" s="1092"/>
      <c r="T905" s="1093"/>
      <c r="U905" s="1094" t="s">
        <v>124</v>
      </c>
      <c r="V905" s="1095"/>
      <c r="W905" s="1095"/>
      <c r="X905" s="1095"/>
      <c r="Y905" s="1095"/>
      <c r="Z905" s="1096"/>
      <c r="AA905" s="1072"/>
      <c r="AB905" s="1073"/>
      <c r="AC905" s="1073"/>
      <c r="AD905" s="1073"/>
      <c r="AE905" s="1073"/>
      <c r="AF905" s="10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91" t="s">
        <v>2279</v>
      </c>
      <c r="G906" s="1092"/>
      <c r="H906" s="1092"/>
      <c r="I906" s="1092"/>
      <c r="J906" s="1092"/>
      <c r="K906" s="1092"/>
      <c r="L906" s="1092"/>
      <c r="M906" s="1092"/>
      <c r="N906" s="1092"/>
      <c r="O906" s="1092"/>
      <c r="P906" s="1092"/>
      <c r="Q906" s="1092"/>
      <c r="R906" s="1092"/>
      <c r="S906" s="1092"/>
      <c r="T906" s="1093"/>
      <c r="U906" s="1094" t="s">
        <v>124</v>
      </c>
      <c r="V906" s="1095"/>
      <c r="W906" s="1095"/>
      <c r="X906" s="1095"/>
      <c r="Y906" s="1095"/>
      <c r="Z906" s="1096"/>
      <c r="AA906" s="1072"/>
      <c r="AB906" s="1073"/>
      <c r="AC906" s="1073"/>
      <c r="AD906" s="1073"/>
      <c r="AE906" s="1073"/>
      <c r="AF906" s="10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91" t="s">
        <v>2276</v>
      </c>
      <c r="G907" s="1092"/>
      <c r="H907" s="1092"/>
      <c r="I907" s="1092"/>
      <c r="J907" s="1092"/>
      <c r="K907" s="1092"/>
      <c r="L907" s="1092"/>
      <c r="M907" s="1092"/>
      <c r="N907" s="1092"/>
      <c r="O907" s="1092"/>
      <c r="P907" s="1092"/>
      <c r="Q907" s="1092"/>
      <c r="R907" s="1092"/>
      <c r="S907" s="1092"/>
      <c r="T907" s="1093"/>
      <c r="U907" s="1094" t="s">
        <v>124</v>
      </c>
      <c r="V907" s="1095"/>
      <c r="W907" s="1095"/>
      <c r="X907" s="1095"/>
      <c r="Y907" s="1095"/>
      <c r="Z907" s="1096"/>
      <c r="AA907" s="1072"/>
      <c r="AB907" s="1073"/>
      <c r="AC907" s="1073"/>
      <c r="AD907" s="1073"/>
      <c r="AE907" s="1073"/>
      <c r="AF907" s="10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149" t="s">
        <v>157</v>
      </c>
      <c r="G908" s="1150"/>
      <c r="H908" s="1150"/>
      <c r="I908" s="1150"/>
      <c r="J908" s="1150"/>
      <c r="K908" s="1150"/>
      <c r="L908" s="1150"/>
      <c r="M908" s="1150"/>
      <c r="N908" s="1150"/>
      <c r="O908" s="1150"/>
      <c r="P908" s="1150"/>
      <c r="Q908" s="1150"/>
      <c r="R908" s="1150"/>
      <c r="S908" s="1150"/>
      <c r="T908" s="1151"/>
      <c r="U908" s="1094" t="s">
        <v>124</v>
      </c>
      <c r="V908" s="1095"/>
      <c r="W908" s="1095"/>
      <c r="X908" s="1095"/>
      <c r="Y908" s="1095"/>
      <c r="Z908" s="1096"/>
      <c r="AA908" s="1072"/>
      <c r="AB908" s="1073"/>
      <c r="AC908" s="1073"/>
      <c r="AD908" s="1073"/>
      <c r="AE908" s="1073"/>
      <c r="AF908" s="10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91" t="s">
        <v>1904</v>
      </c>
      <c r="G909" s="1092"/>
      <c r="H909" s="1092"/>
      <c r="I909" s="1092"/>
      <c r="J909" s="1092"/>
      <c r="K909" s="1092"/>
      <c r="L909" s="1092"/>
      <c r="M909" s="1092"/>
      <c r="N909" s="1092"/>
      <c r="O909" s="1092"/>
      <c r="P909" s="1092"/>
      <c r="Q909" s="1092"/>
      <c r="R909" s="1092"/>
      <c r="S909" s="1092"/>
      <c r="T909" s="1093"/>
      <c r="U909" s="1094" t="s">
        <v>124</v>
      </c>
      <c r="V909" s="1095"/>
      <c r="W909" s="1095"/>
      <c r="X909" s="1095"/>
      <c r="Y909" s="1095"/>
      <c r="Z909" s="1096"/>
      <c r="AA909" s="1072"/>
      <c r="AB909" s="1073"/>
      <c r="AC909" s="1073"/>
      <c r="AD909" s="1073"/>
      <c r="AE909" s="1073"/>
      <c r="AF909" s="10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204" t="s">
        <v>1008</v>
      </c>
      <c r="G910" s="1205"/>
      <c r="H910" s="1205"/>
      <c r="I910" s="1205"/>
      <c r="J910" s="1205"/>
      <c r="K910" s="1205"/>
      <c r="L910" s="1205"/>
      <c r="M910" s="1205"/>
      <c r="N910" s="1205"/>
      <c r="O910" s="1205"/>
      <c r="P910" s="1205"/>
      <c r="Q910" s="1205"/>
      <c r="R910" s="1205"/>
      <c r="S910" s="1205"/>
      <c r="T910" s="1206"/>
      <c r="U910" s="1094" t="s">
        <v>124</v>
      </c>
      <c r="V910" s="1095"/>
      <c r="W910" s="1095"/>
      <c r="X910" s="1095"/>
      <c r="Y910" s="1095"/>
      <c r="Z910" s="1096"/>
      <c r="AA910" s="1072"/>
      <c r="AB910" s="1073"/>
      <c r="AC910" s="1073"/>
      <c r="AD910" s="1073"/>
      <c r="AE910" s="1073"/>
      <c r="AF910" s="10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131" t="s">
        <v>2287</v>
      </c>
      <c r="G911" s="1132"/>
      <c r="H911" s="1132"/>
      <c r="I911" s="1132"/>
      <c r="J911" s="1132"/>
      <c r="K911" s="1132"/>
      <c r="L911" s="1132"/>
      <c r="M911" s="1132"/>
      <c r="N911" s="1132"/>
      <c r="O911" s="1132"/>
      <c r="P911" s="1132"/>
      <c r="Q911" s="1132"/>
      <c r="R911" s="1132"/>
      <c r="S911" s="1132"/>
      <c r="T911" s="1133"/>
      <c r="U911" s="1094" t="s">
        <v>124</v>
      </c>
      <c r="V911" s="1095"/>
      <c r="W911" s="1095"/>
      <c r="X911" s="1095"/>
      <c r="Y911" s="1095"/>
      <c r="Z911" s="1096"/>
      <c r="AA911" s="1072"/>
      <c r="AB911" s="1073"/>
      <c r="AC911" s="1073"/>
      <c r="AD911" s="1073"/>
      <c r="AE911" s="1073"/>
      <c r="AF911" s="10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131" t="s">
        <v>2289</v>
      </c>
      <c r="G912" s="1132"/>
      <c r="H912" s="1132"/>
      <c r="I912" s="1132"/>
      <c r="J912" s="1132"/>
      <c r="K912" s="1132"/>
      <c r="L912" s="1132"/>
      <c r="M912" s="1132"/>
      <c r="N912" s="1132"/>
      <c r="O912" s="1132"/>
      <c r="P912" s="1132"/>
      <c r="Q912" s="1132"/>
      <c r="R912" s="1132"/>
      <c r="S912" s="1132"/>
      <c r="T912" s="1133"/>
      <c r="U912" s="1094" t="s">
        <v>124</v>
      </c>
      <c r="V912" s="1095"/>
      <c r="W912" s="1095"/>
      <c r="X912" s="1095"/>
      <c r="Y912" s="1095"/>
      <c r="Z912" s="1096"/>
      <c r="AA912" s="1072"/>
      <c r="AB912" s="1073"/>
      <c r="AC912" s="1073"/>
      <c r="AD912" s="1073"/>
      <c r="AE912" s="1073"/>
      <c r="AF912" s="10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91" t="s">
        <v>2277</v>
      </c>
      <c r="G913" s="1092"/>
      <c r="H913" s="1092"/>
      <c r="I913" s="1092"/>
      <c r="J913" s="1092"/>
      <c r="K913" s="1092"/>
      <c r="L913" s="1092"/>
      <c r="M913" s="1092"/>
      <c r="N913" s="1092"/>
      <c r="O913" s="1092"/>
      <c r="P913" s="1092"/>
      <c r="Q913" s="1092"/>
      <c r="R913" s="1092"/>
      <c r="S913" s="1092"/>
      <c r="T913" s="1093"/>
      <c r="U913" s="1128" t="s">
        <v>124</v>
      </c>
      <c r="V913" s="1129"/>
      <c r="W913" s="1129"/>
      <c r="X913" s="1129"/>
      <c r="Y913" s="1129"/>
      <c r="Z913" s="1130"/>
      <c r="AA913" s="1216"/>
      <c r="AB913" s="1217"/>
      <c r="AC913" s="1217"/>
      <c r="AD913" s="1217"/>
      <c r="AE913" s="1217"/>
      <c r="AF913" s="121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91" t="s">
        <v>2281</v>
      </c>
      <c r="G914" s="1092"/>
      <c r="H914" s="1092"/>
      <c r="I914" s="1092"/>
      <c r="J914" s="1092"/>
      <c r="K914" s="1092"/>
      <c r="L914" s="1092"/>
      <c r="M914" s="1092"/>
      <c r="N914" s="1092"/>
      <c r="O914" s="1092"/>
      <c r="P914" s="1092"/>
      <c r="Q914" s="1092"/>
      <c r="R914" s="1092"/>
      <c r="S914" s="1092"/>
      <c r="T914" s="1093"/>
      <c r="U914" s="1128" t="s">
        <v>124</v>
      </c>
      <c r="V914" s="1129"/>
      <c r="W914" s="1129"/>
      <c r="X914" s="1129"/>
      <c r="Y914" s="1129"/>
      <c r="Z914" s="1130"/>
      <c r="AA914" s="1216"/>
      <c r="AB914" s="1217"/>
      <c r="AC914" s="1217"/>
      <c r="AD914" s="1217"/>
      <c r="AE914" s="1217"/>
      <c r="AF914" s="121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91" t="s">
        <v>2278</v>
      </c>
      <c r="G915" s="1092"/>
      <c r="H915" s="1092"/>
      <c r="I915" s="1092"/>
      <c r="J915" s="1092"/>
      <c r="K915" s="1092"/>
      <c r="L915" s="1092"/>
      <c r="M915" s="1092"/>
      <c r="N915" s="1092"/>
      <c r="O915" s="1092"/>
      <c r="P915" s="1092"/>
      <c r="Q915" s="1092"/>
      <c r="R915" s="1092"/>
      <c r="S915" s="1092"/>
      <c r="T915" s="1093"/>
      <c r="U915" s="1128" t="s">
        <v>124</v>
      </c>
      <c r="V915" s="1129"/>
      <c r="W915" s="1129"/>
      <c r="X915" s="1129"/>
      <c r="Y915" s="1129"/>
      <c r="Z915" s="1130"/>
      <c r="AA915" s="1216"/>
      <c r="AB915" s="1217"/>
      <c r="AC915" s="1217"/>
      <c r="AD915" s="1217"/>
      <c r="AE915" s="1217"/>
      <c r="AF915" s="121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131" t="s">
        <v>1902</v>
      </c>
      <c r="G916" s="1132"/>
      <c r="H916" s="1132"/>
      <c r="I916" s="1132"/>
      <c r="J916" s="1132"/>
      <c r="K916" s="1132"/>
      <c r="L916" s="1132"/>
      <c r="M916" s="1132"/>
      <c r="N916" s="1132"/>
      <c r="O916" s="1132"/>
      <c r="P916" s="1132"/>
      <c r="Q916" s="1132"/>
      <c r="R916" s="1132"/>
      <c r="S916" s="1132"/>
      <c r="T916" s="1133"/>
      <c r="U916" s="1094" t="s">
        <v>124</v>
      </c>
      <c r="V916" s="1095"/>
      <c r="W916" s="1095"/>
      <c r="X916" s="1095"/>
      <c r="Y916" s="1095"/>
      <c r="Z916" s="1096"/>
      <c r="AA916" s="1072"/>
      <c r="AB916" s="1073"/>
      <c r="AC916" s="1073"/>
      <c r="AD916" s="1073"/>
      <c r="AE916" s="1073"/>
      <c r="AF916" s="10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131" t="s">
        <v>2290</v>
      </c>
      <c r="G917" s="1132"/>
      <c r="H917" s="1132"/>
      <c r="I917" s="1132"/>
      <c r="J917" s="1132"/>
      <c r="K917" s="1132"/>
      <c r="L917" s="1132"/>
      <c r="M917" s="1132"/>
      <c r="N917" s="1132"/>
      <c r="O917" s="1132"/>
      <c r="P917" s="1132"/>
      <c r="Q917" s="1132"/>
      <c r="R917" s="1132"/>
      <c r="S917" s="1132"/>
      <c r="T917" s="1133"/>
      <c r="U917" s="1094" t="s">
        <v>124</v>
      </c>
      <c r="V917" s="1095"/>
      <c r="W917" s="1095"/>
      <c r="X917" s="1095"/>
      <c r="Y917" s="1095"/>
      <c r="Z917" s="1096"/>
      <c r="AA917" s="1072"/>
      <c r="AB917" s="1073"/>
      <c r="AC917" s="1073"/>
      <c r="AD917" s="1073"/>
      <c r="AE917" s="1073"/>
      <c r="AF917" s="10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131" t="s">
        <v>1903</v>
      </c>
      <c r="G918" s="1132"/>
      <c r="H918" s="1132"/>
      <c r="I918" s="1132"/>
      <c r="J918" s="1132"/>
      <c r="K918" s="1132"/>
      <c r="L918" s="1132"/>
      <c r="M918" s="1132"/>
      <c r="N918" s="1132"/>
      <c r="O918" s="1132"/>
      <c r="P918" s="1132"/>
      <c r="Q918" s="1132"/>
      <c r="R918" s="1132"/>
      <c r="S918" s="1132"/>
      <c r="T918" s="1133"/>
      <c r="U918" s="1094" t="s">
        <v>124</v>
      </c>
      <c r="V918" s="1095"/>
      <c r="W918" s="1095"/>
      <c r="X918" s="1095"/>
      <c r="Y918" s="1095"/>
      <c r="Z918" s="1096"/>
      <c r="AA918" s="1072"/>
      <c r="AB918" s="1073"/>
      <c r="AC918" s="1073"/>
      <c r="AD918" s="1073"/>
      <c r="AE918" s="1073"/>
      <c r="AF918" s="10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131" t="s">
        <v>156</v>
      </c>
      <c r="G919" s="1132"/>
      <c r="H919" s="1132"/>
      <c r="I919" s="1132"/>
      <c r="J919" s="1132"/>
      <c r="K919" s="1132"/>
      <c r="L919" s="1132"/>
      <c r="M919" s="1132"/>
      <c r="N919" s="1132"/>
      <c r="O919" s="1132"/>
      <c r="P919" s="1132"/>
      <c r="Q919" s="1132"/>
      <c r="R919" s="1132"/>
      <c r="S919" s="1132"/>
      <c r="T919" s="1133"/>
      <c r="U919" s="1094" t="s">
        <v>124</v>
      </c>
      <c r="V919" s="1095"/>
      <c r="W919" s="1095"/>
      <c r="X919" s="1095"/>
      <c r="Y919" s="1095"/>
      <c r="Z919" s="1096"/>
      <c r="AA919" s="1072"/>
      <c r="AB919" s="1073"/>
      <c r="AC919" s="1073"/>
      <c r="AD919" s="1073"/>
      <c r="AE919" s="1073"/>
      <c r="AF919" s="10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131" t="s">
        <v>2288</v>
      </c>
      <c r="G920" s="1132"/>
      <c r="H920" s="1132"/>
      <c r="I920" s="1132"/>
      <c r="J920" s="1132"/>
      <c r="K920" s="1132"/>
      <c r="L920" s="1132"/>
      <c r="M920" s="1132"/>
      <c r="N920" s="1132"/>
      <c r="O920" s="1132"/>
      <c r="P920" s="1132"/>
      <c r="Q920" s="1132"/>
      <c r="R920" s="1132"/>
      <c r="S920" s="1132"/>
      <c r="T920" s="1133"/>
      <c r="U920" s="1094" t="s">
        <v>124</v>
      </c>
      <c r="V920" s="1095"/>
      <c r="W920" s="1095"/>
      <c r="X920" s="1095"/>
      <c r="Y920" s="1095"/>
      <c r="Z920" s="1096"/>
      <c r="AA920" s="1072"/>
      <c r="AB920" s="1073"/>
      <c r="AC920" s="1073"/>
      <c r="AD920" s="1073"/>
      <c r="AE920" s="1073"/>
      <c r="AF920" s="10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264" t="s">
        <v>482</v>
      </c>
      <c r="Q921" s="1095"/>
      <c r="R921" s="1095"/>
      <c r="S921" s="1095"/>
      <c r="T921" s="1096"/>
      <c r="U921" s="1094" t="s">
        <v>124</v>
      </c>
      <c r="V921" s="1095"/>
      <c r="W921" s="1095"/>
      <c r="X921" s="1095"/>
      <c r="Y921" s="1095"/>
      <c r="Z921" s="1096"/>
      <c r="AA921" s="1072"/>
      <c r="AB921" s="1073"/>
      <c r="AC921" s="1073"/>
      <c r="AD921" s="1073"/>
      <c r="AE921" s="1073"/>
      <c r="AF921" s="10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91" t="s">
        <v>2280</v>
      </c>
      <c r="G922" s="1092"/>
      <c r="H922" s="1093"/>
      <c r="I922" s="1146" t="s">
        <v>562</v>
      </c>
      <c r="J922" s="1147"/>
      <c r="K922" s="1147"/>
      <c r="L922" s="1147"/>
      <c r="M922" s="1147"/>
      <c r="N922" s="1147"/>
      <c r="O922" s="1147"/>
      <c r="P922" s="1147"/>
      <c r="Q922" s="1147"/>
      <c r="R922" s="1147"/>
      <c r="S922" s="1147"/>
      <c r="T922" s="1148"/>
      <c r="U922" s="1094" t="s">
        <v>124</v>
      </c>
      <c r="V922" s="1095"/>
      <c r="W922" s="1095"/>
      <c r="X922" s="1095"/>
      <c r="Y922" s="1095"/>
      <c r="Z922" s="1096"/>
      <c r="AA922" s="1072"/>
      <c r="AB922" s="1073"/>
      <c r="AC922" s="1073"/>
      <c r="AD922" s="1073"/>
      <c r="AE922" s="1073"/>
      <c r="AF922" s="10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91" t="s">
        <v>373</v>
      </c>
      <c r="G923" s="1092"/>
      <c r="H923" s="1093"/>
      <c r="I923" s="1146" t="s">
        <v>562</v>
      </c>
      <c r="J923" s="1147"/>
      <c r="K923" s="1147"/>
      <c r="L923" s="1147"/>
      <c r="M923" s="1147"/>
      <c r="N923" s="1147"/>
      <c r="O923" s="1147"/>
      <c r="P923" s="1147"/>
      <c r="Q923" s="1147"/>
      <c r="R923" s="1147"/>
      <c r="S923" s="1147"/>
      <c r="T923" s="1148"/>
      <c r="U923" s="1094" t="s">
        <v>124</v>
      </c>
      <c r="V923" s="1095"/>
      <c r="W923" s="1095"/>
      <c r="X923" s="1095"/>
      <c r="Y923" s="1095"/>
      <c r="Z923" s="1096"/>
      <c r="AA923" s="1072"/>
      <c r="AB923" s="1073"/>
      <c r="AC923" s="1073"/>
      <c r="AD923" s="1073"/>
      <c r="AE923" s="1073"/>
      <c r="AF923" s="10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91" t="s">
        <v>826</v>
      </c>
      <c r="G924" s="1092"/>
      <c r="H924" s="1093"/>
      <c r="I924" s="1146" t="s">
        <v>562</v>
      </c>
      <c r="J924" s="1147"/>
      <c r="K924" s="1147"/>
      <c r="L924" s="1147"/>
      <c r="M924" s="1147"/>
      <c r="N924" s="1147"/>
      <c r="O924" s="1147"/>
      <c r="P924" s="1147"/>
      <c r="Q924" s="1147"/>
      <c r="R924" s="1147"/>
      <c r="S924" s="1147"/>
      <c r="T924" s="1148"/>
      <c r="U924" s="1094" t="s">
        <v>124</v>
      </c>
      <c r="V924" s="1095"/>
      <c r="W924" s="1095"/>
      <c r="X924" s="1095"/>
      <c r="Y924" s="1095"/>
      <c r="Z924" s="1096"/>
      <c r="AA924" s="1072"/>
      <c r="AB924" s="1073"/>
      <c r="AC924" s="1073"/>
      <c r="AD924" s="1073"/>
      <c r="AE924" s="1073"/>
      <c r="AF924" s="10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91" t="s">
        <v>283</v>
      </c>
      <c r="G925" s="1092"/>
      <c r="H925" s="1093"/>
      <c r="I925" s="1146" t="s">
        <v>562</v>
      </c>
      <c r="J925" s="1147"/>
      <c r="K925" s="1147"/>
      <c r="L925" s="1147"/>
      <c r="M925" s="1147"/>
      <c r="N925" s="1147"/>
      <c r="O925" s="1147"/>
      <c r="P925" s="1147"/>
      <c r="Q925" s="1147"/>
      <c r="R925" s="1147"/>
      <c r="S925" s="1147"/>
      <c r="T925" s="1148"/>
      <c r="U925" s="1094" t="s">
        <v>124</v>
      </c>
      <c r="V925" s="1095"/>
      <c r="W925" s="1095"/>
      <c r="X925" s="1095"/>
      <c r="Y925" s="1095"/>
      <c r="Z925" s="1096"/>
      <c r="AA925" s="1072"/>
      <c r="AB925" s="1073"/>
      <c r="AC925" s="1073"/>
      <c r="AD925" s="1073"/>
      <c r="AE925" s="1073"/>
      <c r="AF925" s="10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91" t="s">
        <v>283</v>
      </c>
      <c r="G926" s="1092"/>
      <c r="H926" s="1093"/>
      <c r="I926" s="1146" t="s">
        <v>562</v>
      </c>
      <c r="J926" s="1147"/>
      <c r="K926" s="1147"/>
      <c r="L926" s="1147"/>
      <c r="M926" s="1147"/>
      <c r="N926" s="1147"/>
      <c r="O926" s="1147"/>
      <c r="P926" s="1147"/>
      <c r="Q926" s="1147"/>
      <c r="R926" s="1147"/>
      <c r="S926" s="1147"/>
      <c r="T926" s="1148"/>
      <c r="U926" s="1094" t="s">
        <v>124</v>
      </c>
      <c r="V926" s="1095"/>
      <c r="W926" s="1095"/>
      <c r="X926" s="1095"/>
      <c r="Y926" s="1095"/>
      <c r="Z926" s="1096"/>
      <c r="AA926" s="1072"/>
      <c r="AB926" s="1073"/>
      <c r="AC926" s="1073"/>
      <c r="AD926" s="1073"/>
      <c r="AE926" s="1073"/>
      <c r="AF926" s="10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90"/>
      <c r="M931" s="1191"/>
      <c r="N931" s="1191"/>
      <c r="O931" s="1191"/>
      <c r="P931" s="1191"/>
      <c r="Q931" s="1191"/>
      <c r="R931" s="1191"/>
      <c r="S931" s="1192"/>
      <c r="U931" s="72" t="s">
        <v>827</v>
      </c>
      <c r="V931" s="9"/>
      <c r="W931" s="9"/>
      <c r="X931" s="9"/>
      <c r="Y931" s="9"/>
      <c r="Z931" s="9"/>
      <c r="AA931" s="9"/>
      <c r="AB931" s="9"/>
      <c r="AC931" s="9"/>
      <c r="AD931" s="52"/>
      <c r="AE931" s="1513"/>
      <c r="AF931" s="1409"/>
      <c r="AG931" s="1409"/>
      <c r="AH931" s="1409"/>
      <c r="AI931" s="1409"/>
      <c r="AJ931" s="1409"/>
      <c r="AK931" s="149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190"/>
      <c r="M932" s="1191"/>
      <c r="N932" s="1191"/>
      <c r="O932" s="1191"/>
      <c r="P932" s="1191"/>
      <c r="Q932" s="1191"/>
      <c r="R932" s="1191"/>
      <c r="S932" s="1192"/>
      <c r="U932" s="72" t="s">
        <v>828</v>
      </c>
      <c r="V932" s="9"/>
      <c r="W932" s="9"/>
      <c r="X932" s="9"/>
      <c r="Y932" s="9"/>
      <c r="Z932" s="9"/>
      <c r="AA932" s="9"/>
      <c r="AB932" s="9"/>
      <c r="AC932" s="9"/>
      <c r="AD932" s="52"/>
      <c r="AE932" s="1514"/>
      <c r="AF932" s="1405"/>
      <c r="AG932" s="1405"/>
      <c r="AH932" s="1405"/>
      <c r="AI932" s="1405"/>
      <c r="AJ932" s="1405"/>
      <c r="AK932" s="151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5" t="s">
        <v>79</v>
      </c>
      <c r="M933" s="1386"/>
      <c r="N933" s="1386"/>
      <c r="O933" s="1386"/>
      <c r="P933" s="1386"/>
      <c r="Q933" s="1386"/>
      <c r="R933" s="1386"/>
      <c r="S933" s="1387"/>
      <c r="U933" s="72" t="s">
        <v>1108</v>
      </c>
      <c r="V933" s="9"/>
      <c r="W933" s="9"/>
      <c r="AE933" s="1385" t="s">
        <v>79</v>
      </c>
      <c r="AF933" s="1386"/>
      <c r="AG933" s="1386"/>
      <c r="AH933" s="1386"/>
      <c r="AI933" s="1386"/>
      <c r="AJ933" s="1386"/>
      <c r="AK933" s="138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10"/>
      <c r="M934" s="1511"/>
      <c r="N934" s="1511"/>
      <c r="O934" s="1511"/>
      <c r="P934" s="1511"/>
      <c r="Q934" s="1511"/>
      <c r="R934" s="1511"/>
      <c r="S934" s="1512"/>
      <c r="U934" s="72" t="s">
        <v>829</v>
      </c>
      <c r="V934" s="9"/>
      <c r="W934" s="9"/>
      <c r="X934" s="9"/>
      <c r="Y934" s="9"/>
      <c r="Z934" s="9"/>
      <c r="AA934" s="9"/>
      <c r="AB934" s="9"/>
      <c r="AC934" s="9"/>
      <c r="AD934" s="52"/>
      <c r="AE934" s="1510"/>
      <c r="AF934" s="1511"/>
      <c r="AG934" s="1511"/>
      <c r="AH934" s="1511"/>
      <c r="AI934" s="1511"/>
      <c r="AJ934" s="1511"/>
      <c r="AK934" s="151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21"/>
      <c r="M935" s="1522"/>
      <c r="N935" s="1522"/>
      <c r="O935" s="1522"/>
      <c r="P935" s="1522"/>
      <c r="Q935" s="1522"/>
      <c r="R935" s="1522"/>
      <c r="S935" s="1523"/>
      <c r="U935" s="72" t="s">
        <v>830</v>
      </c>
      <c r="V935" s="9"/>
      <c r="W935" s="9"/>
      <c r="X935" s="9"/>
      <c r="Y935" s="9"/>
      <c r="Z935" s="9"/>
      <c r="AA935" s="9"/>
      <c r="AB935" s="9"/>
      <c r="AC935" s="9"/>
      <c r="AD935" s="52"/>
      <c r="AE935" s="1500"/>
      <c r="AF935" s="1490"/>
      <c r="AG935" s="1490"/>
      <c r="AH935" s="1490"/>
      <c r="AI935" s="1490"/>
      <c r="AJ935" s="1490"/>
      <c r="AK935" s="149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082"/>
      <c r="M936" s="1083"/>
      <c r="N936" s="1083"/>
      <c r="O936" s="1083"/>
      <c r="P936" s="1083"/>
      <c r="Q936" s="1083"/>
      <c r="R936" s="1083"/>
      <c r="S936" s="1084"/>
      <c r="U936" s="72" t="s">
        <v>831</v>
      </c>
      <c r="V936" s="9"/>
      <c r="W936" s="9"/>
      <c r="X936" s="9"/>
      <c r="Y936" s="9"/>
      <c r="Z936" s="9"/>
      <c r="AA936" s="9"/>
      <c r="AB936" s="9"/>
      <c r="AC936" s="9"/>
      <c r="AD936" s="52"/>
      <c r="AE936" s="1072"/>
      <c r="AF936" s="1073"/>
      <c r="AG936" s="1073"/>
      <c r="AH936" s="1073"/>
      <c r="AI936" s="1073"/>
      <c r="AJ936" s="1073"/>
      <c r="AK936" s="10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082" t="s">
        <v>2219</v>
      </c>
      <c r="M937" s="1083"/>
      <c r="N937" s="1083"/>
      <c r="O937" s="1083"/>
      <c r="P937" s="1083"/>
      <c r="Q937" s="1083"/>
      <c r="R937" s="1083"/>
      <c r="S937" s="1084"/>
      <c r="U937" s="72" t="s">
        <v>832</v>
      </c>
      <c r="V937" s="9"/>
      <c r="W937" s="9"/>
      <c r="X937" s="9"/>
      <c r="Y937" s="9"/>
      <c r="Z937" s="9"/>
      <c r="AA937" s="9"/>
      <c r="AB937" s="9"/>
      <c r="AC937" s="9"/>
      <c r="AD937" s="52"/>
      <c r="AE937" s="1072"/>
      <c r="AF937" s="1073"/>
      <c r="AG937" s="1073"/>
      <c r="AH937" s="1073"/>
      <c r="AI937" s="1073"/>
      <c r="AJ937" s="1073"/>
      <c r="AK937" s="10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1971</v>
      </c>
      <c r="D938" s="9"/>
      <c r="E938" s="9"/>
      <c r="F938" s="9"/>
      <c r="G938" s="9"/>
      <c r="H938" s="9"/>
      <c r="I938" s="9"/>
      <c r="J938" s="9"/>
      <c r="K938" s="9"/>
      <c r="L938" s="1521"/>
      <c r="M938" s="1522"/>
      <c r="N938" s="1522"/>
      <c r="O938" s="1522"/>
      <c r="P938" s="1522"/>
      <c r="Q938" s="1522"/>
      <c r="R938" s="1522"/>
      <c r="S938" s="1523"/>
      <c r="U938" s="214" t="s">
        <v>1971</v>
      </c>
      <c r="V938" s="9"/>
      <c r="W938" s="9"/>
      <c r="X938" s="9"/>
      <c r="Y938" s="9"/>
      <c r="Z938" s="9"/>
      <c r="AA938" s="9"/>
      <c r="AB938" s="9"/>
      <c r="AC938" s="9"/>
      <c r="AD938" s="52"/>
      <c r="AE938" s="1521"/>
      <c r="AF938" s="1522"/>
      <c r="AG938" s="1522"/>
      <c r="AH938" s="1522"/>
      <c r="AI938" s="1522"/>
      <c r="AJ938" s="1522"/>
      <c r="AK938" s="152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225"/>
      <c r="N943" s="1226"/>
      <c r="O943" s="1226"/>
      <c r="P943" s="1226"/>
      <c r="Q943" s="1226"/>
      <c r="R943" s="1226"/>
      <c r="S943" s="1227"/>
      <c r="T943" s="72" t="s">
        <v>950</v>
      </c>
      <c r="U943" s="9"/>
      <c r="V943" s="9"/>
      <c r="W943" s="9"/>
      <c r="X943" s="9"/>
      <c r="Y943" s="9"/>
      <c r="Z943" s="52"/>
      <c r="AA943" s="1225"/>
      <c r="AB943" s="1226"/>
      <c r="AC943" s="1226"/>
      <c r="AD943" s="1226"/>
      <c r="AE943" s="1226"/>
      <c r="AF943" s="1226"/>
      <c r="AG943" s="1227"/>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225"/>
      <c r="N944" s="1226"/>
      <c r="O944" s="1226"/>
      <c r="P944" s="1226"/>
      <c r="Q944" s="1226"/>
      <c r="R944" s="1226"/>
      <c r="S944" s="1227"/>
      <c r="T944" s="72" t="s">
        <v>949</v>
      </c>
      <c r="U944" s="9"/>
      <c r="V944" s="9"/>
      <c r="W944" s="9"/>
      <c r="X944" s="9"/>
      <c r="Y944" s="9"/>
      <c r="Z944" s="52"/>
      <c r="AA944" s="1225"/>
      <c r="AB944" s="1226"/>
      <c r="AC944" s="1226"/>
      <c r="AD944" s="1226"/>
      <c r="AE944" s="1226"/>
      <c r="AF944" s="1226"/>
      <c r="AG944" s="1227"/>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19" t="s">
        <v>124</v>
      </c>
      <c r="N945" s="1067"/>
      <c r="O945" s="1067"/>
      <c r="P945" s="1067"/>
      <c r="Q945" s="1067"/>
      <c r="R945" s="1067"/>
      <c r="S945" s="1320"/>
      <c r="T945" s="8" t="s">
        <v>566</v>
      </c>
      <c r="U945" s="9"/>
      <c r="V945" s="9"/>
      <c r="W945" s="9"/>
      <c r="X945" s="9"/>
      <c r="Y945" s="9"/>
      <c r="Z945" s="52"/>
      <c r="AA945" s="1225"/>
      <c r="AB945" s="1226"/>
      <c r="AC945" s="1226"/>
      <c r="AD945" s="1226"/>
      <c r="AE945" s="1226"/>
      <c r="AF945" s="1226"/>
      <c r="AG945" s="1227"/>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225"/>
      <c r="N946" s="1226"/>
      <c r="O946" s="1226"/>
      <c r="P946" s="1226"/>
      <c r="Q946" s="1226"/>
      <c r="R946" s="1226"/>
      <c r="S946" s="1227"/>
      <c r="T946" s="8" t="s">
        <v>567</v>
      </c>
      <c r="U946" s="9"/>
      <c r="V946" s="9"/>
      <c r="W946" s="9"/>
      <c r="X946" s="9"/>
      <c r="Y946" s="9"/>
      <c r="Z946" s="52"/>
      <c r="AA946" s="1225"/>
      <c r="AB946" s="1226"/>
      <c r="AC946" s="1226"/>
      <c r="AD946" s="1226"/>
      <c r="AE946" s="1226"/>
      <c r="AF946" s="1226"/>
      <c r="AG946" s="122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225"/>
      <c r="N947" s="1226"/>
      <c r="O947" s="1226"/>
      <c r="P947" s="1226"/>
      <c r="Q947" s="1226"/>
      <c r="R947" s="1226"/>
      <c r="S947" s="1227"/>
      <c r="T947" s="8" t="s">
        <v>493</v>
      </c>
      <c r="U947" s="9"/>
      <c r="V947" s="9"/>
      <c r="W947" s="9"/>
      <c r="X947" s="9"/>
      <c r="Y947" s="9"/>
      <c r="Z947" s="52"/>
      <c r="AA947" s="1225"/>
      <c r="AB947" s="1226"/>
      <c r="AC947" s="1226"/>
      <c r="AD947" s="1226"/>
      <c r="AE947" s="1226"/>
      <c r="AF947" s="1226"/>
      <c r="AG947" s="122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5" t="s">
        <v>79</v>
      </c>
      <c r="N948" s="1386"/>
      <c r="O948" s="1386"/>
      <c r="P948" s="1386"/>
      <c r="Q948" s="1386"/>
      <c r="R948" s="1386"/>
      <c r="S948" s="1387"/>
      <c r="T948" s="1222"/>
      <c r="U948" s="1223"/>
      <c r="V948" s="1223"/>
      <c r="W948" s="1223"/>
      <c r="X948" s="1223"/>
      <c r="Y948" s="1223"/>
      <c r="Z948" s="1224"/>
      <c r="AA948" s="1225"/>
      <c r="AB948" s="1226"/>
      <c r="AC948" s="1226"/>
      <c r="AD948" s="1226"/>
      <c r="AE948" s="1226"/>
      <c r="AF948" s="1226"/>
      <c r="AG948" s="1227"/>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225"/>
      <c r="N949" s="1226"/>
      <c r="O949" s="1226"/>
      <c r="P949" s="1226"/>
      <c r="Q949" s="1226"/>
      <c r="R949" s="1226"/>
      <c r="S949" s="1227"/>
      <c r="T949" s="1222"/>
      <c r="U949" s="1223"/>
      <c r="V949" s="1223"/>
      <c r="W949" s="1223"/>
      <c r="X949" s="1223"/>
      <c r="Y949" s="1223"/>
      <c r="Z949" s="1224"/>
      <c r="AA949" s="1225"/>
      <c r="AB949" s="1226"/>
      <c r="AC949" s="1226"/>
      <c r="AD949" s="1226"/>
      <c r="AE949" s="1226"/>
      <c r="AF949" s="1226"/>
      <c r="AG949" s="1227"/>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19" t="s">
        <v>482</v>
      </c>
      <c r="P950" s="1320"/>
      <c r="Q950" s="146"/>
      <c r="R950" s="146"/>
      <c r="S950" s="147"/>
      <c r="T950" s="6" t="s">
        <v>283</v>
      </c>
      <c r="U950" s="7"/>
      <c r="V950" s="7"/>
      <c r="W950" s="1459" t="s">
        <v>562</v>
      </c>
      <c r="X950" s="1460"/>
      <c r="Y950" s="1460"/>
      <c r="Z950" s="1460"/>
      <c r="AA950" s="1460"/>
      <c r="AB950" s="1460"/>
      <c r="AC950" s="1460"/>
      <c r="AD950" s="1460"/>
      <c r="AE950" s="1460"/>
      <c r="AF950" s="1460"/>
      <c r="AG950" s="146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24" t="s">
        <v>226</v>
      </c>
      <c r="G951" s="1267"/>
      <c r="H951" s="1267"/>
      <c r="I951" s="1267"/>
      <c r="J951" s="1267"/>
      <c r="K951" s="1267"/>
      <c r="L951" s="1267"/>
      <c r="M951" s="1225"/>
      <c r="N951" s="1226"/>
      <c r="O951" s="1226"/>
      <c r="P951" s="1226"/>
      <c r="Q951" s="1226"/>
      <c r="R951" s="1226"/>
      <c r="S951" s="1227"/>
      <c r="T951" s="53"/>
      <c r="U951" s="54"/>
      <c r="V951" s="54"/>
      <c r="W951" s="54"/>
      <c r="X951" s="54"/>
      <c r="Y951" s="54"/>
      <c r="Z951" s="226" t="s">
        <v>227</v>
      </c>
      <c r="AA951" s="1219"/>
      <c r="AB951" s="1220"/>
      <c r="AC951" s="1220"/>
      <c r="AD951" s="1220"/>
      <c r="AE951" s="1220"/>
      <c r="AF951" s="1220"/>
      <c r="AG951" s="122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97" t="s">
        <v>129</v>
      </c>
      <c r="B955" s="1097"/>
      <c r="C955" s="1097"/>
      <c r="D955" s="1097"/>
      <c r="E955" s="1097"/>
      <c r="F955" s="1097"/>
      <c r="G955" s="1097"/>
      <c r="H955" s="1097"/>
      <c r="I955" s="1097"/>
      <c r="J955" s="1097"/>
      <c r="K955" s="1097"/>
      <c r="L955" s="1097"/>
      <c r="M955" s="1097"/>
      <c r="N955" s="1097"/>
      <c r="O955" s="1097"/>
      <c r="P955" s="1097"/>
      <c r="Q955" s="1097"/>
      <c r="R955" s="1097"/>
      <c r="S955" s="1097"/>
      <c r="T955" s="1097"/>
      <c r="U955" s="1097"/>
      <c r="V955" s="1097"/>
      <c r="W955" s="1097"/>
      <c r="X955" s="1097"/>
      <c r="Y955" s="1097"/>
      <c r="Z955" s="1097"/>
      <c r="AA955" s="1097"/>
      <c r="AB955" s="1097"/>
      <c r="AC955" s="1097"/>
      <c r="AD955" s="1097"/>
      <c r="AE955" s="1097"/>
      <c r="AF955" s="1097"/>
      <c r="AG955" s="1097"/>
      <c r="AH955" s="1097"/>
      <c r="AI955" s="1097"/>
      <c r="AJ955" s="1097"/>
      <c r="AK955" s="1097"/>
      <c r="AL955" s="1097"/>
      <c r="AM955" s="1097"/>
      <c r="AN955" s="1097"/>
      <c r="AO955" s="1097"/>
      <c r="AP955" s="1097"/>
      <c r="AQ955" s="1097"/>
      <c r="AR955" s="1097"/>
      <c r="AS955" s="1097"/>
      <c r="AT955" s="1097"/>
    </row>
    <row r="956" spans="1:97" s="960" customFormat="1" ht="12.95" customHeight="1">
      <c r="A956" s="1097"/>
      <c r="B956" s="1097"/>
      <c r="C956" s="1097"/>
      <c r="D956" s="1097"/>
      <c r="E956" s="1097"/>
      <c r="F956" s="1097"/>
      <c r="G956" s="1097"/>
      <c r="H956" s="1097"/>
      <c r="I956" s="1097"/>
      <c r="J956" s="1097"/>
      <c r="K956" s="1097"/>
      <c r="L956" s="1097"/>
      <c r="M956" s="1097"/>
      <c r="N956" s="1097"/>
      <c r="O956" s="1097"/>
      <c r="P956" s="1097"/>
      <c r="Q956" s="1097"/>
      <c r="R956" s="1097"/>
      <c r="S956" s="1097"/>
      <c r="T956" s="1097"/>
      <c r="U956" s="1097"/>
      <c r="V956" s="1097"/>
      <c r="W956" s="1097"/>
      <c r="X956" s="1097"/>
      <c r="Y956" s="1097"/>
      <c r="Z956" s="1097"/>
      <c r="AA956" s="1097"/>
      <c r="AB956" s="1097"/>
      <c r="AC956" s="1097"/>
      <c r="AD956" s="1097"/>
      <c r="AE956" s="1097"/>
      <c r="AF956" s="1097"/>
      <c r="AG956" s="1097"/>
      <c r="AH956" s="1097"/>
      <c r="AI956" s="1097"/>
      <c r="AJ956" s="1097"/>
      <c r="AK956" s="1097"/>
      <c r="AL956" s="1097"/>
      <c r="AM956" s="1097"/>
      <c r="AN956" s="1097"/>
      <c r="AO956" s="1097"/>
      <c r="AP956" s="1097"/>
      <c r="AQ956" s="1097"/>
      <c r="AR956" s="1097"/>
      <c r="AS956" s="1097"/>
      <c r="AT956" s="109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6" t="s">
        <v>424</v>
      </c>
      <c r="E960" s="1457"/>
      <c r="F960" s="1457"/>
      <c r="G960" s="1457"/>
      <c r="H960" s="1457"/>
      <c r="I960" s="1457"/>
      <c r="J960" s="1457"/>
      <c r="K960" s="1457"/>
      <c r="L960" s="1457"/>
      <c r="M960" s="1457"/>
      <c r="N960" s="1457"/>
      <c r="O960" s="1457"/>
      <c r="P960" s="1457"/>
      <c r="Q960" s="1458"/>
      <c r="R960" s="1456" t="s">
        <v>425</v>
      </c>
      <c r="S960" s="1457"/>
      <c r="T960" s="1457"/>
      <c r="U960" s="1457"/>
      <c r="V960" s="1457"/>
      <c r="W960" s="1457"/>
      <c r="X960" s="1457"/>
      <c r="Y960" s="1457"/>
      <c r="Z960" s="1457"/>
      <c r="AA960" s="1458"/>
      <c r="AB960" s="1456" t="s">
        <v>426</v>
      </c>
      <c r="AC960" s="1457"/>
      <c r="AD960" s="1457"/>
      <c r="AE960" s="1457"/>
      <c r="AF960" s="1457"/>
      <c r="AG960" s="1457"/>
      <c r="AH960" s="1457"/>
      <c r="AI960" s="1458"/>
      <c r="AJ960" s="1456" t="s">
        <v>427</v>
      </c>
      <c r="AK960" s="1457"/>
      <c r="AL960" s="1457"/>
      <c r="AM960" s="1457"/>
      <c r="AN960" s="1457"/>
      <c r="AO960" s="1457"/>
      <c r="AP960" s="1457"/>
      <c r="AQ960" s="145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28" t="s">
        <v>419</v>
      </c>
      <c r="E961" s="1229"/>
      <c r="F961" s="1229"/>
      <c r="G961" s="1229"/>
      <c r="H961" s="1229"/>
      <c r="I961" s="1229"/>
      <c r="J961" s="1229"/>
      <c r="K961" s="1229"/>
      <c r="L961" s="1229"/>
      <c r="M961" s="1229"/>
      <c r="N961" s="1229"/>
      <c r="O961" s="1229"/>
      <c r="P961" s="1229"/>
      <c r="Q961" s="1230"/>
      <c r="R961" s="1231">
        <f>IF(ISNA(IF($BA$819="4%",(INDEX($BC$825:$BG$881,MATCH($BO$825,$BB$834:$BB$891,0),MATCH(D961,$BC$822:$BG$822,0))),(INDEX($BJ$834:$BN$891,MATCH($BO$825,$BI$834:$BI$891,0),MATCH(D961,$BJ$832:$BN$832,0))))),0,IF($BA$819="4%",(INDEX($BC$825:$BG$881,MATCH($BO$825,$BB$834:$BB$891,0),MATCH(D961,$BC$822:$BG$822,0))),(INDEX($BJ$834:$BN$891,MATCH($BO$825,$BI$834:$BI$891,0),MATCH(D961,$BJ$832:$BN$832,0)))))</f>
        <v>307732</v>
      </c>
      <c r="S961" s="1231"/>
      <c r="T961" s="1231"/>
      <c r="U961" s="1231"/>
      <c r="V961" s="1231"/>
      <c r="W961" s="1231"/>
      <c r="X961" s="1231"/>
      <c r="Y961" s="1231"/>
      <c r="Z961" s="1231"/>
      <c r="AA961" s="1231"/>
      <c r="AB961" s="1137">
        <f>BN651</f>
        <v>0</v>
      </c>
      <c r="AC961" s="1138"/>
      <c r="AD961" s="1138"/>
      <c r="AE961" s="1138"/>
      <c r="AF961" s="1138"/>
      <c r="AG961" s="1138"/>
      <c r="AH961" s="1138"/>
      <c r="AI961" s="1139"/>
      <c r="AJ961" s="1232">
        <f>IF(ISERROR((R961*AB961)),0,(R961*AB961))</f>
        <v>0</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28" t="s">
        <v>442</v>
      </c>
      <c r="E962" s="1229"/>
      <c r="F962" s="1229"/>
      <c r="G962" s="1229"/>
      <c r="H962" s="1229"/>
      <c r="I962" s="1229"/>
      <c r="J962" s="1229"/>
      <c r="K962" s="1229"/>
      <c r="L962" s="1229"/>
      <c r="M962" s="1229"/>
      <c r="N962" s="1229"/>
      <c r="O962" s="1229"/>
      <c r="P962" s="1229"/>
      <c r="Q962" s="1230"/>
      <c r="R962" s="1231">
        <f>IF(ISNA(IF($BA$819="4%",(INDEX($BC$825:$BG$881,MATCH($BO$825,$BB$834:$BB$891,0),MATCH(D962,$BC$822:$BG$822,0))),(INDEX($BJ$834:$BN$891,MATCH($BO$825,$BI$834:$BI$891,0),MATCH(D962,$BJ$832:$BN$832,0))))),0,IF($BA$819="4%",(INDEX($BC$825:$BG$881,MATCH($BO$825,$BB$834:$BB$891,0),MATCH(D962,$BC$822:$BG$822,0))),(INDEX($BJ$834:$BN$891,MATCH($BO$825,$BI$834:$BI$891,0),MATCH(D962,$BJ$832:$BN$832,0)))))</f>
        <v>354812</v>
      </c>
      <c r="S962" s="1231"/>
      <c r="T962" s="1231"/>
      <c r="U962" s="1231"/>
      <c r="V962" s="1231"/>
      <c r="W962" s="1231"/>
      <c r="X962" s="1231"/>
      <c r="Y962" s="1231"/>
      <c r="Z962" s="1231"/>
      <c r="AA962" s="1231"/>
      <c r="AB962" s="1137">
        <f>BS651</f>
        <v>59</v>
      </c>
      <c r="AC962" s="1138"/>
      <c r="AD962" s="1138"/>
      <c r="AE962" s="1138"/>
      <c r="AF962" s="1138"/>
      <c r="AG962" s="1138"/>
      <c r="AH962" s="1138"/>
      <c r="AI962" s="1139"/>
      <c r="AJ962" s="1232">
        <f>IF(ISERROR((R962*AB962)),0,(R962*AB962))</f>
        <v>20933908</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28" t="s">
        <v>780</v>
      </c>
      <c r="E963" s="1229"/>
      <c r="F963" s="1229"/>
      <c r="G963" s="1229"/>
      <c r="H963" s="1229"/>
      <c r="I963" s="1229"/>
      <c r="J963" s="1229"/>
      <c r="K963" s="1229"/>
      <c r="L963" s="1229"/>
      <c r="M963" s="1229"/>
      <c r="N963" s="1229"/>
      <c r="O963" s="1229"/>
      <c r="P963" s="1229"/>
      <c r="Q963" s="1230"/>
      <c r="R963" s="1231">
        <f>IF(ISNA(IF($BA$819="4%",(INDEX($BC$825:$BG$881,MATCH($BO$825,$BB$834:$BB$891,0),MATCH(D963,$BC$822:$BG$822,0))),(INDEX($BJ$834:$BN$891,MATCH($BO$825,$BI$834:$BI$891,0),MATCH(D963,$BJ$832:$BN$832,0))))),0,IF($BA$819="4%",(INDEX($BC$825:$BG$881,MATCH($BO$825,$BB$834:$BB$891,0),MATCH(D963,$BC$822:$BG$822,0))),(INDEX($BJ$834:$BN$891,MATCH($BO$825,$BI$834:$BI$891,0),MATCH(D963,$BJ$832:$BN$832,0)))))</f>
        <v>428000</v>
      </c>
      <c r="S963" s="1231"/>
      <c r="T963" s="1231"/>
      <c r="U963" s="1231"/>
      <c r="V963" s="1231"/>
      <c r="W963" s="1231"/>
      <c r="X963" s="1231"/>
      <c r="Y963" s="1231"/>
      <c r="Z963" s="1231"/>
      <c r="AA963" s="1231"/>
      <c r="AB963" s="1137">
        <f>BX651</f>
        <v>31</v>
      </c>
      <c r="AC963" s="1138"/>
      <c r="AD963" s="1138"/>
      <c r="AE963" s="1138"/>
      <c r="AF963" s="1138"/>
      <c r="AG963" s="1138"/>
      <c r="AH963" s="1138"/>
      <c r="AI963" s="1139"/>
      <c r="AJ963" s="1232">
        <f>IF(ISERROR((R963*AB963)),0,(R963*AB963))</f>
        <v>13268000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28" t="s">
        <v>781</v>
      </c>
      <c r="E964" s="1229"/>
      <c r="F964" s="1229"/>
      <c r="G964" s="1229"/>
      <c r="H964" s="1229"/>
      <c r="I964" s="1229"/>
      <c r="J964" s="1229"/>
      <c r="K964" s="1229"/>
      <c r="L964" s="1229"/>
      <c r="M964" s="1229"/>
      <c r="N964" s="1229"/>
      <c r="O964" s="1229"/>
      <c r="P964" s="1229"/>
      <c r="Q964" s="1230"/>
      <c r="R964" s="1231">
        <f>IF(ISNA(IF($BA$819="4%",(INDEX($BC$825:$BG$881,MATCH($BO$825,$BB$834:$BB$891,0),MATCH(D964,$BC$822:$BG$822,0))),(INDEX($BJ$834:$BN$891,MATCH($BO$825,$BI$834:$BI$891,0),MATCH(D964,$BJ$832:$BN$832,0))))),0,IF($BA$819="4%",(INDEX($BC$825:$BG$881,MATCH($BO$825,$BB$834:$BB$891,0),MATCH(D964,$BC$822:$BG$822,0))),(INDEX($BJ$834:$BN$891,MATCH($BO$825,$BI$834:$BI$891,0),MATCH(D964,$BJ$832:$BN$832,0)))))</f>
        <v>547840</v>
      </c>
      <c r="S964" s="1231"/>
      <c r="T964" s="1231"/>
      <c r="U964" s="1231"/>
      <c r="V964" s="1231"/>
      <c r="W964" s="1231"/>
      <c r="X964" s="1231"/>
      <c r="Y964" s="1231"/>
      <c r="Z964" s="1231"/>
      <c r="AA964" s="1231"/>
      <c r="AB964" s="1137">
        <f>CC651</f>
        <v>30</v>
      </c>
      <c r="AC964" s="1138"/>
      <c r="AD964" s="1138"/>
      <c r="AE964" s="1138"/>
      <c r="AF964" s="1138"/>
      <c r="AG964" s="1138"/>
      <c r="AH964" s="1138"/>
      <c r="AI964" s="1139"/>
      <c r="AJ964" s="1232">
        <f>IF(ISERROR((R964*AB964)),0,(R964*AB964))</f>
        <v>16435200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28" t="s">
        <v>791</v>
      </c>
      <c r="E965" s="1229"/>
      <c r="F965" s="1229"/>
      <c r="G965" s="1229"/>
      <c r="H965" s="1229"/>
      <c r="I965" s="1229"/>
      <c r="J965" s="1229"/>
      <c r="K965" s="1229"/>
      <c r="L965" s="1229"/>
      <c r="M965" s="1229"/>
      <c r="N965" s="1229"/>
      <c r="O965" s="1229"/>
      <c r="P965" s="1229"/>
      <c r="Q965" s="1230"/>
      <c r="R965" s="1231">
        <f>IF(ISNA(IF($BA$819="4%",(INDEX($BC$825:$BG$881,MATCH($BO$825,$BB$834:$BB$891,0),MATCH(D965,$BC$822:$BG$822,0))),(INDEX($BJ$834:$BN$891,MATCH($BO$825,$BI$834:$BI$891,0),MATCH(D965,$BJ$832:$BN$832,0))))),0,IF($BA$819="4%",(INDEX($BC$825:$BG$881,MATCH($BO$825,$BB$834:$BB$891,0),MATCH(D965,$BC$822:$BG$822,0))),(INDEX($BJ$834:$BN$891,MATCH($BO$825,$BI$834:$BI$891,0),MATCH(D965,$BJ$832:$BN$832,0)))))</f>
        <v>610328</v>
      </c>
      <c r="S965" s="1231"/>
      <c r="T965" s="1231"/>
      <c r="U965" s="1231"/>
      <c r="V965" s="1231"/>
      <c r="W965" s="1231"/>
      <c r="X965" s="1231"/>
      <c r="Y965" s="1231"/>
      <c r="Z965" s="1231"/>
      <c r="AA965" s="1231"/>
      <c r="AB965" s="1137">
        <f>CM651+CH651</f>
        <v>0</v>
      </c>
      <c r="AC965" s="1138"/>
      <c r="AD965" s="1138"/>
      <c r="AE965" s="1138"/>
      <c r="AF965" s="1138"/>
      <c r="AG965" s="1138"/>
      <c r="AH965" s="1138"/>
      <c r="AI965" s="1139"/>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25" t="s">
        <v>960</v>
      </c>
      <c r="C966" s="1126"/>
      <c r="D966" s="1126"/>
      <c r="E966" s="1126"/>
      <c r="F966" s="1126"/>
      <c r="G966" s="1126"/>
      <c r="H966" s="1126"/>
      <c r="I966" s="1126"/>
      <c r="J966" s="1126"/>
      <c r="K966" s="1126"/>
      <c r="L966" s="1126"/>
      <c r="M966" s="1126"/>
      <c r="N966" s="1126"/>
      <c r="O966" s="1126"/>
      <c r="P966" s="1126"/>
      <c r="Q966" s="1126"/>
      <c r="R966" s="1126"/>
      <c r="S966" s="1126"/>
      <c r="T966" s="1126"/>
      <c r="U966" s="1126"/>
      <c r="V966" s="1126"/>
      <c r="W966" s="1126"/>
      <c r="X966" s="1126"/>
      <c r="Y966" s="1126"/>
      <c r="Z966" s="1126"/>
      <c r="AA966" s="1127"/>
      <c r="AB966" s="1137">
        <f>SUM(AB961:AI965)</f>
        <v>120</v>
      </c>
      <c r="AC966" s="1138"/>
      <c r="AD966" s="1138"/>
      <c r="AE966" s="1138"/>
      <c r="AF966" s="1138"/>
      <c r="AG966" s="1138"/>
      <c r="AH966" s="1138"/>
      <c r="AI966" s="1139"/>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140" t="s">
        <v>747</v>
      </c>
      <c r="C967" s="1141"/>
      <c r="D967" s="1141"/>
      <c r="E967" s="1141"/>
      <c r="F967" s="1141"/>
      <c r="G967" s="1141"/>
      <c r="H967" s="1141"/>
      <c r="I967" s="1141"/>
      <c r="J967" s="1141"/>
      <c r="K967" s="1141"/>
      <c r="L967" s="1141"/>
      <c r="M967" s="1141"/>
      <c r="N967" s="1141"/>
      <c r="O967" s="1141"/>
      <c r="P967" s="1141"/>
      <c r="Q967" s="1141"/>
      <c r="R967" s="1141"/>
      <c r="S967" s="1141"/>
      <c r="T967" s="1141"/>
      <c r="U967" s="1141"/>
      <c r="V967" s="1141"/>
      <c r="W967" s="1141"/>
      <c r="X967" s="1141"/>
      <c r="Y967" s="1141"/>
      <c r="Z967" s="1141"/>
      <c r="AA967" s="1141"/>
      <c r="AB967" s="1141"/>
      <c r="AC967" s="1141"/>
      <c r="AD967" s="1141"/>
      <c r="AE967" s="1141"/>
      <c r="AF967" s="1141"/>
      <c r="AG967" s="1141"/>
      <c r="AH967" s="1141"/>
      <c r="AI967" s="1142"/>
      <c r="AJ967" s="1232">
        <f>SUM(AJ961:AQ965)</f>
        <v>50637108</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9"/>
      <c r="C968" s="1450"/>
      <c r="D968" s="1450"/>
      <c r="E968" s="1450"/>
      <c r="F968" s="1450"/>
      <c r="G968" s="1450"/>
      <c r="H968" s="1450"/>
      <c r="I968" s="1450"/>
      <c r="J968" s="1450"/>
      <c r="K968" s="1450"/>
      <c r="L968" s="1450"/>
      <c r="M968" s="1450"/>
      <c r="N968" s="1450"/>
      <c r="O968" s="1450"/>
      <c r="P968" s="1450"/>
      <c r="Q968" s="1450"/>
      <c r="R968" s="1450"/>
      <c r="S968" s="1450"/>
      <c r="T968" s="1450"/>
      <c r="U968" s="1450"/>
      <c r="V968" s="1450"/>
      <c r="W968" s="1450"/>
      <c r="X968" s="1450"/>
      <c r="Y968" s="1450"/>
      <c r="Z968" s="1450"/>
      <c r="AA968" s="1450"/>
      <c r="AB968" s="1450"/>
      <c r="AC968" s="1450"/>
      <c r="AD968" s="1450"/>
      <c r="AE968" s="1451"/>
      <c r="AF968" s="1446" t="s">
        <v>479</v>
      </c>
      <c r="AG968" s="1447"/>
      <c r="AH968" s="1447"/>
      <c r="AI968" s="1448"/>
      <c r="AJ968" s="1449"/>
      <c r="AK968" s="1450"/>
      <c r="AL968" s="1450"/>
      <c r="AM968" s="1450"/>
      <c r="AN968" s="1450"/>
      <c r="AO968" s="1450"/>
      <c r="AP968" s="1450"/>
      <c r="AQ968" s="145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18" t="s">
        <v>1889</v>
      </c>
      <c r="E969" s="1119"/>
      <c r="F969" s="1119"/>
      <c r="G969" s="1119"/>
      <c r="H969" s="1119"/>
      <c r="I969" s="1119"/>
      <c r="J969" s="1119"/>
      <c r="K969" s="1119"/>
      <c r="L969" s="1119"/>
      <c r="M969" s="1119"/>
      <c r="N969" s="1119"/>
      <c r="O969" s="1119"/>
      <c r="P969" s="1119"/>
      <c r="Q969" s="1119"/>
      <c r="R969" s="1119"/>
      <c r="S969" s="1119"/>
      <c r="T969" s="1119"/>
      <c r="U969" s="1119"/>
      <c r="V969" s="1119"/>
      <c r="W969" s="1119"/>
      <c r="X969" s="1119"/>
      <c r="Y969" s="1119"/>
      <c r="Z969" s="1119"/>
      <c r="AA969" s="1119"/>
      <c r="AB969" s="1119"/>
      <c r="AC969" s="1119"/>
      <c r="AD969" s="1119"/>
      <c r="AE969" s="1120"/>
      <c r="AF969" s="82"/>
      <c r="AG969" s="1123" t="s">
        <v>482</v>
      </c>
      <c r="AH969" s="1124"/>
      <c r="AI969" s="85"/>
      <c r="AJ969" s="1154">
        <f>ROUND(IF(AND(AG969="yes",D975&lt;&gt;""),AJ967*0.2,0),0)</f>
        <v>0</v>
      </c>
      <c r="AK969" s="1155"/>
      <c r="AL969" s="1155"/>
      <c r="AM969" s="1155"/>
      <c r="AN969" s="1155"/>
      <c r="AO969" s="1155"/>
      <c r="AP969" s="1155"/>
      <c r="AQ969" s="115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10" t="s">
        <v>2274</v>
      </c>
      <c r="E970" s="1211"/>
      <c r="F970" s="1211"/>
      <c r="G970" s="1211"/>
      <c r="H970" s="1211"/>
      <c r="I970" s="1211"/>
      <c r="J970" s="1211"/>
      <c r="K970" s="1211"/>
      <c r="L970" s="1211"/>
      <c r="M970" s="1211"/>
      <c r="N970" s="1211"/>
      <c r="O970" s="1211"/>
      <c r="P970" s="1211"/>
      <c r="Q970" s="1211"/>
      <c r="R970" s="1211"/>
      <c r="S970" s="1211"/>
      <c r="T970" s="1211"/>
      <c r="U970" s="1211"/>
      <c r="V970" s="1211"/>
      <c r="W970" s="1211"/>
      <c r="X970" s="1211"/>
      <c r="Y970" s="1211"/>
      <c r="Z970" s="1211"/>
      <c r="AA970" s="1211"/>
      <c r="AB970" s="1211"/>
      <c r="AC970" s="1211"/>
      <c r="AD970" s="1211"/>
      <c r="AE970" s="1212"/>
      <c r="AF970" s="79"/>
      <c r="AG970" s="21"/>
      <c r="AH970" s="21"/>
      <c r="AI970" s="83"/>
      <c r="AJ970" s="1157"/>
      <c r="AK970" s="1158"/>
      <c r="AL970" s="1158"/>
      <c r="AM970" s="1158"/>
      <c r="AN970" s="1158"/>
      <c r="AO970" s="1158"/>
      <c r="AP970" s="1158"/>
      <c r="AQ970" s="115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10"/>
      <c r="E971" s="1211"/>
      <c r="F971" s="1211"/>
      <c r="G971" s="1211"/>
      <c r="H971" s="1211"/>
      <c r="I971" s="1211"/>
      <c r="J971" s="1211"/>
      <c r="K971" s="1211"/>
      <c r="L971" s="1211"/>
      <c r="M971" s="1211"/>
      <c r="N971" s="1211"/>
      <c r="O971" s="1211"/>
      <c r="P971" s="1211"/>
      <c r="Q971" s="1211"/>
      <c r="R971" s="1211"/>
      <c r="S971" s="1211"/>
      <c r="T971" s="1211"/>
      <c r="U971" s="1211"/>
      <c r="V971" s="1211"/>
      <c r="W971" s="1211"/>
      <c r="X971" s="1211"/>
      <c r="Y971" s="1211"/>
      <c r="Z971" s="1211"/>
      <c r="AA971" s="1211"/>
      <c r="AB971" s="1211"/>
      <c r="AC971" s="1211"/>
      <c r="AD971" s="1211"/>
      <c r="AE971" s="1212"/>
      <c r="AF971" s="79"/>
      <c r="AG971" s="21"/>
      <c r="AH971" s="21"/>
      <c r="AI971" s="83"/>
      <c r="AJ971" s="1157"/>
      <c r="AK971" s="1158"/>
      <c r="AL971" s="1158"/>
      <c r="AM971" s="1158"/>
      <c r="AN971" s="1158"/>
      <c r="AO971" s="1158"/>
      <c r="AP971" s="1158"/>
      <c r="AQ971" s="115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10"/>
      <c r="E972" s="1211"/>
      <c r="F972" s="1211"/>
      <c r="G972" s="1211"/>
      <c r="H972" s="1211"/>
      <c r="I972" s="1211"/>
      <c r="J972" s="1211"/>
      <c r="K972" s="1211"/>
      <c r="L972" s="1211"/>
      <c r="M972" s="1211"/>
      <c r="N972" s="1211"/>
      <c r="O972" s="1211"/>
      <c r="P972" s="1211"/>
      <c r="Q972" s="1211"/>
      <c r="R972" s="1211"/>
      <c r="S972" s="1211"/>
      <c r="T972" s="1211"/>
      <c r="U972" s="1211"/>
      <c r="V972" s="1211"/>
      <c r="W972" s="1211"/>
      <c r="X972" s="1211"/>
      <c r="Y972" s="1211"/>
      <c r="Z972" s="1211"/>
      <c r="AA972" s="1211"/>
      <c r="AB972" s="1211"/>
      <c r="AC972" s="1211"/>
      <c r="AD972" s="1211"/>
      <c r="AE972" s="1212"/>
      <c r="AF972" s="79"/>
      <c r="AG972" s="21"/>
      <c r="AH972" s="21"/>
      <c r="AI972" s="83"/>
      <c r="AJ972" s="1157"/>
      <c r="AK972" s="1158"/>
      <c r="AL972" s="1158"/>
      <c r="AM972" s="1158"/>
      <c r="AN972" s="1158"/>
      <c r="AO972" s="1158"/>
      <c r="AP972" s="1158"/>
      <c r="AQ972" s="115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10"/>
      <c r="E973" s="1211"/>
      <c r="F973" s="1211"/>
      <c r="G973" s="1211"/>
      <c r="H973" s="1211"/>
      <c r="I973" s="1211"/>
      <c r="J973" s="1211"/>
      <c r="K973" s="1211"/>
      <c r="L973" s="1211"/>
      <c r="M973" s="1211"/>
      <c r="N973" s="1211"/>
      <c r="O973" s="1211"/>
      <c r="P973" s="1211"/>
      <c r="Q973" s="1211"/>
      <c r="R973" s="1211"/>
      <c r="S973" s="1211"/>
      <c r="T973" s="1211"/>
      <c r="U973" s="1211"/>
      <c r="V973" s="1211"/>
      <c r="W973" s="1211"/>
      <c r="X973" s="1211"/>
      <c r="Y973" s="1211"/>
      <c r="Z973" s="1211"/>
      <c r="AA973" s="1211"/>
      <c r="AB973" s="1211"/>
      <c r="AC973" s="1211"/>
      <c r="AD973" s="1211"/>
      <c r="AE973" s="1212"/>
      <c r="AF973" s="79"/>
      <c r="AG973" s="21"/>
      <c r="AH973" s="21"/>
      <c r="AI973" s="83"/>
      <c r="AJ973" s="1157"/>
      <c r="AK973" s="1158"/>
      <c r="AL973" s="1158"/>
      <c r="AM973" s="1158"/>
      <c r="AN973" s="1158"/>
      <c r="AO973" s="1158"/>
      <c r="AP973" s="1158"/>
      <c r="AQ973" s="115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13" t="s">
        <v>2275</v>
      </c>
      <c r="E974" s="1214"/>
      <c r="F974" s="1214"/>
      <c r="G974" s="1214"/>
      <c r="H974" s="1214"/>
      <c r="I974" s="1214"/>
      <c r="J974" s="1214"/>
      <c r="K974" s="1214"/>
      <c r="L974" s="1214"/>
      <c r="M974" s="1214"/>
      <c r="N974" s="1214"/>
      <c r="O974" s="1214"/>
      <c r="P974" s="1214"/>
      <c r="Q974" s="1214"/>
      <c r="R974" s="1214"/>
      <c r="S974" s="1214"/>
      <c r="T974" s="1214"/>
      <c r="U974" s="1214"/>
      <c r="V974" s="1214"/>
      <c r="W974" s="1214"/>
      <c r="X974" s="1214"/>
      <c r="Y974" s="1214"/>
      <c r="Z974" s="1214"/>
      <c r="AA974" s="1214"/>
      <c r="AB974" s="1214"/>
      <c r="AC974" s="1214"/>
      <c r="AD974" s="1214"/>
      <c r="AE974" s="1215"/>
      <c r="AF974" s="79"/>
      <c r="AG974" s="21"/>
      <c r="AH974" s="21"/>
      <c r="AI974" s="83"/>
      <c r="AJ974" s="1157"/>
      <c r="AK974" s="1158"/>
      <c r="AL974" s="1158"/>
      <c r="AM974" s="1158"/>
      <c r="AN974" s="1158"/>
      <c r="AO974" s="1158"/>
      <c r="AP974" s="1158"/>
      <c r="AQ974" s="115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53"/>
      <c r="E975" s="1454"/>
      <c r="F975" s="1454"/>
      <c r="G975" s="1454"/>
      <c r="H975" s="1454"/>
      <c r="I975" s="1454"/>
      <c r="J975" s="1454"/>
      <c r="K975" s="1454"/>
      <c r="L975" s="1454"/>
      <c r="M975" s="1454"/>
      <c r="N975" s="1454"/>
      <c r="O975" s="1454"/>
      <c r="P975" s="1454"/>
      <c r="Q975" s="1454"/>
      <c r="R975" s="1454"/>
      <c r="S975" s="1454"/>
      <c r="T975" s="1454"/>
      <c r="U975" s="1454"/>
      <c r="V975" s="1454"/>
      <c r="W975" s="1454"/>
      <c r="X975" s="1454"/>
      <c r="Y975" s="1454"/>
      <c r="Z975" s="1454"/>
      <c r="AA975" s="1454"/>
      <c r="AB975" s="1454"/>
      <c r="AC975" s="1454"/>
      <c r="AD975" s="1454"/>
      <c r="AE975" s="1455"/>
      <c r="AF975" s="80"/>
      <c r="AG975" s="11"/>
      <c r="AH975" s="11"/>
      <c r="AI975" s="81"/>
      <c r="AJ975" s="1169"/>
      <c r="AK975" s="1170"/>
      <c r="AL975" s="1170"/>
      <c r="AM975" s="1170"/>
      <c r="AN975" s="1170"/>
      <c r="AO975" s="1170"/>
      <c r="AP975" s="1170"/>
      <c r="AQ975" s="11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43" t="s">
        <v>1997</v>
      </c>
      <c r="E976" s="1144"/>
      <c r="F976" s="1144"/>
      <c r="G976" s="1144"/>
      <c r="H976" s="1144"/>
      <c r="I976" s="1144"/>
      <c r="J976" s="1144"/>
      <c r="K976" s="1144"/>
      <c r="L976" s="1144"/>
      <c r="M976" s="1144"/>
      <c r="N976" s="1144"/>
      <c r="O976" s="1144"/>
      <c r="P976" s="1144"/>
      <c r="Q976" s="1144"/>
      <c r="R976" s="1144"/>
      <c r="S976" s="1144"/>
      <c r="T976" s="1144"/>
      <c r="U976" s="1144"/>
      <c r="V976" s="1144"/>
      <c r="W976" s="1144"/>
      <c r="X976" s="1144"/>
      <c r="Y976" s="1144"/>
      <c r="Z976" s="1144"/>
      <c r="AA976" s="1144"/>
      <c r="AB976" s="1144"/>
      <c r="AC976" s="1144"/>
      <c r="AD976" s="1144"/>
      <c r="AE976" s="1145"/>
      <c r="AF976" s="82"/>
      <c r="AG976" s="1121" t="s">
        <v>482</v>
      </c>
      <c r="AH976" s="1122"/>
      <c r="AI976" s="85"/>
      <c r="AJ976" s="1154">
        <f>ROUND(IF(AG976="yes",AJ967*0.05,0),0)</f>
        <v>0</v>
      </c>
      <c r="AK976" s="1155"/>
      <c r="AL976" s="1155"/>
      <c r="AM976" s="1155"/>
      <c r="AN976" s="1155"/>
      <c r="AO976" s="1155"/>
      <c r="AP976" s="1155"/>
      <c r="AQ976" s="115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10" t="s">
        <v>1890</v>
      </c>
      <c r="E977" s="1211"/>
      <c r="F977" s="1211"/>
      <c r="G977" s="1211"/>
      <c r="H977" s="1211"/>
      <c r="I977" s="1211"/>
      <c r="J977" s="1211"/>
      <c r="K977" s="1211"/>
      <c r="L977" s="1211"/>
      <c r="M977" s="1211"/>
      <c r="N977" s="1211"/>
      <c r="O977" s="1211"/>
      <c r="P977" s="1211"/>
      <c r="Q977" s="1211"/>
      <c r="R977" s="1211"/>
      <c r="S977" s="1211"/>
      <c r="T977" s="1211"/>
      <c r="U977" s="1211"/>
      <c r="V977" s="1211"/>
      <c r="W977" s="1211"/>
      <c r="X977" s="1211"/>
      <c r="Y977" s="1211"/>
      <c r="Z977" s="1211"/>
      <c r="AA977" s="1211"/>
      <c r="AB977" s="1211"/>
      <c r="AC977" s="1211"/>
      <c r="AD977" s="1211"/>
      <c r="AE977" s="1212"/>
      <c r="AF977" s="79"/>
      <c r="AG977" s="21"/>
      <c r="AH977" s="21"/>
      <c r="AI977" s="83"/>
      <c r="AJ977" s="1157"/>
      <c r="AK977" s="1158"/>
      <c r="AL977" s="1158"/>
      <c r="AM977" s="1158"/>
      <c r="AN977" s="1158"/>
      <c r="AO977" s="1158"/>
      <c r="AP977" s="1158"/>
      <c r="AQ977" s="115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10"/>
      <c r="E978" s="1211"/>
      <c r="F978" s="1211"/>
      <c r="G978" s="1211"/>
      <c r="H978" s="1211"/>
      <c r="I978" s="1211"/>
      <c r="J978" s="1211"/>
      <c r="K978" s="1211"/>
      <c r="L978" s="1211"/>
      <c r="M978" s="1211"/>
      <c r="N978" s="1211"/>
      <c r="O978" s="1211"/>
      <c r="P978" s="1211"/>
      <c r="Q978" s="1211"/>
      <c r="R978" s="1211"/>
      <c r="S978" s="1211"/>
      <c r="T978" s="1211"/>
      <c r="U978" s="1211"/>
      <c r="V978" s="1211"/>
      <c r="W978" s="1211"/>
      <c r="X978" s="1211"/>
      <c r="Y978" s="1211"/>
      <c r="Z978" s="1211"/>
      <c r="AA978" s="1211"/>
      <c r="AB978" s="1211"/>
      <c r="AC978" s="1211"/>
      <c r="AD978" s="1211"/>
      <c r="AE978" s="1212"/>
      <c r="AF978" s="79"/>
      <c r="AG978" s="21"/>
      <c r="AH978" s="21"/>
      <c r="AI978" s="83"/>
      <c r="AJ978" s="1157"/>
      <c r="AK978" s="1158"/>
      <c r="AL978" s="1158"/>
      <c r="AM978" s="1158"/>
      <c r="AN978" s="1158"/>
      <c r="AO978" s="1158"/>
      <c r="AP978" s="1158"/>
      <c r="AQ978" s="115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10"/>
      <c r="E979" s="1211"/>
      <c r="F979" s="1211"/>
      <c r="G979" s="1211"/>
      <c r="H979" s="1211"/>
      <c r="I979" s="1211"/>
      <c r="J979" s="1211"/>
      <c r="K979" s="1211"/>
      <c r="L979" s="1211"/>
      <c r="M979" s="1211"/>
      <c r="N979" s="1211"/>
      <c r="O979" s="1211"/>
      <c r="P979" s="1211"/>
      <c r="Q979" s="1211"/>
      <c r="R979" s="1211"/>
      <c r="S979" s="1211"/>
      <c r="T979" s="1211"/>
      <c r="U979" s="1211"/>
      <c r="V979" s="1211"/>
      <c r="W979" s="1211"/>
      <c r="X979" s="1211"/>
      <c r="Y979" s="1211"/>
      <c r="Z979" s="1211"/>
      <c r="AA979" s="1211"/>
      <c r="AB979" s="1211"/>
      <c r="AC979" s="1211"/>
      <c r="AD979" s="1211"/>
      <c r="AE979" s="1212"/>
      <c r="AF979" s="79"/>
      <c r="AG979" s="21"/>
      <c r="AH979" s="21"/>
      <c r="AI979" s="83"/>
      <c r="AJ979" s="1157"/>
      <c r="AK979" s="1158"/>
      <c r="AL979" s="1158"/>
      <c r="AM979" s="1158"/>
      <c r="AN979" s="1158"/>
      <c r="AO979" s="1158"/>
      <c r="AP979" s="1158"/>
      <c r="AQ979" s="115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10"/>
      <c r="E980" s="1211"/>
      <c r="F980" s="1211"/>
      <c r="G980" s="1211"/>
      <c r="H980" s="1211"/>
      <c r="I980" s="1211"/>
      <c r="J980" s="1211"/>
      <c r="K980" s="1211"/>
      <c r="L980" s="1211"/>
      <c r="M980" s="1211"/>
      <c r="N980" s="1211"/>
      <c r="O980" s="1211"/>
      <c r="P980" s="1211"/>
      <c r="Q980" s="1211"/>
      <c r="R980" s="1211"/>
      <c r="S980" s="1211"/>
      <c r="T980" s="1211"/>
      <c r="U980" s="1211"/>
      <c r="V980" s="1211"/>
      <c r="W980" s="1211"/>
      <c r="X980" s="1211"/>
      <c r="Y980" s="1211"/>
      <c r="Z980" s="1211"/>
      <c r="AA980" s="1211"/>
      <c r="AB980" s="1211"/>
      <c r="AC980" s="1211"/>
      <c r="AD980" s="1211"/>
      <c r="AE980" s="1212"/>
      <c r="AF980" s="79"/>
      <c r="AG980" s="21"/>
      <c r="AH980" s="21"/>
      <c r="AI980" s="83"/>
      <c r="AJ980" s="1157"/>
      <c r="AK980" s="1158"/>
      <c r="AL980" s="1158"/>
      <c r="AM980" s="1158"/>
      <c r="AN980" s="1158"/>
      <c r="AO980" s="1158"/>
      <c r="AP980" s="1158"/>
      <c r="AQ980" s="115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13"/>
      <c r="E981" s="1214"/>
      <c r="F981" s="1214"/>
      <c r="G981" s="1214"/>
      <c r="H981" s="1214"/>
      <c r="I981" s="1214"/>
      <c r="J981" s="1214"/>
      <c r="K981" s="1214"/>
      <c r="L981" s="1214"/>
      <c r="M981" s="1214"/>
      <c r="N981" s="1214"/>
      <c r="O981" s="1214"/>
      <c r="P981" s="1214"/>
      <c r="Q981" s="1214"/>
      <c r="R981" s="1214"/>
      <c r="S981" s="1214"/>
      <c r="T981" s="1214"/>
      <c r="U981" s="1214"/>
      <c r="V981" s="1214"/>
      <c r="W981" s="1214"/>
      <c r="X981" s="1214"/>
      <c r="Y981" s="1214"/>
      <c r="Z981" s="1214"/>
      <c r="AA981" s="1214"/>
      <c r="AB981" s="1214"/>
      <c r="AC981" s="1214"/>
      <c r="AD981" s="1214"/>
      <c r="AE981" s="1215"/>
      <c r="AF981" s="80"/>
      <c r="AG981" s="11"/>
      <c r="AH981" s="11"/>
      <c r="AI981" s="81"/>
      <c r="AJ981" s="1169"/>
      <c r="AK981" s="1170"/>
      <c r="AL981" s="1170"/>
      <c r="AM981" s="1170"/>
      <c r="AN981" s="1170"/>
      <c r="AO981" s="1170"/>
      <c r="AP981" s="1170"/>
      <c r="AQ981" s="11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43" t="s">
        <v>1998</v>
      </c>
      <c r="E982" s="1144"/>
      <c r="F982" s="1144"/>
      <c r="G982" s="1144"/>
      <c r="H982" s="1144"/>
      <c r="I982" s="1144"/>
      <c r="J982" s="1144"/>
      <c r="K982" s="1144"/>
      <c r="L982" s="1144"/>
      <c r="M982" s="1144"/>
      <c r="N982" s="1144"/>
      <c r="O982" s="1144"/>
      <c r="P982" s="1144"/>
      <c r="Q982" s="1144"/>
      <c r="R982" s="1144"/>
      <c r="S982" s="1144"/>
      <c r="T982" s="1144"/>
      <c r="U982" s="1144"/>
      <c r="V982" s="1144"/>
      <c r="W982" s="1144"/>
      <c r="X982" s="1144"/>
      <c r="Y982" s="1144"/>
      <c r="Z982" s="1144"/>
      <c r="AA982" s="1144"/>
      <c r="AB982" s="1144"/>
      <c r="AC982" s="1144"/>
      <c r="AD982" s="1144"/>
      <c r="AE982" s="1145"/>
      <c r="AF982" s="84"/>
      <c r="AG982" s="1121" t="s">
        <v>482</v>
      </c>
      <c r="AH982" s="1122"/>
      <c r="AI982" s="85"/>
      <c r="AJ982" s="1154">
        <f>ROUND(IF(AG982="yes",AJ967*0.1,0),0)</f>
        <v>0</v>
      </c>
      <c r="AK982" s="1155"/>
      <c r="AL982" s="1155"/>
      <c r="AM982" s="1155"/>
      <c r="AN982" s="1155"/>
      <c r="AO982" s="1155"/>
      <c r="AP982" s="1155"/>
      <c r="AQ982" s="115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5" t="s">
        <v>1999</v>
      </c>
      <c r="E983" s="1166"/>
      <c r="F983" s="1166"/>
      <c r="G983" s="1166"/>
      <c r="H983" s="1166"/>
      <c r="I983" s="1166"/>
      <c r="J983" s="1166"/>
      <c r="K983" s="1166"/>
      <c r="L983" s="1166"/>
      <c r="M983" s="1166"/>
      <c r="N983" s="1166"/>
      <c r="O983" s="1166"/>
      <c r="P983" s="1166"/>
      <c r="Q983" s="1166"/>
      <c r="R983" s="1166"/>
      <c r="S983" s="1166"/>
      <c r="T983" s="1166"/>
      <c r="U983" s="1166"/>
      <c r="V983" s="1166"/>
      <c r="W983" s="1166"/>
      <c r="X983" s="1166"/>
      <c r="Y983" s="1166"/>
      <c r="Z983" s="1166"/>
      <c r="AA983" s="1166"/>
      <c r="AB983" s="1166"/>
      <c r="AC983" s="1166"/>
      <c r="AD983" s="1166"/>
      <c r="AE983" s="1167"/>
      <c r="AF983" s="79"/>
      <c r="AI983" s="83"/>
      <c r="AJ983" s="1157"/>
      <c r="AK983" s="1158"/>
      <c r="AL983" s="1158"/>
      <c r="AM983" s="1158"/>
      <c r="AN983" s="1158"/>
      <c r="AO983" s="1158"/>
      <c r="AP983" s="1158"/>
      <c r="AQ983" s="115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5"/>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79"/>
      <c r="AG984" s="21"/>
      <c r="AH984" s="21"/>
      <c r="AI984" s="83"/>
      <c r="AJ984" s="1157"/>
      <c r="AK984" s="1158"/>
      <c r="AL984" s="1158"/>
      <c r="AM984" s="1158"/>
      <c r="AN984" s="1158"/>
      <c r="AO984" s="1158"/>
      <c r="AP984" s="1158"/>
      <c r="AQ984" s="115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34"/>
      <c r="E985" s="1135"/>
      <c r="F985" s="1135"/>
      <c r="G985" s="1135"/>
      <c r="H985" s="1135"/>
      <c r="I985" s="1135"/>
      <c r="J985" s="1135"/>
      <c r="K985" s="1135"/>
      <c r="L985" s="1135"/>
      <c r="M985" s="1135"/>
      <c r="N985" s="1135"/>
      <c r="O985" s="1135"/>
      <c r="P985" s="1135"/>
      <c r="Q985" s="1135"/>
      <c r="R985" s="1135"/>
      <c r="S985" s="1135"/>
      <c r="T985" s="1135"/>
      <c r="U985" s="1135"/>
      <c r="V985" s="1135"/>
      <c r="W985" s="1135"/>
      <c r="X985" s="1135"/>
      <c r="Y985" s="1135"/>
      <c r="Z985" s="1135"/>
      <c r="AA985" s="1135"/>
      <c r="AB985" s="1135"/>
      <c r="AC985" s="1135"/>
      <c r="AD985" s="1135"/>
      <c r="AE985" s="1136"/>
      <c r="AF985" s="80"/>
      <c r="AG985" s="11"/>
      <c r="AH985" s="11"/>
      <c r="AI985" s="81"/>
      <c r="AJ985" s="1169"/>
      <c r="AK985" s="1170"/>
      <c r="AL985" s="1170"/>
      <c r="AM985" s="1170"/>
      <c r="AN985" s="1170"/>
      <c r="AO985" s="1170"/>
      <c r="AP985" s="1170"/>
      <c r="AQ985" s="11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43" t="s">
        <v>1891</v>
      </c>
      <c r="E986" s="1144"/>
      <c r="F986" s="1144"/>
      <c r="G986" s="1144"/>
      <c r="H986" s="1144"/>
      <c r="I986" s="1144"/>
      <c r="J986" s="1144"/>
      <c r="K986" s="1144"/>
      <c r="L986" s="1144"/>
      <c r="M986" s="1144"/>
      <c r="N986" s="1144"/>
      <c r="O986" s="1144"/>
      <c r="P986" s="1144"/>
      <c r="Q986" s="1144"/>
      <c r="R986" s="1144"/>
      <c r="S986" s="1144"/>
      <c r="T986" s="1144"/>
      <c r="U986" s="1144"/>
      <c r="V986" s="1144"/>
      <c r="W986" s="1144"/>
      <c r="X986" s="1144"/>
      <c r="Y986" s="1144"/>
      <c r="Z986" s="1144"/>
      <c r="AA986" s="1144"/>
      <c r="AB986" s="1144"/>
      <c r="AC986" s="1144"/>
      <c r="AD986" s="1144"/>
      <c r="AE986" s="1145"/>
      <c r="AF986" s="82"/>
      <c r="AG986" s="1121" t="s">
        <v>482</v>
      </c>
      <c r="AH986" s="1122"/>
      <c r="AI986" s="85"/>
      <c r="AJ986" s="1154">
        <f>ROUND(IF(AG986="yes",AJ967*0.02,0),0)</f>
        <v>0</v>
      </c>
      <c r="AK986" s="1155"/>
      <c r="AL986" s="1155"/>
      <c r="AM986" s="1155"/>
      <c r="AN986" s="1155"/>
      <c r="AO986" s="1155"/>
      <c r="AP986" s="1155"/>
      <c r="AQ986" s="115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34" t="s">
        <v>1892</v>
      </c>
      <c r="E987" s="1135"/>
      <c r="F987" s="1135"/>
      <c r="G987" s="1135"/>
      <c r="H987" s="1135"/>
      <c r="I987" s="1135"/>
      <c r="J987" s="1135"/>
      <c r="K987" s="1135"/>
      <c r="L987" s="1135"/>
      <c r="M987" s="1135"/>
      <c r="N987" s="1135"/>
      <c r="O987" s="1135"/>
      <c r="P987" s="1135"/>
      <c r="Q987" s="1135"/>
      <c r="R987" s="1135"/>
      <c r="S987" s="1135"/>
      <c r="T987" s="1135"/>
      <c r="U987" s="1135"/>
      <c r="V987" s="1135"/>
      <c r="W987" s="1135"/>
      <c r="X987" s="1135"/>
      <c r="Y987" s="1135"/>
      <c r="Z987" s="1135"/>
      <c r="AA987" s="1135"/>
      <c r="AB987" s="1135"/>
      <c r="AC987" s="1135"/>
      <c r="AD987" s="1135"/>
      <c r="AE987" s="1136"/>
      <c r="AF987" s="80"/>
      <c r="AG987" s="11"/>
      <c r="AH987" s="11"/>
      <c r="AI987" s="81"/>
      <c r="AJ987" s="1169"/>
      <c r="AK987" s="1170"/>
      <c r="AL987" s="1170"/>
      <c r="AM987" s="1170"/>
      <c r="AN987" s="1170"/>
      <c r="AO987" s="1170"/>
      <c r="AP987" s="1170"/>
      <c r="AQ987" s="11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43" t="s">
        <v>1893</v>
      </c>
      <c r="E988" s="1144"/>
      <c r="F988" s="1144"/>
      <c r="G988" s="1144"/>
      <c r="H988" s="1144"/>
      <c r="I988" s="1144"/>
      <c r="J988" s="1144"/>
      <c r="K988" s="1144"/>
      <c r="L988" s="1144"/>
      <c r="M988" s="1144"/>
      <c r="N988" s="1144"/>
      <c r="O988" s="1144"/>
      <c r="P988" s="1144"/>
      <c r="Q988" s="1144"/>
      <c r="R988" s="1144"/>
      <c r="S988" s="1144"/>
      <c r="T988" s="1144"/>
      <c r="U988" s="1144"/>
      <c r="V988" s="1144"/>
      <c r="W988" s="1144"/>
      <c r="X988" s="1144"/>
      <c r="Y988" s="1144"/>
      <c r="Z988" s="1144"/>
      <c r="AA988" s="1144"/>
      <c r="AB988" s="1144"/>
      <c r="AC988" s="1144"/>
      <c r="AD988" s="1144"/>
      <c r="AE988" s="1145"/>
      <c r="AF988" s="82"/>
      <c r="AG988" s="1121" t="s">
        <v>482</v>
      </c>
      <c r="AH988" s="1122"/>
      <c r="AI988" s="82"/>
      <c r="AJ988" s="1154">
        <f>ROUND(IF(AG988="yes",AJ967*0.02,0),0)</f>
        <v>0</v>
      </c>
      <c r="AK988" s="1155"/>
      <c r="AL988" s="1155"/>
      <c r="AM988" s="1155"/>
      <c r="AN988" s="1155"/>
      <c r="AO988" s="1155"/>
      <c r="AP988" s="1155"/>
      <c r="AQ988" s="1156"/>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5" t="s">
        <v>1894</v>
      </c>
      <c r="E989" s="1166"/>
      <c r="F989" s="1166"/>
      <c r="G989" s="1166"/>
      <c r="H989" s="1166"/>
      <c r="I989" s="1166"/>
      <c r="J989" s="1166"/>
      <c r="K989" s="1166"/>
      <c r="L989" s="1166"/>
      <c r="M989" s="1166"/>
      <c r="N989" s="1166"/>
      <c r="O989" s="1166"/>
      <c r="P989" s="1166"/>
      <c r="Q989" s="1166"/>
      <c r="R989" s="1166"/>
      <c r="S989" s="1166"/>
      <c r="T989" s="1166"/>
      <c r="U989" s="1166"/>
      <c r="V989" s="1166"/>
      <c r="W989" s="1166"/>
      <c r="X989" s="1166"/>
      <c r="Y989" s="1166"/>
      <c r="Z989" s="1166"/>
      <c r="AA989" s="1166"/>
      <c r="AB989" s="1166"/>
      <c r="AC989" s="1166"/>
      <c r="AD989" s="1166"/>
      <c r="AE989" s="1167"/>
      <c r="AF989" s="1098" t="str">
        <f>IF(AND(AG988="yes",AF215&lt;&gt;1),"The project may not be eligible for this boost","")</f>
        <v/>
      </c>
      <c r="AG989" s="1099"/>
      <c r="AH989" s="1099"/>
      <c r="AI989" s="1100"/>
      <c r="AJ989" s="1157"/>
      <c r="AK989" s="1158"/>
      <c r="AL989" s="1158"/>
      <c r="AM989" s="1158"/>
      <c r="AN989" s="1158"/>
      <c r="AO989" s="1158"/>
      <c r="AP989" s="1158"/>
      <c r="AQ989" s="115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34"/>
      <c r="E990" s="1135"/>
      <c r="F990" s="1135"/>
      <c r="G990" s="1135"/>
      <c r="H990" s="1135"/>
      <c r="I990" s="1135"/>
      <c r="J990" s="1135"/>
      <c r="K990" s="1135"/>
      <c r="L990" s="1135"/>
      <c r="M990" s="1135"/>
      <c r="N990" s="1135"/>
      <c r="O990" s="1135"/>
      <c r="P990" s="1135"/>
      <c r="Q990" s="1135"/>
      <c r="R990" s="1135"/>
      <c r="S990" s="1135"/>
      <c r="T990" s="1135"/>
      <c r="U990" s="1135"/>
      <c r="V990" s="1135"/>
      <c r="W990" s="1135"/>
      <c r="X990" s="1135"/>
      <c r="Y990" s="1135"/>
      <c r="Z990" s="1135"/>
      <c r="AA990" s="1135"/>
      <c r="AB990" s="1135"/>
      <c r="AC990" s="1135"/>
      <c r="AD990" s="1135"/>
      <c r="AE990" s="1136"/>
      <c r="AF990" s="1101"/>
      <c r="AG990" s="1102"/>
      <c r="AH990" s="1102"/>
      <c r="AI990" s="1103"/>
      <c r="AJ990" s="1169"/>
      <c r="AK990" s="1170"/>
      <c r="AL990" s="1170"/>
      <c r="AM990" s="1170"/>
      <c r="AN990" s="1170"/>
      <c r="AO990" s="1170"/>
      <c r="AP990" s="1170"/>
      <c r="AQ990" s="11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18" t="s">
        <v>1895</v>
      </c>
      <c r="E991" s="1119"/>
      <c r="F991" s="1119"/>
      <c r="G991" s="1119"/>
      <c r="H991" s="1119"/>
      <c r="I991" s="1119"/>
      <c r="J991" s="1119"/>
      <c r="K991" s="1119"/>
      <c r="L991" s="1119"/>
      <c r="M991" s="1119"/>
      <c r="N991" s="1119"/>
      <c r="O991" s="1119"/>
      <c r="P991" s="1119"/>
      <c r="Q991" s="1119"/>
      <c r="R991" s="1119"/>
      <c r="S991" s="1119"/>
      <c r="T991" s="1119"/>
      <c r="U991" s="1119"/>
      <c r="V991" s="1119"/>
      <c r="W991" s="1119"/>
      <c r="X991" s="1119"/>
      <c r="Y991" s="1119"/>
      <c r="Z991" s="1119"/>
      <c r="AA991" s="1119"/>
      <c r="AB991" s="1119"/>
      <c r="AC991" s="1119"/>
      <c r="AD991" s="1119"/>
      <c r="AE991" s="1120"/>
      <c r="AF991" s="82"/>
      <c r="AG991" s="1121" t="s">
        <v>482</v>
      </c>
      <c r="AH991" s="1122"/>
      <c r="AI991" s="85"/>
      <c r="AJ991" s="1154">
        <f>IF(AG991="yes",AJ967*BA992,0)</f>
        <v>0</v>
      </c>
      <c r="AK991" s="1155"/>
      <c r="AL991" s="1155"/>
      <c r="AM991" s="1155"/>
      <c r="AN991" s="1155"/>
      <c r="AO991" s="1155"/>
      <c r="AP991" s="1155"/>
      <c r="AQ991" s="115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5" t="s">
        <v>2000</v>
      </c>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1181" t="str">
        <f>IF(AND(AG991="Yes",BA992=0),BA994,"")</f>
        <v/>
      </c>
      <c r="AG992" s="1182"/>
      <c r="AH992" s="1182"/>
      <c r="AI992" s="1183"/>
      <c r="AJ992" s="1157"/>
      <c r="AK992" s="1158"/>
      <c r="AL992" s="1158"/>
      <c r="AM992" s="1158"/>
      <c r="AN992" s="1158"/>
      <c r="AO992" s="1158"/>
      <c r="AP992" s="1158"/>
      <c r="AQ992" s="1159"/>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1181"/>
      <c r="AG993" s="1182"/>
      <c r="AH993" s="1182"/>
      <c r="AI993" s="1183"/>
      <c r="AJ993" s="1157"/>
      <c r="AK993" s="1158"/>
      <c r="AL993" s="1158"/>
      <c r="AM993" s="1158"/>
      <c r="AN993" s="1158"/>
      <c r="AO993" s="1158"/>
      <c r="AP993" s="1158"/>
      <c r="AQ993" s="115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34"/>
      <c r="E994" s="1135"/>
      <c r="F994" s="1135"/>
      <c r="G994" s="1135"/>
      <c r="H994" s="1135"/>
      <c r="I994" s="1135"/>
      <c r="J994" s="1135"/>
      <c r="K994" s="1135"/>
      <c r="L994" s="1135"/>
      <c r="M994" s="1135"/>
      <c r="N994" s="1135"/>
      <c r="O994" s="1135"/>
      <c r="P994" s="1135"/>
      <c r="Q994" s="1135"/>
      <c r="R994" s="1135"/>
      <c r="S994" s="1135"/>
      <c r="T994" s="1135"/>
      <c r="U994" s="1135"/>
      <c r="V994" s="1135"/>
      <c r="W994" s="1135"/>
      <c r="X994" s="1135"/>
      <c r="Y994" s="1135"/>
      <c r="Z994" s="1135"/>
      <c r="AA994" s="1135"/>
      <c r="AB994" s="1135"/>
      <c r="AC994" s="1135"/>
      <c r="AD994" s="1135"/>
      <c r="AE994" s="1136"/>
      <c r="AF994" s="1184"/>
      <c r="AG994" s="1185"/>
      <c r="AH994" s="1185"/>
      <c r="AI994" s="1186"/>
      <c r="AJ994" s="1169"/>
      <c r="AK994" s="1170"/>
      <c r="AL994" s="1170"/>
      <c r="AM994" s="1170"/>
      <c r="AN994" s="1170"/>
      <c r="AO994" s="1170"/>
      <c r="AP994" s="1170"/>
      <c r="AQ994" s="11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2" t="s">
        <v>1896</v>
      </c>
      <c r="E995" s="1173"/>
      <c r="F995" s="1173"/>
      <c r="G995" s="1173"/>
      <c r="H995" s="1173"/>
      <c r="I995" s="1173"/>
      <c r="J995" s="1173"/>
      <c r="K995" s="1173"/>
      <c r="L995" s="1173"/>
      <c r="M995" s="1173"/>
      <c r="N995" s="1173"/>
      <c r="O995" s="1173"/>
      <c r="P995" s="1173"/>
      <c r="Q995" s="1173"/>
      <c r="R995" s="1173"/>
      <c r="S995" s="1173"/>
      <c r="T995" s="1173"/>
      <c r="U995" s="1173"/>
      <c r="V995" s="1173"/>
      <c r="W995" s="1173"/>
      <c r="X995" s="1173"/>
      <c r="Y995" s="1173"/>
      <c r="Z995" s="1173"/>
      <c r="AA995" s="1173"/>
      <c r="AB995" s="1173"/>
      <c r="AC995" s="1173"/>
      <c r="AD995" s="1173"/>
      <c r="AE995" s="1174"/>
      <c r="AF995" s="82"/>
      <c r="AG995" s="1121" t="s">
        <v>482</v>
      </c>
      <c r="AH995" s="1122"/>
      <c r="AI995" s="85"/>
      <c r="AJ995" s="1154">
        <f>ROUND(IF(AND(AG995="Yes",AF998&lt;&gt;"",J999&lt;&gt;"N/A"),MIN(AF998,(0.15*AJ967)),0),0)</f>
        <v>0</v>
      </c>
      <c r="AK995" s="1155"/>
      <c r="AL995" s="1155"/>
      <c r="AM995" s="1155"/>
      <c r="AN995" s="1155"/>
      <c r="AO995" s="1155"/>
      <c r="AP995" s="1155"/>
      <c r="AQ995" s="115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5"/>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177"/>
      <c r="AF996" s="1181" t="str">
        <f>IF(AG995="yes","Please Select Type and Enter Amount:","")</f>
        <v/>
      </c>
      <c r="AG996" s="1182"/>
      <c r="AH996" s="1182"/>
      <c r="AI996" s="1183"/>
      <c r="AJ996" s="1157"/>
      <c r="AK996" s="1158"/>
      <c r="AL996" s="1158"/>
      <c r="AM996" s="1158"/>
      <c r="AN996" s="1158"/>
      <c r="AO996" s="1158"/>
      <c r="AP996" s="1158"/>
      <c r="AQ996" s="115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5" t="s">
        <v>1897</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81"/>
      <c r="AG997" s="1182"/>
      <c r="AH997" s="1182"/>
      <c r="AI997" s="1183"/>
      <c r="AJ997" s="1157"/>
      <c r="AK997" s="1158"/>
      <c r="AL997" s="1158"/>
      <c r="AM997" s="1158"/>
      <c r="AN997" s="1158"/>
      <c r="AO997" s="1158"/>
      <c r="AP997" s="1158"/>
      <c r="AQ997" s="115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533"/>
      <c r="AG998" s="1533"/>
      <c r="AH998" s="1533"/>
      <c r="AI998" s="1533"/>
      <c r="AJ998" s="1157"/>
      <c r="AK998" s="1158"/>
      <c r="AL998" s="1158"/>
      <c r="AM998" s="1158"/>
      <c r="AN998" s="1158"/>
      <c r="AO998" s="1158"/>
      <c r="AP998" s="1158"/>
      <c r="AQ998" s="115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78" t="s">
        <v>124</v>
      </c>
      <c r="K999" s="1179"/>
      <c r="L999" s="1179"/>
      <c r="M999" s="1179"/>
      <c r="N999" s="1179"/>
      <c r="O999" s="1179"/>
      <c r="P999" s="1179"/>
      <c r="Q999" s="1179"/>
      <c r="R999" s="1179"/>
      <c r="S999" s="1179"/>
      <c r="T999" s="1179"/>
      <c r="U999" s="1179"/>
      <c r="V999" s="1179"/>
      <c r="W999" s="1179"/>
      <c r="X999" s="1179"/>
      <c r="Y999" s="1179"/>
      <c r="Z999" s="1179"/>
      <c r="AA999" s="1179"/>
      <c r="AB999" s="1179"/>
      <c r="AC999" s="1179"/>
      <c r="AD999" s="1179"/>
      <c r="AE999" s="1180"/>
      <c r="AF999" s="1533"/>
      <c r="AG999" s="1533"/>
      <c r="AH999" s="1533"/>
      <c r="AI999" s="1533"/>
      <c r="AJ999" s="1169"/>
      <c r="AK999" s="1170"/>
      <c r="AL999" s="1170"/>
      <c r="AM999" s="1170"/>
      <c r="AN999" s="1170"/>
      <c r="AO999" s="1170"/>
      <c r="AP999" s="1170"/>
      <c r="AQ999" s="11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43" t="s">
        <v>1898</v>
      </c>
      <c r="E1000" s="1144"/>
      <c r="F1000" s="1144"/>
      <c r="G1000" s="1144"/>
      <c r="H1000" s="1144"/>
      <c r="I1000" s="1144"/>
      <c r="J1000" s="1144"/>
      <c r="K1000" s="1144"/>
      <c r="L1000" s="1144"/>
      <c r="M1000" s="1144"/>
      <c r="N1000" s="1144"/>
      <c r="O1000" s="1144"/>
      <c r="P1000" s="1144"/>
      <c r="Q1000" s="1144"/>
      <c r="R1000" s="1144"/>
      <c r="S1000" s="1144"/>
      <c r="T1000" s="1144"/>
      <c r="U1000" s="1144"/>
      <c r="V1000" s="1144"/>
      <c r="W1000" s="1144"/>
      <c r="X1000" s="1144"/>
      <c r="Y1000" s="1144"/>
      <c r="Z1000" s="1144"/>
      <c r="AA1000" s="1144"/>
      <c r="AB1000" s="1144"/>
      <c r="AC1000" s="1144"/>
      <c r="AD1000" s="1144"/>
      <c r="AE1000" s="1145"/>
      <c r="AF1000" s="82"/>
      <c r="AG1000" s="1121" t="s">
        <v>108</v>
      </c>
      <c r="AH1000" s="1122"/>
      <c r="AI1000" s="85"/>
      <c r="AJ1000" s="1154">
        <f>ROUND(IF(AG1000="Yes",AF1002,0),0)</f>
        <v>1449568</v>
      </c>
      <c r="AK1000" s="1155"/>
      <c r="AL1000" s="1155"/>
      <c r="AM1000" s="1155"/>
      <c r="AN1000" s="1155"/>
      <c r="AO1000" s="1155"/>
      <c r="AP1000" s="1155"/>
      <c r="AQ1000" s="115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5" t="s">
        <v>2001</v>
      </c>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534" t="str">
        <f>IF(AG1000="yes","Please Enter Amount:","")</f>
        <v>Please Enter Amount:</v>
      </c>
      <c r="AG1001" s="1535"/>
      <c r="AH1001" s="1535"/>
      <c r="AI1001" s="1536"/>
      <c r="AJ1001" s="1157"/>
      <c r="AK1001" s="1158"/>
      <c r="AL1001" s="1158"/>
      <c r="AM1001" s="1158"/>
      <c r="AN1001" s="1158"/>
      <c r="AO1001" s="1158"/>
      <c r="AP1001" s="1158"/>
      <c r="AQ1001" s="115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533">
        <v>1449568</v>
      </c>
      <c r="AG1002" s="1533"/>
      <c r="AH1002" s="1533"/>
      <c r="AI1002" s="1533"/>
      <c r="AJ1002" s="1157"/>
      <c r="AK1002" s="1158"/>
      <c r="AL1002" s="1158"/>
      <c r="AM1002" s="1158"/>
      <c r="AN1002" s="1158"/>
      <c r="AO1002" s="1158"/>
      <c r="AP1002" s="1158"/>
      <c r="AQ1002" s="115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34"/>
      <c r="E1003" s="1135"/>
      <c r="F1003" s="1135"/>
      <c r="G1003" s="1135"/>
      <c r="H1003" s="1135"/>
      <c r="I1003" s="1135"/>
      <c r="J1003" s="1135"/>
      <c r="K1003" s="1135"/>
      <c r="L1003" s="1135"/>
      <c r="M1003" s="1135"/>
      <c r="N1003" s="1135"/>
      <c r="O1003" s="1135"/>
      <c r="P1003" s="1135"/>
      <c r="Q1003" s="1135"/>
      <c r="R1003" s="1135"/>
      <c r="S1003" s="1135"/>
      <c r="T1003" s="1135"/>
      <c r="U1003" s="1135"/>
      <c r="V1003" s="1135"/>
      <c r="W1003" s="1135"/>
      <c r="X1003" s="1135"/>
      <c r="Y1003" s="1135"/>
      <c r="Z1003" s="1135"/>
      <c r="AA1003" s="1135"/>
      <c r="AB1003" s="1135"/>
      <c r="AC1003" s="1135"/>
      <c r="AD1003" s="1135"/>
      <c r="AE1003" s="1136"/>
      <c r="AF1003" s="1533"/>
      <c r="AG1003" s="1533"/>
      <c r="AH1003" s="1533"/>
      <c r="AI1003" s="1533"/>
      <c r="AJ1003" s="1169"/>
      <c r="AK1003" s="1170"/>
      <c r="AL1003" s="1170"/>
      <c r="AM1003" s="1170"/>
      <c r="AN1003" s="1170"/>
      <c r="AO1003" s="1170"/>
      <c r="AP1003" s="1170"/>
      <c r="AQ1003" s="1171"/>
      <c r="AT1003" s="43"/>
      <c r="AU1003" s="43"/>
      <c r="AV1003" s="43"/>
      <c r="AW1003" s="43"/>
      <c r="AX1003" s="38"/>
      <c r="AY1003" s="38"/>
      <c r="AZ1003" s="21"/>
      <c r="BA1003" s="21"/>
      <c r="BB1003" s="21"/>
      <c r="BC1003" s="43"/>
      <c r="BD1003" s="43"/>
    </row>
    <row r="1004" spans="1:97" ht="12.95" customHeight="1">
      <c r="A1004" s="21"/>
      <c r="B1004" s="82"/>
      <c r="C1004" s="555" t="s">
        <v>578</v>
      </c>
      <c r="D1004" s="1118" t="s">
        <v>1899</v>
      </c>
      <c r="E1004" s="1119"/>
      <c r="F1004" s="1119"/>
      <c r="G1004" s="1119"/>
      <c r="H1004" s="1119"/>
      <c r="I1004" s="1119"/>
      <c r="J1004" s="1119"/>
      <c r="K1004" s="1119"/>
      <c r="L1004" s="1119"/>
      <c r="M1004" s="1119"/>
      <c r="N1004" s="1119"/>
      <c r="O1004" s="1119"/>
      <c r="P1004" s="1119"/>
      <c r="Q1004" s="1119"/>
      <c r="R1004" s="1119"/>
      <c r="S1004" s="1119"/>
      <c r="T1004" s="1119"/>
      <c r="U1004" s="1119"/>
      <c r="V1004" s="1119"/>
      <c r="W1004" s="1119"/>
      <c r="X1004" s="1119"/>
      <c r="Y1004" s="1119"/>
      <c r="Z1004" s="1119"/>
      <c r="AA1004" s="1119"/>
      <c r="AB1004" s="1119"/>
      <c r="AC1004" s="1119"/>
      <c r="AD1004" s="1119"/>
      <c r="AE1004" s="1120"/>
      <c r="AF1004" s="82"/>
      <c r="AG1004" s="1121" t="s">
        <v>482</v>
      </c>
      <c r="AH1004" s="1122"/>
      <c r="AI1004" s="85"/>
      <c r="AJ1004" s="1154">
        <f>ROUND(IF(AG1004="yes",(AJ967*0.1),0),0)</f>
        <v>0</v>
      </c>
      <c r="AK1004" s="1155"/>
      <c r="AL1004" s="1155"/>
      <c r="AM1004" s="1155"/>
      <c r="AN1004" s="1155"/>
      <c r="AO1004" s="1155"/>
      <c r="AP1004" s="1155"/>
      <c r="AQ1004" s="1156"/>
      <c r="AT1004" s="43"/>
      <c r="AU1004" s="43"/>
      <c r="AV1004" s="43"/>
      <c r="AW1004" s="43"/>
      <c r="AX1004" s="38"/>
      <c r="AY1004" s="38"/>
      <c r="AZ1004" s="21"/>
      <c r="BA1004" s="21"/>
      <c r="BB1004" s="21"/>
      <c r="BC1004" s="43"/>
      <c r="BD1004" s="43"/>
    </row>
    <row r="1005" spans="1:97" ht="12.95" customHeight="1">
      <c r="A1005" s="21"/>
      <c r="B1005" s="79"/>
      <c r="C1005" s="556"/>
      <c r="D1005" s="1165" t="s">
        <v>1900</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79"/>
      <c r="AG1005" s="21"/>
      <c r="AH1005" s="21"/>
      <c r="AI1005" s="83"/>
      <c r="AJ1005" s="1157"/>
      <c r="AK1005" s="1158"/>
      <c r="AL1005" s="1158"/>
      <c r="AM1005" s="1158"/>
      <c r="AN1005" s="1158"/>
      <c r="AO1005" s="1158"/>
      <c r="AP1005" s="1158"/>
      <c r="AQ1005" s="1159"/>
      <c r="AT1005" s="43"/>
      <c r="AU1005" s="43"/>
      <c r="AV1005" s="43"/>
      <c r="AW1005" s="43"/>
      <c r="AX1005" s="38"/>
      <c r="AY1005" s="38"/>
      <c r="AZ1005" s="21"/>
      <c r="BA1005" s="21"/>
      <c r="BB1005" s="21"/>
      <c r="BC1005" s="43"/>
      <c r="BD1005" s="43"/>
    </row>
    <row r="1006" spans="1:97" ht="12.95" customHeight="1">
      <c r="A1006" s="554"/>
      <c r="B1006" s="80"/>
      <c r="C1006" s="556"/>
      <c r="D1006" s="1134"/>
      <c r="E1006" s="1135"/>
      <c r="F1006" s="1135"/>
      <c r="G1006" s="1135"/>
      <c r="H1006" s="1135"/>
      <c r="I1006" s="1135"/>
      <c r="J1006" s="1135"/>
      <c r="K1006" s="1135"/>
      <c r="L1006" s="1135"/>
      <c r="M1006" s="1135"/>
      <c r="N1006" s="1135"/>
      <c r="O1006" s="1135"/>
      <c r="P1006" s="1135"/>
      <c r="Q1006" s="1135"/>
      <c r="R1006" s="1135"/>
      <c r="S1006" s="1135"/>
      <c r="T1006" s="1135"/>
      <c r="U1006" s="1135"/>
      <c r="V1006" s="1135"/>
      <c r="W1006" s="1135"/>
      <c r="X1006" s="1135"/>
      <c r="Y1006" s="1135"/>
      <c r="Z1006" s="1135"/>
      <c r="AA1006" s="1135"/>
      <c r="AB1006" s="1135"/>
      <c r="AC1006" s="1135"/>
      <c r="AD1006" s="1135"/>
      <c r="AE1006" s="1136"/>
      <c r="AF1006" s="79"/>
      <c r="AG1006" s="21"/>
      <c r="AH1006" s="21"/>
      <c r="AI1006" s="83"/>
      <c r="AJ1006" s="1169"/>
      <c r="AK1006" s="1170"/>
      <c r="AL1006" s="1170"/>
      <c r="AM1006" s="1170"/>
      <c r="AN1006" s="1170"/>
      <c r="AO1006" s="1170"/>
      <c r="AP1006" s="1170"/>
      <c r="AQ1006" s="1171"/>
      <c r="AT1006" s="43"/>
      <c r="AU1006" s="43"/>
      <c r="AV1006" s="43"/>
      <c r="AW1006" s="43"/>
      <c r="AX1006" s="38"/>
      <c r="AY1006" s="38"/>
      <c r="AZ1006" s="21"/>
      <c r="BA1006" s="21"/>
      <c r="BB1006" s="21"/>
      <c r="BC1006" s="43"/>
      <c r="BD1006" s="43"/>
    </row>
    <row r="1007" spans="1:97" ht="12.95" customHeight="1">
      <c r="A1007" s="554"/>
      <c r="B1007" s="79"/>
      <c r="C1007" s="555" t="s">
        <v>581</v>
      </c>
      <c r="D1007" s="1143" t="s">
        <v>2002</v>
      </c>
      <c r="E1007" s="1144"/>
      <c r="F1007" s="1144"/>
      <c r="G1007" s="1144"/>
      <c r="H1007" s="1144"/>
      <c r="I1007" s="1144"/>
      <c r="J1007" s="1144"/>
      <c r="K1007" s="1144"/>
      <c r="L1007" s="1144"/>
      <c r="M1007" s="1144"/>
      <c r="N1007" s="1144"/>
      <c r="O1007" s="1144"/>
      <c r="P1007" s="1144"/>
      <c r="Q1007" s="1144"/>
      <c r="R1007" s="1144"/>
      <c r="S1007" s="1144"/>
      <c r="T1007" s="1144"/>
      <c r="U1007" s="1144"/>
      <c r="V1007" s="1144"/>
      <c r="W1007" s="1144"/>
      <c r="X1007" s="1144"/>
      <c r="Y1007" s="1144"/>
      <c r="Z1007" s="1144"/>
      <c r="AA1007" s="1144"/>
      <c r="AB1007" s="1144"/>
      <c r="AC1007" s="1144"/>
      <c r="AD1007" s="1144"/>
      <c r="AE1007" s="1145"/>
      <c r="AF1007" s="82"/>
      <c r="AG1007" s="1121" t="s">
        <v>482</v>
      </c>
      <c r="AH1007" s="1122"/>
      <c r="AI1007" s="85"/>
      <c r="AJ1007" s="1154">
        <f>ROUND(IF(AG1007="yes",(AJ967*0.15),0),0)</f>
        <v>0</v>
      </c>
      <c r="AK1007" s="1155"/>
      <c r="AL1007" s="1155"/>
      <c r="AM1007" s="1155"/>
      <c r="AN1007" s="1155"/>
      <c r="AO1007" s="1155"/>
      <c r="AP1007" s="1155"/>
      <c r="AQ1007" s="1156"/>
      <c r="AT1007" s="43"/>
      <c r="AU1007" s="43"/>
      <c r="AV1007" s="43"/>
      <c r="AW1007" s="43"/>
      <c r="AX1007" s="43"/>
      <c r="AY1007" s="43"/>
      <c r="AZ1007" s="43"/>
      <c r="BA1007" s="43"/>
      <c r="BB1007" s="43"/>
      <c r="BC1007" s="43"/>
      <c r="BD1007" s="43"/>
    </row>
    <row r="1008" spans="1:97" ht="12.95" customHeight="1">
      <c r="A1008" s="554"/>
      <c r="B1008" s="79"/>
      <c r="C1008" s="556"/>
      <c r="D1008" s="1160" t="s">
        <v>2003</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161"/>
      <c r="AF1008" s="871"/>
      <c r="AG1008" s="872"/>
      <c r="AH1008" s="872"/>
      <c r="AI1008" s="873"/>
      <c r="AJ1008" s="1157"/>
      <c r="AK1008" s="1158"/>
      <c r="AL1008" s="1158"/>
      <c r="AM1008" s="1158"/>
      <c r="AN1008" s="1158"/>
      <c r="AO1008" s="1158"/>
      <c r="AP1008" s="1158"/>
      <c r="AQ1008" s="115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0"/>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161"/>
      <c r="AF1009" s="871"/>
      <c r="AG1009" s="872"/>
      <c r="AH1009" s="872"/>
      <c r="AI1009" s="873"/>
      <c r="AJ1009" s="1157"/>
      <c r="AK1009" s="1158"/>
      <c r="AL1009" s="1158"/>
      <c r="AM1009" s="1158"/>
      <c r="AN1009" s="1158"/>
      <c r="AO1009" s="1158"/>
      <c r="AP1009" s="1158"/>
      <c r="AQ1009" s="115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874"/>
      <c r="AG1010" s="875"/>
      <c r="AH1010" s="875"/>
      <c r="AI1010" s="876"/>
      <c r="AJ1010" s="1169"/>
      <c r="AK1010" s="1170"/>
      <c r="AL1010" s="1170"/>
      <c r="AM1010" s="1170"/>
      <c r="AN1010" s="1170"/>
      <c r="AO1010" s="1170"/>
      <c r="AP1010" s="1170"/>
      <c r="AQ1010" s="11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18" t="s">
        <v>2004</v>
      </c>
      <c r="E1011" s="1119"/>
      <c r="F1011" s="1119"/>
      <c r="G1011" s="1119"/>
      <c r="H1011" s="1119"/>
      <c r="I1011" s="1119"/>
      <c r="J1011" s="1119"/>
      <c r="K1011" s="1119"/>
      <c r="L1011" s="1119"/>
      <c r="M1011" s="1119"/>
      <c r="N1011" s="1119"/>
      <c r="O1011" s="1119"/>
      <c r="P1011" s="1119"/>
      <c r="Q1011" s="1119"/>
      <c r="R1011" s="1119"/>
      <c r="S1011" s="1119"/>
      <c r="T1011" s="1119"/>
      <c r="U1011" s="1119"/>
      <c r="V1011" s="1119"/>
      <c r="W1011" s="1119"/>
      <c r="X1011" s="1119"/>
      <c r="Y1011" s="1119"/>
      <c r="Z1011" s="1119"/>
      <c r="AA1011" s="1119"/>
      <c r="AB1011" s="1119"/>
      <c r="AC1011" s="1119"/>
      <c r="AD1011" s="1119"/>
      <c r="AE1011" s="1120"/>
      <c r="AF1011" s="79"/>
      <c r="AG1011" s="1152" t="s">
        <v>482</v>
      </c>
      <c r="AH1011" s="1153"/>
      <c r="AI1011" s="83"/>
      <c r="AJ1011" s="1154">
        <f>ROUND(IF(AG1011="yes",(AJ967*0.1),0),0)</f>
        <v>0</v>
      </c>
      <c r="AK1011" s="1155"/>
      <c r="AL1011" s="1155"/>
      <c r="AM1011" s="1155"/>
      <c r="AN1011" s="1155"/>
      <c r="AO1011" s="1155"/>
      <c r="AP1011" s="1155"/>
      <c r="AQ1011" s="115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0" t="s">
        <v>2005</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161"/>
      <c r="AF1012" s="79"/>
      <c r="AG1012" s="21"/>
      <c r="AH1012" s="21"/>
      <c r="AI1012" s="83"/>
      <c r="AJ1012" s="1157"/>
      <c r="AK1012" s="1158"/>
      <c r="AL1012" s="1158"/>
      <c r="AM1012" s="1158"/>
      <c r="AN1012" s="1158"/>
      <c r="AO1012" s="1158"/>
      <c r="AP1012" s="1158"/>
      <c r="AQ1012" s="115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0"/>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161"/>
      <c r="AF1013" s="79"/>
      <c r="AG1013" s="21"/>
      <c r="AH1013" s="21"/>
      <c r="AI1013" s="83"/>
      <c r="AJ1013" s="1157"/>
      <c r="AK1013" s="1158"/>
      <c r="AL1013" s="1158"/>
      <c r="AM1013" s="1158"/>
      <c r="AN1013" s="1158"/>
      <c r="AO1013" s="1158"/>
      <c r="AP1013" s="1158"/>
      <c r="AQ1013" s="115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0"/>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161"/>
      <c r="AF1014" s="79"/>
      <c r="AG1014" s="21"/>
      <c r="AH1014" s="21"/>
      <c r="AI1014" s="83"/>
      <c r="AJ1014" s="1157"/>
      <c r="AK1014" s="1158"/>
      <c r="AL1014" s="1158"/>
      <c r="AM1014" s="1158"/>
      <c r="AN1014" s="1158"/>
      <c r="AO1014" s="1158"/>
      <c r="AP1014" s="1158"/>
      <c r="AQ1014" s="115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2"/>
      <c r="E1015" s="1163"/>
      <c r="F1015" s="1163"/>
      <c r="G1015" s="1163"/>
      <c r="H1015" s="1163"/>
      <c r="I1015" s="1163"/>
      <c r="J1015" s="1163"/>
      <c r="K1015" s="1163"/>
      <c r="L1015" s="1163"/>
      <c r="M1015" s="1163"/>
      <c r="N1015" s="1163"/>
      <c r="O1015" s="1163"/>
      <c r="P1015" s="1163"/>
      <c r="Q1015" s="1163"/>
      <c r="R1015" s="1163"/>
      <c r="S1015" s="1163"/>
      <c r="T1015" s="1163"/>
      <c r="U1015" s="1163"/>
      <c r="V1015" s="1163"/>
      <c r="W1015" s="1163"/>
      <c r="X1015" s="1163"/>
      <c r="Y1015" s="1163"/>
      <c r="Z1015" s="1163"/>
      <c r="AA1015" s="1163"/>
      <c r="AB1015" s="1163"/>
      <c r="AC1015" s="1163"/>
      <c r="AD1015" s="1163"/>
      <c r="AE1015" s="1164"/>
      <c r="AF1015" s="79"/>
      <c r="AG1015" s="21"/>
      <c r="AH1015" s="21"/>
      <c r="AI1015" s="83"/>
      <c r="AJ1015" s="1157"/>
      <c r="AK1015" s="1158"/>
      <c r="AL1015" s="1158"/>
      <c r="AM1015" s="1158"/>
      <c r="AN1015" s="1158"/>
      <c r="AO1015" s="1158"/>
      <c r="AP1015" s="1158"/>
      <c r="AQ1015" s="115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2006</v>
      </c>
      <c r="D1016" s="1143" t="s">
        <v>1901</v>
      </c>
      <c r="E1016" s="1144"/>
      <c r="F1016" s="1144"/>
      <c r="G1016" s="1144"/>
      <c r="H1016" s="1144"/>
      <c r="I1016" s="1144"/>
      <c r="J1016" s="1144"/>
      <c r="K1016" s="1144"/>
      <c r="L1016" s="1144"/>
      <c r="M1016" s="1144"/>
      <c r="N1016" s="1144"/>
      <c r="O1016" s="1144"/>
      <c r="P1016" s="1144"/>
      <c r="Q1016" s="1144"/>
      <c r="R1016" s="1144"/>
      <c r="S1016" s="1144"/>
      <c r="T1016" s="1144"/>
      <c r="U1016" s="1144"/>
      <c r="V1016" s="1144"/>
      <c r="W1016" s="1144"/>
      <c r="X1016" s="1144"/>
      <c r="Y1016" s="1144"/>
      <c r="Z1016" s="1144"/>
      <c r="AA1016" s="1144"/>
      <c r="AB1016" s="1144"/>
      <c r="AC1016" s="1144"/>
      <c r="AD1016" s="1144"/>
      <c r="AE1016" s="1145"/>
      <c r="AF1016" s="82"/>
      <c r="AG1016" s="1121" t="s">
        <v>108</v>
      </c>
      <c r="AH1016" s="1122"/>
      <c r="AI1016" s="85"/>
      <c r="AJ1016" s="1154">
        <f>ROUND(IF(AG1016="yes",(AJ967*0.1),0),0)</f>
        <v>5063711</v>
      </c>
      <c r="AK1016" s="1155"/>
      <c r="AL1016" s="1155"/>
      <c r="AM1016" s="1155"/>
      <c r="AN1016" s="1155"/>
      <c r="AO1016" s="1155"/>
      <c r="AP1016" s="1155"/>
      <c r="AQ1016" s="115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5" t="s">
        <v>2214</v>
      </c>
      <c r="E1017" s="1166"/>
      <c r="F1017" s="1166"/>
      <c r="G1017" s="1166"/>
      <c r="H1017" s="1166"/>
      <c r="I1017" s="1166"/>
      <c r="J1017" s="1166"/>
      <c r="K1017" s="1166"/>
      <c r="L1017" s="1166"/>
      <c r="M1017" s="1166"/>
      <c r="N1017" s="1166"/>
      <c r="O1017" s="1166"/>
      <c r="P1017" s="1166"/>
      <c r="Q1017" s="1166"/>
      <c r="R1017" s="1166"/>
      <c r="S1017" s="1166"/>
      <c r="T1017" s="1166"/>
      <c r="U1017" s="1166"/>
      <c r="V1017" s="1166"/>
      <c r="W1017" s="1166"/>
      <c r="X1017" s="1166"/>
      <c r="Y1017" s="1166"/>
      <c r="Z1017" s="1166"/>
      <c r="AA1017" s="1166"/>
      <c r="AB1017" s="1166"/>
      <c r="AC1017" s="1166"/>
      <c r="AD1017" s="1166"/>
      <c r="AE1017" s="1167"/>
      <c r="AF1017" s="79"/>
      <c r="AG1017" s="21"/>
      <c r="AH1017" s="21"/>
      <c r="AI1017" s="83"/>
      <c r="AJ1017" s="1157"/>
      <c r="AK1017" s="1158"/>
      <c r="AL1017" s="1158"/>
      <c r="AM1017" s="1158"/>
      <c r="AN1017" s="1158"/>
      <c r="AO1017" s="1158"/>
      <c r="AP1017" s="1158"/>
      <c r="AQ1017" s="115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5"/>
      <c r="E1018" s="1166"/>
      <c r="F1018" s="1166"/>
      <c r="G1018" s="1166"/>
      <c r="H1018" s="1166"/>
      <c r="I1018" s="1166"/>
      <c r="J1018" s="1166"/>
      <c r="K1018" s="1166"/>
      <c r="L1018" s="1166"/>
      <c r="M1018" s="1166"/>
      <c r="N1018" s="1166"/>
      <c r="O1018" s="1166"/>
      <c r="P1018" s="1166"/>
      <c r="Q1018" s="1166"/>
      <c r="R1018" s="1166"/>
      <c r="S1018" s="1166"/>
      <c r="T1018" s="1166"/>
      <c r="U1018" s="1166"/>
      <c r="V1018" s="1166"/>
      <c r="W1018" s="1166"/>
      <c r="X1018" s="1166"/>
      <c r="Y1018" s="1166"/>
      <c r="Z1018" s="1166"/>
      <c r="AA1018" s="1166"/>
      <c r="AB1018" s="1166"/>
      <c r="AC1018" s="1166"/>
      <c r="AD1018" s="1166"/>
      <c r="AE1018" s="1167"/>
      <c r="AF1018" s="79"/>
      <c r="AG1018" s="21"/>
      <c r="AH1018" s="21"/>
      <c r="AI1018" s="83"/>
      <c r="AJ1018" s="1157"/>
      <c r="AK1018" s="1158"/>
      <c r="AL1018" s="1158"/>
      <c r="AM1018" s="1158"/>
      <c r="AN1018" s="1158"/>
      <c r="AO1018" s="1158"/>
      <c r="AP1018" s="1158"/>
      <c r="AQ1018" s="115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34"/>
      <c r="E1019" s="1135"/>
      <c r="F1019" s="1135"/>
      <c r="G1019" s="1135"/>
      <c r="H1019" s="1135"/>
      <c r="I1019" s="1135"/>
      <c r="J1019" s="1135"/>
      <c r="K1019" s="1135"/>
      <c r="L1019" s="1135"/>
      <c r="M1019" s="1135"/>
      <c r="N1019" s="1135"/>
      <c r="O1019" s="1135"/>
      <c r="P1019" s="1135"/>
      <c r="Q1019" s="1135"/>
      <c r="R1019" s="1135"/>
      <c r="S1019" s="1135"/>
      <c r="T1019" s="1135"/>
      <c r="U1019" s="1135"/>
      <c r="V1019" s="1135"/>
      <c r="W1019" s="1135"/>
      <c r="X1019" s="1135"/>
      <c r="Y1019" s="1135"/>
      <c r="Z1019" s="1135"/>
      <c r="AA1019" s="1135"/>
      <c r="AB1019" s="1135"/>
      <c r="AC1019" s="1135"/>
      <c r="AD1019" s="1135"/>
      <c r="AE1019" s="1136"/>
      <c r="AF1019" s="79"/>
      <c r="AG1019" s="21"/>
      <c r="AH1019" s="21"/>
      <c r="AI1019" s="83"/>
      <c r="AJ1019" s="1169"/>
      <c r="AK1019" s="1170"/>
      <c r="AL1019" s="1170"/>
      <c r="AM1019" s="1170"/>
      <c r="AN1019" s="1170"/>
      <c r="AO1019" s="1170"/>
      <c r="AP1019" s="1170"/>
      <c r="AQ1019" s="11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25" t="s">
        <v>748</v>
      </c>
      <c r="E1020" s="1525"/>
      <c r="F1020" s="1525"/>
      <c r="G1020" s="1525"/>
      <c r="H1020" s="1525"/>
      <c r="I1020" s="1525"/>
      <c r="J1020" s="1525"/>
      <c r="K1020" s="1525"/>
      <c r="L1020" s="1525"/>
      <c r="M1020" s="1525"/>
      <c r="N1020" s="1525"/>
      <c r="O1020" s="1525"/>
      <c r="P1020" s="1525"/>
      <c r="Q1020" s="1525"/>
      <c r="R1020" s="1525"/>
      <c r="S1020" s="1525"/>
      <c r="T1020" s="1525"/>
      <c r="U1020" s="1525"/>
      <c r="V1020" s="1525"/>
      <c r="W1020" s="1525"/>
      <c r="X1020" s="1525"/>
      <c r="Y1020" s="1525"/>
      <c r="Z1020" s="1525"/>
      <c r="AA1020" s="1525"/>
      <c r="AB1020" s="1525"/>
      <c r="AC1020" s="1525"/>
      <c r="AD1020" s="1525"/>
      <c r="AE1020" s="1525"/>
      <c r="AF1020" s="1525"/>
      <c r="AG1020" s="1525"/>
      <c r="AH1020" s="1525"/>
      <c r="AI1020" s="1526"/>
      <c r="AJ1020" s="1527">
        <f>SUM(AJ967:AQ1019)</f>
        <v>57150387</v>
      </c>
      <c r="AK1020" s="1528"/>
      <c r="AL1020" s="1528"/>
      <c r="AM1020" s="1528"/>
      <c r="AN1020" s="1528"/>
      <c r="AO1020" s="1528"/>
      <c r="AP1020" s="1528"/>
      <c r="AQ1020" s="1529"/>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4">
        <f>'Sources and Uses Budget'!S106+'Sources and Uses Budget'!T106</f>
        <v>32145715</v>
      </c>
      <c r="Y1024" s="1384"/>
      <c r="Z1024" s="1384"/>
      <c r="AA1024" s="1384"/>
      <c r="AB1024" s="1384"/>
      <c r="AC1024" s="1384"/>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0">
        <f>IFERROR(X1024/AJ1020,"")</f>
        <v>0.56247589364530459</v>
      </c>
      <c r="Y1025" s="1381"/>
      <c r="Z1025" s="1381"/>
      <c r="AA1025" s="1381"/>
      <c r="AB1025" s="1381"/>
      <c r="AC1025" s="1382"/>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44"/>
      <c r="F1026" s="1144"/>
      <c r="G1026" s="1144"/>
      <c r="H1026" s="1144"/>
      <c r="I1026" s="1144"/>
      <c r="J1026" s="1144"/>
      <c r="K1026" s="1144"/>
      <c r="L1026" s="1144"/>
      <c r="M1026" s="1144"/>
      <c r="N1026" s="1144"/>
      <c r="O1026" s="1144"/>
      <c r="P1026" s="1144"/>
      <c r="Q1026" s="1144"/>
      <c r="R1026" s="1144"/>
      <c r="S1026" s="1144"/>
      <c r="T1026" s="1144"/>
      <c r="U1026" s="1144"/>
      <c r="V1026" s="1144"/>
      <c r="W1026" s="1144"/>
      <c r="X1026" s="1144"/>
      <c r="Y1026" s="1144"/>
      <c r="Z1026" s="1144"/>
      <c r="AA1026" s="1144"/>
      <c r="AB1026" s="1144"/>
      <c r="AC1026" s="1144"/>
      <c r="AD1026" s="1144"/>
      <c r="AE1026" s="1144"/>
      <c r="AF1026" s="1144"/>
      <c r="AG1026" s="1144"/>
      <c r="AH1026" s="1144"/>
      <c r="AI1026" s="1144"/>
      <c r="AJ1026" s="1144"/>
      <c r="AK1026" s="11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44"/>
      <c r="E1027" s="1144"/>
      <c r="F1027" s="1144"/>
      <c r="G1027" s="1144"/>
      <c r="H1027" s="1144"/>
      <c r="I1027" s="1144"/>
      <c r="J1027" s="1144"/>
      <c r="K1027" s="1144"/>
      <c r="L1027" s="1144"/>
      <c r="M1027" s="1144"/>
      <c r="N1027" s="1144"/>
      <c r="O1027" s="1144"/>
      <c r="P1027" s="1144"/>
      <c r="Q1027" s="1144"/>
      <c r="R1027" s="1144"/>
      <c r="S1027" s="1144"/>
      <c r="T1027" s="1144"/>
      <c r="U1027" s="1144"/>
      <c r="V1027" s="1144"/>
      <c r="W1027" s="1144"/>
      <c r="X1027" s="1144"/>
      <c r="Y1027" s="1144"/>
      <c r="Z1027" s="1144"/>
      <c r="AA1027" s="1144"/>
      <c r="AB1027" s="1144"/>
      <c r="AC1027" s="1144"/>
      <c r="AD1027" s="1144"/>
      <c r="AE1027" s="1144"/>
      <c r="AF1027" s="1144"/>
      <c r="AG1027" s="1144"/>
      <c r="AH1027" s="1144"/>
      <c r="AI1027" s="1144"/>
      <c r="AJ1027" s="1144"/>
      <c r="AK1027" s="11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44"/>
      <c r="E1028" s="1144"/>
      <c r="F1028" s="1144"/>
      <c r="G1028" s="1144"/>
      <c r="H1028" s="1144"/>
      <c r="I1028" s="1144"/>
      <c r="J1028" s="1144"/>
      <c r="K1028" s="1144"/>
      <c r="L1028" s="1144"/>
      <c r="M1028" s="1144"/>
      <c r="N1028" s="1144"/>
      <c r="O1028" s="1144"/>
      <c r="P1028" s="1144"/>
      <c r="Q1028" s="1144"/>
      <c r="R1028" s="1144"/>
      <c r="S1028" s="1144"/>
      <c r="T1028" s="1144"/>
      <c r="U1028" s="1144"/>
      <c r="V1028" s="1144"/>
      <c r="W1028" s="1144"/>
      <c r="X1028" s="1144"/>
      <c r="Y1028" s="1144"/>
      <c r="Z1028" s="1144"/>
      <c r="AA1028" s="1144"/>
      <c r="AB1028" s="1144"/>
      <c r="AC1028" s="1144"/>
      <c r="AD1028" s="1144"/>
      <c r="AE1028" s="1144"/>
      <c r="AF1028" s="1144"/>
      <c r="AG1028" s="1144"/>
      <c r="AH1028" s="1144"/>
      <c r="AI1028" s="1144"/>
      <c r="AJ1028" s="1144"/>
      <c r="AK1028" s="11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3"/>
      <c r="C1031" s="1383"/>
      <c r="D1031" s="1383"/>
      <c r="E1031" s="1383"/>
      <c r="F1031" s="1383"/>
      <c r="G1031" s="1383"/>
      <c r="H1031" s="1383"/>
      <c r="I1031" s="1383"/>
      <c r="J1031" s="1383"/>
      <c r="K1031" s="1383"/>
      <c r="L1031" s="1383"/>
      <c r="M1031" s="1383"/>
      <c r="N1031" s="1383"/>
      <c r="O1031" s="1383"/>
      <c r="P1031" s="1383"/>
      <c r="Q1031" s="1383"/>
      <c r="R1031" s="1383"/>
      <c r="S1031" s="1383"/>
      <c r="T1031" s="1383"/>
      <c r="U1031" s="1383"/>
      <c r="V1031" s="1383"/>
      <c r="W1031" s="1383"/>
      <c r="X1031" s="1383"/>
      <c r="Y1031" s="1383"/>
      <c r="Z1031" s="1383"/>
      <c r="AA1031" s="1383"/>
      <c r="AB1031" s="1383"/>
      <c r="AC1031" s="1383"/>
      <c r="AD1031" s="1383"/>
      <c r="AE1031" s="1383"/>
      <c r="AF1031" s="1383"/>
      <c r="AG1031" s="1383"/>
      <c r="AH1031" s="1383"/>
      <c r="AI1031" s="1383"/>
      <c r="AJ1031" s="1383"/>
      <c r="AK1031" s="1383"/>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8" t="s">
        <v>989</v>
      </c>
      <c r="B1032" s="1168"/>
      <c r="C1032" s="1168"/>
      <c r="D1032" s="1168"/>
      <c r="E1032" s="1168"/>
      <c r="F1032" s="1168"/>
      <c r="G1032" s="1168"/>
      <c r="H1032" s="1168"/>
      <c r="I1032" s="1168"/>
      <c r="J1032" s="1168"/>
      <c r="K1032" s="1168"/>
      <c r="L1032" s="1168"/>
      <c r="M1032" s="1168"/>
      <c r="N1032" s="1168"/>
      <c r="O1032" s="1168"/>
      <c r="P1032" s="1168"/>
      <c r="Q1032" s="1168"/>
      <c r="R1032" s="1168"/>
      <c r="S1032" s="1168"/>
      <c r="T1032" s="1168"/>
      <c r="U1032" s="1168"/>
      <c r="V1032" s="1168"/>
      <c r="W1032" s="1168"/>
      <c r="X1032" s="1168"/>
      <c r="Y1032" s="1168"/>
      <c r="Z1032" s="1168"/>
      <c r="AA1032" s="1168"/>
      <c r="AB1032" s="1168"/>
      <c r="AC1032" s="1168"/>
      <c r="AD1032" s="1168"/>
      <c r="AE1032" s="1168"/>
      <c r="AF1032" s="1168"/>
      <c r="AG1032" s="1168"/>
      <c r="AH1032" s="1168"/>
      <c r="AI1032" s="1168"/>
      <c r="AJ1032" s="1168"/>
      <c r="AK1032" s="1168"/>
      <c r="AL1032" s="1168"/>
      <c r="AM1032" s="1168"/>
      <c r="AN1032" s="1168"/>
      <c r="AO1032" s="1168"/>
      <c r="AP1032" s="1168"/>
      <c r="AQ1032" s="1168"/>
      <c r="AR1032" s="1168"/>
      <c r="AS1032" s="1168"/>
      <c r="AT1032" s="116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66" t="s">
        <v>124</v>
      </c>
      <c r="B1036" s="1066"/>
      <c r="C1036" s="12">
        <v>1</v>
      </c>
      <c r="D1036" s="979" t="s">
        <v>1519</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66" t="s">
        <v>124</v>
      </c>
      <c r="B1042" s="106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66" t="s">
        <v>124</v>
      </c>
      <c r="B1048" s="1066"/>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66" t="s">
        <v>124</v>
      </c>
      <c r="B1055" s="1066"/>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66" t="s">
        <v>124</v>
      </c>
      <c r="B1059" s="1066"/>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66" t="s">
        <v>124</v>
      </c>
      <c r="B1063" s="1066"/>
      <c r="C1063" s="12">
        <v>6</v>
      </c>
      <c r="D1063" s="979" t="s">
        <v>1521</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66" t="s">
        <v>124</v>
      </c>
      <c r="B1066" s="1066"/>
      <c r="C1066" s="350">
        <v>7</v>
      </c>
      <c r="D1066" s="979" t="s">
        <v>1523</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66" t="s">
        <v>124</v>
      </c>
      <c r="B1071" s="1066"/>
      <c r="C1071" s="350">
        <v>8</v>
      </c>
      <c r="D1071" s="972" t="s">
        <v>2017</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5"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5"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5"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5" customHeight="1">
      <c r="A1075" s="1517" t="s">
        <v>124</v>
      </c>
      <c r="B1075" s="1517"/>
      <c r="C1075" s="350">
        <v>9</v>
      </c>
      <c r="D1075" s="972" t="s">
        <v>1522</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5"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5"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2">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Y280:AD280"/>
    <mergeCell ref="AA321:AK321"/>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723:F723"/>
    <mergeCell ref="G723:J723"/>
    <mergeCell ref="K723:N723"/>
    <mergeCell ref="O723:S723"/>
    <mergeCell ref="T723:X723"/>
    <mergeCell ref="Y723:AB723"/>
    <mergeCell ref="AC723:AG723"/>
    <mergeCell ref="AM726:AO726"/>
    <mergeCell ref="B727:F727"/>
    <mergeCell ref="G727:J727"/>
    <mergeCell ref="K727:N727"/>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AC727:AG727"/>
    <mergeCell ref="AH727:AL727"/>
    <mergeCell ref="AM727:AO727"/>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T726:X726"/>
    <mergeCell ref="Y726:AB726"/>
    <mergeCell ref="O727:S727"/>
    <mergeCell ref="T727:X727"/>
    <mergeCell ref="Y727:AB727"/>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21:F721"/>
    <mergeCell ref="G721:J721"/>
    <mergeCell ref="K721:N721"/>
    <mergeCell ref="O721:S721"/>
    <mergeCell ref="T721:X721"/>
    <mergeCell ref="Y721:AB721"/>
    <mergeCell ref="AC721:AG721"/>
    <mergeCell ref="H339:R339"/>
    <mergeCell ref="H341:M341"/>
    <mergeCell ref="AC378:AJ378"/>
    <mergeCell ref="V375:W375"/>
    <mergeCell ref="AA334:AF334"/>
    <mergeCell ref="G714:J714"/>
    <mergeCell ref="G698:J698"/>
    <mergeCell ref="G706:J706"/>
    <mergeCell ref="T706:X706"/>
    <mergeCell ref="Y706:AB706"/>
    <mergeCell ref="AC706:AG706"/>
    <mergeCell ref="B712:F712"/>
    <mergeCell ref="AH698:AL698"/>
    <mergeCell ref="AA339:AK339"/>
    <mergeCell ref="H335:R335"/>
    <mergeCell ref="H338:R338"/>
    <mergeCell ref="E361:AH362"/>
    <mergeCell ref="AC364:AF364"/>
    <mergeCell ref="Q384:U384"/>
    <mergeCell ref="N365:Q365"/>
    <mergeCell ref="AA335:AK335"/>
    <mergeCell ref="AK622:AN622"/>
    <mergeCell ref="AK618:AN620"/>
    <mergeCell ref="M626:P626"/>
    <mergeCell ref="M627:P627"/>
    <mergeCell ref="W627:Y627"/>
    <mergeCell ref="B546:L548"/>
    <mergeCell ref="C550:L550"/>
    <mergeCell ref="AM698:AO698"/>
    <mergeCell ref="AM699:AO699"/>
    <mergeCell ref="M557:P557"/>
    <mergeCell ref="C558:L558"/>
    <mergeCell ref="AJ350:AK350"/>
    <mergeCell ref="N357:O357"/>
    <mergeCell ref="H343:R343"/>
    <mergeCell ref="H340:R340"/>
    <mergeCell ref="H342:M342"/>
    <mergeCell ref="N363:Q363"/>
    <mergeCell ref="W463:Y463"/>
    <mergeCell ref="W464:Y464"/>
    <mergeCell ref="Q481:AK481"/>
    <mergeCell ref="AG438:AJ438"/>
    <mergeCell ref="AG394:AJ394"/>
    <mergeCell ref="AE423:AF423"/>
    <mergeCell ref="AJ349:AK349"/>
    <mergeCell ref="P417:Q417"/>
    <mergeCell ref="AH500:AK500"/>
    <mergeCell ref="Q488:AK488"/>
    <mergeCell ref="AH498:AK498"/>
    <mergeCell ref="Q489:AK489"/>
    <mergeCell ref="AE937:AK937"/>
    <mergeCell ref="W841:AC841"/>
    <mergeCell ref="M949:S949"/>
    <mergeCell ref="M945:S945"/>
    <mergeCell ref="M809:P809"/>
    <mergeCell ref="AC808:AF808"/>
    <mergeCell ref="U804:X804"/>
    <mergeCell ref="C806:H806"/>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Q484:AK484"/>
    <mergeCell ref="S395:U395"/>
    <mergeCell ref="AE395:AJ395"/>
    <mergeCell ref="AG387:AJ387"/>
    <mergeCell ref="Z427:AA427"/>
    <mergeCell ref="H326:M326"/>
    <mergeCell ref="AA329:AK329"/>
    <mergeCell ref="H331:R331"/>
    <mergeCell ref="H330:R330"/>
    <mergeCell ref="AA333:AF333"/>
    <mergeCell ref="AA326:AF326"/>
    <mergeCell ref="B515:H537"/>
    <mergeCell ref="O774:S774"/>
    <mergeCell ref="F810:L810"/>
    <mergeCell ref="Y804:AB804"/>
    <mergeCell ref="Q807:T807"/>
    <mergeCell ref="AC809:AF809"/>
    <mergeCell ref="Q808:T808"/>
    <mergeCell ref="J756:N756"/>
    <mergeCell ref="J748:N751"/>
    <mergeCell ref="B729:F729"/>
    <mergeCell ref="Q805:T805"/>
    <mergeCell ref="M802:P803"/>
    <mergeCell ref="Q802:T803"/>
    <mergeCell ref="AC804:AF804"/>
    <mergeCell ref="X755:AB755"/>
    <mergeCell ref="Z796:AE796"/>
    <mergeCell ref="J755:N755"/>
    <mergeCell ref="X775:AB775"/>
    <mergeCell ref="AC806:AF806"/>
    <mergeCell ref="D1075:AK1077"/>
    <mergeCell ref="AF996:AI997"/>
    <mergeCell ref="AF998:AI999"/>
    <mergeCell ref="AF1002:AI1003"/>
    <mergeCell ref="AF1001:AI1001"/>
    <mergeCell ref="O950:P950"/>
    <mergeCell ref="U918:Z918"/>
    <mergeCell ref="F893:T894"/>
    <mergeCell ref="Z877:AE877"/>
    <mergeCell ref="AA895:AF895"/>
    <mergeCell ref="AC873:AH873"/>
    <mergeCell ref="F892:T892"/>
    <mergeCell ref="M808:P808"/>
    <mergeCell ref="C804:H804"/>
    <mergeCell ref="C805:H805"/>
    <mergeCell ref="Y809:AB809"/>
    <mergeCell ref="Y807:AB807"/>
    <mergeCell ref="C809:H809"/>
    <mergeCell ref="AA916:AF916"/>
    <mergeCell ref="AE938:AK938"/>
    <mergeCell ref="AA943:AG943"/>
    <mergeCell ref="L935:S935"/>
    <mergeCell ref="AE935:AK935"/>
    <mergeCell ref="L934:S934"/>
    <mergeCell ref="U910:Z910"/>
    <mergeCell ref="W858:AC858"/>
    <mergeCell ref="U896:Z896"/>
    <mergeCell ref="AA908:AF908"/>
    <mergeCell ref="W855:AC855"/>
    <mergeCell ref="W849:AC849"/>
    <mergeCell ref="W847:AC847"/>
    <mergeCell ref="U892:Z894"/>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AJ967:AQ967"/>
    <mergeCell ref="B968:AE968"/>
    <mergeCell ref="W848:AC848"/>
    <mergeCell ref="M854:V854"/>
    <mergeCell ref="M948:S948"/>
    <mergeCell ref="E864:AB864"/>
    <mergeCell ref="W854:AC854"/>
    <mergeCell ref="M856:V856"/>
    <mergeCell ref="U899:Z899"/>
    <mergeCell ref="AC868:AH868"/>
    <mergeCell ref="AC872:AH872"/>
    <mergeCell ref="W856:AC856"/>
    <mergeCell ref="M850:V850"/>
    <mergeCell ref="AE936:AK936"/>
    <mergeCell ref="L938:S938"/>
    <mergeCell ref="F951:L951"/>
    <mergeCell ref="A1055:B1055"/>
    <mergeCell ref="A1063:B1063"/>
    <mergeCell ref="A1048:B1048"/>
    <mergeCell ref="AJ960:AQ960"/>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AP875:AS875"/>
    <mergeCell ref="AV866:AY866"/>
    <mergeCell ref="W825:AC825"/>
    <mergeCell ref="AN875:AO875"/>
    <mergeCell ref="E872:AB872"/>
    <mergeCell ref="P921:T921"/>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M805:P805"/>
    <mergeCell ref="AC772:AG772"/>
    <mergeCell ref="T773:W773"/>
    <mergeCell ref="Y806:AB806"/>
    <mergeCell ref="U807:X807"/>
    <mergeCell ref="Y780:AC780"/>
    <mergeCell ref="U802:X803"/>
    <mergeCell ref="G716:J716"/>
    <mergeCell ref="Z797:AE797"/>
    <mergeCell ref="M806:P806"/>
    <mergeCell ref="U805:X805"/>
    <mergeCell ref="AC805:AF805"/>
    <mergeCell ref="U809:X809"/>
    <mergeCell ref="AC807:AF807"/>
    <mergeCell ref="Z788:AE788"/>
    <mergeCell ref="Y779:AC779"/>
    <mergeCell ref="P795:Y795"/>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G703:J703"/>
    <mergeCell ref="O699:S699"/>
    <mergeCell ref="AC699:AG699"/>
    <mergeCell ref="B706:F706"/>
    <mergeCell ref="AA608:AK608"/>
    <mergeCell ref="G700:J700"/>
    <mergeCell ref="G707:J707"/>
    <mergeCell ref="G710:J710"/>
    <mergeCell ref="AA682:AK682"/>
    <mergeCell ref="C621:L621"/>
    <mergeCell ref="C622:L622"/>
    <mergeCell ref="C623:L623"/>
    <mergeCell ref="C624:L624"/>
    <mergeCell ref="C625:L625"/>
    <mergeCell ref="C626:L626"/>
    <mergeCell ref="C627:L627"/>
    <mergeCell ref="B618:L620"/>
    <mergeCell ref="G699:J699"/>
    <mergeCell ref="J758:K758"/>
    <mergeCell ref="J769:N769"/>
    <mergeCell ref="O756:S756"/>
    <mergeCell ref="O770:S770"/>
    <mergeCell ref="O733:R733"/>
    <mergeCell ref="AC774:AG774"/>
    <mergeCell ref="T766:W766"/>
    <mergeCell ref="T772:W772"/>
    <mergeCell ref="X772:AB772"/>
    <mergeCell ref="X754:AB754"/>
    <mergeCell ref="AC754:AG754"/>
    <mergeCell ref="T755:W755"/>
    <mergeCell ref="Z794:AE794"/>
    <mergeCell ref="O775:S775"/>
    <mergeCell ref="M804:P804"/>
    <mergeCell ref="J775:N775"/>
    <mergeCell ref="J776:N776"/>
    <mergeCell ref="O776:S776"/>
    <mergeCell ref="O748:S751"/>
    <mergeCell ref="O754:S754"/>
    <mergeCell ref="AC802:AF803"/>
    <mergeCell ref="J762:N765"/>
    <mergeCell ref="O753:S753"/>
    <mergeCell ref="J752:N752"/>
    <mergeCell ref="AC762:AG765"/>
    <mergeCell ref="J770:N770"/>
    <mergeCell ref="AC769:AG769"/>
    <mergeCell ref="T753:W753"/>
    <mergeCell ref="X753:AB753"/>
    <mergeCell ref="AC753:AG753"/>
    <mergeCell ref="T754:W754"/>
    <mergeCell ref="J766:N766"/>
    <mergeCell ref="G730:J730"/>
    <mergeCell ref="AG802:AJ803"/>
    <mergeCell ref="T748:W751"/>
    <mergeCell ref="X748:AB751"/>
    <mergeCell ref="AC748:AG751"/>
    <mergeCell ref="AC752:AG752"/>
    <mergeCell ref="Z736:AB736"/>
    <mergeCell ref="AC755:AG755"/>
    <mergeCell ref="G729:J729"/>
    <mergeCell ref="G715:J715"/>
    <mergeCell ref="B714:F714"/>
    <mergeCell ref="B717:F717"/>
    <mergeCell ref="Z793:AE793"/>
    <mergeCell ref="O762:S765"/>
    <mergeCell ref="AC776:AG776"/>
    <mergeCell ref="Z792:AE792"/>
    <mergeCell ref="J773:N773"/>
    <mergeCell ref="O773:S773"/>
    <mergeCell ref="J774:N774"/>
    <mergeCell ref="Z787:AE787"/>
    <mergeCell ref="T774:W774"/>
    <mergeCell ref="X774:AB774"/>
    <mergeCell ref="O752:S752"/>
    <mergeCell ref="K729:N729"/>
    <mergeCell ref="AH721:AL721"/>
    <mergeCell ref="AH723:AL723"/>
    <mergeCell ref="O755:S755"/>
    <mergeCell ref="B715:F715"/>
    <mergeCell ref="X773:AB773"/>
    <mergeCell ref="AC773:AG773"/>
    <mergeCell ref="Z785:AE785"/>
    <mergeCell ref="T775:W775"/>
    <mergeCell ref="B730:F730"/>
    <mergeCell ref="O767:S767"/>
    <mergeCell ref="U806:X806"/>
    <mergeCell ref="X756:AB756"/>
    <mergeCell ref="AC756:AG756"/>
    <mergeCell ref="T762:W765"/>
    <mergeCell ref="X762:AB765"/>
    <mergeCell ref="AG806:AJ806"/>
    <mergeCell ref="Z786:AE786"/>
    <mergeCell ref="G718:J718"/>
    <mergeCell ref="J754:N754"/>
    <mergeCell ref="J768:N768"/>
    <mergeCell ref="J753:N753"/>
    <mergeCell ref="AG805:AJ805"/>
    <mergeCell ref="O768:S768"/>
    <mergeCell ref="Q804:T804"/>
    <mergeCell ref="Q806:T806"/>
    <mergeCell ref="Y805:AB805"/>
    <mergeCell ref="O729:S729"/>
    <mergeCell ref="O766:S766"/>
    <mergeCell ref="J767:N767"/>
    <mergeCell ref="O772:S772"/>
    <mergeCell ref="AC775:AG775"/>
    <mergeCell ref="X766:AB766"/>
    <mergeCell ref="AC766:AG766"/>
    <mergeCell ref="T767:W767"/>
    <mergeCell ref="X767:AB767"/>
    <mergeCell ref="AC767:AG767"/>
    <mergeCell ref="T768:W768"/>
    <mergeCell ref="AC768:AG768"/>
    <mergeCell ref="T769:W769"/>
    <mergeCell ref="X769:AB769"/>
    <mergeCell ref="W255:X255"/>
    <mergeCell ref="AA289:AK289"/>
    <mergeCell ref="AB278:AD278"/>
    <mergeCell ref="U265:W265"/>
    <mergeCell ref="L280:Q280"/>
    <mergeCell ref="U257:W257"/>
    <mergeCell ref="AA298:AK298"/>
    <mergeCell ref="P293:R293"/>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A301:AF301"/>
    <mergeCell ref="AA307:AK307"/>
    <mergeCell ref="AA300:AK300"/>
    <mergeCell ref="H297:R297"/>
    <mergeCell ref="H292:R292"/>
    <mergeCell ref="Y211:Z211"/>
    <mergeCell ref="M250:AE250"/>
    <mergeCell ref="T197:U197"/>
    <mergeCell ref="Z239:AE239"/>
    <mergeCell ref="J178:K178"/>
    <mergeCell ref="M178:N178"/>
    <mergeCell ref="AD178:AH178"/>
    <mergeCell ref="E187:AE188"/>
    <mergeCell ref="AF215:AG215"/>
    <mergeCell ref="O163:T163"/>
    <mergeCell ref="Y180:Z180"/>
    <mergeCell ref="W198:X198"/>
    <mergeCell ref="AC219:AM219"/>
    <mergeCell ref="I184:AE184"/>
    <mergeCell ref="T193:U193"/>
    <mergeCell ref="R199:AB199"/>
    <mergeCell ref="U249:W249"/>
    <mergeCell ref="M249:R249"/>
    <mergeCell ref="AK196:AL196"/>
    <mergeCell ref="AA193:AC193"/>
    <mergeCell ref="AC215:AD215"/>
    <mergeCell ref="D167:Y167"/>
    <mergeCell ref="P203:U203"/>
    <mergeCell ref="W203:AB203"/>
    <mergeCell ref="W237:X237"/>
    <mergeCell ref="M242:AE242"/>
    <mergeCell ref="AC218:AM218"/>
    <mergeCell ref="O33:P33"/>
    <mergeCell ref="O158:AH158"/>
    <mergeCell ref="Z265:AE265"/>
    <mergeCell ref="M251:T251"/>
    <mergeCell ref="D208:M208"/>
    <mergeCell ref="W247:X247"/>
    <mergeCell ref="O226:P226"/>
    <mergeCell ref="O227:P227"/>
    <mergeCell ref="U239:W239"/>
    <mergeCell ref="D223:AI223"/>
    <mergeCell ref="T194:U194"/>
    <mergeCell ref="J173:S173"/>
    <mergeCell ref="L115:N115"/>
    <mergeCell ref="X175:Y175"/>
    <mergeCell ref="T195:U195"/>
    <mergeCell ref="O161:R161"/>
    <mergeCell ref="W162:X162"/>
    <mergeCell ref="AC255:AE255"/>
    <mergeCell ref="M248:AE248"/>
    <mergeCell ref="Z249:AE249"/>
    <mergeCell ref="M247:T247"/>
    <mergeCell ref="M241:T241"/>
    <mergeCell ref="AC247:AE247"/>
    <mergeCell ref="AF245:AK245"/>
    <mergeCell ref="AC237:AE237"/>
    <mergeCell ref="M246:AE246"/>
    <mergeCell ref="AF253:AK253"/>
    <mergeCell ref="U174:V174"/>
    <mergeCell ref="U175:V175"/>
    <mergeCell ref="U176:V176"/>
    <mergeCell ref="I190:N190"/>
    <mergeCell ref="T190:AE190"/>
    <mergeCell ref="M259:T259"/>
    <mergeCell ref="H313:R313"/>
    <mergeCell ref="M266:AE266"/>
    <mergeCell ref="H327:R327"/>
    <mergeCell ref="H325:M325"/>
    <mergeCell ref="AA292:AK292"/>
    <mergeCell ref="AA297:AK297"/>
    <mergeCell ref="AA313:AK313"/>
    <mergeCell ref="H311:R311"/>
    <mergeCell ref="T280:V280"/>
    <mergeCell ref="H298:R298"/>
    <mergeCell ref="L276:AJ276"/>
    <mergeCell ref="V278:W278"/>
    <mergeCell ref="H307:R307"/>
    <mergeCell ref="H290:R290"/>
    <mergeCell ref="H289:R289"/>
    <mergeCell ref="M262:AE262"/>
    <mergeCell ref="AA293:AF293"/>
    <mergeCell ref="M267:T267"/>
    <mergeCell ref="AA305:AK305"/>
    <mergeCell ref="L278:S278"/>
    <mergeCell ref="AF261:AK261"/>
    <mergeCell ref="M264:AE264"/>
    <mergeCell ref="AI301:AK301"/>
    <mergeCell ref="L277:AD277"/>
    <mergeCell ref="AA325:AF325"/>
    <mergeCell ref="H301:M301"/>
    <mergeCell ref="H295:R295"/>
    <mergeCell ref="AA295:AK295"/>
    <mergeCell ref="AA302:AF302"/>
    <mergeCell ref="AI325:AK325"/>
    <mergeCell ref="M261:AE261"/>
    <mergeCell ref="J379:U379"/>
    <mergeCell ref="AA340:AK340"/>
    <mergeCell ref="V370:W370"/>
    <mergeCell ref="J378:U378"/>
    <mergeCell ref="P325:R325"/>
    <mergeCell ref="AA341:AF341"/>
    <mergeCell ref="M350:N350"/>
    <mergeCell ref="A345:AT346"/>
    <mergeCell ref="L281:AD281"/>
    <mergeCell ref="AO630:AS630"/>
    <mergeCell ref="AC631:AE631"/>
    <mergeCell ref="AF631:AJ631"/>
    <mergeCell ref="AK631:AN631"/>
    <mergeCell ref="AO631:AS631"/>
    <mergeCell ref="B633:AN633"/>
    <mergeCell ref="H650:R650"/>
    <mergeCell ref="W623:Y623"/>
    <mergeCell ref="W624:Y624"/>
    <mergeCell ref="W263:X263"/>
    <mergeCell ref="AG384:AJ384"/>
    <mergeCell ref="AM546:AS548"/>
    <mergeCell ref="H608:R608"/>
    <mergeCell ref="M550:P550"/>
    <mergeCell ref="C551:L551"/>
    <mergeCell ref="M551:P551"/>
    <mergeCell ref="Y358:Z358"/>
    <mergeCell ref="AI333:AK333"/>
    <mergeCell ref="AI341:AK341"/>
    <mergeCell ref="AA342:AF342"/>
    <mergeCell ref="AH508:AK508"/>
    <mergeCell ref="AH513:AK513"/>
    <mergeCell ref="B635:AN635"/>
    <mergeCell ref="C628:L628"/>
    <mergeCell ref="C629:L629"/>
    <mergeCell ref="C630:L630"/>
    <mergeCell ref="AO632:AS632"/>
    <mergeCell ref="T631:V631"/>
    <mergeCell ref="T632:V632"/>
    <mergeCell ref="W628:Y628"/>
    <mergeCell ref="W629:Y629"/>
    <mergeCell ref="B634:AN634"/>
    <mergeCell ref="AO634:AS634"/>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A674:AK674"/>
    <mergeCell ref="B708:F708"/>
    <mergeCell ref="B704:F704"/>
    <mergeCell ref="G681:L681"/>
    <mergeCell ref="W625:Y625"/>
    <mergeCell ref="W626:Y626"/>
    <mergeCell ref="G649:L649"/>
    <mergeCell ref="G640:R640"/>
    <mergeCell ref="M625:P625"/>
    <mergeCell ref="AK624:AN624"/>
    <mergeCell ref="AC627:AE627"/>
    <mergeCell ref="W631:Y631"/>
    <mergeCell ref="W632:Y632"/>
    <mergeCell ref="Q628:S628"/>
    <mergeCell ref="G697:J697"/>
    <mergeCell ref="B697:F697"/>
    <mergeCell ref="M943:S943"/>
    <mergeCell ref="M947:S947"/>
    <mergeCell ref="AA946:AG946"/>
    <mergeCell ref="M946:S946"/>
    <mergeCell ref="AA944:AG944"/>
    <mergeCell ref="AB964:AI964"/>
    <mergeCell ref="AJ964:AQ964"/>
    <mergeCell ref="G705:J705"/>
    <mergeCell ref="K695:N695"/>
    <mergeCell ref="O695:S695"/>
    <mergeCell ref="G712:J712"/>
    <mergeCell ref="G713:J713"/>
    <mergeCell ref="C731:AH732"/>
    <mergeCell ref="Y695:AB695"/>
    <mergeCell ref="AC695:AG695"/>
    <mergeCell ref="AH695:AL695"/>
    <mergeCell ref="AA905:AF905"/>
    <mergeCell ref="F901:T901"/>
    <mergeCell ref="U901:Z901"/>
    <mergeCell ref="B711:F711"/>
    <mergeCell ref="B713:F713"/>
    <mergeCell ref="AG733:AJ733"/>
    <mergeCell ref="B716:F716"/>
    <mergeCell ref="B703:F703"/>
    <mergeCell ref="J771:N771"/>
    <mergeCell ref="O771:S771"/>
    <mergeCell ref="G701:J701"/>
    <mergeCell ref="B699:F699"/>
    <mergeCell ref="B705:F705"/>
    <mergeCell ref="G711:J711"/>
    <mergeCell ref="B700:F700"/>
    <mergeCell ref="AH699:AL69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C632:L632"/>
    <mergeCell ref="Z631:AB631"/>
    <mergeCell ref="T629:V629"/>
    <mergeCell ref="T630:V630"/>
    <mergeCell ref="Z625:AB625"/>
    <mergeCell ref="Z626:AB626"/>
    <mergeCell ref="Z627:AB627"/>
    <mergeCell ref="AC626:AE626"/>
    <mergeCell ref="AF626:AJ626"/>
    <mergeCell ref="AK626:AN626"/>
    <mergeCell ref="AC632:AE632"/>
    <mergeCell ref="AF632:AJ632"/>
    <mergeCell ref="AO633:AS633"/>
    <mergeCell ref="AK628:AN628"/>
    <mergeCell ref="Z628:AB628"/>
    <mergeCell ref="AO625:AS625"/>
    <mergeCell ref="Q631:S631"/>
    <mergeCell ref="Q632:S632"/>
    <mergeCell ref="AK627:AN627"/>
    <mergeCell ref="AF627:AJ627"/>
    <mergeCell ref="AC628:AE628"/>
    <mergeCell ref="Z632:AB632"/>
    <mergeCell ref="Q626:S626"/>
    <mergeCell ref="AC629:AE629"/>
    <mergeCell ref="AF629:AJ629"/>
    <mergeCell ref="AK629:AN629"/>
    <mergeCell ref="AO629:AS629"/>
    <mergeCell ref="AC630:AE630"/>
    <mergeCell ref="AF630:AJ630"/>
    <mergeCell ref="AK630:AN630"/>
    <mergeCell ref="Q625:S625"/>
    <mergeCell ref="AO628:AS62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Q627:S627"/>
    <mergeCell ref="Q629:S629"/>
    <mergeCell ref="Q630:S630"/>
    <mergeCell ref="T626:V626"/>
    <mergeCell ref="T627:V627"/>
    <mergeCell ref="T628:V628"/>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AO621:AS621"/>
    <mergeCell ref="M558:P558"/>
    <mergeCell ref="C559:L559"/>
    <mergeCell ref="M559:P559"/>
    <mergeCell ref="C560:L560"/>
    <mergeCell ref="M560:P560"/>
    <mergeCell ref="G580:R580"/>
    <mergeCell ref="H584:R584"/>
    <mergeCell ref="H576:R576"/>
    <mergeCell ref="G573:R573"/>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AH509:AK509"/>
    <mergeCell ref="AC533:AF533"/>
    <mergeCell ref="AH520:AK520"/>
    <mergeCell ref="AH521:AK521"/>
    <mergeCell ref="AC525:AF525"/>
    <mergeCell ref="AH526:AK526"/>
    <mergeCell ref="AH528:AK528"/>
    <mergeCell ref="AH533:AK533"/>
    <mergeCell ref="AC531:AF531"/>
    <mergeCell ref="Q559:S559"/>
    <mergeCell ref="B561:AL561"/>
    <mergeCell ref="M351:N351"/>
    <mergeCell ref="P333:R333"/>
    <mergeCell ref="AA317:AF317"/>
    <mergeCell ref="H314:R314"/>
    <mergeCell ref="AI317:AK317"/>
    <mergeCell ref="H323:R323"/>
    <mergeCell ref="AA323:AK323"/>
    <mergeCell ref="P341:R341"/>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H329:R329"/>
    <mergeCell ref="H337:R337"/>
    <mergeCell ref="S370:T370"/>
    <mergeCell ref="D442:AF442"/>
    <mergeCell ref="N364:Q364"/>
    <mergeCell ref="M349:N349"/>
    <mergeCell ref="AG435:AJ435"/>
    <mergeCell ref="AD404:AE404"/>
    <mergeCell ref="Y121:AK121"/>
    <mergeCell ref="AA324:AK324"/>
    <mergeCell ref="AA319:AK319"/>
    <mergeCell ref="T189:AE189"/>
    <mergeCell ref="I189:P189"/>
    <mergeCell ref="H318:M318"/>
    <mergeCell ref="E217:Z217"/>
    <mergeCell ref="T196:U196"/>
    <mergeCell ref="D211:P211"/>
    <mergeCell ref="D214:Z214"/>
    <mergeCell ref="AI194:AJ194"/>
    <mergeCell ref="A231:AT232"/>
    <mergeCell ref="A284:AT285"/>
    <mergeCell ref="N366:AF367"/>
    <mergeCell ref="Q383:U383"/>
    <mergeCell ref="AG383:AJ383"/>
    <mergeCell ref="H334:M334"/>
    <mergeCell ref="AA337:AK337"/>
    <mergeCell ref="AA259:AK259"/>
    <mergeCell ref="L279:AD279"/>
    <mergeCell ref="X272:AC272"/>
    <mergeCell ref="AA330:AK330"/>
    <mergeCell ref="AJ351:AK351"/>
    <mergeCell ref="AA343:AK343"/>
    <mergeCell ref="AC363:AF363"/>
    <mergeCell ref="M352:N352"/>
    <mergeCell ref="Q382:U382"/>
    <mergeCell ref="K397:AJ397"/>
    <mergeCell ref="S398:AJ398"/>
    <mergeCell ref="AG372:AH372"/>
    <mergeCell ref="V374:W374"/>
    <mergeCell ref="AG386:AJ386"/>
    <mergeCell ref="Z425:AA425"/>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AA327:AK327"/>
    <mergeCell ref="AA315:AK315"/>
    <mergeCell ref="H332:R332"/>
    <mergeCell ref="H333:M333"/>
    <mergeCell ref="AA338:AK338"/>
    <mergeCell ref="J360:K360"/>
    <mergeCell ref="I385:N385"/>
    <mergeCell ref="S385:U385"/>
    <mergeCell ref="AI385:AJ385"/>
    <mergeCell ref="H321:R321"/>
    <mergeCell ref="AA331:AK331"/>
    <mergeCell ref="AH524:AK524"/>
    <mergeCell ref="AC528:AF528"/>
    <mergeCell ref="AH529:AK529"/>
    <mergeCell ref="AG433:AJ433"/>
    <mergeCell ref="J380:U380"/>
    <mergeCell ref="AC380:AJ380"/>
    <mergeCell ref="J381:U381"/>
    <mergeCell ref="V381:AJ381"/>
    <mergeCell ref="AG388:AJ388"/>
    <mergeCell ref="F420:AH421"/>
    <mergeCell ref="D399:AJ400"/>
    <mergeCell ref="I414:K414"/>
    <mergeCell ref="D430:AF430"/>
    <mergeCell ref="P418:Q418"/>
    <mergeCell ref="E413:AJ413"/>
    <mergeCell ref="S394:U394"/>
    <mergeCell ref="K396:AJ396"/>
    <mergeCell ref="D432:AF432"/>
    <mergeCell ref="AI382:AJ382"/>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AG609:AH609"/>
    <mergeCell ref="BE611:BF611"/>
    <mergeCell ref="Z607:AE607"/>
    <mergeCell ref="BK598:BL598"/>
    <mergeCell ref="BI598:BJ598"/>
    <mergeCell ref="BK600:BL600"/>
    <mergeCell ref="BI599:BJ599"/>
    <mergeCell ref="BI601:BJ601"/>
    <mergeCell ref="BG599:BH599"/>
    <mergeCell ref="AA600:AK600"/>
    <mergeCell ref="G605:R605"/>
    <mergeCell ref="G606:R606"/>
    <mergeCell ref="G596:R596"/>
    <mergeCell ref="P599:R599"/>
    <mergeCell ref="G598:R598"/>
    <mergeCell ref="G597:R597"/>
    <mergeCell ref="BE606:BF606"/>
    <mergeCell ref="Z587:AK587"/>
    <mergeCell ref="G604:R604"/>
    <mergeCell ref="Z588:AK588"/>
    <mergeCell ref="AI599:AK599"/>
    <mergeCell ref="BK594:BL594"/>
    <mergeCell ref="BK595:BL595"/>
    <mergeCell ref="BG605:BH605"/>
    <mergeCell ref="BE594:BF594"/>
    <mergeCell ref="BG594:BH594"/>
    <mergeCell ref="BE593:BF593"/>
    <mergeCell ref="BK605:BL605"/>
    <mergeCell ref="BE598:BF598"/>
    <mergeCell ref="BK593:BL593"/>
    <mergeCell ref="BG598:BH598"/>
    <mergeCell ref="Z596:AK596"/>
    <mergeCell ref="BE597:BF597"/>
    <mergeCell ref="BG593:BH593"/>
    <mergeCell ref="BI593:BJ593"/>
    <mergeCell ref="BG591:BH591"/>
    <mergeCell ref="N593:O593"/>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E592:BF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X1025:AC1025"/>
    <mergeCell ref="B1031:AK1031"/>
    <mergeCell ref="X1024:AC1024"/>
    <mergeCell ref="U925:Z925"/>
    <mergeCell ref="L933:S933"/>
    <mergeCell ref="L932:S932"/>
    <mergeCell ref="U926:Z926"/>
    <mergeCell ref="D983:AE985"/>
    <mergeCell ref="L936:S936"/>
    <mergeCell ref="A887:AT888"/>
    <mergeCell ref="C816:AJ816"/>
    <mergeCell ref="M825:V825"/>
    <mergeCell ref="M811:P811"/>
    <mergeCell ref="W823:AC823"/>
    <mergeCell ref="W838:AC838"/>
    <mergeCell ref="M855:V855"/>
    <mergeCell ref="AC874:AH874"/>
    <mergeCell ref="AB963:AI963"/>
    <mergeCell ref="AJ963:AQ963"/>
    <mergeCell ref="D964:Q964"/>
    <mergeCell ref="AF968:AI968"/>
    <mergeCell ref="AJ968:AQ968"/>
    <mergeCell ref="D969:AE969"/>
    <mergeCell ref="D982:AE982"/>
    <mergeCell ref="W834:AC834"/>
    <mergeCell ref="W833:AC833"/>
    <mergeCell ref="W845:AC845"/>
    <mergeCell ref="W846:AC846"/>
    <mergeCell ref="D1020:AI1020"/>
    <mergeCell ref="AJ1020:AQ1020"/>
    <mergeCell ref="D1011:AE1011"/>
    <mergeCell ref="U811:X811"/>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AM700:AO700"/>
    <mergeCell ref="AM695:AO695"/>
    <mergeCell ref="K696:N696"/>
    <mergeCell ref="O696:S696"/>
    <mergeCell ref="O718:S718"/>
    <mergeCell ref="J772:N772"/>
    <mergeCell ref="X768:AB768"/>
    <mergeCell ref="G709:J709"/>
    <mergeCell ref="G708:J708"/>
    <mergeCell ref="G702:J702"/>
    <mergeCell ref="Y698:AB698"/>
    <mergeCell ref="AC698:AG698"/>
    <mergeCell ref="K699:N699"/>
    <mergeCell ref="G717:J717"/>
    <mergeCell ref="T716:X716"/>
    <mergeCell ref="T705:X705"/>
    <mergeCell ref="Y705:AB705"/>
    <mergeCell ref="AC705:AG705"/>
    <mergeCell ref="AH705:AL705"/>
    <mergeCell ref="AC711:AG711"/>
    <mergeCell ref="AH711:AL711"/>
    <mergeCell ref="AH700:AL700"/>
    <mergeCell ref="AH708:AL708"/>
    <mergeCell ref="AM696:AO696"/>
    <mergeCell ref="AM704:AO704"/>
    <mergeCell ref="AM697:AO697"/>
    <mergeCell ref="K698:N698"/>
    <mergeCell ref="O698:S698"/>
    <mergeCell ref="T698:X698"/>
    <mergeCell ref="T696:X696"/>
    <mergeCell ref="Y696:AB696"/>
    <mergeCell ref="AC696:AG696"/>
    <mergeCell ref="T702:X702"/>
    <mergeCell ref="Y702:AB702"/>
    <mergeCell ref="AC702:AG702"/>
    <mergeCell ref="AH702:AL702"/>
    <mergeCell ref="AM702:AO702"/>
    <mergeCell ref="AM703:AO703"/>
    <mergeCell ref="K704:N704"/>
    <mergeCell ref="AH512:AK512"/>
    <mergeCell ref="AC509:AF509"/>
    <mergeCell ref="AC512:AF512"/>
    <mergeCell ref="AC511:AF511"/>
    <mergeCell ref="G641:L641"/>
    <mergeCell ref="Z671:AK671"/>
    <mergeCell ref="G665:L665"/>
    <mergeCell ref="Z679:AK679"/>
    <mergeCell ref="AG667:AH667"/>
    <mergeCell ref="AI673:AK673"/>
    <mergeCell ref="AI641:AK641"/>
    <mergeCell ref="Z677:AK677"/>
    <mergeCell ref="P657:R657"/>
    <mergeCell ref="AA666:AK666"/>
    <mergeCell ref="P673:R673"/>
    <mergeCell ref="T752:W752"/>
    <mergeCell ref="X752:AB752"/>
    <mergeCell ref="AA642:AK642"/>
    <mergeCell ref="G669:R669"/>
    <mergeCell ref="K700:N700"/>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700:AG700"/>
    <mergeCell ref="Z641:AE641"/>
    <mergeCell ref="Z654:AK654"/>
    <mergeCell ref="AG651:AH651"/>
    <mergeCell ref="Z653:AK653"/>
    <mergeCell ref="Z581:AK581"/>
    <mergeCell ref="G603:R603"/>
    <mergeCell ref="N601:O601"/>
    <mergeCell ref="AO635:AS635"/>
    <mergeCell ref="G664:R664"/>
    <mergeCell ref="AH696:AL696"/>
    <mergeCell ref="Z656:AK656"/>
    <mergeCell ref="Z580:AK580"/>
    <mergeCell ref="Z574:AK574"/>
    <mergeCell ref="G574:R574"/>
    <mergeCell ref="Z591:AE591"/>
    <mergeCell ref="AI591:AK591"/>
    <mergeCell ref="AH518:AK518"/>
    <mergeCell ref="AH522:AK522"/>
    <mergeCell ref="AC524:AF524"/>
    <mergeCell ref="AC517:AF517"/>
    <mergeCell ref="AC523:AF523"/>
    <mergeCell ref="AH515:AK515"/>
    <mergeCell ref="AC529:AF529"/>
    <mergeCell ref="AC530:AF530"/>
    <mergeCell ref="AC526:AF526"/>
    <mergeCell ref="T556:V556"/>
    <mergeCell ref="W556:Y556"/>
    <mergeCell ref="Z556:AD556"/>
    <mergeCell ref="AE556:AH556"/>
    <mergeCell ref="AH531:AK531"/>
    <mergeCell ref="O530:AA530"/>
    <mergeCell ref="AH532:AK532"/>
    <mergeCell ref="M553:P553"/>
    <mergeCell ref="W552:Y552"/>
    <mergeCell ref="Z552:AD552"/>
    <mergeCell ref="AE552:AH552"/>
    <mergeCell ref="AI552:AL552"/>
    <mergeCell ref="AH525:AK525"/>
    <mergeCell ref="O524:AA524"/>
    <mergeCell ref="Q554:S554"/>
    <mergeCell ref="T554:V554"/>
    <mergeCell ref="AH536:AK536"/>
    <mergeCell ref="W554:Y554"/>
    <mergeCell ref="AE554:AH554"/>
    <mergeCell ref="AI554:AL554"/>
    <mergeCell ref="AI549:AL549"/>
    <mergeCell ref="AE551:AH551"/>
    <mergeCell ref="AI551:AL551"/>
    <mergeCell ref="AM549:AS549"/>
    <mergeCell ref="Q550:S550"/>
    <mergeCell ref="T550:V550"/>
    <mergeCell ref="G648:R648"/>
    <mergeCell ref="N643:O643"/>
    <mergeCell ref="H642:R642"/>
    <mergeCell ref="G646:R646"/>
    <mergeCell ref="M631:P631"/>
    <mergeCell ref="M632:P632"/>
    <mergeCell ref="AH517:AK517"/>
    <mergeCell ref="AC510:AF510"/>
    <mergeCell ref="AH496:AK496"/>
    <mergeCell ref="AH501:AK501"/>
    <mergeCell ref="D446:AJ446"/>
    <mergeCell ref="W466:Y466"/>
    <mergeCell ref="W462:Y462"/>
    <mergeCell ref="AC503:AF503"/>
    <mergeCell ref="AH499:AK499"/>
    <mergeCell ref="Q551:S551"/>
    <mergeCell ref="T551:V551"/>
    <mergeCell ref="W551:Y551"/>
    <mergeCell ref="Z551:AD551"/>
    <mergeCell ref="AH523:AK523"/>
    <mergeCell ref="AC537:AF537"/>
    <mergeCell ref="AC520:AF520"/>
    <mergeCell ref="AM550:AS550"/>
    <mergeCell ref="Q556:S556"/>
    <mergeCell ref="AM554:AS554"/>
    <mergeCell ref="M546:P548"/>
    <mergeCell ref="AM561:AS561"/>
    <mergeCell ref="Q552:S552"/>
    <mergeCell ref="T552:V552"/>
    <mergeCell ref="AG443:AJ443"/>
    <mergeCell ref="D444:AJ445"/>
    <mergeCell ref="D460:V460"/>
    <mergeCell ref="AC447:AF447"/>
    <mergeCell ref="AC508:AF508"/>
    <mergeCell ref="AG440:AJ440"/>
    <mergeCell ref="AG441:AJ441"/>
    <mergeCell ref="D466:V466"/>
    <mergeCell ref="AC497:AF497"/>
    <mergeCell ref="AC499:AF499"/>
    <mergeCell ref="AC500:AF500"/>
    <mergeCell ref="AC516:AF516"/>
    <mergeCell ref="AH514:AK514"/>
    <mergeCell ref="O515:AA515"/>
    <mergeCell ref="AH503:AK503"/>
    <mergeCell ref="AH502:AK502"/>
    <mergeCell ref="AH511:AK511"/>
    <mergeCell ref="AH510:AK510"/>
    <mergeCell ref="W469:Y469"/>
    <mergeCell ref="AH497:AK497"/>
    <mergeCell ref="AC498:AF498"/>
    <mergeCell ref="AC495:AK495"/>
    <mergeCell ref="D463:V463"/>
    <mergeCell ref="AG447:AJ447"/>
    <mergeCell ref="AG448:AJ448"/>
    <mergeCell ref="AH516:AK516"/>
    <mergeCell ref="AC506:AF506"/>
    <mergeCell ref="AH506:AK506"/>
    <mergeCell ref="AC449:AF449"/>
    <mergeCell ref="B512:H514"/>
    <mergeCell ref="AH491:AK491"/>
    <mergeCell ref="AC501:AF501"/>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W550:Y550"/>
    <mergeCell ref="Z550:AD550"/>
    <mergeCell ref="AE550:AH550"/>
    <mergeCell ref="AC518:AF518"/>
    <mergeCell ref="AC527:AF527"/>
    <mergeCell ref="AC522:AF522"/>
    <mergeCell ref="O518:AA518"/>
    <mergeCell ref="W549:Y549"/>
    <mergeCell ref="Z549:AD549"/>
    <mergeCell ref="AE549:AH549"/>
    <mergeCell ref="AH534:AK534"/>
    <mergeCell ref="AC534:AF534"/>
    <mergeCell ref="AC536:AF536"/>
    <mergeCell ref="AH535:AK535"/>
    <mergeCell ref="AH537:AK537"/>
    <mergeCell ref="AH530:AK530"/>
    <mergeCell ref="AH527:AK527"/>
    <mergeCell ref="W546:Y548"/>
    <mergeCell ref="AC532:AF532"/>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Q386:U386"/>
    <mergeCell ref="D468:V468"/>
    <mergeCell ref="W468:Y468"/>
    <mergeCell ref="D471:Y473"/>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BK591:BL591"/>
    <mergeCell ref="G582:R582"/>
    <mergeCell ref="Z583:AE583"/>
    <mergeCell ref="AG577:AH577"/>
    <mergeCell ref="N577:O577"/>
    <mergeCell ref="Z579:AK579"/>
    <mergeCell ref="G575:L575"/>
    <mergeCell ref="Z575:AE575"/>
    <mergeCell ref="Z565:AK565"/>
    <mergeCell ref="G565:R565"/>
    <mergeCell ref="H568:R568"/>
    <mergeCell ref="G566:R566"/>
    <mergeCell ref="G572:R572"/>
    <mergeCell ref="N585:O585"/>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CH595:CL595"/>
    <mergeCell ref="CM595:CQ595"/>
    <mergeCell ref="DR599:DV599"/>
    <mergeCell ref="DR600:DV600"/>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S601:BW601"/>
    <mergeCell ref="BX601:CB60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CC612:CG612"/>
    <mergeCell ref="CH612:CL612"/>
    <mergeCell ref="BS613:BW613"/>
    <mergeCell ref="BX613:CB613"/>
    <mergeCell ref="CC613:CG613"/>
    <mergeCell ref="CH613:CL613"/>
    <mergeCell ref="BS614:BW614"/>
    <mergeCell ref="BX614:CB614"/>
    <mergeCell ref="CC626:CG626"/>
    <mergeCell ref="CH626:CL626"/>
    <mergeCell ref="CM626:CQ626"/>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BN615:BR615"/>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CC635:CG635"/>
    <mergeCell ref="CH635:CL635"/>
    <mergeCell ref="CC615:CG615"/>
    <mergeCell ref="BS626:BW626"/>
    <mergeCell ref="BX626:CB626"/>
    <mergeCell ref="CM635:CQ635"/>
    <mergeCell ref="BN633:BR633"/>
    <mergeCell ref="CM633:CQ633"/>
    <mergeCell ref="CH633:CL633"/>
    <mergeCell ref="CC633:CG633"/>
    <mergeCell ref="BX633:CB633"/>
    <mergeCell ref="CC630:CG630"/>
    <mergeCell ref="CC631:CG631"/>
    <mergeCell ref="CC632:CG632"/>
    <mergeCell ref="CH630:CL630"/>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CH641:CL641"/>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CC638:CG638"/>
    <mergeCell ref="BN638:BR638"/>
    <mergeCell ref="BS638:BW638"/>
    <mergeCell ref="BX638:CB638"/>
    <mergeCell ref="Z638:AK638"/>
    <mergeCell ref="Z639:AK639"/>
    <mergeCell ref="Z648:AK648"/>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Z664:AK664"/>
    <mergeCell ref="N667:O667"/>
    <mergeCell ref="Z662:AK662"/>
    <mergeCell ref="G663:R663"/>
    <mergeCell ref="AG643:AH643"/>
    <mergeCell ref="Z672:AK672"/>
    <mergeCell ref="AI681:AK681"/>
    <mergeCell ref="G672:R672"/>
    <mergeCell ref="G677:R677"/>
    <mergeCell ref="Z663:AK663"/>
    <mergeCell ref="N659:O659"/>
    <mergeCell ref="G671:R671"/>
    <mergeCell ref="G653:R653"/>
    <mergeCell ref="B691:F694"/>
    <mergeCell ref="Z680:AK680"/>
    <mergeCell ref="G678:R678"/>
    <mergeCell ref="G691:J694"/>
    <mergeCell ref="AG683:AH683"/>
    <mergeCell ref="AA658:AK658"/>
    <mergeCell ref="G647:R647"/>
    <mergeCell ref="G656:R656"/>
    <mergeCell ref="H658:R658"/>
    <mergeCell ref="A686:AT688"/>
    <mergeCell ref="AM691:AO694"/>
    <mergeCell ref="G673:L673"/>
    <mergeCell ref="B695:F695"/>
    <mergeCell ref="K711:N711"/>
    <mergeCell ref="O711:S711"/>
    <mergeCell ref="T711:X711"/>
    <mergeCell ref="Y711:AB711"/>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O704:S704"/>
    <mergeCell ref="T704:X704"/>
    <mergeCell ref="Y704:AB704"/>
    <mergeCell ref="AH704:AL704"/>
    <mergeCell ref="K708:N708"/>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5:N705"/>
    <mergeCell ref="O705:S705"/>
    <mergeCell ref="Y717:AB717"/>
    <mergeCell ref="AC717:AG717"/>
    <mergeCell ref="AH717:AL717"/>
    <mergeCell ref="AM717:AO717"/>
    <mergeCell ref="K715:N715"/>
    <mergeCell ref="O715:S715"/>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C707:AG707"/>
    <mergeCell ref="AH706:AL706"/>
    <mergeCell ref="O706:S706"/>
    <mergeCell ref="AM708:AO708"/>
    <mergeCell ref="AM709:AO709"/>
    <mergeCell ref="K710:N710"/>
    <mergeCell ref="O710:S710"/>
    <mergeCell ref="T710:X710"/>
    <mergeCell ref="Y710:AB710"/>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29:X729"/>
    <mergeCell ref="Y729:AB729"/>
    <mergeCell ref="AC729:AG729"/>
    <mergeCell ref="AH729:AL729"/>
    <mergeCell ref="AM715:AO715"/>
    <mergeCell ref="AC726:AG726"/>
    <mergeCell ref="AH726:AL726"/>
    <mergeCell ref="AM721:AO721"/>
    <mergeCell ref="AM723:AO723"/>
    <mergeCell ref="AM716:AO716"/>
    <mergeCell ref="K717:N717"/>
    <mergeCell ref="O717:S717"/>
    <mergeCell ref="T717:X717"/>
    <mergeCell ref="R964:AA964"/>
    <mergeCell ref="AJ966:AQ966"/>
    <mergeCell ref="F902:T902"/>
    <mergeCell ref="AP876:AS876"/>
    <mergeCell ref="AA926:AF926"/>
    <mergeCell ref="F906:T906"/>
    <mergeCell ref="U906:Z906"/>
    <mergeCell ref="AA906:AF906"/>
    <mergeCell ref="T837:V837"/>
    <mergeCell ref="Z878:AE878"/>
    <mergeCell ref="W850:AC850"/>
    <mergeCell ref="F904:T904"/>
    <mergeCell ref="U904:Z904"/>
    <mergeCell ref="AA904:AF904"/>
    <mergeCell ref="F909:T909"/>
    <mergeCell ref="F910:T910"/>
    <mergeCell ref="F911:T911"/>
    <mergeCell ref="U895:Z895"/>
    <mergeCell ref="AA899:AF899"/>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J1004:AQ1006"/>
    <mergeCell ref="D1005:AE1006"/>
    <mergeCell ref="AG988:AH988"/>
    <mergeCell ref="AJ988:AQ990"/>
    <mergeCell ref="D970:AE973"/>
    <mergeCell ref="D974:AE974"/>
    <mergeCell ref="F926:H926"/>
    <mergeCell ref="F922:H922"/>
    <mergeCell ref="I922:T922"/>
    <mergeCell ref="U922:Z922"/>
    <mergeCell ref="AA922:AF922"/>
    <mergeCell ref="F914:T914"/>
    <mergeCell ref="U914:Z914"/>
    <mergeCell ref="AA914:AF914"/>
    <mergeCell ref="U920:Z920"/>
    <mergeCell ref="F900:T900"/>
    <mergeCell ref="AA951:AG951"/>
    <mergeCell ref="T949:Z949"/>
    <mergeCell ref="T948:Z948"/>
    <mergeCell ref="AA947:AG947"/>
    <mergeCell ref="AG976:AH976"/>
    <mergeCell ref="AJ991:AQ994"/>
    <mergeCell ref="D965:Q965"/>
    <mergeCell ref="R965:AA965"/>
    <mergeCell ref="AB965:AI965"/>
    <mergeCell ref="AJ965:AQ965"/>
    <mergeCell ref="R962:AA962"/>
    <mergeCell ref="AB962:AI962"/>
    <mergeCell ref="AJ962:AQ962"/>
    <mergeCell ref="D963:Q963"/>
    <mergeCell ref="R963:AA963"/>
    <mergeCell ref="AJ976:AQ981"/>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W832:AC832"/>
    <mergeCell ref="J828:V828"/>
    <mergeCell ref="T839:V839"/>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F992:AI994"/>
    <mergeCell ref="D1007:AE1007"/>
    <mergeCell ref="AG1007:AH1007"/>
    <mergeCell ref="AJ1007:AQ1010"/>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3:H923"/>
    <mergeCell ref="F924:H924"/>
    <mergeCell ref="F925:H925"/>
    <mergeCell ref="D987:AE987"/>
    <mergeCell ref="AB966:AI966"/>
    <mergeCell ref="B967:AI967"/>
    <mergeCell ref="D988:AE988"/>
    <mergeCell ref="I926:T926"/>
    <mergeCell ref="AA924:AF924"/>
    <mergeCell ref="I923:T923"/>
    <mergeCell ref="U921:Z921"/>
    <mergeCell ref="AA921:AF921"/>
    <mergeCell ref="I924:T924"/>
    <mergeCell ref="U913:Z913"/>
    <mergeCell ref="AA919:AF919"/>
    <mergeCell ref="AA910:AF910"/>
    <mergeCell ref="AA918:AF918"/>
    <mergeCell ref="AA920:AF920"/>
    <mergeCell ref="F920:T920"/>
    <mergeCell ref="F908:T908"/>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AA912:AF912"/>
    <mergeCell ref="Y811:AB811"/>
    <mergeCell ref="W844:AC844"/>
    <mergeCell ref="M807:P807"/>
    <mergeCell ref="AC865:AH865"/>
    <mergeCell ref="AG807:AJ807"/>
    <mergeCell ref="Q809:T809"/>
    <mergeCell ref="W821:AC821"/>
    <mergeCell ref="AC870:AH870"/>
    <mergeCell ref="AC867:AH867"/>
    <mergeCell ref="M857:V857"/>
    <mergeCell ref="AC866:AH866"/>
    <mergeCell ref="W836:AC836"/>
    <mergeCell ref="W822:AC822"/>
    <mergeCell ref="U810:X810"/>
    <mergeCell ref="W824:AC824"/>
    <mergeCell ref="F905:T905"/>
    <mergeCell ref="U905:Z905"/>
    <mergeCell ref="Y808:AB808"/>
    <mergeCell ref="W840:AC840"/>
    <mergeCell ref="AG811:AJ811"/>
    <mergeCell ref="AC864:AH864"/>
    <mergeCell ref="W851:AC851"/>
    <mergeCell ref="AC869:AH869"/>
    <mergeCell ref="AC811:AF811"/>
    <mergeCell ref="W828:AC828"/>
    <mergeCell ref="W830:AC830"/>
    <mergeCell ref="C807:H807"/>
    <mergeCell ref="Q810:T810"/>
    <mergeCell ref="U808:X808"/>
    <mergeCell ref="AG808:AJ808"/>
    <mergeCell ref="AG809:AJ809"/>
    <mergeCell ref="AA251:AK251"/>
    <mergeCell ref="M253:AE253"/>
    <mergeCell ref="M254:AE254"/>
    <mergeCell ref="M255:T255"/>
    <mergeCell ref="M256:AE256"/>
    <mergeCell ref="M257:R257"/>
    <mergeCell ref="H15:AJ15"/>
    <mergeCell ref="H17:AJ17"/>
    <mergeCell ref="Y118:AK118"/>
    <mergeCell ref="O156:AH156"/>
    <mergeCell ref="O157:AH157"/>
    <mergeCell ref="O159:AH159"/>
    <mergeCell ref="O160:X160"/>
    <mergeCell ref="O162:T162"/>
    <mergeCell ref="O164:AH164"/>
    <mergeCell ref="N191:AE192"/>
    <mergeCell ref="M236:AE236"/>
    <mergeCell ref="M237:T237"/>
    <mergeCell ref="M238:AE238"/>
    <mergeCell ref="M239:R239"/>
    <mergeCell ref="M240:AE240"/>
    <mergeCell ref="AA241:AK241"/>
    <mergeCell ref="M245:AE245"/>
    <mergeCell ref="A19:AL19"/>
    <mergeCell ref="O225:P225"/>
    <mergeCell ref="I185:AE185"/>
    <mergeCell ref="C117:K117"/>
    <mergeCell ref="G115:H115"/>
    <mergeCell ref="A20:AL20"/>
    <mergeCell ref="A29:AT31"/>
    <mergeCell ref="A39:AT46"/>
    <mergeCell ref="A48:AT49"/>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S93" sqref="S93"/>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 customHeight="1">
      <c r="A2" s="231"/>
      <c r="B2" s="232" t="s">
        <v>797</v>
      </c>
      <c r="C2" s="232" t="s">
        <v>507</v>
      </c>
      <c r="D2" s="232" t="s">
        <v>506</v>
      </c>
      <c r="E2" s="232" t="s">
        <v>798</v>
      </c>
      <c r="F2" s="233" t="str">
        <f>Application!B621&amp;Application!C621</f>
        <v>1)Banner Bank</v>
      </c>
      <c r="G2" s="233" t="str">
        <f>Application!B622&amp;Application!C622</f>
        <v xml:space="preserve">2)City of Fresno - CDBG </v>
      </c>
      <c r="H2" s="233" t="str">
        <f>Application!B623&amp;Application!C623</f>
        <v>3)City of Fresno - HOME Funds</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2400000</v>
      </c>
      <c r="C4" s="241">
        <v>2400000</v>
      </c>
      <c r="D4" s="241"/>
      <c r="E4" s="241"/>
      <c r="F4" s="241"/>
      <c r="G4" s="241">
        <v>2400000</v>
      </c>
      <c r="H4" s="241"/>
      <c r="I4" s="241"/>
      <c r="J4" s="241"/>
      <c r="K4" s="241"/>
      <c r="L4" s="241"/>
      <c r="M4" s="241"/>
      <c r="N4" s="241"/>
      <c r="O4" s="241"/>
      <c r="P4" s="241"/>
      <c r="Q4" s="241"/>
      <c r="R4" s="241">
        <f>C4</f>
        <v>2400000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2400000</v>
      </c>
      <c r="C8" s="240">
        <f t="shared" ref="C8:R8" si="0">SUM(C4:C7)</f>
        <v>2400000</v>
      </c>
      <c r="D8" s="240">
        <f t="shared" si="0"/>
        <v>0</v>
      </c>
      <c r="E8" s="240">
        <f t="shared" si="0"/>
        <v>0</v>
      </c>
      <c r="F8" s="240">
        <f t="shared" si="0"/>
        <v>0</v>
      </c>
      <c r="G8" s="240">
        <f t="shared" si="0"/>
        <v>2400000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2400000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2400000</v>
      </c>
      <c r="C12" s="240">
        <f t="shared" si="2"/>
        <v>2400000</v>
      </c>
      <c r="D12" s="240">
        <f t="shared" si="2"/>
        <v>0</v>
      </c>
      <c r="E12" s="240">
        <f t="shared" si="2"/>
        <v>0</v>
      </c>
      <c r="F12" s="240">
        <f t="shared" si="2"/>
        <v>0</v>
      </c>
      <c r="G12" s="240">
        <f t="shared" si="2"/>
        <v>2400000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2400000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1752916</v>
      </c>
      <c r="C29" s="241">
        <v>1752916</v>
      </c>
      <c r="D29" s="241"/>
      <c r="E29" s="241">
        <v>1752916</v>
      </c>
      <c r="F29" s="241"/>
      <c r="G29" s="241"/>
      <c r="H29" s="241"/>
      <c r="I29" s="241"/>
      <c r="J29" s="241"/>
      <c r="K29" s="241"/>
      <c r="L29" s="241"/>
      <c r="M29" s="241"/>
      <c r="N29" s="241"/>
      <c r="O29" s="241"/>
      <c r="P29" s="241"/>
      <c r="Q29" s="241"/>
      <c r="R29" s="241">
        <f t="shared" ref="R29:R37" si="7">SUM(E29:Q29)</f>
        <v>1752916</v>
      </c>
      <c r="S29" s="241">
        <v>1752916</v>
      </c>
      <c r="T29" s="241"/>
      <c r="U29" s="237"/>
    </row>
    <row r="30" spans="1:21" s="238" customFormat="1">
      <c r="A30" s="239" t="s">
        <v>911</v>
      </c>
      <c r="B30" s="240">
        <f t="shared" si="6"/>
        <v>17622000</v>
      </c>
      <c r="C30" s="241">
        <v>17622000</v>
      </c>
      <c r="D30" s="241"/>
      <c r="E30" s="241">
        <v>9523980</v>
      </c>
      <c r="F30" s="241">
        <v>5098020</v>
      </c>
      <c r="G30" s="241"/>
      <c r="H30" s="241">
        <v>3000000</v>
      </c>
      <c r="I30" s="241"/>
      <c r="J30" s="241"/>
      <c r="K30" s="241"/>
      <c r="L30" s="241"/>
      <c r="M30" s="241"/>
      <c r="N30" s="241"/>
      <c r="O30" s="241"/>
      <c r="P30" s="241"/>
      <c r="Q30" s="241"/>
      <c r="R30" s="241">
        <f t="shared" si="7"/>
        <v>17622000</v>
      </c>
      <c r="S30" s="241">
        <v>17622000</v>
      </c>
      <c r="T30" s="241"/>
      <c r="U30" s="237"/>
    </row>
    <row r="31" spans="1:21" s="238" customFormat="1">
      <c r="A31" s="239" t="s">
        <v>912</v>
      </c>
      <c r="B31" s="240">
        <f t="shared" si="6"/>
        <v>1296435</v>
      </c>
      <c r="C31" s="241">
        <v>1296435</v>
      </c>
      <c r="D31" s="241"/>
      <c r="E31" s="241">
        <v>1296435</v>
      </c>
      <c r="F31" s="241"/>
      <c r="G31" s="241"/>
      <c r="H31" s="241"/>
      <c r="I31" s="241"/>
      <c r="J31" s="241"/>
      <c r="K31" s="241"/>
      <c r="L31" s="241"/>
      <c r="M31" s="241"/>
      <c r="N31" s="241"/>
      <c r="O31" s="241"/>
      <c r="P31" s="241"/>
      <c r="Q31" s="241"/>
      <c r="R31" s="241">
        <f t="shared" si="7"/>
        <v>1296435</v>
      </c>
      <c r="S31" s="241">
        <v>1296435</v>
      </c>
      <c r="T31" s="241"/>
      <c r="U31" s="237"/>
    </row>
    <row r="32" spans="1:21" s="238" customFormat="1">
      <c r="A32" s="239" t="s">
        <v>913</v>
      </c>
      <c r="B32" s="240">
        <f t="shared" si="6"/>
        <v>1180290</v>
      </c>
      <c r="C32" s="241">
        <v>1180290</v>
      </c>
      <c r="D32" s="241"/>
      <c r="E32" s="241">
        <v>1180290</v>
      </c>
      <c r="F32" s="241"/>
      <c r="G32" s="241"/>
      <c r="H32" s="241"/>
      <c r="I32" s="241"/>
      <c r="J32" s="241"/>
      <c r="K32" s="241"/>
      <c r="L32" s="241"/>
      <c r="M32" s="241"/>
      <c r="N32" s="241"/>
      <c r="O32" s="241"/>
      <c r="P32" s="241"/>
      <c r="Q32" s="241"/>
      <c r="R32" s="241">
        <f t="shared" si="7"/>
        <v>1180290</v>
      </c>
      <c r="S32" s="241">
        <v>1180290</v>
      </c>
      <c r="T32" s="241"/>
      <c r="U32" s="237"/>
    </row>
    <row r="33" spans="1:21" s="238" customFormat="1">
      <c r="A33" s="239" t="s">
        <v>914</v>
      </c>
      <c r="B33" s="240">
        <f t="shared" si="6"/>
        <v>458000</v>
      </c>
      <c r="C33" s="241">
        <v>458000</v>
      </c>
      <c r="D33" s="241"/>
      <c r="E33" s="241">
        <v>458000</v>
      </c>
      <c r="F33" s="241"/>
      <c r="G33" s="241"/>
      <c r="H33" s="241"/>
      <c r="I33" s="241"/>
      <c r="J33" s="241"/>
      <c r="K33" s="241"/>
      <c r="L33" s="241"/>
      <c r="M33" s="241"/>
      <c r="N33" s="241"/>
      <c r="O33" s="241"/>
      <c r="P33" s="241"/>
      <c r="Q33" s="241"/>
      <c r="R33" s="241">
        <f t="shared" si="7"/>
        <v>458000</v>
      </c>
      <c r="S33" s="241">
        <v>458000</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916</v>
      </c>
      <c r="B35" s="240">
        <f t="shared" si="6"/>
        <v>173000</v>
      </c>
      <c r="C35" s="241">
        <v>173000</v>
      </c>
      <c r="D35" s="241"/>
      <c r="E35" s="241">
        <v>173000</v>
      </c>
      <c r="F35" s="241"/>
      <c r="G35" s="241"/>
      <c r="H35" s="241"/>
      <c r="I35" s="241"/>
      <c r="J35" s="241"/>
      <c r="K35" s="241"/>
      <c r="L35" s="241"/>
      <c r="M35" s="241"/>
      <c r="N35" s="241"/>
      <c r="O35" s="241"/>
      <c r="P35" s="241"/>
      <c r="Q35" s="241"/>
      <c r="R35" s="241">
        <f t="shared" si="7"/>
        <v>173000</v>
      </c>
      <c r="S35" s="241">
        <v>173000</v>
      </c>
      <c r="T35" s="241"/>
      <c r="U35" s="237"/>
    </row>
    <row r="36" spans="1:21" s="238" customFormat="1">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22482641</v>
      </c>
      <c r="C38" s="240">
        <f>SUM(C29:C37)</f>
        <v>22482641</v>
      </c>
      <c r="D38" s="240">
        <f>SUM(D29:D37)</f>
        <v>0</v>
      </c>
      <c r="E38" s="240">
        <f>SUM(E29:E37)</f>
        <v>14384621</v>
      </c>
      <c r="F38" s="240">
        <f t="shared" ref="F38:T38" si="8">SUM(F29:F37)</f>
        <v>5098020</v>
      </c>
      <c r="G38" s="240">
        <f t="shared" si="8"/>
        <v>0</v>
      </c>
      <c r="H38" s="240">
        <f t="shared" si="8"/>
        <v>3000000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22482641</v>
      </c>
      <c r="S38" s="244">
        <f t="shared" si="8"/>
        <v>22482641</v>
      </c>
      <c r="T38" s="244">
        <f t="shared" si="8"/>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905000</v>
      </c>
      <c r="C40" s="241">
        <v>905000</v>
      </c>
      <c r="D40" s="241"/>
      <c r="E40" s="241">
        <v>905000</v>
      </c>
      <c r="F40" s="241"/>
      <c r="G40" s="241"/>
      <c r="H40" s="241"/>
      <c r="I40" s="241"/>
      <c r="J40" s="241"/>
      <c r="K40" s="241"/>
      <c r="L40" s="241"/>
      <c r="M40" s="241"/>
      <c r="N40" s="241"/>
      <c r="O40" s="241"/>
      <c r="P40" s="241"/>
      <c r="Q40" s="241"/>
      <c r="R40" s="241">
        <f>SUM(E40:Q40)</f>
        <v>905000</v>
      </c>
      <c r="S40" s="241">
        <v>905000</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905000</v>
      </c>
      <c r="C42" s="240">
        <f>SUM(C39:C41)</f>
        <v>905000</v>
      </c>
      <c r="D42" s="240">
        <f>SUM(D39:D41)</f>
        <v>0</v>
      </c>
      <c r="E42" s="240">
        <f t="shared" ref="E42:T42" si="9">SUM(E40:E41)</f>
        <v>905000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905000</v>
      </c>
      <c r="S42" s="244">
        <f t="shared" si="9"/>
        <v>905000</v>
      </c>
      <c r="T42" s="244">
        <f t="shared" si="9"/>
        <v>0</v>
      </c>
      <c r="U42" s="237"/>
    </row>
    <row r="43" spans="1:21" s="238" customFormat="1">
      <c r="A43" s="243" t="s">
        <v>924</v>
      </c>
      <c r="B43" s="240">
        <f>SUM(C43:D43)</f>
        <v>175000</v>
      </c>
      <c r="C43" s="241">
        <v>175000</v>
      </c>
      <c r="D43" s="241"/>
      <c r="E43" s="241">
        <v>175000</v>
      </c>
      <c r="F43" s="241">
        <v>0</v>
      </c>
      <c r="G43" s="241"/>
      <c r="H43" s="241"/>
      <c r="I43" s="241"/>
      <c r="J43" s="241"/>
      <c r="K43" s="241"/>
      <c r="L43" s="241"/>
      <c r="M43" s="241"/>
      <c r="N43" s="241"/>
      <c r="O43" s="241"/>
      <c r="P43" s="241"/>
      <c r="Q43" s="241"/>
      <c r="R43" s="241">
        <f>SUM(E43:Q43)</f>
        <v>175000</v>
      </c>
      <c r="S43" s="241">
        <v>175000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0">SUM(C45+D45)</f>
        <v>1400000</v>
      </c>
      <c r="C45" s="241">
        <v>1400000</v>
      </c>
      <c r="D45" s="241"/>
      <c r="E45" s="241">
        <v>1400000</v>
      </c>
      <c r="F45" s="241"/>
      <c r="G45" s="241"/>
      <c r="H45" s="241"/>
      <c r="I45" s="241"/>
      <c r="J45" s="241"/>
      <c r="K45" s="241"/>
      <c r="L45" s="241"/>
      <c r="M45" s="241"/>
      <c r="N45" s="241"/>
      <c r="O45" s="241"/>
      <c r="P45" s="241"/>
      <c r="Q45" s="241"/>
      <c r="R45" s="241">
        <f t="shared" ref="R45:R52" si="11">SUM(E45:Q45)</f>
        <v>1400000</v>
      </c>
      <c r="S45" s="241">
        <v>1050000</v>
      </c>
      <c r="T45" s="241"/>
      <c r="U45" s="237"/>
    </row>
    <row r="46" spans="1:21" s="238" customFormat="1">
      <c r="A46" s="239" t="s">
        <v>927</v>
      </c>
      <c r="B46" s="240">
        <f t="shared" si="10"/>
        <v>293000</v>
      </c>
      <c r="C46" s="241">
        <v>293000</v>
      </c>
      <c r="D46" s="241"/>
      <c r="E46" s="241">
        <v>293000</v>
      </c>
      <c r="F46" s="241"/>
      <c r="G46" s="241"/>
      <c r="H46" s="241"/>
      <c r="I46" s="241"/>
      <c r="J46" s="241"/>
      <c r="K46" s="241"/>
      <c r="L46" s="241"/>
      <c r="M46" s="241"/>
      <c r="N46" s="241"/>
      <c r="O46" s="241"/>
      <c r="P46" s="241"/>
      <c r="Q46" s="241"/>
      <c r="R46" s="241">
        <f t="shared" si="11"/>
        <v>293000</v>
      </c>
      <c r="S46" s="241">
        <v>293000</v>
      </c>
      <c r="T46" s="241"/>
      <c r="U46" s="237"/>
    </row>
    <row r="47" spans="1:21" s="238" customFormat="1" ht="12" customHeight="1">
      <c r="A47" s="239" t="s">
        <v>928</v>
      </c>
      <c r="B47" s="240">
        <f t="shared" si="10"/>
        <v>25000</v>
      </c>
      <c r="C47" s="241">
        <v>25000</v>
      </c>
      <c r="D47" s="241"/>
      <c r="E47" s="241">
        <v>25000</v>
      </c>
      <c r="F47" s="241"/>
      <c r="G47" s="241"/>
      <c r="H47" s="241"/>
      <c r="I47" s="241"/>
      <c r="J47" s="241"/>
      <c r="K47" s="241"/>
      <c r="L47" s="241"/>
      <c r="M47" s="241"/>
      <c r="N47" s="241"/>
      <c r="O47" s="241"/>
      <c r="P47" s="241"/>
      <c r="Q47" s="241"/>
      <c r="R47" s="241">
        <f t="shared" si="11"/>
        <v>25000</v>
      </c>
      <c r="S47" s="241"/>
      <c r="T47" s="241"/>
      <c r="U47" s="237"/>
    </row>
    <row r="48" spans="1:21" s="238" customFormat="1">
      <c r="A48" s="239" t="s">
        <v>929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932</v>
      </c>
      <c r="B49" s="240">
        <f t="shared" si="10"/>
        <v>64000</v>
      </c>
      <c r="C49" s="241">
        <v>64000</v>
      </c>
      <c r="D49" s="241"/>
      <c r="E49" s="241">
        <v>64000</v>
      </c>
      <c r="F49" s="241"/>
      <c r="G49" s="241"/>
      <c r="H49" s="241"/>
      <c r="I49" s="241"/>
      <c r="J49" s="241"/>
      <c r="K49" s="241"/>
      <c r="L49" s="241"/>
      <c r="M49" s="241"/>
      <c r="N49" s="241"/>
      <c r="O49" s="241"/>
      <c r="P49" s="241"/>
      <c r="Q49" s="241"/>
      <c r="R49" s="241">
        <f t="shared" si="11"/>
        <v>64000</v>
      </c>
      <c r="S49" s="241">
        <v>64000</v>
      </c>
      <c r="T49" s="241"/>
      <c r="U49" s="237"/>
    </row>
    <row r="50" spans="1:21" s="238" customFormat="1">
      <c r="A50" s="239" t="s">
        <v>930</v>
      </c>
      <c r="B50" s="240">
        <f t="shared" si="10"/>
        <v>120000</v>
      </c>
      <c r="C50" s="241">
        <v>120000</v>
      </c>
      <c r="D50" s="241"/>
      <c r="E50" s="241">
        <v>120000</v>
      </c>
      <c r="F50" s="241"/>
      <c r="G50" s="241"/>
      <c r="H50" s="241"/>
      <c r="I50" s="241"/>
      <c r="J50" s="241"/>
      <c r="K50" s="241"/>
      <c r="L50" s="241"/>
      <c r="M50" s="241"/>
      <c r="N50" s="241"/>
      <c r="O50" s="241"/>
      <c r="P50" s="241"/>
      <c r="Q50" s="241"/>
      <c r="R50" s="241">
        <f t="shared" si="11"/>
        <v>120000</v>
      </c>
      <c r="S50" s="241">
        <v>120000</v>
      </c>
      <c r="T50" s="241"/>
      <c r="U50" s="237"/>
    </row>
    <row r="51" spans="1:21" s="238" customFormat="1">
      <c r="A51" s="239" t="s">
        <v>931</v>
      </c>
      <c r="B51" s="240">
        <f t="shared" si="10"/>
        <v>360192</v>
      </c>
      <c r="C51" s="241">
        <v>360192</v>
      </c>
      <c r="D51" s="241"/>
      <c r="E51" s="241">
        <v>360192</v>
      </c>
      <c r="F51" s="241"/>
      <c r="G51" s="241"/>
      <c r="H51" s="241"/>
      <c r="I51" s="241"/>
      <c r="J51" s="241"/>
      <c r="K51" s="241"/>
      <c r="L51" s="241"/>
      <c r="M51" s="241"/>
      <c r="N51" s="241"/>
      <c r="O51" s="241"/>
      <c r="P51" s="241"/>
      <c r="Q51" s="241"/>
      <c r="R51" s="241">
        <f t="shared" si="11"/>
        <v>360192</v>
      </c>
      <c r="S51" s="241">
        <v>360192</v>
      </c>
      <c r="T51" s="241"/>
      <c r="U51" s="237"/>
    </row>
    <row r="52" spans="1:21" s="238" customFormat="1">
      <c r="A52" s="246" t="s">
        <v>533</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933</v>
      </c>
      <c r="B53" s="244">
        <f>SUM(C53:D53)</f>
        <v>2262192</v>
      </c>
      <c r="C53" s="244">
        <f t="shared" ref="C53:T53" si="12">SUM(C45:C52)</f>
        <v>2262192</v>
      </c>
      <c r="D53" s="244">
        <f t="shared" si="12"/>
        <v>0</v>
      </c>
      <c r="E53" s="244">
        <f t="shared" si="12"/>
        <v>2262192</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2262192</v>
      </c>
      <c r="S53" s="244">
        <f t="shared" si="12"/>
        <v>1887192</v>
      </c>
      <c r="T53" s="244">
        <f t="shared" si="12"/>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3">SUM(C55+D55)</f>
        <v>10000</v>
      </c>
      <c r="C55" s="241">
        <v>10000</v>
      </c>
      <c r="D55" s="241"/>
      <c r="E55" s="241">
        <v>10000</v>
      </c>
      <c r="F55" s="241"/>
      <c r="G55" s="241"/>
      <c r="H55" s="241"/>
      <c r="I55" s="241"/>
      <c r="J55" s="241"/>
      <c r="K55" s="241"/>
      <c r="L55" s="241"/>
      <c r="M55" s="241"/>
      <c r="N55" s="241"/>
      <c r="O55" s="241"/>
      <c r="P55" s="241"/>
      <c r="Q55" s="241"/>
      <c r="R55" s="241">
        <f t="shared" ref="R55:R60" si="14">SUM(E55:Q55)</f>
        <v>10000</v>
      </c>
      <c r="S55" s="242"/>
      <c r="T55" s="242"/>
      <c r="U55" s="237"/>
    </row>
    <row r="56" spans="1:21" s="238" customFormat="1" ht="12" customHeight="1">
      <c r="A56" s="239" t="s">
        <v>928</v>
      </c>
      <c r="B56" s="240">
        <f t="shared" si="13"/>
        <v>25000</v>
      </c>
      <c r="C56" s="241">
        <v>25000</v>
      </c>
      <c r="D56" s="241"/>
      <c r="E56" s="241">
        <v>25000</v>
      </c>
      <c r="F56" s="241"/>
      <c r="G56" s="241"/>
      <c r="H56" s="241"/>
      <c r="I56" s="241"/>
      <c r="J56" s="241"/>
      <c r="K56" s="241"/>
      <c r="L56" s="241"/>
      <c r="M56" s="241"/>
      <c r="N56" s="241"/>
      <c r="O56" s="241"/>
      <c r="P56" s="241"/>
      <c r="Q56" s="241"/>
      <c r="R56" s="241">
        <f t="shared" si="14"/>
        <v>25000</v>
      </c>
      <c r="S56" s="242"/>
      <c r="T56" s="242"/>
      <c r="U56" s="237"/>
    </row>
    <row r="57" spans="1:21" s="238" customFormat="1">
      <c r="A57" s="239" t="s">
        <v>932</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500</v>
      </c>
      <c r="B61" s="240">
        <f>SUM(C61:D61)</f>
        <v>35000</v>
      </c>
      <c r="C61" s="240">
        <f t="shared" ref="C61:R61" si="15">SUM(C55:C60)</f>
        <v>35000</v>
      </c>
      <c r="D61" s="240">
        <f t="shared" si="15"/>
        <v>0</v>
      </c>
      <c r="E61" s="240">
        <f t="shared" si="15"/>
        <v>35000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35000</v>
      </c>
      <c r="S61" s="242"/>
      <c r="T61" s="242"/>
      <c r="U61" s="237"/>
    </row>
    <row r="62" spans="1:21" s="238" customFormat="1">
      <c r="A62" s="249" t="s">
        <v>501</v>
      </c>
      <c r="B62" s="240">
        <f>SUM(C62:D62)</f>
        <v>28259833</v>
      </c>
      <c r="C62" s="240">
        <f t="shared" ref="C62:R62" si="16">SUM(C8+C11+C13+C14+C15+C26+C27+C38+C42+C43+C53+C61)</f>
        <v>28259833</v>
      </c>
      <c r="D62" s="240">
        <f t="shared" si="16"/>
        <v>0</v>
      </c>
      <c r="E62" s="240">
        <f t="shared" si="16"/>
        <v>17761813</v>
      </c>
      <c r="F62" s="240">
        <f t="shared" si="16"/>
        <v>5098020</v>
      </c>
      <c r="G62" s="240">
        <f t="shared" si="16"/>
        <v>2400000</v>
      </c>
      <c r="H62" s="240">
        <f t="shared" si="16"/>
        <v>3000000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28259833</v>
      </c>
      <c r="S62" s="240">
        <f>SUM(S10+S13+S14+S15+S26+S27+S38+S42+S43+S53)</f>
        <v>25449833</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4">
      <c r="A65" s="239" t="s">
        <v>1954</v>
      </c>
      <c r="B65" s="240">
        <f>SUM(C65+D65)</f>
        <v>120000</v>
      </c>
      <c r="C65" s="241">
        <v>120000</v>
      </c>
      <c r="D65" s="241"/>
      <c r="E65" s="241">
        <v>120000</v>
      </c>
      <c r="F65" s="241"/>
      <c r="G65" s="241"/>
      <c r="H65" s="241"/>
      <c r="I65" s="241"/>
      <c r="J65" s="241"/>
      <c r="K65" s="241"/>
      <c r="L65" s="241"/>
      <c r="M65" s="241"/>
      <c r="N65" s="241"/>
      <c r="O65" s="241"/>
      <c r="P65" s="241"/>
      <c r="Q65" s="241"/>
      <c r="R65" s="241">
        <f>SUM(E65:Q65)</f>
        <v>120000</v>
      </c>
      <c r="S65" s="241">
        <v>102000</v>
      </c>
      <c r="T65" s="241"/>
      <c r="U65" s="237"/>
    </row>
    <row r="66" spans="1:21" s="238" customFormat="1" ht="24">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180000</v>
      </c>
      <c r="C69" s="240">
        <f>SUM(C63:C68)</f>
        <v>180000</v>
      </c>
      <c r="D69" s="240">
        <f>SUM(D63:D68)</f>
        <v>0</v>
      </c>
      <c r="E69" s="240">
        <f t="shared" ref="E69:T69" si="17">SUM(E64:E68)</f>
        <v>180000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180000</v>
      </c>
      <c r="S69" s="244">
        <f t="shared" si="17"/>
        <v>162000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238870</v>
      </c>
      <c r="C74" s="241">
        <v>238870</v>
      </c>
      <c r="D74" s="241"/>
      <c r="E74" s="241">
        <v>238870</v>
      </c>
      <c r="F74" s="241"/>
      <c r="G74" s="241"/>
      <c r="H74" s="241"/>
      <c r="I74" s="241"/>
      <c r="J74" s="241"/>
      <c r="K74" s="241"/>
      <c r="L74" s="241"/>
      <c r="M74" s="241"/>
      <c r="N74" s="241"/>
      <c r="O74" s="241"/>
      <c r="P74" s="241"/>
      <c r="Q74" s="241"/>
      <c r="R74" s="241">
        <f>SUM(E74:Q74)</f>
        <v>238870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238870</v>
      </c>
      <c r="C76" s="240">
        <f t="shared" ref="C76:Q76" si="18">SUM(C71:C75)</f>
        <v>238870</v>
      </c>
      <c r="D76" s="240">
        <f t="shared" si="18"/>
        <v>0</v>
      </c>
      <c r="E76" s="240">
        <f>SUM(E71:E75)</f>
        <v>238870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238870</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1124132</v>
      </c>
      <c r="C78" s="241">
        <v>1124132</v>
      </c>
      <c r="D78" s="241"/>
      <c r="E78" s="241">
        <v>1124132</v>
      </c>
      <c r="F78" s="241"/>
      <c r="G78" s="241"/>
      <c r="H78" s="241"/>
      <c r="I78" s="241"/>
      <c r="J78" s="241"/>
      <c r="K78" s="241"/>
      <c r="L78" s="241"/>
      <c r="M78" s="241"/>
      <c r="N78" s="241"/>
      <c r="O78" s="241"/>
      <c r="P78" s="241"/>
      <c r="Q78" s="241"/>
      <c r="R78" s="241">
        <f>SUM(E78:Q78)</f>
        <v>1124132</v>
      </c>
      <c r="S78" s="241">
        <v>1124132</v>
      </c>
      <c r="T78" s="241"/>
      <c r="U78" s="237"/>
    </row>
    <row r="79" spans="1:21" s="238" customFormat="1">
      <c r="A79" s="239" t="s">
        <v>538</v>
      </c>
      <c r="B79" s="240">
        <f>SUM(C79+D79)</f>
        <v>150000</v>
      </c>
      <c r="C79" s="241">
        <v>150000</v>
      </c>
      <c r="D79" s="241"/>
      <c r="E79" s="241">
        <v>150000</v>
      </c>
      <c r="F79" s="241"/>
      <c r="G79" s="241"/>
      <c r="H79" s="241"/>
      <c r="I79" s="241"/>
      <c r="J79" s="241"/>
      <c r="K79" s="241"/>
      <c r="L79" s="241"/>
      <c r="M79" s="241"/>
      <c r="N79" s="241"/>
      <c r="O79" s="241"/>
      <c r="P79" s="241"/>
      <c r="Q79" s="241"/>
      <c r="R79" s="241">
        <f>SUM(E79:Q79)</f>
        <v>150000</v>
      </c>
      <c r="S79" s="241">
        <v>150000</v>
      </c>
      <c r="T79" s="241"/>
      <c r="U79" s="237"/>
    </row>
    <row r="80" spans="1:21" s="238" customFormat="1">
      <c r="A80" s="243" t="s">
        <v>1742</v>
      </c>
      <c r="B80" s="240">
        <f>SUM(C80:D80)</f>
        <v>1274132</v>
      </c>
      <c r="C80" s="666">
        <f>SUM(C78:C79)</f>
        <v>1274132</v>
      </c>
      <c r="D80" s="666">
        <f t="shared" ref="D80:R80" si="19">SUM(D78:D79)</f>
        <v>0</v>
      </c>
      <c r="E80" s="666">
        <f t="shared" si="19"/>
        <v>1274132</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1274132</v>
      </c>
      <c r="S80" s="666">
        <f>SUM(S78:S79)</f>
        <v>1274132</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2113</v>
      </c>
      <c r="B82" s="240">
        <f>SUM(C82+D82)</f>
        <v>158620</v>
      </c>
      <c r="C82" s="241">
        <v>158620</v>
      </c>
      <c r="D82" s="241"/>
      <c r="E82" s="241">
        <v>158620</v>
      </c>
      <c r="F82" s="241"/>
      <c r="G82" s="241"/>
      <c r="H82" s="241"/>
      <c r="I82" s="241"/>
      <c r="J82" s="241"/>
      <c r="K82" s="241"/>
      <c r="L82" s="241"/>
      <c r="M82" s="241"/>
      <c r="N82" s="241"/>
      <c r="O82" s="241"/>
      <c r="P82" s="241"/>
      <c r="Q82" s="241"/>
      <c r="R82" s="241">
        <f>SUM(E82:Q82)</f>
        <v>158620</v>
      </c>
      <c r="S82" s="242"/>
      <c r="T82" s="242"/>
      <c r="U82" s="237"/>
    </row>
    <row r="83" spans="1:21" s="238" customFormat="1">
      <c r="A83" s="239" t="s">
        <v>516</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v>15000</v>
      </c>
      <c r="T83" s="241"/>
      <c r="U83" s="237"/>
    </row>
    <row r="84" spans="1:21" s="238" customFormat="1">
      <c r="A84" s="239" t="s">
        <v>517</v>
      </c>
      <c r="B84" s="240">
        <f t="shared" si="20"/>
        <v>1449568</v>
      </c>
      <c r="C84" s="241">
        <v>1449568</v>
      </c>
      <c r="D84" s="241"/>
      <c r="E84" s="241">
        <v>1449568</v>
      </c>
      <c r="F84" s="241"/>
      <c r="G84" s="241"/>
      <c r="H84" s="241"/>
      <c r="I84" s="241"/>
      <c r="J84" s="241"/>
      <c r="K84" s="241"/>
      <c r="L84" s="241"/>
      <c r="M84" s="241"/>
      <c r="N84" s="241"/>
      <c r="O84" s="241"/>
      <c r="P84" s="241"/>
      <c r="Q84" s="241"/>
      <c r="R84" s="241">
        <f t="shared" si="21"/>
        <v>1449568</v>
      </c>
      <c r="S84" s="241">
        <v>1449568</v>
      </c>
      <c r="T84" s="241"/>
      <c r="U84" s="237"/>
    </row>
    <row r="85" spans="1:21" s="238" customFormat="1">
      <c r="A85" s="239" t="s">
        <v>518</v>
      </c>
      <c r="B85" s="240">
        <f t="shared" si="20"/>
        <v>413781</v>
      </c>
      <c r="C85" s="241">
        <v>413781</v>
      </c>
      <c r="D85" s="241"/>
      <c r="E85" s="241">
        <v>413781</v>
      </c>
      <c r="F85" s="241"/>
      <c r="G85" s="241"/>
      <c r="H85" s="241"/>
      <c r="I85" s="241"/>
      <c r="J85" s="241"/>
      <c r="K85" s="241"/>
      <c r="L85" s="241"/>
      <c r="M85" s="241"/>
      <c r="N85" s="241"/>
      <c r="O85" s="241"/>
      <c r="P85" s="241"/>
      <c r="Q85" s="241"/>
      <c r="R85" s="241">
        <f t="shared" si="21"/>
        <v>413781</v>
      </c>
      <c r="S85" s="241">
        <v>413781</v>
      </c>
      <c r="T85" s="241"/>
      <c r="U85" s="237"/>
    </row>
    <row r="86" spans="1:21" s="238" customFormat="1">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520</v>
      </c>
      <c r="B87" s="240">
        <f t="shared" si="20"/>
        <v>60000</v>
      </c>
      <c r="C87" s="241">
        <v>60000</v>
      </c>
      <c r="D87" s="241"/>
      <c r="E87" s="241">
        <v>60000</v>
      </c>
      <c r="F87" s="241"/>
      <c r="G87" s="241"/>
      <c r="H87" s="241"/>
      <c r="I87" s="241"/>
      <c r="J87" s="241"/>
      <c r="K87" s="241"/>
      <c r="L87" s="241"/>
      <c r="M87" s="241"/>
      <c r="N87" s="241"/>
      <c r="O87" s="241"/>
      <c r="P87" s="241"/>
      <c r="Q87" s="241"/>
      <c r="R87" s="241">
        <f t="shared" si="21"/>
        <v>60000</v>
      </c>
      <c r="S87" s="242"/>
      <c r="T87" s="242"/>
      <c r="U87" s="237"/>
    </row>
    <row r="88" spans="1:21" s="238" customFormat="1">
      <c r="A88" s="239" t="s">
        <v>521</v>
      </c>
      <c r="B88" s="240">
        <f t="shared" si="20"/>
        <v>500449</v>
      </c>
      <c r="C88" s="241">
        <v>500449</v>
      </c>
      <c r="D88" s="241"/>
      <c r="E88" s="241">
        <v>500449</v>
      </c>
      <c r="F88" s="241"/>
      <c r="G88" s="241"/>
      <c r="H88" s="241"/>
      <c r="I88" s="241"/>
      <c r="J88" s="241"/>
      <c r="K88" s="241"/>
      <c r="L88" s="241"/>
      <c r="M88" s="241"/>
      <c r="N88" s="241"/>
      <c r="O88" s="241"/>
      <c r="P88" s="241"/>
      <c r="Q88" s="241"/>
      <c r="R88" s="241">
        <f t="shared" si="21"/>
        <v>500449</v>
      </c>
      <c r="S88" s="241">
        <v>500449</v>
      </c>
      <c r="T88" s="241"/>
      <c r="U88" s="237"/>
    </row>
    <row r="89" spans="1:21" s="238" customFormat="1">
      <c r="A89" s="239" t="s">
        <v>522</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v>10000</v>
      </c>
      <c r="T89" s="241"/>
      <c r="U89" s="237"/>
    </row>
    <row r="90" spans="1:21" s="238" customFormat="1">
      <c r="A90" s="250" t="s">
        <v>1315</v>
      </c>
      <c r="B90" s="240">
        <f t="shared" si="20"/>
        <v>280952</v>
      </c>
      <c r="C90" s="241">
        <v>280952</v>
      </c>
      <c r="D90" s="241"/>
      <c r="E90" s="241">
        <v>280952</v>
      </c>
      <c r="F90" s="241"/>
      <c r="G90" s="241"/>
      <c r="H90" s="241"/>
      <c r="I90" s="241"/>
      <c r="J90" s="241"/>
      <c r="K90" s="241"/>
      <c r="L90" s="241"/>
      <c r="M90" s="241"/>
      <c r="N90" s="241"/>
      <c r="O90" s="241"/>
      <c r="P90" s="241"/>
      <c r="Q90" s="241"/>
      <c r="R90" s="241">
        <f t="shared" si="21"/>
        <v>280952</v>
      </c>
      <c r="S90" s="241">
        <v>280952</v>
      </c>
      <c r="T90" s="241"/>
      <c r="U90" s="237"/>
    </row>
    <row r="91" spans="1:21" s="238" customFormat="1">
      <c r="A91" s="250" t="s">
        <v>1740</v>
      </c>
      <c r="B91" s="240">
        <f t="shared" si="20"/>
        <v>15000</v>
      </c>
      <c r="C91" s="241">
        <v>15000</v>
      </c>
      <c r="D91" s="241"/>
      <c r="E91" s="241">
        <v>15000</v>
      </c>
      <c r="F91" s="241"/>
      <c r="G91" s="241"/>
      <c r="H91" s="241"/>
      <c r="I91" s="241"/>
      <c r="J91" s="241"/>
      <c r="K91" s="241"/>
      <c r="L91" s="241"/>
      <c r="M91" s="241"/>
      <c r="N91" s="241"/>
      <c r="O91" s="241"/>
      <c r="P91" s="241"/>
      <c r="Q91" s="241"/>
      <c r="R91" s="241">
        <f t="shared" si="21"/>
        <v>15000</v>
      </c>
      <c r="S91" s="241">
        <v>15000</v>
      </c>
      <c r="T91" s="241"/>
      <c r="U91" s="237"/>
    </row>
    <row r="92" spans="1:21" s="238" customFormat="1">
      <c r="A92" s="246" t="s">
        <v>2452</v>
      </c>
      <c r="B92" s="240">
        <f t="shared" si="20"/>
        <v>75000</v>
      </c>
      <c r="C92" s="241">
        <v>75000</v>
      </c>
      <c r="D92" s="241"/>
      <c r="E92" s="241">
        <v>75000</v>
      </c>
      <c r="F92" s="241"/>
      <c r="G92" s="241"/>
      <c r="H92" s="241"/>
      <c r="I92" s="241"/>
      <c r="J92" s="241"/>
      <c r="K92" s="241"/>
      <c r="L92" s="241"/>
      <c r="M92" s="241"/>
      <c r="N92" s="241"/>
      <c r="O92" s="241"/>
      <c r="P92" s="241"/>
      <c r="Q92" s="241"/>
      <c r="R92" s="241">
        <f t="shared" si="21"/>
        <v>75000</v>
      </c>
      <c r="S92" s="241">
        <v>75000</v>
      </c>
      <c r="T92" s="241"/>
      <c r="U92" s="237"/>
    </row>
    <row r="93" spans="1:21" s="238" customFormat="1">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2978370</v>
      </c>
      <c r="C95" s="240">
        <f t="shared" ref="C95:R95" si="22">SUM(C82:C94)</f>
        <v>2978370</v>
      </c>
      <c r="D95" s="240">
        <f t="shared" si="22"/>
        <v>0</v>
      </c>
      <c r="E95" s="240">
        <f t="shared" si="22"/>
        <v>2978370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2978370</v>
      </c>
      <c r="S95" s="244">
        <f>SUM(S83:S86,S88:S94)</f>
        <v>2759750</v>
      </c>
      <c r="T95" s="240">
        <f>SUM(T83:T86,T88:T94)</f>
        <v>0</v>
      </c>
      <c r="U95" s="237"/>
    </row>
    <row r="96" spans="1:21" s="238" customFormat="1">
      <c r="A96" s="243" t="s">
        <v>524</v>
      </c>
      <c r="B96" s="240">
        <f>SUM(C96:D96)</f>
        <v>32931205</v>
      </c>
      <c r="C96" s="240">
        <f t="shared" ref="C96:R96" si="23">SUM(C62+C69+C76+C80+C95)</f>
        <v>32931205</v>
      </c>
      <c r="D96" s="240">
        <f t="shared" si="23"/>
        <v>0</v>
      </c>
      <c r="E96" s="240">
        <f t="shared" si="23"/>
        <v>22433185</v>
      </c>
      <c r="F96" s="240">
        <f t="shared" si="23"/>
        <v>5098020</v>
      </c>
      <c r="G96" s="240">
        <f t="shared" si="23"/>
        <v>2400000</v>
      </c>
      <c r="H96" s="240">
        <f t="shared" si="23"/>
        <v>3000000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32931205</v>
      </c>
      <c r="S96" s="244">
        <f>SUM(+S62+S69+S80+S95)</f>
        <v>29645715</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v>2500000</v>
      </c>
      <c r="F98" s="241"/>
      <c r="G98" s="241"/>
      <c r="H98" s="241"/>
      <c r="I98" s="241"/>
      <c r="J98" s="241"/>
      <c r="K98" s="241"/>
      <c r="L98" s="241"/>
      <c r="M98" s="241"/>
      <c r="N98" s="241"/>
      <c r="O98" s="241"/>
      <c r="P98" s="241"/>
      <c r="Q98" s="241"/>
      <c r="R98" s="241">
        <f>SUM(E98:Q98)</f>
        <v>2500000</v>
      </c>
      <c r="S98" s="241">
        <v>2500000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4">SUM(C98:C102)</f>
        <v>2500000</v>
      </c>
      <c r="D103" s="240">
        <f t="shared" si="24"/>
        <v>0</v>
      </c>
      <c r="E103" s="240">
        <f t="shared" si="24"/>
        <v>2500000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1156</v>
      </c>
      <c r="B104" s="244">
        <f>SUM(C104:D104)</f>
        <v>35431205</v>
      </c>
      <c r="C104" s="244">
        <f t="shared" ref="C104:R104" si="25">SUM(C96+C103)</f>
        <v>35431205</v>
      </c>
      <c r="D104" s="244">
        <f t="shared" si="25"/>
        <v>0</v>
      </c>
      <c r="E104" s="244">
        <f t="shared" si="25"/>
        <v>24933185</v>
      </c>
      <c r="F104" s="244">
        <f t="shared" si="25"/>
        <v>5098020</v>
      </c>
      <c r="G104" s="244">
        <f t="shared" si="25"/>
        <v>2400000</v>
      </c>
      <c r="H104" s="244">
        <f t="shared" si="25"/>
        <v>3000000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35431205</v>
      </c>
      <c r="S104" s="244">
        <f>S96+S103</f>
        <v>32145715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32145715</v>
      </c>
      <c r="T106" s="244">
        <f>T104+T105</f>
        <v>0</v>
      </c>
      <c r="U106" s="256"/>
    </row>
    <row r="107" spans="1:21" s="258" customFormat="1">
      <c r="A107" s="257" t="s">
        <v>1107</v>
      </c>
      <c r="B107" s="252"/>
      <c r="C107" s="252"/>
      <c r="D107" s="252"/>
      <c r="E107" s="240">
        <f>Application!AO634</f>
        <v>24933185</v>
      </c>
      <c r="F107" s="240">
        <f>Application!AO621</f>
        <v>5098020</v>
      </c>
      <c r="G107" s="240">
        <f>Application!AO622</f>
        <v>2400000</v>
      </c>
      <c r="H107" s="240">
        <f>Application!AO623</f>
        <v>3000000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2" t="s">
        <v>1291</v>
      </c>
      <c r="E122" s="1592"/>
      <c r="F122" s="1592"/>
      <c r="U122" s="256"/>
    </row>
    <row r="123" spans="1:21" s="253" customFormat="1">
      <c r="A123" s="253" t="s">
        <v>1292</v>
      </c>
      <c r="B123" s="546"/>
      <c r="D123" s="1584" t="s">
        <v>1316</v>
      </c>
      <c r="E123" s="1580"/>
      <c r="F123" s="1580"/>
      <c r="G123" s="1580"/>
      <c r="H123" s="1580"/>
      <c r="I123" s="1580"/>
      <c r="J123" s="1580"/>
      <c r="K123" s="1580"/>
      <c r="L123" s="1580"/>
      <c r="M123" s="1580"/>
      <c r="N123" s="1580"/>
      <c r="O123" s="1580"/>
      <c r="P123" s="1580"/>
      <c r="Q123" s="1580"/>
      <c r="R123" s="1580"/>
      <c r="S123" s="1580"/>
      <c r="U123" s="256"/>
    </row>
    <row r="124" spans="1:21" s="253" customFormat="1" ht="12.75">
      <c r="A124" s="209" t="s">
        <v>1293</v>
      </c>
      <c r="B124" s="546"/>
      <c r="C124" s="209"/>
      <c r="D124" s="1580"/>
      <c r="E124" s="1580"/>
      <c r="F124" s="1580"/>
      <c r="G124" s="1580"/>
      <c r="H124" s="1580"/>
      <c r="I124" s="1580"/>
      <c r="J124" s="1580"/>
      <c r="K124" s="1580"/>
      <c r="L124" s="1580"/>
      <c r="M124" s="1580"/>
      <c r="N124" s="1580"/>
      <c r="O124" s="1580"/>
      <c r="P124" s="1580"/>
      <c r="Q124" s="1580"/>
      <c r="R124" s="1580"/>
      <c r="S124" s="1580"/>
      <c r="U124" s="256"/>
    </row>
    <row r="125" spans="1:21" s="253" customFormat="1" ht="12.75">
      <c r="A125" s="209" t="s">
        <v>1294</v>
      </c>
      <c r="B125" s="546"/>
      <c r="C125" s="209"/>
      <c r="D125" s="1580"/>
      <c r="E125" s="1580"/>
      <c r="F125" s="1580"/>
      <c r="G125" s="1580"/>
      <c r="H125" s="1580"/>
      <c r="I125" s="1580"/>
      <c r="J125" s="1580"/>
      <c r="K125" s="1580"/>
      <c r="L125" s="1580"/>
      <c r="M125" s="1580"/>
      <c r="N125" s="1580"/>
      <c r="O125" s="1580"/>
      <c r="P125" s="1580"/>
      <c r="Q125" s="1580"/>
      <c r="R125" s="1580"/>
      <c r="S125" s="1580"/>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7"/>
      <c r="E128" s="1587"/>
      <c r="F128" s="1587"/>
      <c r="G128" s="1587"/>
      <c r="H128" s="1587"/>
      <c r="I128" s="209"/>
      <c r="J128" s="1583"/>
      <c r="K128" s="1583"/>
      <c r="L128" s="209"/>
      <c r="M128" s="209"/>
      <c r="N128" s="209"/>
      <c r="O128" s="209"/>
      <c r="P128" s="209"/>
      <c r="Q128" s="209"/>
      <c r="R128" s="209"/>
      <c r="S128" s="209"/>
      <c r="U128" s="256"/>
    </row>
    <row r="129" spans="1:21" s="253" customFormat="1" ht="12.75">
      <c r="A129" s="209" t="s">
        <v>499</v>
      </c>
      <c r="B129" s="546"/>
      <c r="C129" s="209"/>
      <c r="D129" s="1591" t="s">
        <v>1298</v>
      </c>
      <c r="E129" s="1591"/>
      <c r="F129" s="1591"/>
      <c r="G129" s="1591"/>
      <c r="H129" s="1591"/>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08"/>
      <c r="E131" s="1408"/>
      <c r="F131" s="1408"/>
      <c r="G131" s="1408"/>
      <c r="H131" s="1408"/>
      <c r="I131" s="209"/>
      <c r="J131" s="1408"/>
      <c r="K131" s="1408"/>
      <c r="L131" s="1408"/>
      <c r="M131" s="1408"/>
      <c r="N131" s="209"/>
      <c r="O131" s="209"/>
      <c r="P131" s="209"/>
      <c r="Q131" s="209"/>
      <c r="R131" s="209"/>
      <c r="S131" s="209"/>
      <c r="U131" s="256"/>
    </row>
    <row r="132" spans="1:21" s="253" customFormat="1" ht="12.75">
      <c r="A132" s="548"/>
      <c r="B132" s="209"/>
      <c r="C132" s="209"/>
      <c r="D132" s="1585" t="s">
        <v>1301</v>
      </c>
      <c r="E132" s="1585"/>
      <c r="F132" s="1585"/>
      <c r="G132" s="1585"/>
      <c r="H132" s="1585"/>
      <c r="I132" s="209"/>
      <c r="J132" s="1585" t="s">
        <v>1302</v>
      </c>
      <c r="K132" s="1585"/>
      <c r="L132" s="1585"/>
      <c r="M132" s="1585"/>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6"/>
      <c r="B138" s="1587"/>
      <c r="C138" s="1587"/>
      <c r="D138" s="352"/>
      <c r="E138" s="1583"/>
      <c r="F138" s="1583"/>
      <c r="G138" s="209"/>
      <c r="H138" s="209"/>
      <c r="I138" s="209"/>
      <c r="J138" s="209"/>
      <c r="K138" s="209"/>
      <c r="L138" s="209"/>
      <c r="M138" s="209"/>
      <c r="N138" s="209"/>
      <c r="O138" s="209"/>
      <c r="P138" s="209"/>
      <c r="Q138" s="209"/>
      <c r="R138" s="209"/>
      <c r="S138" s="209"/>
    </row>
    <row r="139" spans="1:21" ht="12" customHeight="1">
      <c r="A139" s="1582" t="s">
        <v>1304</v>
      </c>
      <c r="B139" s="1582"/>
      <c r="C139" s="1582"/>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3"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6" t="s">
        <v>1746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1830</v>
      </c>
    </row>
    <row r="7" spans="1:40" ht="12.95"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NON-DDA/
NON-QCT Building(s)</v>
      </c>
      <c r="U7" s="1612"/>
      <c r="V7" s="1612"/>
      <c r="W7" s="1612"/>
      <c r="X7" s="1612"/>
      <c r="Y7" s="1612" t="str">
        <f>IF(T25=100%,"",'Sources and Basis Breakdown'!G2)</f>
        <v/>
      </c>
      <c r="Z7" s="1612"/>
      <c r="AA7" s="1612"/>
      <c r="AB7" s="1612"/>
      <c r="AC7" s="1612"/>
      <c r="AD7" s="1612" t="str">
        <f>IF(T25=100%,'Sources and Basis Breakdown'!J2,'Sources and Basis Breakdown'!I2)</f>
        <v>30% PVC for Acquisition
NON-DDA/
NON-QCT Building(s)</v>
      </c>
      <c r="AE7" s="1612"/>
      <c r="AF7" s="1612"/>
      <c r="AG7" s="1612"/>
      <c r="AH7" s="1612"/>
      <c r="AI7" s="1612" t="str">
        <f>IF(T25=100%,"",'Sources and Basis Breakdown'!J2)</f>
        <v/>
      </c>
      <c r="AJ7" s="1612"/>
      <c r="AK7" s="1612"/>
      <c r="AL7" s="1612"/>
      <c r="AM7" s="1612"/>
    </row>
    <row r="8" spans="1:40" ht="12.95"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0">
        <f>IF('Sources and Basis Breakdown'!F105=0,'Sources and Basis Breakdown'!E105,'Sources and Basis Breakdown'!F105)</f>
        <v>32145715</v>
      </c>
      <c r="U11" s="1613"/>
      <c r="V11" s="1613"/>
      <c r="W11" s="1613"/>
      <c r="X11" s="1613"/>
      <c r="Y11" s="1629">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5" customHeight="1">
      <c r="B12" s="1614" t="s">
        <v>447</v>
      </c>
      <c r="C12" s="1033"/>
      <c r="D12" s="1033"/>
      <c r="E12" s="1033"/>
      <c r="F12" s="1033"/>
      <c r="G12" s="1033"/>
      <c r="H12" s="1033"/>
      <c r="I12" s="1033"/>
      <c r="J12" s="1033"/>
      <c r="K12" s="1033"/>
      <c r="L12" s="1033"/>
      <c r="M12" s="1033"/>
      <c r="N12" s="1033"/>
      <c r="O12" s="1033"/>
      <c r="P12" s="1033"/>
      <c r="Q12" s="1033"/>
      <c r="R12" s="1033"/>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5" customHeight="1">
      <c r="B13" s="8"/>
      <c r="C13" s="1616" t="s">
        <v>1712</v>
      </c>
      <c r="D13" s="1617"/>
      <c r="E13" s="1617"/>
      <c r="F13" s="1617"/>
      <c r="G13" s="1617"/>
      <c r="H13" s="1617"/>
      <c r="I13" s="1617"/>
      <c r="J13" s="1617"/>
      <c r="K13" s="1617"/>
      <c r="L13" s="1617"/>
      <c r="M13" s="1617"/>
      <c r="N13" s="1617"/>
      <c r="O13" s="1617"/>
      <c r="P13" s="1617"/>
      <c r="Q13" s="1617"/>
      <c r="R13" s="1617"/>
      <c r="S13" s="1618"/>
      <c r="T13" s="1621"/>
      <c r="U13" s="1622"/>
      <c r="V13" s="1622"/>
      <c r="W13" s="1622"/>
      <c r="X13" s="1622"/>
      <c r="Y13" s="1621"/>
      <c r="Z13" s="1622"/>
      <c r="AA13" s="1622"/>
      <c r="AB13" s="1622"/>
      <c r="AC13" s="1622"/>
      <c r="AD13" s="1622"/>
      <c r="AE13" s="1622"/>
      <c r="AF13" s="1622"/>
      <c r="AG13" s="1622"/>
      <c r="AH13" s="1622"/>
      <c r="AI13" s="1622"/>
      <c r="AJ13" s="1622"/>
      <c r="AK13" s="1622"/>
      <c r="AL13" s="1622"/>
      <c r="AM13" s="1622"/>
    </row>
    <row r="14" spans="1:40" ht="12.95" customHeight="1">
      <c r="B14" s="8"/>
      <c r="C14" s="1617" t="s">
        <v>768</v>
      </c>
      <c r="D14" s="1617"/>
      <c r="E14" s="1617"/>
      <c r="F14" s="1617"/>
      <c r="G14" s="1617"/>
      <c r="H14" s="1617"/>
      <c r="I14" s="1617"/>
      <c r="J14" s="1617"/>
      <c r="K14" s="1617"/>
      <c r="L14" s="1617"/>
      <c r="M14" s="1617"/>
      <c r="N14" s="1617"/>
      <c r="O14" s="1617"/>
      <c r="P14" s="1617"/>
      <c r="Q14" s="1617"/>
      <c r="R14" s="1617"/>
      <c r="S14" s="1618"/>
      <c r="T14" s="1081"/>
      <c r="U14" s="1077"/>
      <c r="V14" s="1077"/>
      <c r="W14" s="1077"/>
      <c r="X14" s="1077"/>
      <c r="Y14" s="1081"/>
      <c r="Z14" s="1077"/>
      <c r="AA14" s="1077"/>
      <c r="AB14" s="1077"/>
      <c r="AC14" s="1077"/>
      <c r="AD14" s="1077"/>
      <c r="AE14" s="1077"/>
      <c r="AF14" s="1077"/>
      <c r="AG14" s="1077"/>
      <c r="AH14" s="1077"/>
      <c r="AI14" s="1077"/>
      <c r="AJ14" s="1077"/>
      <c r="AK14" s="1077"/>
      <c r="AL14" s="1077"/>
      <c r="AM14" s="1077"/>
    </row>
    <row r="15" spans="1:40" ht="12.95" customHeight="1">
      <c r="B15" s="8"/>
      <c r="C15" s="1617" t="s">
        <v>769</v>
      </c>
      <c r="D15" s="1617"/>
      <c r="E15" s="1617"/>
      <c r="F15" s="1617"/>
      <c r="G15" s="1617"/>
      <c r="H15" s="1617"/>
      <c r="I15" s="1617"/>
      <c r="J15" s="1617"/>
      <c r="K15" s="1617"/>
      <c r="L15" s="1617"/>
      <c r="M15" s="1617"/>
      <c r="N15" s="1617"/>
      <c r="O15" s="1617"/>
      <c r="P15" s="1617"/>
      <c r="Q15" s="1617"/>
      <c r="R15" s="1617"/>
      <c r="S15" s="1618"/>
      <c r="T15" s="1081"/>
      <c r="U15" s="1077"/>
      <c r="V15" s="1077"/>
      <c r="W15" s="1077"/>
      <c r="X15" s="1077"/>
      <c r="Y15" s="1081"/>
      <c r="Z15" s="1077"/>
      <c r="AA15" s="1077"/>
      <c r="AB15" s="1077"/>
      <c r="AC15" s="1077"/>
      <c r="AD15" s="1077"/>
      <c r="AE15" s="1077"/>
      <c r="AF15" s="1077"/>
      <c r="AG15" s="1077"/>
      <c r="AH15" s="1077"/>
      <c r="AI15" s="1077"/>
      <c r="AJ15" s="1077"/>
      <c r="AK15" s="1077"/>
      <c r="AL15" s="1077"/>
      <c r="AM15" s="1077"/>
    </row>
    <row r="16" spans="1:40" ht="12.95" customHeight="1">
      <c r="B16" s="8"/>
      <c r="C16" s="1616" t="s">
        <v>1012</v>
      </c>
      <c r="D16" s="1616"/>
      <c r="E16" s="1616"/>
      <c r="F16" s="1616"/>
      <c r="G16" s="1616"/>
      <c r="H16" s="1616"/>
      <c r="I16" s="1616"/>
      <c r="J16" s="1616"/>
      <c r="K16" s="1616"/>
      <c r="L16" s="1616"/>
      <c r="M16" s="1616"/>
      <c r="N16" s="1616"/>
      <c r="O16" s="1616"/>
      <c r="P16" s="1616"/>
      <c r="Q16" s="1616"/>
      <c r="R16" s="1616"/>
      <c r="S16" s="1619"/>
      <c r="T16" s="1081"/>
      <c r="U16" s="1077"/>
      <c r="V16" s="1077"/>
      <c r="W16" s="1077"/>
      <c r="X16" s="1077"/>
      <c r="Y16" s="1081"/>
      <c r="Z16" s="1077"/>
      <c r="AA16" s="1077"/>
      <c r="AB16" s="1077"/>
      <c r="AC16" s="1077"/>
      <c r="AD16" s="1077"/>
      <c r="AE16" s="1077"/>
      <c r="AF16" s="1077"/>
      <c r="AG16" s="1077"/>
      <c r="AH16" s="1077"/>
      <c r="AI16" s="1077"/>
      <c r="AJ16" s="1077"/>
      <c r="AK16" s="1077"/>
      <c r="AL16" s="1077"/>
      <c r="AM16" s="1077"/>
    </row>
    <row r="17" spans="1:39" ht="12.95" customHeight="1">
      <c r="B17" s="8"/>
      <c r="C17" s="1617" t="s">
        <v>770</v>
      </c>
      <c r="D17" s="1617"/>
      <c r="E17" s="1617"/>
      <c r="F17" s="1617"/>
      <c r="G17" s="1617"/>
      <c r="H17" s="1617"/>
      <c r="I17" s="1617"/>
      <c r="J17" s="1617"/>
      <c r="K17" s="1617"/>
      <c r="L17" s="1617"/>
      <c r="M17" s="1617"/>
      <c r="N17" s="1617"/>
      <c r="O17" s="1617"/>
      <c r="P17" s="1617"/>
      <c r="Q17" s="1617"/>
      <c r="R17" s="1617"/>
      <c r="S17" s="1618"/>
      <c r="T17" s="1081"/>
      <c r="U17" s="1077"/>
      <c r="V17" s="1077"/>
      <c r="W17" s="1077"/>
      <c r="X17" s="1077"/>
      <c r="Y17" s="1081"/>
      <c r="Z17" s="1077"/>
      <c r="AA17" s="1077"/>
      <c r="AB17" s="1077"/>
      <c r="AC17" s="1077"/>
      <c r="AD17" s="1077"/>
      <c r="AE17" s="1077"/>
      <c r="AF17" s="1077"/>
      <c r="AG17" s="1077"/>
      <c r="AH17" s="1077"/>
      <c r="AI17" s="1077"/>
      <c r="AJ17" s="1077"/>
      <c r="AK17" s="1077"/>
      <c r="AL17" s="1077"/>
      <c r="AM17" s="1077"/>
    </row>
    <row r="18" spans="1:39" ht="12.95" customHeight="1">
      <c r="B18" s="941"/>
      <c r="C18" s="1593" t="s">
        <v>1217</v>
      </c>
      <c r="D18" s="1593"/>
      <c r="E18" s="1593"/>
      <c r="F18" s="1593"/>
      <c r="G18" s="1593"/>
      <c r="H18" s="1593"/>
      <c r="I18" s="1593"/>
      <c r="J18" s="1593"/>
      <c r="K18" s="1593"/>
      <c r="L18" s="1593"/>
      <c r="M18" s="1593"/>
      <c r="N18" s="1593"/>
      <c r="O18" s="1593"/>
      <c r="P18" s="1593"/>
      <c r="Q18" s="1593"/>
      <c r="R18" s="1593"/>
      <c r="S18" s="1594"/>
      <c r="T18" s="1079"/>
      <c r="U18" s="1080"/>
      <c r="V18" s="1080"/>
      <c r="W18" s="1080"/>
      <c r="X18" s="1081"/>
      <c r="Y18" s="1081"/>
      <c r="Z18" s="1077"/>
      <c r="AA18" s="1077"/>
      <c r="AB18" s="1077"/>
      <c r="AC18" s="1077"/>
      <c r="AD18" s="1077"/>
      <c r="AE18" s="1077"/>
      <c r="AF18" s="1077"/>
      <c r="AG18" s="1077"/>
      <c r="AH18" s="1077"/>
      <c r="AI18" s="1077"/>
      <c r="AJ18" s="1077"/>
      <c r="AK18" s="1077"/>
      <c r="AL18" s="1077"/>
      <c r="AM18" s="1077"/>
    </row>
    <row r="19" spans="1:39" ht="12.95" customHeight="1">
      <c r="B19" s="484"/>
      <c r="C19" s="1593" t="s">
        <v>1217</v>
      </c>
      <c r="D19" s="1593"/>
      <c r="E19" s="1593"/>
      <c r="F19" s="1593"/>
      <c r="G19" s="1593"/>
      <c r="H19" s="1593"/>
      <c r="I19" s="1593"/>
      <c r="J19" s="1593"/>
      <c r="K19" s="1593"/>
      <c r="L19" s="1593"/>
      <c r="M19" s="1593"/>
      <c r="N19" s="1593"/>
      <c r="O19" s="1593"/>
      <c r="P19" s="1593"/>
      <c r="Q19" s="1593"/>
      <c r="R19" s="1593"/>
      <c r="S19" s="1594"/>
      <c r="T19" s="1081"/>
      <c r="U19" s="1077"/>
      <c r="V19" s="1077"/>
      <c r="W19" s="1077"/>
      <c r="X19" s="1077"/>
      <c r="Y19" s="1081"/>
      <c r="Z19" s="1077"/>
      <c r="AA19" s="1077"/>
      <c r="AB19" s="1077"/>
      <c r="AC19" s="1077"/>
      <c r="AD19" s="1077"/>
      <c r="AE19" s="1077"/>
      <c r="AF19" s="1077"/>
      <c r="AG19" s="1077"/>
      <c r="AH19" s="1077"/>
      <c r="AI19" s="1077"/>
      <c r="AJ19" s="1077"/>
      <c r="AK19" s="1077"/>
      <c r="AL19" s="1077"/>
      <c r="AM19" s="1077"/>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05">
        <f>SUM(T13:X19)</f>
        <v>0</v>
      </c>
      <c r="U20" s="1075"/>
      <c r="V20" s="1075"/>
      <c r="W20" s="1075"/>
      <c r="X20" s="1075"/>
      <c r="Y20" s="1605">
        <f>SUM(Y13:AC19)</f>
        <v>0</v>
      </c>
      <c r="Z20" s="1075"/>
      <c r="AA20" s="1075"/>
      <c r="AB20" s="1075"/>
      <c r="AC20" s="1075"/>
      <c r="AD20" s="1075">
        <f>SUM(AD13:AH19)</f>
        <v>0</v>
      </c>
      <c r="AE20" s="1075"/>
      <c r="AF20" s="1075"/>
      <c r="AG20" s="1075"/>
      <c r="AH20" s="1075"/>
      <c r="AI20" s="1075">
        <f>SUM(AI13:AM19)</f>
        <v>0</v>
      </c>
      <c r="AJ20" s="1075"/>
      <c r="AK20" s="1075"/>
      <c r="AL20" s="1075"/>
      <c r="AM20" s="1075"/>
    </row>
    <row r="21" spans="1:39" ht="12.95" customHeight="1">
      <c r="B21" s="1187" t="s">
        <v>1711</v>
      </c>
      <c r="C21" s="1188"/>
      <c r="D21" s="1188"/>
      <c r="E21" s="1188"/>
      <c r="F21" s="1188"/>
      <c r="G21" s="1188"/>
      <c r="H21" s="1188"/>
      <c r="I21" s="1188"/>
      <c r="J21" s="1188"/>
      <c r="K21" s="1188"/>
      <c r="L21" s="1188"/>
      <c r="M21" s="1188"/>
      <c r="N21" s="1188"/>
      <c r="O21" s="1188"/>
      <c r="P21" s="1188"/>
      <c r="Q21" s="1188"/>
      <c r="R21" s="1188"/>
      <c r="S21" s="1189"/>
      <c r="T21" s="1081">
        <v>4367937</v>
      </c>
      <c r="U21" s="1077"/>
      <c r="V21" s="1077"/>
      <c r="W21" s="1077"/>
      <c r="X21" s="1077"/>
      <c r="Y21" s="1081"/>
      <c r="Z21" s="1077"/>
      <c r="AA21" s="1077"/>
      <c r="AB21" s="1077"/>
      <c r="AC21" s="1077"/>
      <c r="AD21" s="1081"/>
      <c r="AE21" s="1077"/>
      <c r="AF21" s="1077"/>
      <c r="AG21" s="1077"/>
      <c r="AH21" s="1077"/>
      <c r="AI21" s="1081"/>
      <c r="AJ21" s="1077"/>
      <c r="AK21" s="1077"/>
      <c r="AL21" s="1077"/>
      <c r="AM21" s="1077"/>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06">
        <f>(ABS(T20)+ABS(T21))*-1</f>
        <v>-4367937</v>
      </c>
      <c r="U22" s="1607"/>
      <c r="V22" s="1607"/>
      <c r="W22" s="1607"/>
      <c r="X22" s="1607"/>
      <c r="Y22" s="1606">
        <f t="shared" ref="Y22" si="0">(ABS(Y20)+ABS(Y21))*-1</f>
        <v>0</v>
      </c>
      <c r="Z22" s="1607"/>
      <c r="AA22" s="1607"/>
      <c r="AB22" s="1607"/>
      <c r="AC22" s="1607"/>
      <c r="AD22" s="1606">
        <f t="shared" ref="AD22" si="1">(ABS(AD20)+ABS(AD21))*-1</f>
        <v>0</v>
      </c>
      <c r="AE22" s="1607"/>
      <c r="AF22" s="1607"/>
      <c r="AG22" s="1607"/>
      <c r="AH22" s="1607"/>
      <c r="AI22" s="1606">
        <f t="shared" ref="AI22" si="2">(ABS(AI20)+ABS(AI21))*-1</f>
        <v>0</v>
      </c>
      <c r="AJ22" s="1607"/>
      <c r="AK22" s="1607"/>
      <c r="AL22" s="1607"/>
      <c r="AM22" s="1607"/>
    </row>
    <row r="23" spans="1:39" ht="12.95" customHeight="1">
      <c r="B23" s="1187" t="s">
        <v>1905</v>
      </c>
      <c r="C23" s="1188"/>
      <c r="D23" s="1188"/>
      <c r="E23" s="1188"/>
      <c r="F23" s="1188"/>
      <c r="G23" s="1188"/>
      <c r="H23" s="1188"/>
      <c r="I23" s="1188"/>
      <c r="J23" s="1188"/>
      <c r="K23" s="1188"/>
      <c r="L23" s="1188"/>
      <c r="M23" s="1188"/>
      <c r="N23" s="1188"/>
      <c r="O23" s="1188"/>
      <c r="P23" s="1188"/>
      <c r="Q23" s="1188"/>
      <c r="R23" s="1188"/>
      <c r="S23" s="1189"/>
      <c r="T23" s="1605">
        <f>T11+T22</f>
        <v>27777778</v>
      </c>
      <c r="U23" s="1075"/>
      <c r="V23" s="1075"/>
      <c r="W23" s="1075"/>
      <c r="X23" s="1075"/>
      <c r="Y23" s="1605">
        <f>Y11+Y22</f>
        <v>0</v>
      </c>
      <c r="Z23" s="1075"/>
      <c r="AA23" s="1075"/>
      <c r="AB23" s="1075"/>
      <c r="AC23" s="1075"/>
      <c r="AD23" s="1605">
        <f>IF(AD11=AD21,0,AD11)</f>
        <v>0</v>
      </c>
      <c r="AE23" s="1075"/>
      <c r="AF23" s="1075"/>
      <c r="AG23" s="1075"/>
      <c r="AH23" s="1075"/>
      <c r="AI23" s="1605">
        <f>IF(AI11=AI21,0,AI11)</f>
        <v>0</v>
      </c>
      <c r="AJ23" s="1075"/>
      <c r="AK23" s="1075"/>
      <c r="AL23" s="1075"/>
      <c r="AM23" s="1075"/>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03">
        <f>Application!AJ1020</f>
        <v>57150387</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5" customHeight="1">
      <c r="B25" s="1595" t="s">
        <v>1907</v>
      </c>
      <c r="C25" s="1596"/>
      <c r="D25" s="1596"/>
      <c r="E25" s="1596"/>
      <c r="F25" s="1596"/>
      <c r="G25" s="1596"/>
      <c r="H25" s="1596"/>
      <c r="I25" s="1596"/>
      <c r="J25" s="1596"/>
      <c r="K25" s="1596"/>
      <c r="L25" s="1596"/>
      <c r="M25" s="1596"/>
      <c r="N25" s="1596"/>
      <c r="O25" s="1596"/>
      <c r="P25" s="1596"/>
      <c r="Q25" s="1596"/>
      <c r="R25" s="1596"/>
      <c r="S25" s="1597"/>
      <c r="T25" s="1609">
        <f>IF(OR(AND(Application!T193="no",Application!T194="no",Application!T196="no",Application!Y211="no"),Application!T195="yes"),1,1.3)</f>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241">
        <f>T23*T25</f>
        <v>27777778</v>
      </c>
      <c r="U26" s="1608"/>
      <c r="V26" s="1608"/>
      <c r="W26" s="1608"/>
      <c r="X26" s="1608"/>
      <c r="Y26" s="1241">
        <f>Y23*Y25</f>
        <v>0</v>
      </c>
      <c r="Z26" s="1608"/>
      <c r="AA26" s="1608"/>
      <c r="AB26" s="1608"/>
      <c r="AC26" s="1608"/>
      <c r="AD26" s="1241">
        <f>AD23*AD25</f>
        <v>0</v>
      </c>
      <c r="AE26" s="1608"/>
      <c r="AF26" s="1608"/>
      <c r="AG26" s="1608"/>
      <c r="AH26" s="1608"/>
      <c r="AI26" s="1241">
        <f>AI23*AI25</f>
        <v>0</v>
      </c>
      <c r="AJ26" s="1608"/>
      <c r="AK26" s="1608"/>
      <c r="AL26" s="1608"/>
      <c r="AM26" s="1608"/>
    </row>
    <row r="27" spans="1:39" ht="12.95"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241">
        <f>IF(ISERROR((T26*T27)),0,(T26*T27))</f>
        <v>27777778</v>
      </c>
      <c r="U28" s="1608"/>
      <c r="V28" s="1608"/>
      <c r="W28" s="1608"/>
      <c r="X28" s="1608"/>
      <c r="Y28" s="1241">
        <f>IF(ISERROR((Y26*Y27)),0,(Y26*Y27))</f>
        <v>0</v>
      </c>
      <c r="Z28" s="1608"/>
      <c r="AA28" s="1608"/>
      <c r="AB28" s="1608"/>
      <c r="AC28" s="1608"/>
      <c r="AD28" s="1241">
        <f>IF(ISERROR((AD26*AD27)),0,(AD26*AD27))</f>
        <v>0</v>
      </c>
      <c r="AE28" s="1608"/>
      <c r="AF28" s="1608"/>
      <c r="AG28" s="1608"/>
      <c r="AH28" s="1608"/>
      <c r="AI28" s="1241">
        <f>IF(ISERROR((AI26*AI27)),0,(AI26*AI27))</f>
        <v>0</v>
      </c>
      <c r="AJ28" s="1608"/>
      <c r="AK28" s="1608"/>
      <c r="AL28" s="1608"/>
      <c r="AM28" s="1608"/>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03">
        <f>T28+Y28+AD28+AI28</f>
        <v>27777778</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5" customHeight="1">
      <c r="B30" s="1639" t="s">
        <v>1906</v>
      </c>
      <c r="C30" s="1639"/>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639"/>
      <c r="AF30" s="1639"/>
      <c r="AG30" s="1639"/>
      <c r="AH30" s="1639"/>
      <c r="AI30" s="1639"/>
      <c r="AJ30" s="1639"/>
      <c r="AK30" s="1639"/>
      <c r="AL30" s="1639"/>
      <c r="AM30" s="1639"/>
    </row>
    <row r="31" spans="1:39" ht="12.95" customHeight="1">
      <c r="B31" s="1640" t="s">
        <v>1908</v>
      </c>
      <c r="C31" s="1640"/>
      <c r="D31" s="1640"/>
      <c r="E31" s="1640"/>
      <c r="F31" s="1640"/>
      <c r="G31" s="1640"/>
      <c r="H31" s="1640"/>
      <c r="I31" s="1640"/>
      <c r="J31" s="1640"/>
      <c r="K31" s="1640"/>
      <c r="L31" s="1640"/>
      <c r="M31" s="1640"/>
      <c r="N31" s="1640"/>
      <c r="O31" s="1640"/>
      <c r="P31" s="1640"/>
      <c r="Q31" s="1640"/>
      <c r="R31" s="1640"/>
      <c r="S31" s="1640"/>
      <c r="T31" s="1640"/>
      <c r="U31" s="1640"/>
      <c r="V31" s="1640"/>
      <c r="W31" s="1640"/>
      <c r="X31" s="1640"/>
      <c r="Y31" s="1640"/>
      <c r="Z31" s="1640"/>
      <c r="AA31" s="1640"/>
      <c r="AB31" s="1640"/>
      <c r="AC31" s="1640"/>
      <c r="AD31" s="1640"/>
      <c r="AE31" s="1640"/>
      <c r="AF31" s="1640"/>
      <c r="AG31" s="1640"/>
      <c r="AH31" s="1640"/>
      <c r="AI31" s="1640"/>
      <c r="AJ31" s="1640"/>
      <c r="AK31" s="1640"/>
      <c r="AL31" s="1640"/>
      <c r="AM31" s="1640"/>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2" t="s">
        <v>41</v>
      </c>
      <c r="AE35" s="1502"/>
      <c r="AF35" s="1502"/>
      <c r="AG35" s="1502"/>
      <c r="AH35" s="1502"/>
    </row>
    <row r="36" spans="1:44" ht="12.95" customHeight="1">
      <c r="B36" s="204"/>
      <c r="X36" s="71"/>
      <c r="Y36" s="1612"/>
      <c r="Z36" s="1612"/>
      <c r="AA36" s="1612"/>
      <c r="AB36" s="1612"/>
      <c r="AC36" s="1612"/>
      <c r="AD36" s="1502"/>
      <c r="AE36" s="1502"/>
      <c r="AF36" s="1502"/>
      <c r="AG36" s="1502"/>
      <c r="AH36" s="150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2"/>
      <c r="AE37" s="1502"/>
      <c r="AF37" s="1502"/>
      <c r="AG37" s="1502"/>
      <c r="AH37" s="1502"/>
    </row>
    <row r="38" spans="1:44"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075">
        <f>IF(T24&gt;=(T23+Y23+AD23+AI23),T28+Y28,0)</f>
        <v>27777778</v>
      </c>
      <c r="Z38" s="1075"/>
      <c r="AA38" s="1075"/>
      <c r="AB38" s="1075"/>
      <c r="AC38" s="1075"/>
      <c r="AD38" s="1075">
        <f>IF(T24&gt;=(T23+Y23+AD23+AI23),AD28+AI28,0)</f>
        <v>0</v>
      </c>
      <c r="AE38" s="1075"/>
      <c r="AF38" s="1075"/>
      <c r="AG38" s="1075"/>
      <c r="AH38" s="1075"/>
    </row>
    <row r="39" spans="1:44" ht="12.95" customHeight="1">
      <c r="B39" s="1187" t="s">
        <v>1815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3">
        <v>0.09</v>
      </c>
      <c r="Z39" s="1643"/>
      <c r="AA39" s="1643"/>
      <c r="AB39" s="1643"/>
      <c r="AC39" s="1643"/>
      <c r="AD39" s="1643">
        <v>0.04</v>
      </c>
      <c r="AE39" s="1643"/>
      <c r="AF39" s="1643"/>
      <c r="AG39" s="1643"/>
      <c r="AH39" s="1643"/>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075">
        <f>ROUND(Y38*Y39,0)</f>
        <v>2500000</v>
      </c>
      <c r="Z40" s="1075"/>
      <c r="AA40" s="1075"/>
      <c r="AB40" s="1075"/>
      <c r="AC40" s="1075"/>
      <c r="AD40" s="1605">
        <f>ROUND(AD38*AD39,0)</f>
        <v>0</v>
      </c>
      <c r="AE40" s="1075"/>
      <c r="AF40" s="1075"/>
      <c r="AG40" s="1075"/>
      <c r="AH40" s="1075"/>
    </row>
    <row r="41" spans="1:44"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3">
        <f>IF(Application!Y211="No",'Basis &amp; Credits'!AR42,AR43)</f>
        <v>2500000</v>
      </c>
      <c r="Z41" s="1604"/>
      <c r="AA41" s="1604"/>
      <c r="AB41" s="1604"/>
      <c r="AC41" s="1604"/>
      <c r="AD41" s="1604"/>
      <c r="AE41" s="1604"/>
      <c r="AF41" s="1604"/>
      <c r="AG41" s="1604"/>
      <c r="AH41" s="1605"/>
    </row>
    <row r="42" spans="1:44" ht="12.95" customHeight="1">
      <c r="A42" s="3"/>
      <c r="B42" s="1637" t="s">
        <v>1816</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8">
        <f>'Sources and Uses Budget'!B104-(MAX(IF('Sources and Uses Budget'!B15="",0,'Sources and Uses Budget'!B15),IF(Application!AG387="",0,Application!AG387)))</f>
        <v>35431205</v>
      </c>
      <c r="AC46" s="1199"/>
      <c r="AD46" s="1199"/>
      <c r="AE46" s="1199"/>
      <c r="AF46" s="1200"/>
    </row>
    <row r="47" spans="1:44" ht="12.95" customHeight="1">
      <c r="D47" s="3" t="s">
        <v>837</v>
      </c>
      <c r="AB47" s="1198">
        <f>Application!AO633-MAX(IF('Sources and Uses Budget'!B15="",0,'Sources and Uses Budget'!B15),IF(Application!AG387="",0,Application!AG387))</f>
        <v>10498020</v>
      </c>
      <c r="AC47" s="1199"/>
      <c r="AD47" s="1199"/>
      <c r="AE47" s="1199"/>
      <c r="AF47" s="1200"/>
    </row>
    <row r="48" spans="1:44" ht="12.95" customHeight="1">
      <c r="D48" s="3" t="s">
        <v>378</v>
      </c>
      <c r="AB48" s="1198">
        <f>AB46-AB47</f>
        <v>24933185</v>
      </c>
      <c r="AC48" s="1199"/>
      <c r="AD48" s="1199"/>
      <c r="AE48" s="1199"/>
      <c r="AF48" s="1200"/>
    </row>
    <row r="49" spans="1:40" ht="12.95" customHeight="1">
      <c r="D49" s="3" t="s">
        <v>872</v>
      </c>
      <c r="AA49" s="34"/>
      <c r="AB49" s="1632">
        <v>0.88</v>
      </c>
      <c r="AC49" s="1633"/>
      <c r="AD49" s="1633"/>
      <c r="AE49" s="1633"/>
      <c r="AF49" s="1634"/>
    </row>
    <row r="50" spans="1:40" s="323" customFormat="1" ht="12.95" customHeight="1">
      <c r="A50"/>
      <c r="B50"/>
      <c r="C50"/>
      <c r="D50"/>
      <c r="E50" s="1638" t="s">
        <v>1951</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5"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28333165</v>
      </c>
      <c r="AC53" s="1199"/>
      <c r="AD53" s="1199"/>
      <c r="AE53" s="1199"/>
      <c r="AF53" s="1200"/>
    </row>
    <row r="54" spans="1:40" ht="12.95" customHeight="1">
      <c r="D54" s="3" t="s">
        <v>561</v>
      </c>
      <c r="AB54" s="1198">
        <f>(AB53/10)</f>
        <v>2833316.5</v>
      </c>
      <c r="AC54" s="1199"/>
      <c r="AD54" s="1199"/>
      <c r="AE54" s="1199"/>
      <c r="AF54" s="1200"/>
    </row>
    <row r="55" spans="1:40" ht="12.95" customHeight="1">
      <c r="D55" s="3" t="s">
        <v>341</v>
      </c>
      <c r="AB55" s="1198">
        <f>(IF((Y41&lt;AB54),Y41,AB54))</f>
        <v>2500000</v>
      </c>
      <c r="AC55" s="1199"/>
      <c r="AD55" s="1199"/>
      <c r="AE55" s="1199"/>
      <c r="AF55" s="1200"/>
    </row>
    <row r="56" spans="1:40" ht="12.95" customHeight="1">
      <c r="D56" s="3" t="s">
        <v>107</v>
      </c>
      <c r="AB56" s="1198">
        <f>ROUND((10*AB55*AB49),0)</f>
        <v>22000000</v>
      </c>
      <c r="AC56" s="1199"/>
      <c r="AD56" s="1199"/>
      <c r="AE56" s="1199"/>
      <c r="AF56" s="1200"/>
    </row>
    <row r="57" spans="1:40" ht="12.95" customHeight="1">
      <c r="D57" s="3"/>
      <c r="AB57" s="276"/>
      <c r="AC57" s="276"/>
      <c r="AD57" s="276"/>
      <c r="AE57" s="276"/>
      <c r="AF57" s="276"/>
    </row>
    <row r="58" spans="1:40" ht="12.95" customHeight="1">
      <c r="D58" s="3" t="s">
        <v>106</v>
      </c>
      <c r="AB58" s="1378">
        <f>AB48-AB56</f>
        <v>2933185</v>
      </c>
      <c r="AC58" s="1378"/>
      <c r="AD58" s="1378"/>
      <c r="AE58" s="1378"/>
      <c r="AF58" s="137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1" t="s">
        <v>1750</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27777778</v>
      </c>
      <c r="Z63" s="1635"/>
      <c r="AA63" s="1635"/>
      <c r="AB63" s="1635"/>
      <c r="AC63" s="1635"/>
      <c r="AD63" s="1075">
        <f>IF(AND(T25=1.3,Application!D214="At-Risk"),AI28,IF(Application!D214&lt;&gt;"At-Risk",0,AD28))</f>
        <v>0</v>
      </c>
      <c r="AE63" s="1635"/>
      <c r="AF63" s="1635"/>
      <c r="AG63" s="1635"/>
      <c r="AH63" s="1635"/>
    </row>
    <row r="64" spans="1:40" ht="12.95"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21.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f>IF(Application!W198="Yes",95%, 30%)</f>
        <v>0.3</v>
      </c>
      <c r="Z66" s="1631"/>
      <c r="AA66" s="1631"/>
      <c r="AB66" s="1631"/>
      <c r="AC66" s="1631"/>
      <c r="AD66" s="1631">
        <f>IF(Application!W198="Yes",95%, 13%)</f>
        <v>0.13</v>
      </c>
      <c r="AE66" s="1631"/>
      <c r="AF66" s="1631"/>
      <c r="AG66" s="1631"/>
      <c r="AH66" s="1631"/>
    </row>
    <row r="67" spans="1:34" ht="12.95" customHeight="1">
      <c r="C67" s="3"/>
      <c r="D67" s="3" t="s">
        <v>941</v>
      </c>
      <c r="Y67" s="1075">
        <f>ROUND(Y63*Y66,0)</f>
        <v>8333333</v>
      </c>
      <c r="Z67" s="1635"/>
      <c r="AA67" s="1635"/>
      <c r="AB67" s="1635"/>
      <c r="AC67" s="1635"/>
      <c r="AD67" s="1075" t="str">
        <f>IF(OR(Application!D211="At-Risk",Application!D211="At-Risk/Located in Rural Census Tract",Application!D214="At-Risk"),ROUND(AD63*AD66,0),"$0")</f>
        <v>$0</v>
      </c>
      <c r="AE67" s="1075"/>
      <c r="AF67" s="1075"/>
      <c r="AG67" s="1075"/>
      <c r="AH67" s="1075"/>
    </row>
    <row r="68" spans="1:34" ht="12.9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32">
        <v>0.8</v>
      </c>
      <c r="AC70" s="1633"/>
      <c r="AD70" s="1633"/>
      <c r="AE70" s="1633"/>
      <c r="AF70" s="1634"/>
    </row>
    <row r="71" spans="1:34" ht="12.95" customHeight="1">
      <c r="A71" s="3"/>
      <c r="C71" s="3"/>
      <c r="D71" s="3"/>
      <c r="E71" s="1636" t="s">
        <v>2249</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5"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5"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04">
        <f>ROUND(IF(ISERROR((AB58/AB70)),0,(AB58/AB70)),0)</f>
        <v>3666481</v>
      </c>
      <c r="AC75" s="1504"/>
      <c r="AD75" s="1504"/>
      <c r="AE75" s="1504"/>
      <c r="AF75" s="1504"/>
    </row>
    <row r="76" spans="1:34" ht="12.95" customHeight="1">
      <c r="C76" s="3"/>
      <c r="D76" s="3" t="s">
        <v>105</v>
      </c>
      <c r="AB76" s="1549">
        <f>IF((Y67+AD67&lt;AB75),Y67+AD67,AB75)</f>
        <v>3666481</v>
      </c>
      <c r="AC76" s="1550"/>
      <c r="AD76" s="1550"/>
      <c r="AE76" s="1550"/>
      <c r="AF76" s="1551"/>
    </row>
    <row r="77" spans="1:34" ht="12.95" customHeight="1">
      <c r="C77" s="3"/>
      <c r="D77" s="3" t="s">
        <v>942</v>
      </c>
      <c r="AB77" s="1630">
        <f>AB76*AB70</f>
        <v>2933184.8000000003</v>
      </c>
      <c r="AC77" s="1630"/>
      <c r="AD77" s="1630"/>
      <c r="AE77" s="1630"/>
      <c r="AF77" s="1630"/>
    </row>
    <row r="78" spans="1:34" ht="12.95" customHeight="1">
      <c r="C78" s="3"/>
      <c r="D78" s="3"/>
      <c r="AB78" s="598"/>
      <c r="AC78" s="598"/>
      <c r="AD78" s="598"/>
      <c r="AE78" s="598"/>
      <c r="AF78" s="598"/>
    </row>
    <row r="79" spans="1:34" ht="12.95" customHeight="1">
      <c r="D79" s="3" t="s">
        <v>106</v>
      </c>
      <c r="AB79" s="1378">
        <f>AB48-(AB56+AB77)</f>
        <v>0.19999999925494194</v>
      </c>
      <c r="AC79" s="1378"/>
      <c r="AD79" s="1378"/>
      <c r="AE79" s="1378"/>
      <c r="AF79" s="1378"/>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5"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4" t="s">
        <v>1823</v>
      </c>
      <c r="B1" s="1645"/>
      <c r="C1" s="1645"/>
      <c r="D1" s="1645"/>
      <c r="E1" s="1645"/>
      <c r="F1" s="1645"/>
      <c r="G1" s="1645"/>
      <c r="H1" s="1645"/>
      <c r="I1" s="1645"/>
      <c r="J1" s="1646"/>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2400000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2400000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2400000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1752916</v>
      </c>
      <c r="C28" s="585"/>
      <c r="D28" s="585"/>
      <c r="E28" s="584">
        <f>'Sources and Uses Budget'!S29</f>
        <v>1752916</v>
      </c>
      <c r="F28" s="585"/>
      <c r="G28" s="585"/>
      <c r="H28" s="584">
        <f>'Sources and Uses Budget'!T29</f>
        <v>0</v>
      </c>
      <c r="I28" s="585"/>
      <c r="J28" s="585"/>
      <c r="K28" s="579"/>
    </row>
    <row r="29" spans="1:11" s="253" customFormat="1">
      <c r="A29" s="239" t="s">
        <v>911</v>
      </c>
      <c r="B29" s="584">
        <f>'Sources and Uses Budget'!C30</f>
        <v>17622000</v>
      </c>
      <c r="C29" s="585"/>
      <c r="D29" s="585"/>
      <c r="E29" s="584">
        <f>'Sources and Uses Budget'!S30</f>
        <v>17622000</v>
      </c>
      <c r="F29" s="585"/>
      <c r="G29" s="585"/>
      <c r="H29" s="584">
        <f>'Sources and Uses Budget'!T30</f>
        <v>0</v>
      </c>
      <c r="I29" s="585"/>
      <c r="J29" s="585"/>
      <c r="K29" s="579"/>
    </row>
    <row r="30" spans="1:11" s="253" customFormat="1">
      <c r="A30" s="239" t="s">
        <v>912</v>
      </c>
      <c r="B30" s="584">
        <f>'Sources and Uses Budget'!C31</f>
        <v>1296435</v>
      </c>
      <c r="C30" s="585"/>
      <c r="D30" s="585"/>
      <c r="E30" s="584">
        <f>'Sources and Uses Budget'!S31</f>
        <v>1296435</v>
      </c>
      <c r="F30" s="585"/>
      <c r="G30" s="585"/>
      <c r="H30" s="584">
        <f>'Sources and Uses Budget'!T31</f>
        <v>0</v>
      </c>
      <c r="I30" s="585"/>
      <c r="J30" s="585"/>
      <c r="K30" s="579"/>
    </row>
    <row r="31" spans="1:11" s="253" customFormat="1">
      <c r="A31" s="239" t="s">
        <v>913</v>
      </c>
      <c r="B31" s="584">
        <f>'Sources and Uses Budget'!C32</f>
        <v>1180290</v>
      </c>
      <c r="C31" s="585"/>
      <c r="D31" s="585"/>
      <c r="E31" s="584">
        <f>'Sources and Uses Budget'!S32</f>
        <v>1180290</v>
      </c>
      <c r="F31" s="585"/>
      <c r="G31" s="585"/>
      <c r="H31" s="584">
        <f>'Sources and Uses Budget'!T32</f>
        <v>0</v>
      </c>
      <c r="I31" s="585"/>
      <c r="J31" s="585"/>
      <c r="K31" s="579"/>
    </row>
    <row r="32" spans="1:11" s="253" customFormat="1">
      <c r="A32" s="239" t="s">
        <v>914</v>
      </c>
      <c r="B32" s="584">
        <f>'Sources and Uses Budget'!C33</f>
        <v>458000</v>
      </c>
      <c r="C32" s="585"/>
      <c r="D32" s="585"/>
      <c r="E32" s="584">
        <f>'Sources and Uses Budget'!S33</f>
        <v>458000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173000</v>
      </c>
      <c r="C34" s="585"/>
      <c r="D34" s="585"/>
      <c r="E34" s="584">
        <f>'Sources and Uses Budget'!S35</f>
        <v>173000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22482641</v>
      </c>
      <c r="C37" s="584">
        <f>SUM(C28:C36)</f>
        <v>0</v>
      </c>
      <c r="D37" s="584">
        <f>SUM(D28:D36)</f>
        <v>0</v>
      </c>
      <c r="E37" s="584">
        <f>'Sources and Uses Budget'!S38</f>
        <v>22482641</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905000</v>
      </c>
      <c r="C39" s="585"/>
      <c r="D39" s="585"/>
      <c r="E39" s="584">
        <f>'Sources and Uses Budget'!S40</f>
        <v>905000</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905000</v>
      </c>
      <c r="C41" s="584">
        <f>SUM(C38:C40)</f>
        <v>0</v>
      </c>
      <c r="D41" s="584">
        <f>SUM(D38:D40)</f>
        <v>0</v>
      </c>
      <c r="E41" s="584">
        <f>'Sources and Uses Budget'!S42</f>
        <v>905000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175000</v>
      </c>
      <c r="C42" s="585"/>
      <c r="D42" s="585"/>
      <c r="E42" s="584">
        <f>'Sources and Uses Budget'!S43</f>
        <v>175000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1400000</v>
      </c>
      <c r="C44" s="585"/>
      <c r="D44" s="585"/>
      <c r="E44" s="584">
        <f>'Sources and Uses Budget'!S45</f>
        <v>1050000</v>
      </c>
      <c r="F44" s="585"/>
      <c r="G44" s="585"/>
      <c r="H44" s="584">
        <f>'Sources and Uses Budget'!T45</f>
        <v>0</v>
      </c>
      <c r="I44" s="585"/>
      <c r="J44" s="585"/>
      <c r="K44" s="579"/>
    </row>
    <row r="45" spans="1:11" s="253" customFormat="1">
      <c r="A45" s="239" t="s">
        <v>927</v>
      </c>
      <c r="B45" s="584">
        <f>'Sources and Uses Budget'!C46</f>
        <v>293000</v>
      </c>
      <c r="C45" s="585"/>
      <c r="D45" s="585"/>
      <c r="E45" s="584">
        <f>'Sources and Uses Budget'!S46</f>
        <v>293000</v>
      </c>
      <c r="F45" s="585"/>
      <c r="G45" s="585"/>
      <c r="H45" s="584">
        <f>'Sources and Uses Budget'!T46</f>
        <v>0</v>
      </c>
      <c r="I45" s="585"/>
      <c r="J45" s="585"/>
      <c r="K45" s="579"/>
    </row>
    <row r="46" spans="1:11" s="253" customFormat="1" ht="12" customHeight="1">
      <c r="A46" s="239" t="s">
        <v>928</v>
      </c>
      <c r="B46" s="584">
        <f>'Sources and Uses Budget'!C47</f>
        <v>25000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64000</v>
      </c>
      <c r="C48" s="585"/>
      <c r="D48" s="585"/>
      <c r="E48" s="584">
        <f>'Sources and Uses Budget'!S49</f>
        <v>64000</v>
      </c>
      <c r="F48" s="585"/>
      <c r="G48" s="585"/>
      <c r="H48" s="584">
        <f>'Sources and Uses Budget'!T49</f>
        <v>0</v>
      </c>
      <c r="I48" s="585"/>
      <c r="J48" s="585"/>
      <c r="K48" s="579"/>
    </row>
    <row r="49" spans="1:11" s="253" customFormat="1">
      <c r="A49" s="239" t="s">
        <v>930</v>
      </c>
      <c r="B49" s="584">
        <f>'Sources and Uses Budget'!C50</f>
        <v>120000</v>
      </c>
      <c r="C49" s="585"/>
      <c r="D49" s="585"/>
      <c r="E49" s="584">
        <f>'Sources and Uses Budget'!S50</f>
        <v>120000</v>
      </c>
      <c r="F49" s="585"/>
      <c r="G49" s="585"/>
      <c r="H49" s="584">
        <f>'Sources and Uses Budget'!T50</f>
        <v>0</v>
      </c>
      <c r="I49" s="585"/>
      <c r="J49" s="585"/>
      <c r="K49" s="579"/>
    </row>
    <row r="50" spans="1:11" s="253" customFormat="1">
      <c r="A50" s="239" t="s">
        <v>931</v>
      </c>
      <c r="B50" s="584">
        <f>'Sources and Uses Budget'!C51</f>
        <v>360192</v>
      </c>
      <c r="C50" s="585"/>
      <c r="D50" s="585"/>
      <c r="E50" s="584">
        <f>'Sources and Uses Budget'!S51</f>
        <v>360192</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2262192</v>
      </c>
      <c r="C52" s="587">
        <f>SUM(C44:C51)</f>
        <v>0</v>
      </c>
      <c r="D52" s="587">
        <f>SUM(D44:D51)</f>
        <v>0</v>
      </c>
      <c r="E52" s="584">
        <f>'Sources and Uses Budget'!S53</f>
        <v>1887192</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10000</v>
      </c>
      <c r="C54" s="585"/>
      <c r="D54" s="585"/>
      <c r="E54" s="586"/>
      <c r="F54" s="586"/>
      <c r="G54" s="586"/>
      <c r="H54" s="586"/>
      <c r="I54" s="586"/>
      <c r="J54" s="586"/>
      <c r="K54" s="579"/>
    </row>
    <row r="55" spans="1:11" s="253" customFormat="1" ht="12" customHeight="1">
      <c r="A55" s="239" t="s">
        <v>928</v>
      </c>
      <c r="B55" s="584">
        <f>'Sources and Uses Budget'!C56</f>
        <v>25000</v>
      </c>
      <c r="C55" s="585"/>
      <c r="D55" s="585"/>
      <c r="E55" s="586"/>
      <c r="F55" s="586"/>
      <c r="G55" s="586"/>
      <c r="H55" s="586"/>
      <c r="I55" s="586"/>
      <c r="J55" s="586"/>
      <c r="K55" s="579"/>
    </row>
    <row r="56" spans="1:11" s="253" customFormat="1">
      <c r="A56" s="239" t="s">
        <v>932</v>
      </c>
      <c r="B56" s="584">
        <f>'Sources and Uses Budget'!C57</f>
        <v>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35000</v>
      </c>
      <c r="C60" s="584">
        <f>SUM(C54:C59)</f>
        <v>0</v>
      </c>
      <c r="D60" s="584">
        <f>SUM(D54:D59)</f>
        <v>0</v>
      </c>
      <c r="E60" s="586"/>
      <c r="F60" s="586"/>
      <c r="G60" s="586"/>
      <c r="H60" s="586"/>
      <c r="I60" s="586"/>
      <c r="J60" s="586"/>
      <c r="K60" s="579"/>
    </row>
    <row r="61" spans="1:11" s="253" customFormat="1">
      <c r="A61" s="249" t="s">
        <v>501</v>
      </c>
      <c r="B61" s="584">
        <f>'Sources and Uses Budget'!C62</f>
        <v>28259833</v>
      </c>
      <c r="C61" s="584">
        <f>SUM(C8+C11+C13+C14+C15+C25+C26+C37+C41+C42+C52+C60)</f>
        <v>0</v>
      </c>
      <c r="D61" s="584">
        <f>SUM(D8+D11+D13+D14+D15+D25+D26+D37+D41+D42+D52+D60)</f>
        <v>0</v>
      </c>
      <c r="E61" s="584">
        <f>'Sources and Uses Budget'!S62</f>
        <v>25449833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4">
      <c r="A64" s="239" t="s">
        <v>1954</v>
      </c>
      <c r="B64" s="584">
        <f>'Sources and Uses Budget'!C65</f>
        <v>120000</v>
      </c>
      <c r="C64" s="585"/>
      <c r="D64" s="585"/>
      <c r="E64" s="584">
        <f>'Sources and Uses Budget'!S65</f>
        <v>102000</v>
      </c>
      <c r="F64" s="585"/>
      <c r="G64" s="585"/>
      <c r="H64" s="584">
        <f>'Sources and Uses Budget'!T65</f>
        <v>0</v>
      </c>
      <c r="I64" s="585"/>
      <c r="J64" s="585"/>
      <c r="K64" s="579"/>
    </row>
    <row r="65" spans="1:11" s="253" customFormat="1" ht="24">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1957</v>
      </c>
      <c r="B68" s="584">
        <f>'Sources and Uses Budget'!C69</f>
        <v>180000</v>
      </c>
      <c r="C68" s="584">
        <f>SUM(C62:C67)</f>
        <v>0</v>
      </c>
      <c r="D68" s="584">
        <f>SUM(D62:D67)</f>
        <v>0</v>
      </c>
      <c r="E68" s="584">
        <f>'Sources and Uses Budget'!S69</f>
        <v>162000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238870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238870</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1124132</v>
      </c>
      <c r="C77" s="585"/>
      <c r="D77" s="585"/>
      <c r="E77" s="584">
        <f>'Sources and Uses Budget'!S78</f>
        <v>1124132</v>
      </c>
      <c r="F77" s="585"/>
      <c r="G77" s="585"/>
      <c r="H77" s="584">
        <f>'Sources and Uses Budget'!T78</f>
        <v>0</v>
      </c>
      <c r="I77" s="585"/>
      <c r="J77" s="585"/>
      <c r="K77" s="579"/>
    </row>
    <row r="78" spans="1:11" s="253" customFormat="1">
      <c r="A78" s="239" t="s">
        <v>538</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1742</v>
      </c>
      <c r="B79" s="584">
        <f>'Sources and Uses Budget'!C80</f>
        <v>1274132</v>
      </c>
      <c r="C79" s="667">
        <f>SUM(C77:C78)</f>
        <v>0</v>
      </c>
      <c r="D79" s="667">
        <f>SUM(D77:D78)</f>
        <v>0</v>
      </c>
      <c r="E79" s="584">
        <f>'Sources and Uses Budget'!S80</f>
        <v>1274132</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2113</v>
      </c>
      <c r="B81" s="584">
        <f>'Sources and Uses Budget'!C82</f>
        <v>158620</v>
      </c>
      <c r="C81" s="585"/>
      <c r="D81" s="585"/>
      <c r="E81" s="586"/>
      <c r="F81" s="586"/>
      <c r="G81" s="586"/>
      <c r="H81" s="586"/>
      <c r="I81" s="586"/>
      <c r="J81" s="586"/>
      <c r="K81" s="579"/>
    </row>
    <row r="82" spans="1:11" s="253" customFormat="1">
      <c r="A82" s="239" t="s">
        <v>516</v>
      </c>
      <c r="B82" s="584">
        <f>'Sources and Uses Budget'!C83</f>
        <v>15000</v>
      </c>
      <c r="C82" s="585"/>
      <c r="D82" s="585"/>
      <c r="E82" s="584">
        <f>'Sources and Uses Budget'!S83</f>
        <v>15000</v>
      </c>
      <c r="F82" s="585"/>
      <c r="G82" s="585"/>
      <c r="H82" s="584">
        <f>'Sources and Uses Budget'!T83</f>
        <v>0</v>
      </c>
      <c r="I82" s="585"/>
      <c r="J82" s="585"/>
      <c r="K82" s="579"/>
    </row>
    <row r="83" spans="1:11" s="253" customFormat="1">
      <c r="A83" s="239" t="s">
        <v>517</v>
      </c>
      <c r="B83" s="584">
        <f>'Sources and Uses Budget'!C84</f>
        <v>1449568</v>
      </c>
      <c r="C83" s="585"/>
      <c r="D83" s="585"/>
      <c r="E83" s="584">
        <f>'Sources and Uses Budget'!S84</f>
        <v>1449568</v>
      </c>
      <c r="F83" s="585"/>
      <c r="G83" s="585"/>
      <c r="H83" s="584">
        <f>'Sources and Uses Budget'!T84</f>
        <v>0</v>
      </c>
      <c r="I83" s="585"/>
      <c r="J83" s="585"/>
      <c r="K83" s="579"/>
    </row>
    <row r="84" spans="1:11" s="253" customFormat="1">
      <c r="A84" s="239" t="s">
        <v>518</v>
      </c>
      <c r="B84" s="584">
        <f>'Sources and Uses Budget'!C85</f>
        <v>413781</v>
      </c>
      <c r="C84" s="585"/>
      <c r="D84" s="585"/>
      <c r="E84" s="584">
        <f>'Sources and Uses Budget'!S85</f>
        <v>413781</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60000</v>
      </c>
      <c r="C86" s="585"/>
      <c r="D86" s="585"/>
      <c r="E86" s="586"/>
      <c r="F86" s="586"/>
      <c r="G86" s="586"/>
      <c r="H86" s="586"/>
      <c r="I86" s="586"/>
      <c r="J86" s="586"/>
      <c r="K86" s="579"/>
    </row>
    <row r="87" spans="1:11" s="253" customFormat="1">
      <c r="A87" s="239" t="s">
        <v>521</v>
      </c>
      <c r="B87" s="584">
        <f>'Sources and Uses Budget'!C88</f>
        <v>500449</v>
      </c>
      <c r="C87" s="585"/>
      <c r="D87" s="585"/>
      <c r="E87" s="584">
        <f>'Sources and Uses Budget'!S88</f>
        <v>500449</v>
      </c>
      <c r="F87" s="585"/>
      <c r="G87" s="585"/>
      <c r="H87" s="584">
        <f>'Sources and Uses Budget'!T88</f>
        <v>0</v>
      </c>
      <c r="I87" s="585"/>
      <c r="J87" s="585"/>
      <c r="K87" s="579"/>
    </row>
    <row r="88" spans="1:11" s="253" customFormat="1">
      <c r="A88" s="239" t="s">
        <v>522</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1315</v>
      </c>
      <c r="B89" s="584">
        <f>'Sources and Uses Budget'!C90</f>
        <v>280952</v>
      </c>
      <c r="C89" s="585"/>
      <c r="D89" s="585"/>
      <c r="E89" s="584">
        <f>'Sources and Uses Budget'!S90</f>
        <v>280952</v>
      </c>
      <c r="F89" s="585"/>
      <c r="G89" s="585"/>
      <c r="H89" s="584">
        <f>'Sources and Uses Budget'!T90</f>
        <v>0</v>
      </c>
      <c r="I89" s="585"/>
      <c r="J89" s="585"/>
      <c r="K89" s="579"/>
    </row>
    <row r="90" spans="1:11" s="253" customFormat="1">
      <c r="A90" s="239" t="s">
        <v>1740</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Interior Design</v>
      </c>
      <c r="B91" s="584">
        <f>'Sources and Uses Budget'!C92</f>
        <v>75000</v>
      </c>
      <c r="C91" s="585"/>
      <c r="D91" s="585"/>
      <c r="E91" s="584">
        <f>'Sources and Uses Budget'!S92</f>
        <v>75000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2978370</v>
      </c>
      <c r="C94" s="584">
        <f>SUM(C81:C93)</f>
        <v>0</v>
      </c>
      <c r="D94" s="584">
        <f>SUM(D81:D93)</f>
        <v>0</v>
      </c>
      <c r="E94" s="584">
        <f>'Sources and Uses Budget'!S95</f>
        <v>2759750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32931205</v>
      </c>
      <c r="C95" s="584">
        <f>SUM(C61+C68+C75+C79+C94)</f>
        <v>0</v>
      </c>
      <c r="D95" s="584">
        <f>SUM(D61+D68+D75+D79+D94)</f>
        <v>0</v>
      </c>
      <c r="E95" s="584">
        <f>'Sources and Uses Budget'!S96</f>
        <v>29645715</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35431205</v>
      </c>
      <c r="C103" s="587">
        <f>SUM(C95+C102)</f>
        <v>0</v>
      </c>
      <c r="D103" s="587">
        <f>SUM(D95+D102)</f>
        <v>0</v>
      </c>
      <c r="E103" s="584">
        <f>'Sources and Uses Budget'!S104</f>
        <v>32145715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32145715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9" workbookViewId="0">
      <selection activeCell="C650" sqref="C650:D65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7" t="s">
        <v>846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2" t="s">
        <v>364</v>
      </c>
      <c r="AF4" s="1722"/>
      <c r="AG4" s="1722"/>
      <c r="AH4" s="1722"/>
      <c r="AI4" s="1722"/>
      <c r="AJ4" s="1722"/>
      <c r="AK4" s="1722"/>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0" t="s">
        <v>854</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7" t="s">
        <v>2339</v>
      </c>
      <c r="C8" s="1647"/>
      <c r="D8" s="1647"/>
      <c r="E8" s="1647"/>
      <c r="F8" s="1647"/>
      <c r="G8" s="1647"/>
      <c r="H8" s="1647"/>
      <c r="I8" s="1647"/>
      <c r="J8" s="1647"/>
      <c r="K8" s="1647"/>
      <c r="L8" s="1647"/>
      <c r="M8" s="1647"/>
      <c r="N8" s="1647"/>
      <c r="O8" s="1647"/>
      <c r="P8" s="1647"/>
      <c r="Q8" s="1647"/>
      <c r="R8" s="1647"/>
      <c r="S8" s="1647"/>
      <c r="T8" s="1647"/>
      <c r="U8" s="1647"/>
      <c r="V8" s="1647"/>
      <c r="W8" s="1647"/>
      <c r="X8" s="1647"/>
      <c r="Y8" s="1647"/>
      <c r="Z8" s="1647"/>
      <c r="AA8" s="1647"/>
      <c r="AB8" s="1647"/>
      <c r="AC8" s="164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7" t="s">
        <v>1243</v>
      </c>
      <c r="C11" s="1647"/>
      <c r="D11" s="1647"/>
      <c r="E11" s="1647"/>
      <c r="F11" s="1647"/>
      <c r="G11" s="1647"/>
      <c r="H11" s="1647"/>
      <c r="I11" s="1647"/>
      <c r="J11" s="1647"/>
      <c r="K11" s="1647"/>
      <c r="L11" s="1647"/>
      <c r="M11" s="1647"/>
      <c r="N11" s="1647"/>
      <c r="O11" s="1647"/>
      <c r="P11" s="1647"/>
      <c r="Q11" s="1647"/>
      <c r="R11" s="1647"/>
      <c r="S11" s="1647"/>
      <c r="T11" s="1647"/>
      <c r="U11" s="1647"/>
      <c r="V11" s="1647"/>
      <c r="W11" s="1647"/>
      <c r="X11" s="1647"/>
      <c r="Y11" s="1647"/>
      <c r="Z11" s="1647"/>
      <c r="AA11" s="1647"/>
      <c r="AB11" s="1647"/>
      <c r="AC11" s="1647"/>
      <c r="AD11" s="1647"/>
      <c r="AE11" s="1647"/>
      <c r="AF11" s="1647"/>
      <c r="AG11" s="1647"/>
      <c r="AH11" s="1647"/>
      <c r="AI11" s="164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7" t="s">
        <v>1119</v>
      </c>
      <c r="C16" s="1647"/>
      <c r="D16" s="1647"/>
      <c r="E16" s="1647"/>
      <c r="F16" s="1647"/>
      <c r="G16" s="1647"/>
      <c r="H16" s="1647"/>
      <c r="I16" s="1647"/>
      <c r="J16" s="1647"/>
      <c r="K16" s="1647"/>
      <c r="L16" s="1647"/>
      <c r="M16" s="1647"/>
      <c r="N16" s="1647"/>
      <c r="O16" s="1647"/>
      <c r="P16" s="1647"/>
      <c r="Q16" s="1647"/>
      <c r="R16" s="1647"/>
      <c r="S16" s="1647"/>
      <c r="T16" s="1647"/>
      <c r="U16" s="1647"/>
      <c r="V16" s="1647"/>
      <c r="W16" s="1647"/>
      <c r="X16" s="1647"/>
      <c r="Y16" s="1647"/>
      <c r="Z16" s="1647"/>
      <c r="AA16" s="1647"/>
      <c r="AB16" s="1647"/>
      <c r="AC16" s="1647"/>
      <c r="AD16" s="1647"/>
      <c r="AE16" s="1647"/>
      <c r="AF16" s="1647"/>
      <c r="AG16" s="1647"/>
      <c r="AH16" s="1647"/>
      <c r="AI16" s="1647"/>
      <c r="AJ16" s="1647"/>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4" t="s">
        <v>2207</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70"/>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70"/>
      <c r="AP21" s="340"/>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70"/>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72"/>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72"/>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14"/>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14"/>
    </row>
    <row r="29" spans="1:42" s="4" customFormat="1" ht="31.7"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7" t="str">
        <f>Application!AA329</f>
        <v>GSF Properties, Inc.</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7" t="s">
        <v>1247</v>
      </c>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c r="AC38" s="1647"/>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7" t="s">
        <v>124</v>
      </c>
      <c r="AA40" s="164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7" t="s">
        <v>1119</v>
      </c>
      <c r="C43" s="1647"/>
      <c r="D43" s="1647"/>
      <c r="E43" s="1647"/>
      <c r="F43" s="1647"/>
      <c r="G43" s="1647"/>
      <c r="H43" s="1647"/>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4" t="s">
        <v>1470</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6" s="4" customFormat="1" ht="33.4"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4" t="s">
        <v>2200</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6" s="4" customFormat="1" ht="22.9" customHeight="1">
      <c r="A59" s="426"/>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2" t="s">
        <v>364</v>
      </c>
      <c r="AF64" s="1722"/>
      <c r="AG64" s="1722"/>
      <c r="AH64" s="1722"/>
      <c r="AI64" s="1722"/>
      <c r="AJ64" s="1722"/>
      <c r="AK64" s="172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7" t="s">
        <v>663</v>
      </c>
      <c r="C66" s="1647"/>
      <c r="D66" s="1647"/>
      <c r="E66" s="1647"/>
      <c r="F66" s="1647"/>
      <c r="G66" s="1647"/>
      <c r="H66" s="1647"/>
      <c r="I66" s="1647"/>
      <c r="J66" s="1647"/>
      <c r="K66" s="1647"/>
      <c r="AF66" s="1710" t="s">
        <v>938</v>
      </c>
      <c r="AG66" s="1710"/>
      <c r="AH66" s="1710"/>
      <c r="AI66" s="1710"/>
      <c r="AJ66" s="1710"/>
      <c r="AK66" s="1710"/>
      <c r="AL66" s="1710"/>
      <c r="AN66" s="281"/>
      <c r="AP66" s="4" t="s">
        <v>124</v>
      </c>
      <c r="AS66" s="4" t="s">
        <v>665</v>
      </c>
      <c r="AT66" s="4">
        <v>10</v>
      </c>
    </row>
    <row r="67" spans="1:46" s="4" customFormat="1" ht="12.75" customHeight="1">
      <c r="B67" s="1816" t="s">
        <v>1319</v>
      </c>
      <c r="C67" s="1816"/>
      <c r="D67" s="1816"/>
      <c r="E67" s="1816"/>
      <c r="F67" s="1816"/>
      <c r="G67" s="1816"/>
      <c r="H67" s="1816"/>
      <c r="I67" s="1816"/>
      <c r="J67" s="1816"/>
      <c r="K67" s="1816"/>
      <c r="L67" s="1816"/>
      <c r="M67" s="1816"/>
      <c r="N67" s="1816"/>
      <c r="O67" s="1816"/>
      <c r="P67" s="1816"/>
      <c r="Q67" s="1816"/>
      <c r="R67" s="1816"/>
      <c r="S67" s="1816"/>
      <c r="T67" s="1647" t="s">
        <v>124</v>
      </c>
      <c r="U67" s="1647"/>
      <c r="V67" s="1647"/>
      <c r="W67" s="1647"/>
      <c r="X67" s="1647"/>
      <c r="Y67" s="1647"/>
      <c r="Z67" s="1647"/>
      <c r="AA67" s="1647"/>
      <c r="AB67" s="1647"/>
      <c r="AC67" s="1647"/>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2">
        <f>VLOOKUP($B$66,$AS$64:$AU$69,2,FALSE)</f>
        <v>10</v>
      </c>
      <c r="AL68" s="1273"/>
      <c r="AM68" s="1273"/>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977</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4" t="s">
        <v>2115</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45"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0" t="s">
        <v>854</v>
      </c>
      <c r="AG90" s="1710"/>
      <c r="AH90" s="1710"/>
      <c r="AI90" s="1710"/>
      <c r="AJ90" s="1710"/>
      <c r="AK90" s="1710"/>
      <c r="AL90" s="171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58</v>
      </c>
      <c r="AG95" s="1710"/>
      <c r="AH95" s="1710"/>
      <c r="AI95" s="1710"/>
      <c r="AJ95" s="1710"/>
      <c r="AK95" s="1710"/>
      <c r="AL95" s="171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59</v>
      </c>
      <c r="AG100" s="1710"/>
      <c r="AH100" s="1710"/>
      <c r="AI100" s="1710"/>
      <c r="AJ100" s="1710"/>
      <c r="AK100" s="1710"/>
      <c r="AL100" s="171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60</v>
      </c>
      <c r="AG105" s="1710"/>
      <c r="AH105" s="1710"/>
      <c r="AI105" s="1710"/>
      <c r="AJ105" s="1710"/>
      <c r="AK105" s="1710"/>
      <c r="AL105" s="171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61</v>
      </c>
      <c r="AG109" s="1710"/>
      <c r="AH109" s="1710"/>
      <c r="AI109" s="1710"/>
      <c r="AJ109" s="1710"/>
      <c r="AK109" s="1710"/>
      <c r="AL109" s="1710"/>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1" t="s">
        <v>890</v>
      </c>
      <c r="I112" s="1811"/>
      <c r="J112" s="116"/>
      <c r="K112" s="116"/>
      <c r="L112" s="116"/>
      <c r="M112" s="937" t="s">
        <v>2099</v>
      </c>
      <c r="R112" s="1815"/>
      <c r="S112" s="1815"/>
      <c r="T112" s="1815"/>
      <c r="U112" s="1815"/>
      <c r="V112" s="1815"/>
      <c r="W112" s="1815"/>
      <c r="Y112" s="1104" t="str">
        <f>IF(AND(H112="(i)",NOT(Application!AF411&gt;25)),AO103,IF(AND(H112="(iv)",OR(R112=AO108,R112=AO109),NOT(AP94)),AO104,""))</f>
        <v/>
      </c>
      <c r="Z112" s="1104"/>
      <c r="AA112" s="1104"/>
      <c r="AB112" s="1104"/>
      <c r="AC112" s="1104"/>
      <c r="AD112" s="1104"/>
      <c r="AE112" s="1104"/>
      <c r="AF112" s="1104"/>
      <c r="AG112" s="1104"/>
      <c r="AH112" s="1104"/>
      <c r="AI112" s="1104"/>
      <c r="AJ112" s="1104"/>
      <c r="AK112" s="1104"/>
      <c r="AL112" s="1104"/>
      <c r="AM112" s="1649"/>
      <c r="AN112" s="957"/>
    </row>
    <row r="113" spans="1:47" s="4" customFormat="1" ht="12.75" customHeight="1">
      <c r="B113" s="5"/>
      <c r="C113" s="115"/>
      <c r="E113" s="116"/>
      <c r="F113" s="116"/>
      <c r="G113" s="116"/>
      <c r="H113" s="116"/>
      <c r="I113" s="116"/>
      <c r="J113" s="116"/>
      <c r="K113" s="116"/>
      <c r="L113" s="116"/>
      <c r="M113" s="116"/>
      <c r="Y113" s="1104"/>
      <c r="Z113" s="1104"/>
      <c r="AA113" s="1104"/>
      <c r="AB113" s="1104"/>
      <c r="AC113" s="1104"/>
      <c r="AD113" s="1104"/>
      <c r="AE113" s="1104"/>
      <c r="AF113" s="1104"/>
      <c r="AG113" s="1104"/>
      <c r="AH113" s="1104"/>
      <c r="AI113" s="1104"/>
      <c r="AJ113" s="1104"/>
      <c r="AK113" s="1104"/>
      <c r="AL113" s="1104"/>
      <c r="AM113" s="1649"/>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50" t="s">
        <v>2248</v>
      </c>
      <c r="E116" s="1650"/>
      <c r="F116" s="1650"/>
      <c r="G116" s="1650"/>
      <c r="H116" s="1650"/>
      <c r="I116" s="165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N116" s="281"/>
      <c r="AO116" s="4" t="s">
        <v>124</v>
      </c>
      <c r="AP116" s="472">
        <v>0</v>
      </c>
    </row>
    <row r="117" spans="1:47" s="4" customFormat="1" ht="12.75" customHeight="1">
      <c r="B117" s="5"/>
      <c r="C117" s="115"/>
      <c r="D117" s="1650"/>
      <c r="E117" s="1650"/>
      <c r="F117" s="1650"/>
      <c r="G117" s="1650"/>
      <c r="H117" s="1650"/>
      <c r="I117" s="165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N117" s="281"/>
      <c r="AO117" s="4" t="s">
        <v>1471</v>
      </c>
      <c r="AP117" s="4">
        <v>3</v>
      </c>
    </row>
    <row r="118" spans="1:47" s="4" customFormat="1" ht="12.75" customHeight="1">
      <c r="B118" s="5"/>
      <c r="C118" s="115"/>
      <c r="E118" s="4" t="s">
        <v>147</v>
      </c>
      <c r="F118" s="116"/>
      <c r="G118" s="116"/>
      <c r="H118" s="1814" t="s">
        <v>124</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7" t="s">
        <v>124</v>
      </c>
      <c r="C120" s="1647"/>
      <c r="D120" s="49"/>
      <c r="E120" s="1674" t="s">
        <v>1769</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72">
        <f>VLOOKUP($H$112,$AO$96:$AP$101,2,FALSE)+IF(R112=AO108,0,VLOOKUP($H$118,$AO$116:$AP$118,2,FALSE))</f>
        <v>5</v>
      </c>
      <c r="AK124" s="12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2" t="s">
        <v>1837</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61</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103</v>
      </c>
      <c r="AG135" s="1710"/>
      <c r="AH135" s="1710"/>
      <c r="AI135" s="1710"/>
      <c r="AJ135" s="1710"/>
      <c r="AK135" s="1710"/>
      <c r="AL135" s="171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1" t="s">
        <v>581</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72">
        <f>VLOOKUP($H$137,$AO$133:$AP$135,2,FALSE)</f>
        <v>3</v>
      </c>
      <c r="AK139" s="12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61</v>
      </c>
      <c r="AG143" s="1710"/>
      <c r="AH143" s="1710"/>
      <c r="AI143" s="1710"/>
      <c r="AJ143" s="1710"/>
      <c r="AK143" s="1710"/>
      <c r="AL143" s="171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1" t="s">
        <v>197</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72">
        <f>VLOOKUP(H149,AO140:AP142,2,FALSE)</f>
        <v>2</v>
      </c>
      <c r="AK151" s="12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4" t="s">
        <v>746</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2"/>
      <c r="AF156" s="1462" t="s">
        <v>59</v>
      </c>
      <c r="AG156" s="1462"/>
      <c r="AH156" s="1462"/>
      <c r="AI156" s="1462"/>
      <c r="AJ156" s="1462"/>
      <c r="AK156" s="1462"/>
      <c r="AL156" s="1462"/>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2"/>
      <c r="AF157" s="342"/>
      <c r="AG157" s="342"/>
      <c r="AH157" s="342"/>
      <c r="AI157" s="342"/>
      <c r="AJ157" s="342"/>
      <c r="AK157" s="342"/>
      <c r="AL157" s="342"/>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4" t="s">
        <v>1713</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2"/>
      <c r="AF160" s="1462" t="s">
        <v>60</v>
      </c>
      <c r="AG160" s="1462"/>
      <c r="AH160" s="1462"/>
      <c r="AI160" s="1462"/>
      <c r="AJ160" s="1462"/>
      <c r="AK160" s="1462"/>
      <c r="AL160" s="1462"/>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2"/>
      <c r="AF161" s="342"/>
      <c r="AG161" s="342"/>
      <c r="AH161" s="342"/>
      <c r="AI161" s="342"/>
      <c r="AJ161" s="342"/>
      <c r="AK161" s="342"/>
      <c r="AL161" s="342"/>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4" t="s">
        <v>1714</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2"/>
      <c r="AF164" s="1462" t="s">
        <v>61</v>
      </c>
      <c r="AG164" s="1462"/>
      <c r="AH164" s="1462"/>
      <c r="AI164" s="1462"/>
      <c r="AJ164" s="1462"/>
      <c r="AK164" s="1462"/>
      <c r="AL164" s="1462"/>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462"/>
      <c r="AF165" s="1462"/>
      <c r="AG165" s="1462"/>
      <c r="AH165" s="1462"/>
      <c r="AI165" s="1462"/>
      <c r="AJ165" s="1462"/>
      <c r="AK165" s="1462"/>
      <c r="AL165" s="967"/>
      <c r="AN165" s="281"/>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4" t="s">
        <v>1715</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2"/>
      <c r="AF168" s="1462" t="s">
        <v>60</v>
      </c>
      <c r="AG168" s="1462"/>
      <c r="AH168" s="1462"/>
      <c r="AI168" s="1462"/>
      <c r="AJ168" s="1462"/>
      <c r="AK168" s="1462"/>
      <c r="AL168" s="1462"/>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4" t="s">
        <v>1716</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2"/>
      <c r="AF172" s="1462" t="s">
        <v>61</v>
      </c>
      <c r="AG172" s="1462"/>
      <c r="AH172" s="1462"/>
      <c r="AI172" s="1462"/>
      <c r="AJ172" s="1462"/>
      <c r="AK172" s="1462"/>
      <c r="AL172" s="1462"/>
      <c r="AM172" s="20"/>
      <c r="AN172" s="281"/>
      <c r="AO172" s="26" t="s">
        <v>890</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4" t="s">
        <v>1473</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2"/>
      <c r="AF176" s="1462" t="s">
        <v>103</v>
      </c>
      <c r="AG176" s="1462"/>
      <c r="AH176" s="1462"/>
      <c r="AI176" s="1462"/>
      <c r="AJ176" s="1462"/>
      <c r="AK176" s="1462"/>
      <c r="AL176" s="1462"/>
      <c r="AM176" s="20"/>
      <c r="AN176" s="281"/>
      <c r="AO176" s="26" t="s">
        <v>281</v>
      </c>
      <c r="AP176" s="4">
        <v>1</v>
      </c>
    </row>
    <row r="177" spans="1:61" s="4" customFormat="1" ht="22.9"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4" t="s">
        <v>1474</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2"/>
      <c r="AF179" s="1462" t="s">
        <v>318</v>
      </c>
      <c r="AG179" s="1462"/>
      <c r="AH179" s="1462"/>
      <c r="AI179" s="1462"/>
      <c r="AJ179" s="1462"/>
      <c r="AK179" s="1462"/>
      <c r="AL179" s="1462"/>
      <c r="AM179" s="20"/>
      <c r="AN179" s="281"/>
    </row>
    <row r="180" spans="1:61" s="4" customFormat="1" ht="22.9"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1" t="s">
        <v>197</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72">
        <f>VLOOKUP($H$182,$AO$169:$AP$176,2,FALSE)</f>
        <v>4</v>
      </c>
      <c r="AK184" s="12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8" t="s">
        <v>2311</v>
      </c>
      <c r="F188" s="1648"/>
      <c r="G188" s="1648"/>
      <c r="H188" s="1648"/>
      <c r="I188" s="1648"/>
      <c r="J188" s="1648"/>
      <c r="K188" s="1648"/>
      <c r="L188" s="1648"/>
      <c r="M188" s="1648"/>
      <c r="N188" s="1648"/>
      <c r="O188" s="1648"/>
      <c r="P188" s="1648"/>
      <c r="Q188" s="1648"/>
      <c r="R188" s="1648"/>
      <c r="S188" s="1648"/>
      <c r="T188" s="1648"/>
      <c r="U188" s="1648"/>
      <c r="V188" s="1648"/>
      <c r="W188" s="1648"/>
      <c r="X188" s="1648"/>
      <c r="Y188" s="1648"/>
      <c r="Z188" s="1648"/>
      <c r="AA188" s="1648"/>
      <c r="AB188" s="1648"/>
      <c r="AD188" s="5"/>
      <c r="AF188" s="1340" t="s">
        <v>61</v>
      </c>
      <c r="AG188" s="1340"/>
      <c r="AH188" s="1340"/>
      <c r="AI188" s="1340"/>
      <c r="AJ188" s="1340"/>
      <c r="AK188" s="1340"/>
      <c r="AL188" s="1340"/>
      <c r="AN188" s="281"/>
    </row>
    <row r="189" spans="1:61" s="4" customFormat="1" ht="12.75" customHeight="1">
      <c r="A189" s="120"/>
      <c r="B189" s="5"/>
      <c r="C189" s="130"/>
      <c r="D189" s="26"/>
      <c r="E189" s="1648"/>
      <c r="F189" s="1648"/>
      <c r="G189" s="1648"/>
      <c r="H189" s="1648"/>
      <c r="I189" s="1648"/>
      <c r="J189" s="1648"/>
      <c r="K189" s="1648"/>
      <c r="L189" s="1648"/>
      <c r="M189" s="1648"/>
      <c r="N189" s="1648"/>
      <c r="O189" s="1648"/>
      <c r="P189" s="1648"/>
      <c r="Q189" s="1648"/>
      <c r="R189" s="1648"/>
      <c r="S189" s="1648"/>
      <c r="T189" s="1648"/>
      <c r="U189" s="1648"/>
      <c r="V189" s="1648"/>
      <c r="W189" s="1648"/>
      <c r="X189" s="1648"/>
      <c r="Y189" s="1648"/>
      <c r="Z189" s="1648"/>
      <c r="AA189" s="1648"/>
      <c r="AB189" s="1648"/>
      <c r="AD189" s="5"/>
      <c r="AF189" s="1340"/>
      <c r="AG189" s="1340"/>
      <c r="AH189" s="1340"/>
      <c r="AI189" s="1340"/>
      <c r="AJ189" s="1340"/>
      <c r="AK189" s="1340"/>
      <c r="AL189" s="13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4" t="s">
        <v>2234</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462" t="s">
        <v>61</v>
      </c>
      <c r="AG191" s="1462"/>
      <c r="AH191" s="1462"/>
      <c r="AI191" s="1462"/>
      <c r="AJ191" s="1462"/>
      <c r="AK191" s="1462"/>
      <c r="AL191" s="1462"/>
      <c r="AN191" s="281"/>
      <c r="AO191" s="26" t="s">
        <v>581</v>
      </c>
      <c r="AP191" s="4">
        <v>3</v>
      </c>
    </row>
    <row r="192" spans="1:61" s="4" customFormat="1" ht="12.75" customHeight="1">
      <c r="B192" s="5"/>
      <c r="C192" s="121"/>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462"/>
      <c r="AG192" s="1462"/>
      <c r="AH192" s="1462"/>
      <c r="AI192" s="1462"/>
      <c r="AJ192" s="1462"/>
      <c r="AK192" s="1462"/>
      <c r="AL192" s="1462"/>
      <c r="AN192" s="281"/>
      <c r="AO192" s="26" t="s">
        <v>197</v>
      </c>
      <c r="AP192" s="26">
        <f>3*$AO$197</f>
        <v>3</v>
      </c>
    </row>
    <row r="193" spans="1:53" s="4" customFormat="1" ht="12.75" customHeight="1">
      <c r="B193" s="5"/>
      <c r="C193" s="121"/>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2"/>
      <c r="AG193" s="19"/>
      <c r="AH193" s="19"/>
      <c r="AI193" s="19"/>
      <c r="AJ193" s="19"/>
      <c r="AK193" s="19"/>
      <c r="AL193" s="19"/>
      <c r="AN193" s="281"/>
      <c r="AO193" s="4" t="s">
        <v>890</v>
      </c>
      <c r="AP193" s="26">
        <f>2*$AO$197</f>
        <v>2</v>
      </c>
    </row>
    <row r="194" spans="1:53" s="4" customFormat="1" ht="6.75" customHeight="1">
      <c r="B194" s="5"/>
      <c r="C194" s="121"/>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4" t="s">
        <v>2235</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462" t="s">
        <v>103</v>
      </c>
      <c r="AG196" s="1462"/>
      <c r="AH196" s="1462"/>
      <c r="AI196" s="1462"/>
      <c r="AJ196" s="1462"/>
      <c r="AK196" s="1462"/>
      <c r="AL196" s="1462"/>
      <c r="AN196" s="281"/>
      <c r="AY196" s="4" t="s">
        <v>2236</v>
      </c>
      <c r="AZ196" s="959">
        <f>Application!AC215</f>
        <v>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462"/>
      <c r="AG197" s="1462"/>
      <c r="AH197" s="1462"/>
      <c r="AI197" s="1462"/>
      <c r="AJ197" s="1462"/>
      <c r="AK197" s="1462"/>
      <c r="AL197" s="1462"/>
      <c r="AN197" s="281"/>
      <c r="AO197" s="127" t="b">
        <f>IF(OR(Application!D214="Special Needs",Application!D211="At-Risk and Special Needs"),IF(BA203&gt;=0.25,TRUE,FALSE),IF(AZ203&gt;=0.25,TRUE,FALSE))</f>
        <v>1</v>
      </c>
      <c r="AY197" s="4" t="s">
        <v>2237</v>
      </c>
      <c r="AZ197" s="959">
        <f>Application!G730</f>
        <v>119</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81"/>
      <c r="AY198" s="4" t="s">
        <v>2239</v>
      </c>
      <c r="AZ198" s="4">
        <f>Application!CC626</f>
        <v>30</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2293</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2242</v>
      </c>
      <c r="AZ202">
        <f>AZ198+AZ199+AZ201</f>
        <v>30</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2243</v>
      </c>
      <c r="AZ203">
        <f>IFERROR(AZ202/AZ197,0)</f>
        <v>0.25210084033613445</v>
      </c>
      <c r="BA203">
        <f>IFERROR(AZ202/(AZ197-AZ196),0)</f>
        <v>0.25210084033613445</v>
      </c>
    </row>
    <row r="204" spans="1:53" customFormat="1" ht="12.75" customHeight="1">
      <c r="A204" s="4"/>
      <c r="B204" s="5"/>
      <c r="C204" s="45"/>
      <c r="D204" s="4" t="s">
        <v>147</v>
      </c>
      <c r="E204" s="116"/>
      <c r="F204" s="116"/>
      <c r="G204" s="116"/>
      <c r="H204" s="1811" t="s">
        <v>124</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72">
        <f>VLOOKUP($H$204,$AO$190:$AP$193,2,FALSE)</f>
        <v>0</v>
      </c>
      <c r="AK206" s="12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0" t="s">
        <v>1254</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61</v>
      </c>
      <c r="AG210" s="1710"/>
      <c r="AH210" s="1710"/>
      <c r="AI210" s="1710"/>
      <c r="AJ210" s="1710"/>
      <c r="AK210" s="1710"/>
      <c r="AL210" s="1710"/>
      <c r="AM210" s="4"/>
      <c r="AN210" s="204"/>
      <c r="AO210" s="4" t="s">
        <v>124</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581</v>
      </c>
      <c r="AP211" s="4">
        <v>3</v>
      </c>
    </row>
    <row r="212" spans="1:52" customFormat="1" ht="13.9"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3.9" customHeight="1">
      <c r="A213" s="4"/>
      <c r="B213" s="5"/>
      <c r="C213" s="45"/>
      <c r="D213" s="26" t="s">
        <v>197</v>
      </c>
      <c r="E213" s="1875" t="s">
        <v>1255</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103</v>
      </c>
      <c r="AG213" s="1710"/>
      <c r="AH213" s="1710"/>
      <c r="AI213" s="1710"/>
      <c r="AJ213" s="1710"/>
      <c r="AK213" s="1710"/>
      <c r="AL213" s="1710"/>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1" t="s">
        <v>124</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2">
        <f>VLOOKUP($H$216,$AO$210:$AP$212,2,FALSE)</f>
        <v>0</v>
      </c>
      <c r="AK218" s="1274"/>
      <c r="AL218" s="10"/>
      <c r="AM218" s="4"/>
      <c r="AN218" s="204"/>
      <c r="AP218" s="1272"/>
      <c r="AQ218" s="12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4" t="s">
        <v>1490</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10" t="s">
        <v>61</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4" t="s">
        <v>882</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10" t="s">
        <v>103</v>
      </c>
      <c r="AG225" s="1710"/>
      <c r="AH225" s="1710"/>
      <c r="AI225" s="1710"/>
      <c r="AJ225" s="1710"/>
      <c r="AK225" s="1710"/>
      <c r="AL225" s="1710"/>
      <c r="AM225" s="4"/>
      <c r="AN225" s="204"/>
      <c r="AO225" s="4" t="s">
        <v>124</v>
      </c>
      <c r="AP225" s="472">
        <v>0</v>
      </c>
      <c r="AT225" s="21"/>
      <c r="AU225" s="21"/>
      <c r="AV225" s="21"/>
      <c r="AW225" s="21"/>
      <c r="AX225" s="21"/>
      <c r="AY225" s="21"/>
      <c r="AZ225" s="21"/>
    </row>
    <row r="226" spans="1:82" customFormat="1">
      <c r="A226" s="4"/>
      <c r="B226" s="5"/>
      <c r="C226" s="115"/>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1" t="s">
        <v>124</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2">
        <f>VLOOKUP($H$228,$AO$225:$AP$227,2,FALSE)</f>
        <v>0</v>
      </c>
      <c r="AK230" s="12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4" t="s">
        <v>1123</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10" t="s">
        <v>61</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4"/>
    </row>
    <row r="236" spans="1:82" customFormat="1" ht="12.75" customHeight="1">
      <c r="A236" s="4"/>
      <c r="B236" s="5"/>
      <c r="C236" s="115"/>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4" t="s">
        <v>1124</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3"/>
      <c r="AC238" s="4"/>
      <c r="AD238" s="4"/>
      <c r="AF238" s="1710" t="s">
        <v>103</v>
      </c>
      <c r="AG238" s="1710"/>
      <c r="AH238" s="1710"/>
      <c r="AI238" s="1710"/>
      <c r="AJ238" s="1710"/>
      <c r="AK238" s="1710"/>
      <c r="AL238" s="1710"/>
      <c r="AM238" s="4"/>
      <c r="AN238" s="204"/>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1" t="s">
        <v>124</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72">
        <f>VLOOKUP($H$242,$AO$225:$AP$227,2,FALSE)</f>
        <v>0</v>
      </c>
      <c r="AK244" s="12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10" t="s">
        <v>103</v>
      </c>
      <c r="AG248" s="1710"/>
      <c r="AH248" s="1710"/>
      <c r="AI248" s="1710"/>
      <c r="AJ248" s="1710"/>
      <c r="AK248" s="1710"/>
      <c r="AL248" s="171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1256</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10" t="s">
        <v>318</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1" t="s">
        <v>197</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2">
        <f>VLOOKUP($H$254,$AO$246:$AP$248,2,FALSE)</f>
        <v>1</v>
      </c>
      <c r="AK256" s="12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4" t="s">
        <v>1949</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10" t="s">
        <v>103</v>
      </c>
      <c r="AG260" s="1710"/>
      <c r="AH260" s="1710"/>
      <c r="AI260" s="1710"/>
      <c r="AJ260" s="1710"/>
      <c r="AK260" s="1710"/>
      <c r="AL260" s="1710"/>
      <c r="AM260" s="104"/>
      <c r="AN260" s="204"/>
      <c r="AO260" s="4" t="s">
        <v>124</v>
      </c>
      <c r="AP260" s="472">
        <v>0</v>
      </c>
    </row>
    <row r="261" spans="1:82" customFormat="1">
      <c r="A261" s="4"/>
      <c r="B261" s="102"/>
      <c r="C261" s="137"/>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0" t="s">
        <v>1950</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0" t="s">
        <v>61</v>
      </c>
      <c r="AG264" s="1710"/>
      <c r="AH264" s="1710"/>
      <c r="AI264" s="1710"/>
      <c r="AJ264" s="1710"/>
      <c r="AK264" s="1710"/>
      <c r="AL264" s="1710"/>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1" t="s">
        <v>124</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2">
        <f>VLOOKUP($H$269,$AO$260:$AP$262,2,FALSE)</f>
        <v>0</v>
      </c>
      <c r="AK271" s="1274"/>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4" t="s">
        <v>2209</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10" t="s">
        <v>1633</v>
      </c>
      <c r="AG275" s="1710"/>
      <c r="AH275" s="1710"/>
      <c r="AI275" s="1710"/>
      <c r="AJ275" s="1710"/>
      <c r="AK275" s="1710"/>
      <c r="AL275" s="1710"/>
      <c r="AM275" s="104"/>
      <c r="AN275" s="204"/>
      <c r="AO275" s="26" t="s">
        <v>108</v>
      </c>
      <c r="AP275" s="4">
        <v>8</v>
      </c>
      <c r="AT275" s="428"/>
      <c r="AU275" s="428"/>
      <c r="AV275" s="428"/>
      <c r="AW275" s="428"/>
      <c r="AX275" s="428"/>
      <c r="AY275" s="428"/>
      <c r="AZ275" s="428"/>
    </row>
    <row r="276" spans="1:82" customFormat="1">
      <c r="A276" s="4"/>
      <c r="B276" s="102"/>
      <c r="C276" s="137"/>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1" t="s">
        <v>108</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72">
        <f>VLOOKUP($H$279,$AO$274:$AP$275,2,FALSE)</f>
        <v>8</v>
      </c>
      <c r="AK281" s="12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2">
        <f>$AJ$124+$AJ$139+$AJ$151+$AJ$184+$AJ$206+$AJ$218+$AJ$230+$AJ$244+$AJ$256+$AJ$271+AJ281</f>
        <v>23</v>
      </c>
      <c r="AL283" s="1273"/>
      <c r="AM283" s="12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61" t="s">
        <v>2426</v>
      </c>
      <c r="I287" s="1061"/>
      <c r="J287" s="1061"/>
      <c r="K287" s="1061"/>
      <c r="L287" s="1061"/>
      <c r="M287" s="1061"/>
      <c r="N287" s="1061"/>
      <c r="O287" s="1061"/>
      <c r="P287" s="1061"/>
      <c r="Q287" s="1061"/>
      <c r="R287" s="1061"/>
      <c r="S287"/>
      <c r="T287" s="41" t="s">
        <v>89</v>
      </c>
      <c r="U287"/>
      <c r="V287" s="41"/>
      <c r="W287" s="41"/>
      <c r="X287" s="41"/>
      <c r="Y287" s="41"/>
      <c r="Z287"/>
      <c r="AA287" s="1061" t="s">
        <v>2432</v>
      </c>
      <c r="AB287" s="1061"/>
      <c r="AC287" s="1061"/>
      <c r="AD287" s="1061"/>
      <c r="AE287" s="1061"/>
      <c r="AF287" s="1061"/>
      <c r="AG287" s="1061"/>
      <c r="AH287" s="1061"/>
      <c r="AI287" s="1061"/>
      <c r="AJ287" s="1061"/>
      <c r="AK287" s="1061"/>
      <c r="AL287" s="10"/>
      <c r="AN287" s="281"/>
      <c r="AP287" t="s">
        <v>91</v>
      </c>
    </row>
    <row r="288" spans="1:82" s="4" customFormat="1" ht="12.75" customHeight="1">
      <c r="B288" s="41" t="s">
        <v>699</v>
      </c>
      <c r="C288" s="41"/>
      <c r="D288" s="41"/>
      <c r="E288" s="41"/>
      <c r="F288" s="41"/>
      <c r="G288"/>
      <c r="H288" s="1067" t="s">
        <v>2427</v>
      </c>
      <c r="I288" s="1067"/>
      <c r="J288" s="1067"/>
      <c r="K288" s="1067"/>
      <c r="L288" s="1067"/>
      <c r="M288" s="1067"/>
      <c r="N288" s="1067"/>
      <c r="O288" s="1067"/>
      <c r="P288" s="1067"/>
      <c r="Q288" s="1067"/>
      <c r="R288" s="1067"/>
      <c r="S288"/>
      <c r="T288" s="41" t="s">
        <v>699</v>
      </c>
      <c r="U288"/>
      <c r="V288" s="41"/>
      <c r="W288" s="41"/>
      <c r="X288" s="41"/>
      <c r="Y288" s="41"/>
      <c r="Z288"/>
      <c r="AA288" s="1067" t="s">
        <v>2433</v>
      </c>
      <c r="AB288" s="1067"/>
      <c r="AC288" s="1067"/>
      <c r="AD288" s="1067"/>
      <c r="AE288" s="1067"/>
      <c r="AF288" s="1067"/>
      <c r="AG288" s="1067"/>
      <c r="AH288" s="1067"/>
      <c r="AI288" s="1067"/>
      <c r="AJ288" s="1067"/>
      <c r="AK288" s="1067"/>
      <c r="AL288" s="10"/>
      <c r="AN288" s="281"/>
      <c r="AP288" t="s">
        <v>92</v>
      </c>
    </row>
    <row r="289" spans="1:42" s="4" customFormat="1" ht="12.75" customHeight="1">
      <c r="B289" s="41" t="s">
        <v>99</v>
      </c>
      <c r="C289" s="41"/>
      <c r="D289" s="41"/>
      <c r="E289" s="41"/>
      <c r="F289" s="41"/>
      <c r="G289"/>
      <c r="H289" s="1067" t="s">
        <v>2428</v>
      </c>
      <c r="I289" s="1067"/>
      <c r="J289" s="1067"/>
      <c r="K289" s="1067"/>
      <c r="L289" s="1067"/>
      <c r="M289" s="1067"/>
      <c r="N289" s="1067"/>
      <c r="O289" s="1067"/>
      <c r="P289" s="1067"/>
      <c r="Q289" s="1067"/>
      <c r="R289" s="1067"/>
      <c r="S289"/>
      <c r="T289" s="41" t="s">
        <v>99</v>
      </c>
      <c r="U289"/>
      <c r="V289" s="41"/>
      <c r="W289" s="41"/>
      <c r="X289" s="41"/>
      <c r="Y289" s="41"/>
      <c r="Z289"/>
      <c r="AA289" s="1067" t="s">
        <v>2428</v>
      </c>
      <c r="AB289" s="1067"/>
      <c r="AC289" s="1067"/>
      <c r="AD289" s="1067"/>
      <c r="AE289" s="1067"/>
      <c r="AF289" s="1067"/>
      <c r="AG289" s="1067"/>
      <c r="AH289" s="1067"/>
      <c r="AI289" s="1067"/>
      <c r="AJ289" s="1067"/>
      <c r="AK289" s="1067"/>
      <c r="AL289" s="10"/>
      <c r="AN289" s="281"/>
      <c r="AO289" s="211"/>
      <c r="AP289" t="s">
        <v>93</v>
      </c>
    </row>
    <row r="290" spans="1:42" s="4" customFormat="1" ht="12.75" customHeight="1">
      <c r="B290" s="41" t="s">
        <v>374</v>
      </c>
      <c r="C290" s="41"/>
      <c r="D290" s="41"/>
      <c r="E290" s="41"/>
      <c r="F290" s="41"/>
      <c r="G290"/>
      <c r="H290" s="1067" t="s">
        <v>2429</v>
      </c>
      <c r="I290" s="1067"/>
      <c r="J290" s="1067"/>
      <c r="K290" s="1067"/>
      <c r="L290" s="1067"/>
      <c r="M290" s="1067"/>
      <c r="N290" s="1067"/>
      <c r="O290" s="1067"/>
      <c r="P290" s="1067"/>
      <c r="Q290" s="1067"/>
      <c r="R290" s="1067"/>
      <c r="S290"/>
      <c r="T290" s="41" t="s">
        <v>374</v>
      </c>
      <c r="U290"/>
      <c r="V290" s="41"/>
      <c r="W290" s="41"/>
      <c r="X290" s="41"/>
      <c r="Y290" s="41"/>
      <c r="Z290"/>
      <c r="AA290" s="1067" t="s">
        <v>2434</v>
      </c>
      <c r="AB290" s="1067"/>
      <c r="AC290" s="1067"/>
      <c r="AD290" s="1067"/>
      <c r="AE290" s="1067"/>
      <c r="AF290" s="1067"/>
      <c r="AG290" s="1067"/>
      <c r="AH290" s="1067"/>
      <c r="AI290" s="1067"/>
      <c r="AJ290" s="1067"/>
      <c r="AK290" s="1067"/>
      <c r="AL290" s="10"/>
      <c r="AN290" s="281"/>
      <c r="AO290" s="211"/>
      <c r="AP290" t="s">
        <v>347</v>
      </c>
    </row>
    <row r="291" spans="1:42" s="4" customFormat="1" ht="12.75" customHeight="1">
      <c r="B291" s="41" t="s">
        <v>375</v>
      </c>
      <c r="C291" s="41"/>
      <c r="D291" s="41"/>
      <c r="E291" s="41"/>
      <c r="F291" s="41"/>
      <c r="G291" s="41"/>
      <c r="H291" s="1404" t="s">
        <v>2430</v>
      </c>
      <c r="I291" s="1404"/>
      <c r="J291" s="1404"/>
      <c r="K291" s="1404"/>
      <c r="L291" s="1404"/>
      <c r="M291" s="1404"/>
      <c r="N291" s="5" t="s">
        <v>818</v>
      </c>
      <c r="O291" s="5"/>
      <c r="P291" s="1398"/>
      <c r="Q291" s="1398"/>
      <c r="R291" s="1398"/>
      <c r="S291" s="41"/>
      <c r="T291" s="41" t="s">
        <v>375</v>
      </c>
      <c r="U291"/>
      <c r="V291" s="41"/>
      <c r="W291" s="41"/>
      <c r="X291" s="41"/>
      <c r="Y291" s="41"/>
      <c r="Z291"/>
      <c r="AA291" s="1404" t="s">
        <v>2435</v>
      </c>
      <c r="AB291" s="1404"/>
      <c r="AC291" s="1404"/>
      <c r="AD291" s="1404"/>
      <c r="AE291" s="1404"/>
      <c r="AF291" s="1404"/>
      <c r="AG291" s="5" t="s">
        <v>818</v>
      </c>
      <c r="AH291" s="5"/>
      <c r="AI291" s="1398"/>
      <c r="AJ291" s="1398"/>
      <c r="AK291" s="1398"/>
      <c r="AL291" s="10"/>
      <c r="AN291" s="281"/>
      <c r="AO291" s="211"/>
      <c r="AP291" t="s">
        <v>2317</v>
      </c>
    </row>
    <row r="292" spans="1:42" s="4" customFormat="1" ht="12.75" customHeight="1">
      <c r="B292" s="41" t="s">
        <v>88</v>
      </c>
      <c r="C292" s="41"/>
      <c r="D292" s="41"/>
      <c r="E292" s="41"/>
      <c r="F292" s="41"/>
      <c r="G292" s="41"/>
      <c r="H292" s="1067" t="s">
        <v>91</v>
      </c>
      <c r="I292" s="1067"/>
      <c r="J292" s="1067"/>
      <c r="K292" s="1067"/>
      <c r="L292" s="1067"/>
      <c r="M292" s="1067"/>
      <c r="N292" s="1067"/>
      <c r="O292" s="1067"/>
      <c r="P292" s="1067"/>
      <c r="Q292" s="1067"/>
      <c r="R292" s="1067"/>
      <c r="S292" s="41"/>
      <c r="T292" s="41" t="s">
        <v>88</v>
      </c>
      <c r="U292"/>
      <c r="V292" s="41"/>
      <c r="W292" s="41"/>
      <c r="X292" s="41"/>
      <c r="Y292" s="41"/>
      <c r="Z292"/>
      <c r="AA292" s="1067" t="s">
        <v>92</v>
      </c>
      <c r="AB292" s="1067"/>
      <c r="AC292" s="1067"/>
      <c r="AD292" s="1067"/>
      <c r="AE292" s="1067"/>
      <c r="AF292" s="1067"/>
      <c r="AG292" s="1067"/>
      <c r="AH292" s="1067"/>
      <c r="AI292" s="1067"/>
      <c r="AJ292" s="1067"/>
      <c r="AK292" s="1067"/>
      <c r="AL292" s="10"/>
      <c r="AN292" s="281"/>
      <c r="AO292" s="211"/>
      <c r="AP292" t="s">
        <v>100</v>
      </c>
    </row>
    <row r="293" spans="1:42" s="4" customFormat="1" ht="12.75" customHeight="1">
      <c r="B293" s="41" t="s">
        <v>90</v>
      </c>
      <c r="C293" s="41"/>
      <c r="D293" s="41"/>
      <c r="E293" s="41"/>
      <c r="F293" s="41"/>
      <c r="G293" s="41"/>
      <c r="H293" s="1067" t="s">
        <v>2431</v>
      </c>
      <c r="I293" s="1067"/>
      <c r="J293" s="1067"/>
      <c r="K293" s="1067"/>
      <c r="L293" s="1067"/>
      <c r="M293" s="1067"/>
      <c r="N293" s="1067"/>
      <c r="O293" s="1067"/>
      <c r="P293" s="1067"/>
      <c r="Q293" s="1067"/>
      <c r="R293" s="1067"/>
      <c r="S293" s="41"/>
      <c r="T293" s="41" t="s">
        <v>90</v>
      </c>
      <c r="U293"/>
      <c r="V293" s="41"/>
      <c r="W293" s="41"/>
      <c r="X293" s="41"/>
      <c r="Y293" s="41"/>
      <c r="Z293"/>
      <c r="AA293" s="1067" t="s">
        <v>2436</v>
      </c>
      <c r="AB293" s="1067"/>
      <c r="AC293" s="1067"/>
      <c r="AD293" s="1067"/>
      <c r="AE293" s="1067"/>
      <c r="AF293" s="1067"/>
      <c r="AG293" s="1067"/>
      <c r="AH293" s="1067"/>
      <c r="AI293" s="1067"/>
      <c r="AJ293" s="1067"/>
      <c r="AK293" s="1067"/>
      <c r="AL293" s="10"/>
      <c r="AN293" s="281"/>
      <c r="AP293" t="s">
        <v>97</v>
      </c>
    </row>
    <row r="294" spans="1:42" s="4" customFormat="1" ht="12.75" customHeight="1">
      <c r="B294" s="41" t="s">
        <v>101</v>
      </c>
      <c r="C294" s="41"/>
      <c r="D294" s="41"/>
      <c r="E294" s="41"/>
      <c r="F294" s="41"/>
      <c r="G294" s="41"/>
      <c r="H294" s="1673">
        <v>0.38</v>
      </c>
      <c r="I294" s="1673"/>
      <c r="J294" s="1673"/>
      <c r="K294" s="1673"/>
      <c r="L294" s="1673"/>
      <c r="M294" s="1673"/>
      <c r="N294" s="1673"/>
      <c r="O294" s="1673"/>
      <c r="P294" s="1673"/>
      <c r="Q294" s="1673"/>
      <c r="R294" s="1673"/>
      <c r="S294" s="41"/>
      <c r="T294" s="41" t="s">
        <v>101</v>
      </c>
      <c r="U294" s="41"/>
      <c r="V294" s="41"/>
      <c r="W294" s="41"/>
      <c r="X294" s="41"/>
      <c r="Y294" s="41"/>
      <c r="Z294" s="12"/>
      <c r="AA294" s="1673">
        <v>0.5</v>
      </c>
      <c r="AB294" s="1673"/>
      <c r="AC294" s="1673"/>
      <c r="AD294" s="1673"/>
      <c r="AE294" s="1673"/>
      <c r="AF294" s="1673"/>
      <c r="AG294" s="1673"/>
      <c r="AH294" s="1673"/>
      <c r="AI294" s="1673"/>
      <c r="AJ294" s="1673"/>
      <c r="AK294" s="167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61" t="s">
        <v>2437</v>
      </c>
      <c r="I296" s="1061"/>
      <c r="J296" s="1061"/>
      <c r="K296" s="1061"/>
      <c r="L296" s="1061"/>
      <c r="M296" s="1061"/>
      <c r="N296" s="1061"/>
      <c r="O296" s="1061"/>
      <c r="P296" s="1061"/>
      <c r="Q296" s="1061"/>
      <c r="R296" s="1061"/>
      <c r="S296"/>
      <c r="T296" s="41" t="s">
        <v>89</v>
      </c>
      <c r="U296"/>
      <c r="V296" s="41"/>
      <c r="W296" s="41"/>
      <c r="X296" s="41"/>
      <c r="Y296" s="41"/>
      <c r="Z296"/>
      <c r="AA296" s="1061" t="s">
        <v>2441</v>
      </c>
      <c r="AB296" s="1061"/>
      <c r="AC296" s="1061"/>
      <c r="AD296" s="1061"/>
      <c r="AE296" s="1061"/>
      <c r="AF296" s="1061"/>
      <c r="AG296" s="1061"/>
      <c r="AH296" s="1061"/>
      <c r="AI296" s="1061"/>
      <c r="AJ296" s="1061"/>
      <c r="AK296" s="1061"/>
      <c r="AL296" s="10"/>
      <c r="AN296" s="281"/>
      <c r="AP296" t="s">
        <v>96</v>
      </c>
    </row>
    <row r="297" spans="1:42" s="20" customFormat="1" ht="12.75" customHeight="1">
      <c r="A297" s="4"/>
      <c r="B297" s="41" t="s">
        <v>699</v>
      </c>
      <c r="C297" s="41"/>
      <c r="D297" s="41"/>
      <c r="E297" s="41"/>
      <c r="F297" s="41"/>
      <c r="G297"/>
      <c r="H297" s="1067" t="s">
        <v>2438</v>
      </c>
      <c r="I297" s="1067"/>
      <c r="J297" s="1067"/>
      <c r="K297" s="1067"/>
      <c r="L297" s="1067"/>
      <c r="M297" s="1067"/>
      <c r="N297" s="1067"/>
      <c r="O297" s="1067"/>
      <c r="P297" s="1067"/>
      <c r="Q297" s="1067"/>
      <c r="R297" s="1067"/>
      <c r="S297"/>
      <c r="T297" s="41" t="s">
        <v>699</v>
      </c>
      <c r="U297"/>
      <c r="V297" s="41"/>
      <c r="W297" s="41"/>
      <c r="X297" s="41"/>
      <c r="Y297" s="41"/>
      <c r="Z297"/>
      <c r="AA297" s="1067" t="s">
        <v>2442</v>
      </c>
      <c r="AB297" s="1067"/>
      <c r="AC297" s="1067"/>
      <c r="AD297" s="1067"/>
      <c r="AE297" s="1067"/>
      <c r="AF297" s="1067"/>
      <c r="AG297" s="1067"/>
      <c r="AH297" s="1067"/>
      <c r="AI297" s="1067"/>
      <c r="AJ297" s="1067"/>
      <c r="AK297" s="1067"/>
      <c r="AL297" s="10"/>
      <c r="AM297" s="4"/>
      <c r="AN297" s="281"/>
      <c r="AO297" s="4"/>
      <c r="AP297" s="48" t="s">
        <v>348</v>
      </c>
    </row>
    <row r="298" spans="1:42" s="20" customFormat="1" ht="12.75" customHeight="1">
      <c r="A298" s="4"/>
      <c r="B298" s="41" t="s">
        <v>99</v>
      </c>
      <c r="C298" s="41"/>
      <c r="D298" s="41"/>
      <c r="E298" s="41"/>
      <c r="F298" s="41"/>
      <c r="G298"/>
      <c r="H298" s="1067" t="s">
        <v>2428</v>
      </c>
      <c r="I298" s="1067"/>
      <c r="J298" s="1067"/>
      <c r="K298" s="1067"/>
      <c r="L298" s="1067"/>
      <c r="M298" s="1067"/>
      <c r="N298" s="1067"/>
      <c r="O298" s="1067"/>
      <c r="P298" s="1067"/>
      <c r="Q298" s="1067"/>
      <c r="R298" s="1067"/>
      <c r="S298"/>
      <c r="T298" s="41" t="s">
        <v>99</v>
      </c>
      <c r="U298"/>
      <c r="V298" s="41"/>
      <c r="W298" s="41"/>
      <c r="X298" s="41"/>
      <c r="Y298" s="41"/>
      <c r="Z298"/>
      <c r="AA298" s="1067" t="s">
        <v>2428</v>
      </c>
      <c r="AB298" s="1067"/>
      <c r="AC298" s="1067"/>
      <c r="AD298" s="1067"/>
      <c r="AE298" s="1067"/>
      <c r="AF298" s="1067"/>
      <c r="AG298" s="1067"/>
      <c r="AH298" s="1067"/>
      <c r="AI298" s="1067"/>
      <c r="AJ298" s="1067"/>
      <c r="AK298" s="1067"/>
      <c r="AL298" s="10"/>
      <c r="AM298" s="4"/>
      <c r="AN298" s="281"/>
      <c r="AO298" s="4"/>
    </row>
    <row r="299" spans="1:42" s="4" customFormat="1" ht="12.75" customHeight="1">
      <c r="B299" s="41" t="s">
        <v>374</v>
      </c>
      <c r="C299" s="41"/>
      <c r="D299" s="41"/>
      <c r="E299" s="41"/>
      <c r="F299" s="41"/>
      <c r="G299"/>
      <c r="H299" s="1067" t="s">
        <v>2429</v>
      </c>
      <c r="I299" s="1067"/>
      <c r="J299" s="1067"/>
      <c r="K299" s="1067"/>
      <c r="L299" s="1067"/>
      <c r="M299" s="1067"/>
      <c r="N299" s="1067"/>
      <c r="O299" s="1067"/>
      <c r="P299" s="1067"/>
      <c r="Q299" s="1067"/>
      <c r="R299" s="1067"/>
      <c r="S299"/>
      <c r="T299" s="41" t="s">
        <v>374</v>
      </c>
      <c r="U299"/>
      <c r="V299" s="41"/>
      <c r="W299" s="41"/>
      <c r="X299" s="41"/>
      <c r="Y299" s="41"/>
      <c r="Z299"/>
      <c r="AA299" s="1067" t="s">
        <v>2434</v>
      </c>
      <c r="AB299" s="1067"/>
      <c r="AC299" s="1067"/>
      <c r="AD299" s="1067"/>
      <c r="AE299" s="1067"/>
      <c r="AF299" s="1067"/>
      <c r="AG299" s="1067"/>
      <c r="AH299" s="1067"/>
      <c r="AI299" s="1067"/>
      <c r="AJ299" s="1067"/>
      <c r="AK299" s="1067"/>
      <c r="AL299" s="10"/>
      <c r="AN299" s="281"/>
    </row>
    <row r="300" spans="1:42" s="4" customFormat="1" ht="12.75" customHeight="1">
      <c r="B300" s="41" t="s">
        <v>375</v>
      </c>
      <c r="C300" s="41"/>
      <c r="D300" s="41"/>
      <c r="E300" s="41"/>
      <c r="F300" s="41"/>
      <c r="G300" s="41"/>
      <c r="H300" s="1404" t="s">
        <v>2439</v>
      </c>
      <c r="I300" s="1404"/>
      <c r="J300" s="1404"/>
      <c r="K300" s="1404"/>
      <c r="L300" s="1404"/>
      <c r="M300" s="1404"/>
      <c r="N300" s="5" t="s">
        <v>818</v>
      </c>
      <c r="O300" s="5"/>
      <c r="P300" s="1398"/>
      <c r="Q300" s="1398"/>
      <c r="R300" s="1398"/>
      <c r="S300" s="41"/>
      <c r="T300" s="41" t="s">
        <v>375</v>
      </c>
      <c r="U300"/>
      <c r="V300" s="41"/>
      <c r="W300" s="41"/>
      <c r="X300" s="41"/>
      <c r="Y300" s="41"/>
      <c r="Z300"/>
      <c r="AA300" s="1404" t="s">
        <v>2443</v>
      </c>
      <c r="AB300" s="1404"/>
      <c r="AC300" s="1404"/>
      <c r="AD300" s="1404"/>
      <c r="AE300" s="1404"/>
      <c r="AF300" s="1404"/>
      <c r="AG300" s="5" t="s">
        <v>818</v>
      </c>
      <c r="AH300" s="5"/>
      <c r="AI300" s="1398"/>
      <c r="AJ300" s="1398"/>
      <c r="AK300" s="1398"/>
      <c r="AL300" s="10"/>
      <c r="AN300" s="281"/>
    </row>
    <row r="301" spans="1:42" s="4" customFormat="1" ht="12.75" customHeight="1">
      <c r="B301" s="41" t="s">
        <v>88</v>
      </c>
      <c r="C301" s="41"/>
      <c r="D301" s="41"/>
      <c r="E301" s="41"/>
      <c r="F301" s="41"/>
      <c r="G301" s="41"/>
      <c r="H301" s="1067" t="s">
        <v>93</v>
      </c>
      <c r="I301" s="1067"/>
      <c r="J301" s="1067"/>
      <c r="K301" s="1067"/>
      <c r="L301" s="1067"/>
      <c r="M301" s="1067"/>
      <c r="N301" s="1067"/>
      <c r="O301" s="1067"/>
      <c r="P301" s="1067"/>
      <c r="Q301" s="1067"/>
      <c r="R301" s="1067"/>
      <c r="S301" s="41"/>
      <c r="T301" s="41" t="s">
        <v>88</v>
      </c>
      <c r="U301"/>
      <c r="V301" s="41"/>
      <c r="W301" s="41"/>
      <c r="X301" s="41"/>
      <c r="Y301" s="41"/>
      <c r="Z301"/>
      <c r="AA301" s="1067" t="s">
        <v>347</v>
      </c>
      <c r="AB301" s="1067"/>
      <c r="AC301" s="1067"/>
      <c r="AD301" s="1067"/>
      <c r="AE301" s="1067"/>
      <c r="AF301" s="1067"/>
      <c r="AG301" s="1067"/>
      <c r="AH301" s="1067"/>
      <c r="AI301" s="1067"/>
      <c r="AJ301" s="1067"/>
      <c r="AK301" s="1067"/>
      <c r="AL301" s="10"/>
      <c r="AN301" s="281"/>
    </row>
    <row r="302" spans="1:42" s="4" customFormat="1" ht="12.75" customHeight="1">
      <c r="B302" s="41" t="s">
        <v>90</v>
      </c>
      <c r="C302" s="41"/>
      <c r="D302" s="41"/>
      <c r="E302" s="41"/>
      <c r="F302" s="41"/>
      <c r="G302" s="41"/>
      <c r="H302" s="1067" t="s">
        <v>2440</v>
      </c>
      <c r="I302" s="1067"/>
      <c r="J302" s="1067"/>
      <c r="K302" s="1067"/>
      <c r="L302" s="1067"/>
      <c r="M302" s="1067"/>
      <c r="N302" s="1067"/>
      <c r="O302" s="1067"/>
      <c r="P302" s="1067"/>
      <c r="Q302" s="1067"/>
      <c r="R302" s="1067"/>
      <c r="S302" s="41"/>
      <c r="T302" s="41" t="s">
        <v>90</v>
      </c>
      <c r="U302"/>
      <c r="V302" s="41"/>
      <c r="W302" s="41"/>
      <c r="X302" s="41"/>
      <c r="Y302" s="41"/>
      <c r="Z302"/>
      <c r="AA302" s="1067" t="s">
        <v>2444</v>
      </c>
      <c r="AB302" s="1067"/>
      <c r="AC302" s="1067"/>
      <c r="AD302" s="1067"/>
      <c r="AE302" s="1067"/>
      <c r="AF302" s="1067"/>
      <c r="AG302" s="1067"/>
      <c r="AH302" s="1067"/>
      <c r="AI302" s="1067"/>
      <c r="AJ302" s="1067"/>
      <c r="AK302" s="1067"/>
      <c r="AL302" s="10"/>
      <c r="AN302" s="281"/>
    </row>
    <row r="303" spans="1:42" s="4" customFormat="1" ht="12.75" customHeight="1">
      <c r="B303" s="41" t="s">
        <v>101</v>
      </c>
      <c r="C303" s="41"/>
      <c r="D303" s="41"/>
      <c r="E303" s="41"/>
      <c r="F303" s="41"/>
      <c r="G303" s="41"/>
      <c r="H303" s="1673">
        <v>0.85</v>
      </c>
      <c r="I303" s="1673"/>
      <c r="J303" s="1673"/>
      <c r="K303" s="1673"/>
      <c r="L303" s="1673"/>
      <c r="M303" s="1673"/>
      <c r="N303" s="1673"/>
      <c r="O303" s="1673"/>
      <c r="P303" s="1673"/>
      <c r="Q303" s="1673"/>
      <c r="R303" s="1673"/>
      <c r="S303" s="41"/>
      <c r="T303" s="41" t="s">
        <v>101</v>
      </c>
      <c r="U303" s="41"/>
      <c r="V303" s="41"/>
      <c r="W303" s="41"/>
      <c r="X303" s="41"/>
      <c r="Y303" s="41"/>
      <c r="Z303" s="12"/>
      <c r="AA303" s="1673">
        <v>0.69</v>
      </c>
      <c r="AB303" s="1673"/>
      <c r="AC303" s="1673"/>
      <c r="AD303" s="1673"/>
      <c r="AE303" s="1673"/>
      <c r="AF303" s="1673"/>
      <c r="AG303" s="1673"/>
      <c r="AH303" s="1673"/>
      <c r="AI303" s="1673"/>
      <c r="AJ303" s="1673"/>
      <c r="AK303" s="167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61" t="s">
        <v>2445</v>
      </c>
      <c r="I305" s="1061"/>
      <c r="J305" s="1061"/>
      <c r="K305" s="1061"/>
      <c r="L305" s="1061"/>
      <c r="M305" s="1061"/>
      <c r="N305" s="1061"/>
      <c r="O305" s="1061"/>
      <c r="P305" s="1061"/>
      <c r="Q305" s="1061"/>
      <c r="R305" s="1061"/>
      <c r="S305"/>
      <c r="T305" s="41" t="s">
        <v>89</v>
      </c>
      <c r="U305"/>
      <c r="V305" s="41"/>
      <c r="W305" s="41"/>
      <c r="X305" s="41"/>
      <c r="Y305" s="41"/>
      <c r="Z305"/>
      <c r="AA305" s="1061"/>
      <c r="AB305" s="1061"/>
      <c r="AC305" s="1061"/>
      <c r="AD305" s="1061"/>
      <c r="AE305" s="1061"/>
      <c r="AF305" s="1061"/>
      <c r="AG305" s="1061"/>
      <c r="AH305" s="1061"/>
      <c r="AI305" s="1061"/>
      <c r="AJ305" s="1061"/>
      <c r="AK305" s="1061"/>
      <c r="AL305" s="10"/>
      <c r="AN305" s="281"/>
    </row>
    <row r="306" spans="2:40" s="4" customFormat="1" ht="12.75" customHeight="1">
      <c r="B306" s="41" t="s">
        <v>699</v>
      </c>
      <c r="C306" s="41"/>
      <c r="D306" s="41"/>
      <c r="E306" s="41"/>
      <c r="F306" s="41"/>
      <c r="G306"/>
      <c r="H306" s="1067" t="s">
        <v>2446</v>
      </c>
      <c r="I306" s="1067"/>
      <c r="J306" s="1067"/>
      <c r="K306" s="1067"/>
      <c r="L306" s="1067"/>
      <c r="M306" s="1067"/>
      <c r="N306" s="1067"/>
      <c r="O306" s="1067"/>
      <c r="P306" s="1067"/>
      <c r="Q306" s="1067"/>
      <c r="R306" s="1067"/>
      <c r="S306"/>
      <c r="T306" s="41" t="s">
        <v>699</v>
      </c>
      <c r="U306"/>
      <c r="V306" s="41"/>
      <c r="W306" s="41"/>
      <c r="X306" s="41"/>
      <c r="Y306" s="41"/>
      <c r="Z306"/>
      <c r="AA306" s="1067"/>
      <c r="AB306" s="1067"/>
      <c r="AC306" s="1067"/>
      <c r="AD306" s="1067"/>
      <c r="AE306" s="1067"/>
      <c r="AF306" s="1067"/>
      <c r="AG306" s="1067"/>
      <c r="AH306" s="1067"/>
      <c r="AI306" s="1067"/>
      <c r="AJ306" s="1067"/>
      <c r="AK306" s="1067"/>
      <c r="AL306" s="10"/>
      <c r="AN306" s="281"/>
    </row>
    <row r="307" spans="2:40" s="4" customFormat="1" ht="12.75" customHeight="1">
      <c r="B307" s="41" t="s">
        <v>99</v>
      </c>
      <c r="C307" s="41"/>
      <c r="D307" s="41"/>
      <c r="E307" s="41"/>
      <c r="F307" s="41"/>
      <c r="G307"/>
      <c r="H307" s="1067" t="s">
        <v>2428</v>
      </c>
      <c r="I307" s="1067"/>
      <c r="J307" s="1067"/>
      <c r="K307" s="1067"/>
      <c r="L307" s="1067"/>
      <c r="M307" s="1067"/>
      <c r="N307" s="1067"/>
      <c r="O307" s="1067"/>
      <c r="P307" s="1067"/>
      <c r="Q307" s="1067"/>
      <c r="R307" s="1067"/>
      <c r="S307"/>
      <c r="T307" s="41" t="s">
        <v>99</v>
      </c>
      <c r="U307"/>
      <c r="V307" s="41"/>
      <c r="W307" s="41"/>
      <c r="X307" s="41"/>
      <c r="Y307" s="41"/>
      <c r="Z307"/>
      <c r="AA307" s="1067"/>
      <c r="AB307" s="1067"/>
      <c r="AC307" s="1067"/>
      <c r="AD307" s="1067"/>
      <c r="AE307" s="1067"/>
      <c r="AF307" s="1067"/>
      <c r="AG307" s="1067"/>
      <c r="AH307" s="1067"/>
      <c r="AI307" s="1067"/>
      <c r="AJ307" s="1067"/>
      <c r="AK307" s="1067"/>
      <c r="AL307" s="10"/>
      <c r="AN307" s="281"/>
    </row>
    <row r="308" spans="2:40" s="4" customFormat="1" ht="12.75" customHeight="1">
      <c r="B308" s="41" t="s">
        <v>374</v>
      </c>
      <c r="C308" s="41"/>
      <c r="D308" s="41"/>
      <c r="E308" s="41"/>
      <c r="F308" s="41"/>
      <c r="G308"/>
      <c r="H308" s="1067" t="s">
        <v>2429</v>
      </c>
      <c r="I308" s="1067"/>
      <c r="J308" s="1067"/>
      <c r="K308" s="1067"/>
      <c r="L308" s="1067"/>
      <c r="M308" s="1067"/>
      <c r="N308" s="1067"/>
      <c r="O308" s="1067"/>
      <c r="P308" s="1067"/>
      <c r="Q308" s="1067"/>
      <c r="R308" s="1067"/>
      <c r="S308"/>
      <c r="T308" s="41" t="s">
        <v>374</v>
      </c>
      <c r="U308"/>
      <c r="V308" s="41"/>
      <c r="W308" s="41"/>
      <c r="X308" s="41"/>
      <c r="Y308" s="41"/>
      <c r="Z308"/>
      <c r="AA308" s="1067"/>
      <c r="AB308" s="1067"/>
      <c r="AC308" s="1067"/>
      <c r="AD308" s="1067"/>
      <c r="AE308" s="1067"/>
      <c r="AF308" s="1067"/>
      <c r="AG308" s="1067"/>
      <c r="AH308" s="1067"/>
      <c r="AI308" s="1067"/>
      <c r="AJ308" s="1067"/>
      <c r="AK308" s="1067"/>
      <c r="AL308" s="10"/>
      <c r="AN308" s="281"/>
    </row>
    <row r="309" spans="2:40" s="4" customFormat="1" ht="12.75" customHeight="1">
      <c r="B309" s="41" t="s">
        <v>375</v>
      </c>
      <c r="C309" s="41"/>
      <c r="D309" s="41"/>
      <c r="E309" s="41"/>
      <c r="F309" s="41"/>
      <c r="G309" s="41"/>
      <c r="H309" s="1404" t="s">
        <v>2447</v>
      </c>
      <c r="I309" s="1404"/>
      <c r="J309" s="1404"/>
      <c r="K309" s="1404"/>
      <c r="L309" s="1404"/>
      <c r="M309" s="1404"/>
      <c r="N309" s="5" t="s">
        <v>818</v>
      </c>
      <c r="O309" s="5"/>
      <c r="P309" s="1398"/>
      <c r="Q309" s="1398"/>
      <c r="R309" s="1398"/>
      <c r="S309" s="41"/>
      <c r="T309" s="41" t="s">
        <v>375</v>
      </c>
      <c r="U309"/>
      <c r="V309" s="41"/>
      <c r="W309" s="41"/>
      <c r="X309" s="41"/>
      <c r="Y309" s="41"/>
      <c r="Z309"/>
      <c r="AA309" s="1404"/>
      <c r="AB309" s="1404"/>
      <c r="AC309" s="1404"/>
      <c r="AD309" s="1404"/>
      <c r="AE309" s="1404"/>
      <c r="AF309" s="1404"/>
      <c r="AG309" s="5" t="s">
        <v>818</v>
      </c>
      <c r="AH309" s="5"/>
      <c r="AI309" s="1398"/>
      <c r="AJ309" s="1398"/>
      <c r="AK309" s="1398"/>
      <c r="AL309" s="10"/>
      <c r="AN309" s="281"/>
    </row>
    <row r="310" spans="2:40" s="4" customFormat="1" ht="12.75" customHeight="1">
      <c r="B310" s="41" t="s">
        <v>88</v>
      </c>
      <c r="C310" s="41"/>
      <c r="D310" s="41"/>
      <c r="E310" s="41"/>
      <c r="F310" s="41"/>
      <c r="G310" s="41"/>
      <c r="H310" s="1067" t="s">
        <v>96</v>
      </c>
      <c r="I310" s="1067"/>
      <c r="J310" s="1067"/>
      <c r="K310" s="1067"/>
      <c r="L310" s="1067"/>
      <c r="M310" s="1067"/>
      <c r="N310" s="1067"/>
      <c r="O310" s="1067"/>
      <c r="P310" s="1067"/>
      <c r="Q310" s="1067"/>
      <c r="R310" s="1067"/>
      <c r="S310" s="41"/>
      <c r="T310" s="41" t="s">
        <v>88</v>
      </c>
      <c r="U310"/>
      <c r="V310" s="41"/>
      <c r="W310" s="41"/>
      <c r="X310" s="41"/>
      <c r="Y310" s="41"/>
      <c r="Z310"/>
      <c r="AA310" s="1067"/>
      <c r="AB310" s="1067"/>
      <c r="AC310" s="1067"/>
      <c r="AD310" s="1067"/>
      <c r="AE310" s="1067"/>
      <c r="AF310" s="1067"/>
      <c r="AG310" s="1067"/>
      <c r="AH310" s="1067"/>
      <c r="AI310" s="1067"/>
      <c r="AJ310" s="1067"/>
      <c r="AK310" s="1067"/>
      <c r="AL310" s="10"/>
      <c r="AN310" s="281"/>
    </row>
    <row r="311" spans="2:40" s="4" customFormat="1" ht="12.75" customHeight="1">
      <c r="B311" s="41" t="s">
        <v>90</v>
      </c>
      <c r="C311" s="41"/>
      <c r="D311" s="41"/>
      <c r="E311" s="41"/>
      <c r="F311" s="41"/>
      <c r="G311" s="41"/>
      <c r="H311" s="1067" t="s">
        <v>2448</v>
      </c>
      <c r="I311" s="1067"/>
      <c r="J311" s="1067"/>
      <c r="K311" s="1067"/>
      <c r="L311" s="1067"/>
      <c r="M311" s="1067"/>
      <c r="N311" s="1067"/>
      <c r="O311" s="1067"/>
      <c r="P311" s="1067"/>
      <c r="Q311" s="1067"/>
      <c r="R311" s="1067"/>
      <c r="S311" s="41"/>
      <c r="T311" s="41" t="s">
        <v>90</v>
      </c>
      <c r="U311"/>
      <c r="V311" s="41"/>
      <c r="W311" s="41"/>
      <c r="X311" s="41"/>
      <c r="Y311" s="41"/>
      <c r="Z311"/>
      <c r="AA311" s="1067"/>
      <c r="AB311" s="1067"/>
      <c r="AC311" s="1067"/>
      <c r="AD311" s="1067"/>
      <c r="AE311" s="1067"/>
      <c r="AF311" s="1067"/>
      <c r="AG311" s="1067"/>
      <c r="AH311" s="1067"/>
      <c r="AI311" s="1067"/>
      <c r="AJ311" s="1067"/>
      <c r="AK311" s="1067"/>
      <c r="AL311" s="10"/>
      <c r="AN311" s="281"/>
    </row>
    <row r="312" spans="2:40" s="4" customFormat="1" ht="12.75" customHeight="1">
      <c r="B312" s="41" t="s">
        <v>101</v>
      </c>
      <c r="C312" s="41"/>
      <c r="D312" s="41"/>
      <c r="E312" s="41"/>
      <c r="F312" s="41"/>
      <c r="G312" s="41"/>
      <c r="H312" s="1673">
        <v>0.78</v>
      </c>
      <c r="I312" s="1673"/>
      <c r="J312" s="1673"/>
      <c r="K312" s="1673"/>
      <c r="L312" s="1673"/>
      <c r="M312" s="1673"/>
      <c r="N312" s="1673"/>
      <c r="O312" s="1673"/>
      <c r="P312" s="1673"/>
      <c r="Q312" s="1673"/>
      <c r="R312" s="1673"/>
      <c r="S312" s="41"/>
      <c r="T312" s="41" t="s">
        <v>101</v>
      </c>
      <c r="U312" s="41"/>
      <c r="V312" s="41"/>
      <c r="W312" s="41"/>
      <c r="X312" s="41"/>
      <c r="Y312" s="41"/>
      <c r="Z312" s="12"/>
      <c r="AA312" s="1673"/>
      <c r="AB312" s="1673"/>
      <c r="AC312" s="1673"/>
      <c r="AD312" s="1673"/>
      <c r="AE312" s="1673"/>
      <c r="AF312" s="1673"/>
      <c r="AG312" s="1673"/>
      <c r="AH312" s="1673"/>
      <c r="AI312" s="1673"/>
      <c r="AJ312" s="1673"/>
      <c r="AK312" s="167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61"/>
      <c r="I314" s="1061"/>
      <c r="J314" s="1061"/>
      <c r="K314" s="1061"/>
      <c r="L314" s="1061"/>
      <c r="M314" s="1061"/>
      <c r="N314" s="1061"/>
      <c r="O314" s="1061"/>
      <c r="P314" s="1061"/>
      <c r="Q314" s="1061"/>
      <c r="R314" s="1061"/>
      <c r="S314"/>
      <c r="T314" s="41" t="s">
        <v>89</v>
      </c>
      <c r="U314"/>
      <c r="V314" s="41"/>
      <c r="W314" s="41"/>
      <c r="X314" s="41"/>
      <c r="Y314" s="41"/>
      <c r="Z314"/>
      <c r="AA314" s="1061"/>
      <c r="AB314" s="1061"/>
      <c r="AC314" s="1061"/>
      <c r="AD314" s="1061"/>
      <c r="AE314" s="1061"/>
      <c r="AF314" s="1061"/>
      <c r="AG314" s="1061"/>
      <c r="AH314" s="1061"/>
      <c r="AI314" s="1061"/>
      <c r="AJ314" s="1061"/>
      <c r="AK314" s="1061"/>
      <c r="AL314" s="10"/>
      <c r="AN314" s="281"/>
    </row>
    <row r="315" spans="2:40" s="4" customFormat="1" ht="12.75" customHeight="1">
      <c r="B315" s="41" t="s">
        <v>699</v>
      </c>
      <c r="C315" s="41"/>
      <c r="D315" s="41"/>
      <c r="E315" s="41"/>
      <c r="F315" s="41"/>
      <c r="G315"/>
      <c r="H315" s="1067"/>
      <c r="I315" s="1067"/>
      <c r="J315" s="1067"/>
      <c r="K315" s="1067"/>
      <c r="L315" s="1067"/>
      <c r="M315" s="1067"/>
      <c r="N315" s="1067"/>
      <c r="O315" s="1067"/>
      <c r="P315" s="1067"/>
      <c r="Q315" s="1067"/>
      <c r="R315" s="1067"/>
      <c r="S315"/>
      <c r="T315" s="41" t="s">
        <v>699</v>
      </c>
      <c r="U315"/>
      <c r="V315" s="41"/>
      <c r="W315" s="41"/>
      <c r="X315" s="41"/>
      <c r="Y315" s="41"/>
      <c r="Z315"/>
      <c r="AA315" s="1067"/>
      <c r="AB315" s="1067"/>
      <c r="AC315" s="1067"/>
      <c r="AD315" s="1067"/>
      <c r="AE315" s="1067"/>
      <c r="AF315" s="1067"/>
      <c r="AG315" s="1067"/>
      <c r="AH315" s="1067"/>
      <c r="AI315" s="1067"/>
      <c r="AJ315" s="1067"/>
      <c r="AK315" s="1067"/>
      <c r="AL315" s="10"/>
      <c r="AN315" s="281"/>
    </row>
    <row r="316" spans="2:40" s="4" customFormat="1" ht="12.75" customHeight="1">
      <c r="B316" s="41" t="s">
        <v>99</v>
      </c>
      <c r="C316" s="41"/>
      <c r="D316" s="41"/>
      <c r="E316" s="41"/>
      <c r="F316" s="41"/>
      <c r="G316"/>
      <c r="H316" s="1067"/>
      <c r="I316" s="1067"/>
      <c r="J316" s="1067"/>
      <c r="K316" s="1067"/>
      <c r="L316" s="1067"/>
      <c r="M316" s="1067"/>
      <c r="N316" s="1067"/>
      <c r="O316" s="1067"/>
      <c r="P316" s="1067"/>
      <c r="Q316" s="1067"/>
      <c r="R316" s="1067"/>
      <c r="S316"/>
      <c r="T316" s="41" t="s">
        <v>99</v>
      </c>
      <c r="U316"/>
      <c r="V316" s="41"/>
      <c r="W316" s="41"/>
      <c r="X316" s="41"/>
      <c r="Y316" s="41"/>
      <c r="Z316"/>
      <c r="AA316" s="1067"/>
      <c r="AB316" s="1067"/>
      <c r="AC316" s="1067"/>
      <c r="AD316" s="1067"/>
      <c r="AE316" s="1067"/>
      <c r="AF316" s="1067"/>
      <c r="AG316" s="1067"/>
      <c r="AH316" s="1067"/>
      <c r="AI316" s="1067"/>
      <c r="AJ316" s="1067"/>
      <c r="AK316" s="1067"/>
      <c r="AL316" s="10"/>
      <c r="AN316" s="281"/>
    </row>
    <row r="317" spans="2:40" s="4" customFormat="1" ht="12.75" customHeight="1">
      <c r="B317" s="41" t="s">
        <v>374</v>
      </c>
      <c r="C317" s="41"/>
      <c r="D317" s="41"/>
      <c r="E317" s="41"/>
      <c r="F317" s="41"/>
      <c r="G317"/>
      <c r="H317" s="1067"/>
      <c r="I317" s="1067"/>
      <c r="J317" s="1067"/>
      <c r="K317" s="1067"/>
      <c r="L317" s="1067"/>
      <c r="M317" s="1067"/>
      <c r="N317" s="1067"/>
      <c r="O317" s="1067"/>
      <c r="P317" s="1067"/>
      <c r="Q317" s="1067"/>
      <c r="R317" s="1067"/>
      <c r="S317"/>
      <c r="T317" s="41" t="s">
        <v>374</v>
      </c>
      <c r="U317"/>
      <c r="V317" s="41"/>
      <c r="W317" s="41"/>
      <c r="X317" s="41"/>
      <c r="Y317" s="41"/>
      <c r="Z317"/>
      <c r="AA317" s="1067"/>
      <c r="AB317" s="1067"/>
      <c r="AC317" s="1067"/>
      <c r="AD317" s="1067"/>
      <c r="AE317" s="1067"/>
      <c r="AF317" s="1067"/>
      <c r="AG317" s="1067"/>
      <c r="AH317" s="1067"/>
      <c r="AI317" s="1067"/>
      <c r="AJ317" s="1067"/>
      <c r="AK317" s="1067"/>
      <c r="AL317" s="10"/>
      <c r="AN317" s="281"/>
    </row>
    <row r="318" spans="2:40" s="4" customFormat="1" ht="12.75" customHeight="1">
      <c r="B318" s="41" t="s">
        <v>375</v>
      </c>
      <c r="C318" s="41"/>
      <c r="D318" s="41"/>
      <c r="E318" s="41"/>
      <c r="F318" s="41"/>
      <c r="G318" s="41"/>
      <c r="H318" s="1404"/>
      <c r="I318" s="1404"/>
      <c r="J318" s="1404"/>
      <c r="K318" s="1404"/>
      <c r="L318" s="1404"/>
      <c r="M318" s="1404"/>
      <c r="N318" s="5" t="s">
        <v>818</v>
      </c>
      <c r="O318" s="5"/>
      <c r="P318" s="1398"/>
      <c r="Q318" s="1398"/>
      <c r="R318" s="1398"/>
      <c r="S318" s="41"/>
      <c r="T318" s="41" t="s">
        <v>375</v>
      </c>
      <c r="U318"/>
      <c r="V318" s="41"/>
      <c r="W318" s="41"/>
      <c r="X318" s="41"/>
      <c r="Y318" s="41"/>
      <c r="Z318"/>
      <c r="AA318" s="1404"/>
      <c r="AB318" s="1404"/>
      <c r="AC318" s="1404"/>
      <c r="AD318" s="1404"/>
      <c r="AE318" s="1404"/>
      <c r="AF318" s="1404"/>
      <c r="AG318" s="5" t="s">
        <v>818</v>
      </c>
      <c r="AH318" s="5"/>
      <c r="AI318" s="1398"/>
      <c r="AJ318" s="1398"/>
      <c r="AK318" s="1398"/>
      <c r="AL318" s="10"/>
      <c r="AN318" s="281"/>
    </row>
    <row r="319" spans="2:40" s="4" customFormat="1" ht="12.75" customHeight="1">
      <c r="B319" s="41" t="s">
        <v>88</v>
      </c>
      <c r="C319" s="41"/>
      <c r="D319" s="41"/>
      <c r="E319" s="41"/>
      <c r="F319" s="41"/>
      <c r="G319" s="41"/>
      <c r="H319" s="1067"/>
      <c r="I319" s="1067"/>
      <c r="J319" s="1067"/>
      <c r="K319" s="1067"/>
      <c r="L319" s="1067"/>
      <c r="M319" s="1067"/>
      <c r="N319" s="1067"/>
      <c r="O319" s="1067"/>
      <c r="P319" s="1067"/>
      <c r="Q319" s="1067"/>
      <c r="R319" s="1067"/>
      <c r="S319" s="41"/>
      <c r="T319" s="41" t="s">
        <v>88</v>
      </c>
      <c r="U319"/>
      <c r="V319" s="41"/>
      <c r="W319" s="41"/>
      <c r="X319" s="41"/>
      <c r="Y319" s="41"/>
      <c r="Z319"/>
      <c r="AA319" s="1067"/>
      <c r="AB319" s="1067"/>
      <c r="AC319" s="1067"/>
      <c r="AD319" s="1067"/>
      <c r="AE319" s="1067"/>
      <c r="AF319" s="1067"/>
      <c r="AG319" s="1067"/>
      <c r="AH319" s="1067"/>
      <c r="AI319" s="1067"/>
      <c r="AJ319" s="1067"/>
      <c r="AK319" s="1067"/>
      <c r="AL319" s="10"/>
      <c r="AN319" s="281"/>
    </row>
    <row r="320" spans="2:40" s="4" customFormat="1" ht="12.75" customHeight="1">
      <c r="B320" s="41" t="s">
        <v>90</v>
      </c>
      <c r="C320" s="41"/>
      <c r="D320" s="41"/>
      <c r="E320" s="41"/>
      <c r="F320" s="41"/>
      <c r="G320" s="41"/>
      <c r="H320" s="1067"/>
      <c r="I320" s="1067"/>
      <c r="J320" s="1067"/>
      <c r="K320" s="1067"/>
      <c r="L320" s="1067"/>
      <c r="M320" s="1067"/>
      <c r="N320" s="1067"/>
      <c r="O320" s="1067"/>
      <c r="P320" s="1067"/>
      <c r="Q320" s="1067"/>
      <c r="R320" s="1067"/>
      <c r="S320" s="41"/>
      <c r="T320" s="41" t="s">
        <v>90</v>
      </c>
      <c r="U320"/>
      <c r="V320" s="41"/>
      <c r="W320" s="41"/>
      <c r="X320" s="41"/>
      <c r="Y320" s="41"/>
      <c r="Z320"/>
      <c r="AA320" s="1067"/>
      <c r="AB320" s="1067"/>
      <c r="AC320" s="1067"/>
      <c r="AD320" s="1067"/>
      <c r="AE320" s="1067"/>
      <c r="AF320" s="1067"/>
      <c r="AG320" s="1067"/>
      <c r="AH320" s="1067"/>
      <c r="AI320" s="1067"/>
      <c r="AJ320" s="1067"/>
      <c r="AK320" s="1067"/>
      <c r="AL320" s="10"/>
      <c r="AN320" s="281"/>
    </row>
    <row r="321" spans="1:76" s="4" customFormat="1" ht="12.75" customHeight="1">
      <c r="B321" s="41" t="s">
        <v>101</v>
      </c>
      <c r="C321" s="41"/>
      <c r="D321" s="41"/>
      <c r="E321" s="41"/>
      <c r="F321" s="41"/>
      <c r="G321" s="41"/>
      <c r="H321" s="1673"/>
      <c r="I321" s="1673"/>
      <c r="J321" s="1673"/>
      <c r="K321" s="1673"/>
      <c r="L321" s="1673"/>
      <c r="M321" s="1673"/>
      <c r="N321" s="1673"/>
      <c r="O321" s="1673"/>
      <c r="P321" s="1673"/>
      <c r="Q321" s="1673"/>
      <c r="R321" s="1673"/>
      <c r="S321" s="41"/>
      <c r="T321" s="41" t="s">
        <v>101</v>
      </c>
      <c r="U321" s="41"/>
      <c r="V321" s="41"/>
      <c r="W321" s="41"/>
      <c r="X321" s="41"/>
      <c r="Y321" s="41"/>
      <c r="Z321" s="12"/>
      <c r="AA321" s="1673"/>
      <c r="AB321" s="1673"/>
      <c r="AC321" s="1673"/>
      <c r="AD321" s="1673"/>
      <c r="AE321" s="1673"/>
      <c r="AF321" s="1673"/>
      <c r="AG321" s="1673"/>
      <c r="AH321" s="1673"/>
      <c r="AI321" s="1673"/>
      <c r="AJ321" s="1673"/>
      <c r="AK321" s="167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61"/>
      <c r="I323" s="1061"/>
      <c r="J323" s="1061"/>
      <c r="K323" s="1061"/>
      <c r="L323" s="1061"/>
      <c r="M323" s="1061"/>
      <c r="N323" s="1061"/>
      <c r="O323" s="1061"/>
      <c r="P323" s="1061"/>
      <c r="Q323" s="1061"/>
      <c r="R323" s="1061"/>
      <c r="S323"/>
      <c r="T323" s="41" t="s">
        <v>89</v>
      </c>
      <c r="U323"/>
      <c r="V323" s="41"/>
      <c r="W323" s="41"/>
      <c r="X323" s="41"/>
      <c r="Y323" s="41"/>
      <c r="Z323"/>
      <c r="AA323" s="1061"/>
      <c r="AB323" s="1061"/>
      <c r="AC323" s="1061"/>
      <c r="AD323" s="1061"/>
      <c r="AE323" s="1061"/>
      <c r="AF323" s="1061"/>
      <c r="AG323" s="1061"/>
      <c r="AH323" s="1061"/>
      <c r="AI323" s="1061"/>
      <c r="AJ323" s="1061"/>
      <c r="AK323" s="1061"/>
      <c r="AL323" s="41"/>
      <c r="AN323" s="281"/>
    </row>
    <row r="324" spans="1:76" s="4" customFormat="1" ht="12.75" customHeight="1">
      <c r="B324" s="41" t="s">
        <v>699</v>
      </c>
      <c r="C324" s="41"/>
      <c r="D324" s="41"/>
      <c r="E324" s="41"/>
      <c r="F324" s="41"/>
      <c r="G324"/>
      <c r="H324" s="1067"/>
      <c r="I324" s="1067"/>
      <c r="J324" s="1067"/>
      <c r="K324" s="1067"/>
      <c r="L324" s="1067"/>
      <c r="M324" s="1067"/>
      <c r="N324" s="1067"/>
      <c r="O324" s="1067"/>
      <c r="P324" s="1067"/>
      <c r="Q324" s="1067"/>
      <c r="R324" s="1067"/>
      <c r="S324"/>
      <c r="T324" s="41" t="s">
        <v>699</v>
      </c>
      <c r="U324"/>
      <c r="V324" s="41"/>
      <c r="W324" s="41"/>
      <c r="X324" s="41"/>
      <c r="Y324" s="41"/>
      <c r="Z324"/>
      <c r="AA324" s="1067"/>
      <c r="AB324" s="1067"/>
      <c r="AC324" s="1067"/>
      <c r="AD324" s="1067"/>
      <c r="AE324" s="1067"/>
      <c r="AF324" s="1067"/>
      <c r="AG324" s="1067"/>
      <c r="AH324" s="1067"/>
      <c r="AI324" s="1067"/>
      <c r="AJ324" s="1067"/>
      <c r="AK324" s="1067"/>
      <c r="AL324" s="41"/>
      <c r="AN324" s="281"/>
    </row>
    <row r="325" spans="1:76" s="4" customFormat="1" ht="18" customHeight="1">
      <c r="B325" s="41" t="s">
        <v>99</v>
      </c>
      <c r="C325" s="41"/>
      <c r="D325" s="41"/>
      <c r="E325" s="41"/>
      <c r="F325" s="41"/>
      <c r="G325"/>
      <c r="H325" s="1067"/>
      <c r="I325" s="1067"/>
      <c r="J325" s="1067"/>
      <c r="K325" s="1067"/>
      <c r="L325" s="1067"/>
      <c r="M325" s="1067"/>
      <c r="N325" s="1067"/>
      <c r="O325" s="1067"/>
      <c r="P325" s="1067"/>
      <c r="Q325" s="1067"/>
      <c r="R325" s="1067"/>
      <c r="S325"/>
      <c r="T325" s="41" t="s">
        <v>99</v>
      </c>
      <c r="U325"/>
      <c r="V325" s="41"/>
      <c r="W325" s="41"/>
      <c r="X325" s="41"/>
      <c r="Y325" s="41"/>
      <c r="Z325"/>
      <c r="AA325" s="1067"/>
      <c r="AB325" s="1067"/>
      <c r="AC325" s="1067"/>
      <c r="AD325" s="1067"/>
      <c r="AE325" s="1067"/>
      <c r="AF325" s="1067"/>
      <c r="AG325" s="1067"/>
      <c r="AH325" s="1067"/>
      <c r="AI325" s="1067"/>
      <c r="AJ325" s="1067"/>
      <c r="AK325" s="1067"/>
      <c r="AL325" s="41"/>
      <c r="AN325" s="281"/>
    </row>
    <row r="326" spans="1:76" s="4" customFormat="1" ht="12.75" customHeight="1">
      <c r="B326" s="41" t="s">
        <v>374</v>
      </c>
      <c r="C326" s="41"/>
      <c r="D326" s="41"/>
      <c r="E326" s="41"/>
      <c r="F326" s="41"/>
      <c r="G326"/>
      <c r="H326" s="1067"/>
      <c r="I326" s="1067"/>
      <c r="J326" s="1067"/>
      <c r="K326" s="1067"/>
      <c r="L326" s="1067"/>
      <c r="M326" s="1067"/>
      <c r="N326" s="1067"/>
      <c r="O326" s="1067"/>
      <c r="P326" s="1067"/>
      <c r="Q326" s="1067"/>
      <c r="R326" s="1067"/>
      <c r="S326"/>
      <c r="T326" s="41" t="s">
        <v>374</v>
      </c>
      <c r="U326"/>
      <c r="V326" s="41"/>
      <c r="W326" s="41"/>
      <c r="X326" s="41"/>
      <c r="Y326" s="41"/>
      <c r="Z326"/>
      <c r="AA326" s="1067"/>
      <c r="AB326" s="1067"/>
      <c r="AC326" s="1067"/>
      <c r="AD326" s="1067"/>
      <c r="AE326" s="1067"/>
      <c r="AF326" s="1067"/>
      <c r="AG326" s="1067"/>
      <c r="AH326" s="1067"/>
      <c r="AI326" s="1067"/>
      <c r="AJ326" s="1067"/>
      <c r="AK326" s="1067"/>
      <c r="AL326" s="41"/>
      <c r="AN326" s="281"/>
    </row>
    <row r="327" spans="1:76" s="4" customFormat="1" ht="12.75" customHeight="1">
      <c r="B327" s="41" t="s">
        <v>375</v>
      </c>
      <c r="C327" s="41"/>
      <c r="D327" s="41"/>
      <c r="E327" s="41"/>
      <c r="F327" s="41"/>
      <c r="G327" s="41"/>
      <c r="H327" s="1404"/>
      <c r="I327" s="1404"/>
      <c r="J327" s="1404"/>
      <c r="K327" s="1404"/>
      <c r="L327" s="1404"/>
      <c r="M327" s="1404"/>
      <c r="N327" s="5" t="s">
        <v>818</v>
      </c>
      <c r="O327" s="5"/>
      <c r="P327" s="1398"/>
      <c r="Q327" s="1398"/>
      <c r="R327" s="1398"/>
      <c r="S327" s="41"/>
      <c r="T327" s="41" t="s">
        <v>375</v>
      </c>
      <c r="U327"/>
      <c r="V327" s="41"/>
      <c r="W327" s="41"/>
      <c r="X327" s="41"/>
      <c r="Y327" s="41"/>
      <c r="Z327"/>
      <c r="AA327" s="1404"/>
      <c r="AB327" s="1404"/>
      <c r="AC327" s="1404"/>
      <c r="AD327" s="1404"/>
      <c r="AE327" s="1404"/>
      <c r="AF327" s="1404"/>
      <c r="AG327" s="5" t="s">
        <v>818</v>
      </c>
      <c r="AH327" s="5"/>
      <c r="AI327" s="1398"/>
      <c r="AJ327" s="1398"/>
      <c r="AK327" s="1398"/>
      <c r="AL327" s="41"/>
      <c r="AN327" s="281"/>
    </row>
    <row r="328" spans="1:76" s="4" customFormat="1" ht="12.75" customHeight="1">
      <c r="B328" s="41" t="s">
        <v>88</v>
      </c>
      <c r="C328" s="41"/>
      <c r="D328" s="41"/>
      <c r="E328" s="41"/>
      <c r="F328" s="41"/>
      <c r="G328" s="41"/>
      <c r="H328" s="1067"/>
      <c r="I328" s="1067"/>
      <c r="J328" s="1067"/>
      <c r="K328" s="1067"/>
      <c r="L328" s="1067"/>
      <c r="M328" s="1067"/>
      <c r="N328" s="1067"/>
      <c r="O328" s="1067"/>
      <c r="P328" s="1067"/>
      <c r="Q328" s="1067"/>
      <c r="R328" s="1067"/>
      <c r="S328" s="41"/>
      <c r="T328" s="41" t="s">
        <v>88</v>
      </c>
      <c r="U328"/>
      <c r="V328" s="41"/>
      <c r="W328" s="41"/>
      <c r="X328" s="41"/>
      <c r="Y328" s="41"/>
      <c r="Z328"/>
      <c r="AA328" s="1067"/>
      <c r="AB328" s="1067"/>
      <c r="AC328" s="1067"/>
      <c r="AD328" s="1067"/>
      <c r="AE328" s="1067"/>
      <c r="AF328" s="1067"/>
      <c r="AG328" s="1067"/>
      <c r="AH328" s="1067"/>
      <c r="AI328" s="1067"/>
      <c r="AJ328" s="1067"/>
      <c r="AK328" s="1067"/>
      <c r="AL328" s="41"/>
      <c r="AN328" s="281"/>
    </row>
    <row r="329" spans="1:76" s="4" customFormat="1" ht="12.75" customHeight="1">
      <c r="B329" s="41" t="s">
        <v>90</v>
      </c>
      <c r="C329" s="41"/>
      <c r="D329" s="41"/>
      <c r="E329" s="41"/>
      <c r="F329" s="41"/>
      <c r="G329" s="41"/>
      <c r="H329" s="1067"/>
      <c r="I329" s="1067"/>
      <c r="J329" s="1067"/>
      <c r="K329" s="1067"/>
      <c r="L329" s="1067"/>
      <c r="M329" s="1067"/>
      <c r="N329" s="1067"/>
      <c r="O329" s="1067"/>
      <c r="P329" s="1067"/>
      <c r="Q329" s="1067"/>
      <c r="R329" s="1067"/>
      <c r="S329" s="41"/>
      <c r="T329" s="41" t="s">
        <v>90</v>
      </c>
      <c r="U329"/>
      <c r="V329" s="41"/>
      <c r="W329" s="41"/>
      <c r="X329" s="41"/>
      <c r="Y329" s="41"/>
      <c r="Z329"/>
      <c r="AA329" s="1067"/>
      <c r="AB329" s="1067"/>
      <c r="AC329" s="1067"/>
      <c r="AD329" s="1067"/>
      <c r="AE329" s="1067"/>
      <c r="AF329" s="1067"/>
      <c r="AG329" s="1067"/>
      <c r="AH329" s="1067"/>
      <c r="AI329" s="1067"/>
      <c r="AJ329" s="1067"/>
      <c r="AK329" s="1067"/>
      <c r="AL329" s="41"/>
      <c r="AN329" s="281"/>
    </row>
    <row r="330" spans="1:76" s="4" customFormat="1" ht="12.75" customHeight="1">
      <c r="B330" s="41" t="s">
        <v>101</v>
      </c>
      <c r="C330" s="41"/>
      <c r="D330" s="41"/>
      <c r="E330" s="41"/>
      <c r="F330" s="41"/>
      <c r="G330" s="41"/>
      <c r="H330" s="1673"/>
      <c r="I330" s="1673"/>
      <c r="J330" s="1673"/>
      <c r="K330" s="1673"/>
      <c r="L330" s="1673"/>
      <c r="M330" s="1673"/>
      <c r="N330" s="1673"/>
      <c r="O330" s="1673"/>
      <c r="P330" s="1673"/>
      <c r="Q330" s="1673"/>
      <c r="R330" s="1673"/>
      <c r="S330" s="41"/>
      <c r="T330" s="41" t="s">
        <v>101</v>
      </c>
      <c r="U330" s="41"/>
      <c r="V330" s="41"/>
      <c r="W330" s="41"/>
      <c r="X330" s="41"/>
      <c r="Y330" s="41"/>
      <c r="Z330" s="12"/>
      <c r="AA330" s="1673"/>
      <c r="AB330" s="1673"/>
      <c r="AC330" s="1673"/>
      <c r="AD330" s="1673"/>
      <c r="AE330" s="1673"/>
      <c r="AF330" s="1673"/>
      <c r="AG330" s="1673"/>
      <c r="AH330" s="1673"/>
      <c r="AI330" s="1673"/>
      <c r="AJ330" s="1673"/>
      <c r="AK330" s="167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2" t="s">
        <v>364</v>
      </c>
      <c r="AF333" s="1722"/>
      <c r="AG333" s="1722"/>
      <c r="AH333" s="1722"/>
      <c r="AI333" s="1722"/>
      <c r="AJ333" s="1722"/>
      <c r="AK333" s="1722"/>
      <c r="AL333" s="3"/>
      <c r="AM333" s="827"/>
      <c r="AN333" s="3"/>
    </row>
    <row r="334" spans="1:76" s="4" customFormat="1" ht="12.75" customHeight="1">
      <c r="A334" s="3"/>
      <c r="B334" s="5"/>
      <c r="C334" s="1713" t="s">
        <v>1838</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1839</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4"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2294</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1840</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15"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8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900</v>
      </c>
      <c r="AP354" s="71">
        <f>IF(C379="Yes",5,0)</f>
        <v>0</v>
      </c>
      <c r="AS354" s="3" t="s">
        <v>1776</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1">
        <f>IF(AQ368=0,AQ381,AQ368)</f>
        <v>10</v>
      </c>
      <c r="AT355" s="1691"/>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901</v>
      </c>
      <c r="AP356" s="71">
        <f>IF(C389="Yes",5,0)</f>
        <v>0</v>
      </c>
      <c r="AS356" s="3" t="s">
        <v>1809</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1">
        <f>IF(AND(AQ368&gt;0,AQ381&gt;0),(AQ368+AQ381)/2,0)</f>
        <v>0</v>
      </c>
      <c r="AT357" s="1691"/>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907</v>
      </c>
      <c r="AP358" s="71">
        <f>IF(C399="Yes",7,0)</f>
        <v>7</v>
      </c>
    </row>
    <row r="359" spans="1:46" s="4" customFormat="1" ht="12.75" customHeight="1">
      <c r="A359" s="27"/>
      <c r="B359" s="26"/>
      <c r="C359" s="1713" t="s">
        <v>1841</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431</v>
      </c>
      <c r="AP361" s="71">
        <f>IF(C409="Yes",5,0)</f>
        <v>0</v>
      </c>
    </row>
    <row r="362" spans="1:46" s="4" customFormat="1" ht="11.8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3</v>
      </c>
    </row>
    <row r="363" spans="1:46" s="4" customFormat="1" ht="12.4"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171</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434</v>
      </c>
      <c r="AP365" s="71">
        <f>IF(C423="Yes",5,0)</f>
        <v>0</v>
      </c>
    </row>
    <row r="366" spans="1:46" s="4" customFormat="1" ht="12.75" customHeight="1">
      <c r="A366" s="27"/>
      <c r="B366" s="26"/>
      <c r="C366" s="1713" t="s">
        <v>1842</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099999999999994"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610</v>
      </c>
      <c r="AP368" s="168">
        <f>SUM(AP354:AP367)</f>
        <v>10</v>
      </c>
      <c r="AQ368" s="1502">
        <f>IF(AP368&gt;0,AP368,0)</f>
        <v>10</v>
      </c>
      <c r="AR368" s="1502"/>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867">
        <f>Application!CQ649-U371</f>
        <v>209</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0</v>
      </c>
      <c r="V371" s="1868"/>
      <c r="W371" s="186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1" t="s">
        <v>1785</v>
      </c>
      <c r="G375" s="1681"/>
      <c r="H375" s="1681"/>
      <c r="I375" s="1681"/>
      <c r="J375" s="1681"/>
      <c r="K375" s="1681"/>
      <c r="L375" s="1681"/>
      <c r="M375" s="1681"/>
      <c r="N375" s="1681"/>
      <c r="O375" s="1681"/>
      <c r="P375" s="1681"/>
      <c r="Q375" s="1681"/>
      <c r="R375" s="1681"/>
      <c r="S375" s="1681"/>
      <c r="T375" s="1681"/>
      <c r="U375" s="1681"/>
      <c r="V375" s="1681"/>
      <c r="W375" s="1681"/>
      <c r="X375" s="1681"/>
      <c r="Y375" s="1681"/>
      <c r="Z375" s="1681"/>
      <c r="AA375" s="1681"/>
      <c r="AB375" s="1681"/>
      <c r="AC375" s="1681"/>
      <c r="AD375" s="1681"/>
      <c r="AE375" s="1681"/>
      <c r="AF375" s="168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124</v>
      </c>
      <c r="D379" s="1066"/>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67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1" t="s">
        <v>1784</v>
      </c>
      <c r="G384" s="1681"/>
      <c r="H384" s="1681"/>
      <c r="I384" s="1681"/>
      <c r="J384" s="1681"/>
      <c r="K384" s="1681"/>
      <c r="L384" s="1681"/>
      <c r="M384" s="1681"/>
      <c r="N384" s="1681"/>
      <c r="O384" s="1681"/>
      <c r="P384" s="1681"/>
      <c r="Q384" s="1681"/>
      <c r="R384" s="1681"/>
      <c r="S384" s="1681"/>
      <c r="T384" s="1681"/>
      <c r="U384" s="1681"/>
      <c r="V384" s="1681"/>
      <c r="W384" s="1681"/>
      <c r="X384" s="1681"/>
      <c r="Y384" s="1681"/>
      <c r="Z384" s="1681"/>
      <c r="AA384" s="1681"/>
      <c r="AB384" s="1681"/>
      <c r="AC384" s="1681"/>
      <c r="AD384" s="1681"/>
      <c r="AE384" s="1681"/>
      <c r="AF384" s="168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124</v>
      </c>
      <c r="D389" s="1066"/>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67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1"/>
      <c r="D391" s="148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1" t="s">
        <v>1948</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108</v>
      </c>
      <c r="D399" s="1066"/>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963</v>
      </c>
      <c r="AG399" s="1168"/>
      <c r="AH399" s="1168"/>
      <c r="AI399" s="1168"/>
      <c r="AJ399" s="1168"/>
      <c r="AK399" s="1168"/>
      <c r="AL399" s="167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124</v>
      </c>
      <c r="D401" s="1066"/>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8" t="s">
        <v>319</v>
      </c>
      <c r="AG401" s="1168"/>
      <c r="AH401" s="1168"/>
      <c r="AI401" s="1168"/>
      <c r="AJ401" s="1168"/>
      <c r="AK401" s="1168"/>
      <c r="AL401" s="167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1" t="s">
        <v>1783</v>
      </c>
      <c r="G405" s="1681"/>
      <c r="H405" s="1681"/>
      <c r="I405" s="1681"/>
      <c r="J405" s="1681"/>
      <c r="K405" s="1681"/>
      <c r="L405" s="1681"/>
      <c r="M405" s="1681"/>
      <c r="N405" s="1681"/>
      <c r="O405" s="1681"/>
      <c r="P405" s="1681"/>
      <c r="Q405" s="1681"/>
      <c r="R405" s="1681"/>
      <c r="S405" s="1681"/>
      <c r="T405" s="1681"/>
      <c r="U405" s="1681"/>
      <c r="V405" s="1681"/>
      <c r="W405" s="1681"/>
      <c r="X405" s="1681"/>
      <c r="Y405" s="1681"/>
      <c r="Z405" s="1681"/>
      <c r="AA405" s="1681"/>
      <c r="AB405" s="1681"/>
      <c r="AC405" s="1681"/>
      <c r="AD405" s="1681"/>
      <c r="AE405" s="1681"/>
      <c r="AF405" s="168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124</v>
      </c>
      <c r="D409" s="1066"/>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67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108</v>
      </c>
      <c r="D411" s="106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962</v>
      </c>
      <c r="AG411" s="1168"/>
      <c r="AH411" s="1168"/>
      <c r="AI411" s="1168"/>
      <c r="AJ411" s="1168"/>
      <c r="AK411" s="1168"/>
      <c r="AL411" s="167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124</v>
      </c>
      <c r="D414" s="1066"/>
      <c r="E414" s="698" t="s">
        <v>193</v>
      </c>
      <c r="F414" s="1681" t="s">
        <v>1787</v>
      </c>
      <c r="G414" s="1681"/>
      <c r="H414" s="1681"/>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10" t="s">
        <v>319</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5"/>
      <c r="G417" s="1675"/>
      <c r="H417" s="1675"/>
      <c r="I417" s="1675"/>
      <c r="J417" s="1675"/>
      <c r="K417" s="1675"/>
      <c r="L417" s="1675"/>
      <c r="M417" s="1675"/>
      <c r="N417" s="1675"/>
      <c r="O417" s="1675"/>
      <c r="P417" s="1675"/>
      <c r="Q417" s="1675"/>
      <c r="R417" s="1675"/>
      <c r="S417" s="1675"/>
      <c r="T417" s="1675"/>
      <c r="U417" s="1675"/>
      <c r="V417" s="1675"/>
      <c r="W417" s="1675"/>
      <c r="X417" s="1675"/>
      <c r="Y417" s="1675"/>
      <c r="Z417" s="1675"/>
      <c r="AA417" s="1675"/>
      <c r="AB417" s="1675"/>
      <c r="AC417" s="1675"/>
      <c r="AD417" s="1675"/>
      <c r="AE417" s="167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1" t="s">
        <v>1789</v>
      </c>
      <c r="G419" s="1681"/>
      <c r="H419" s="1681"/>
      <c r="I419" s="1681"/>
      <c r="J419" s="1681"/>
      <c r="K419" s="1681"/>
      <c r="L419" s="1681"/>
      <c r="M419" s="1681"/>
      <c r="N419" s="1681"/>
      <c r="O419" s="1681"/>
      <c r="P419" s="1681"/>
      <c r="Q419" s="1681"/>
      <c r="R419" s="1681"/>
      <c r="S419" s="1681"/>
      <c r="T419" s="1681"/>
      <c r="U419" s="1681"/>
      <c r="V419" s="1681"/>
      <c r="W419" s="1681"/>
      <c r="X419" s="1681"/>
      <c r="Y419" s="1681"/>
      <c r="Z419" s="1681"/>
      <c r="AA419" s="1681"/>
      <c r="AB419" s="1681"/>
      <c r="AC419" s="1681"/>
      <c r="AD419" s="1681"/>
      <c r="AE419" s="1681"/>
      <c r="AF419" s="718"/>
      <c r="AG419" s="718"/>
      <c r="AH419" s="718"/>
      <c r="AI419" s="718"/>
      <c r="AJ419" s="718"/>
      <c r="AK419" s="718"/>
      <c r="AL419" s="719"/>
      <c r="AM419"/>
    </row>
    <row r="420" spans="1:55">
      <c r="A420" s="5"/>
      <c r="C420" s="704"/>
      <c r="E420" s="194"/>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5"/>
      <c r="AM420"/>
    </row>
    <row r="421" spans="1:55" s="4" customFormat="1" ht="12.75" customHeight="1">
      <c r="A421" s="5"/>
      <c r="B421" s="21"/>
      <c r="C421" s="704"/>
      <c r="D421" s="21"/>
      <c r="E421" s="194"/>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5"/>
      <c r="AM421"/>
      <c r="AN421" s="281"/>
    </row>
    <row r="422" spans="1:55" s="4" customFormat="1" ht="12.75" customHeight="1">
      <c r="A422" s="5"/>
      <c r="B422" s="21"/>
      <c r="C422" s="707"/>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5"/>
      <c r="AM422"/>
      <c r="AN422" s="281"/>
    </row>
    <row r="423" spans="1:55" s="4" customFormat="1" ht="12.75" customHeight="1">
      <c r="A423" s="5"/>
      <c r="B423" s="21"/>
      <c r="C423" s="1686" t="s">
        <v>124</v>
      </c>
      <c r="D423" s="1066"/>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319</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6" t="s">
        <v>124</v>
      </c>
      <c r="D425" s="106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962</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1" t="s">
        <v>1790</v>
      </c>
      <c r="G429" s="1681"/>
      <c r="H429" s="1681"/>
      <c r="I429" s="1681"/>
      <c r="J429" s="1681"/>
      <c r="K429" s="1681"/>
      <c r="L429" s="1681"/>
      <c r="M429" s="1681"/>
      <c r="N429" s="1681"/>
      <c r="O429" s="1681"/>
      <c r="P429" s="1681"/>
      <c r="Q429" s="1681"/>
      <c r="R429" s="1681"/>
      <c r="S429" s="1681"/>
      <c r="T429" s="1681"/>
      <c r="U429" s="1681"/>
      <c r="V429" s="1681"/>
      <c r="W429" s="1681"/>
      <c r="X429" s="1681"/>
      <c r="Y429" s="1681"/>
      <c r="Z429" s="1681"/>
      <c r="AA429" s="1681"/>
      <c r="AB429" s="1681"/>
      <c r="AC429" s="1681"/>
      <c r="AD429" s="1681"/>
      <c r="AE429" s="1681"/>
      <c r="AF429" s="697"/>
      <c r="AG429" s="697"/>
      <c r="AH429" s="697"/>
      <c r="AI429" s="697"/>
      <c r="AJ429" s="697"/>
      <c r="AK429" s="697"/>
      <c r="AL429" s="721"/>
      <c r="AM429"/>
      <c r="AN429" s="281"/>
    </row>
    <row r="430" spans="1:55" s="4" customFormat="1" ht="12.75" customHeight="1">
      <c r="A430" s="5"/>
      <c r="B430" s="73"/>
      <c r="C430" s="722"/>
      <c r="D430" s="73"/>
      <c r="E430" s="194"/>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5"/>
      <c r="AM430"/>
      <c r="AN430" s="281"/>
    </row>
    <row r="431" spans="1:55" s="4" customFormat="1" ht="12.4" customHeight="1">
      <c r="A431" s="5"/>
      <c r="B431" s="73"/>
      <c r="C431" s="722"/>
      <c r="D431" s="73"/>
      <c r="E431" s="194"/>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5"/>
      <c r="AM431"/>
      <c r="AN431" s="281"/>
    </row>
    <row r="432" spans="1:55" s="4" customFormat="1" ht="12.75" customHeight="1">
      <c r="A432" s="5"/>
      <c r="B432" s="73"/>
      <c r="C432" s="1686" t="s">
        <v>124</v>
      </c>
      <c r="D432" s="1066"/>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319</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81" t="s">
        <v>1791</v>
      </c>
      <c r="G435" s="1681"/>
      <c r="H435" s="1681"/>
      <c r="I435" s="1681"/>
      <c r="J435" s="1681"/>
      <c r="K435" s="1681"/>
      <c r="L435" s="1681"/>
      <c r="M435" s="1681"/>
      <c r="N435" s="1681"/>
      <c r="O435" s="1681"/>
      <c r="P435" s="1681"/>
      <c r="Q435" s="1681"/>
      <c r="R435" s="1681"/>
      <c r="S435" s="1681"/>
      <c r="T435" s="1681"/>
      <c r="U435" s="1681"/>
      <c r="V435" s="1681"/>
      <c r="W435" s="1681"/>
      <c r="X435" s="1681"/>
      <c r="Y435" s="1681"/>
      <c r="Z435" s="1681"/>
      <c r="AA435" s="1681"/>
      <c r="AB435" s="1681"/>
      <c r="AC435" s="1681"/>
      <c r="AD435" s="1681"/>
      <c r="AE435" s="168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784"/>
      <c r="AM436"/>
      <c r="AO436" s="4"/>
      <c r="AP436" s="4"/>
    </row>
    <row r="437" spans="1:60" s="4" customFormat="1" ht="12.75" customHeight="1">
      <c r="A437" s="5"/>
      <c r="B437" s="73"/>
      <c r="C437" s="722"/>
      <c r="D437" s="73"/>
      <c r="E437" s="194"/>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784"/>
      <c r="AM437"/>
      <c r="AN437" s="281"/>
    </row>
    <row r="438" spans="1:60" s="4" customFormat="1" ht="12.75" customHeight="1">
      <c r="A438" s="5"/>
      <c r="B438" s="73"/>
      <c r="C438" s="723"/>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784"/>
      <c r="AM439"/>
      <c r="AN439" s="281"/>
    </row>
    <row r="440" spans="1:60" s="4" customFormat="1" ht="12.75" customHeight="1">
      <c r="A440" s="5"/>
      <c r="B440" s="73"/>
      <c r="C440" s="723"/>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8"/>
      <c r="AG440" s="108"/>
      <c r="AH440" s="108"/>
      <c r="AI440" s="108"/>
      <c r="AJ440" s="108"/>
      <c r="AK440" s="108"/>
      <c r="AL440" s="784"/>
      <c r="AM440"/>
      <c r="AN440" s="281"/>
    </row>
    <row r="441" spans="1:60" s="4" customFormat="1" ht="12.75" customHeight="1">
      <c r="A441" s="5"/>
      <c r="B441" s="73"/>
      <c r="C441" s="723"/>
      <c r="D441" s="1"/>
      <c r="E441" s="225"/>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8"/>
      <c r="AG441" s="108"/>
      <c r="AH441" s="108"/>
      <c r="AI441" s="108"/>
      <c r="AJ441" s="108"/>
      <c r="AK441" s="108"/>
      <c r="AL441" s="784"/>
      <c r="AM441"/>
      <c r="AN441" s="281"/>
    </row>
    <row r="442" spans="1:60" s="4" customFormat="1" ht="12.75" customHeight="1">
      <c r="A442" s="5"/>
      <c r="B442" s="73"/>
      <c r="C442" s="723"/>
      <c r="D442" s="1"/>
      <c r="E442" s="225"/>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8"/>
      <c r="AG442" s="108"/>
      <c r="AH442" s="108"/>
      <c r="AI442" s="108"/>
      <c r="AJ442" s="108"/>
      <c r="AK442" s="108"/>
      <c r="AL442" s="784"/>
      <c r="AM442"/>
      <c r="AN442" s="281"/>
    </row>
    <row r="443" spans="1:60" s="4" customFormat="1" ht="17.25" customHeight="1">
      <c r="A443" s="5"/>
      <c r="B443" s="73"/>
      <c r="C443" s="723"/>
      <c r="D443" s="1"/>
      <c r="E443" s="225"/>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5"/>
      <c r="AM443"/>
      <c r="AN443" s="281"/>
    </row>
    <row r="444" spans="1:60" s="4" customFormat="1" ht="12.75" customHeight="1">
      <c r="A444" s="5"/>
      <c r="B444" s="21"/>
      <c r="C444" s="1686" t="s">
        <v>124</v>
      </c>
      <c r="D444" s="1066"/>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319</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1" t="s">
        <v>1794</v>
      </c>
      <c r="G447" s="1681"/>
      <c r="H447" s="1681"/>
      <c r="I447" s="1681"/>
      <c r="J447" s="1681"/>
      <c r="K447" s="1681"/>
      <c r="L447" s="1681"/>
      <c r="M447" s="1681"/>
      <c r="N447" s="1681"/>
      <c r="O447" s="1681"/>
      <c r="P447" s="1681"/>
      <c r="Q447" s="1681"/>
      <c r="R447" s="1681"/>
      <c r="S447" s="1681"/>
      <c r="T447" s="1681"/>
      <c r="U447" s="1681"/>
      <c r="V447" s="1681"/>
      <c r="W447" s="1681"/>
      <c r="X447" s="1681"/>
      <c r="Y447" s="1681"/>
      <c r="Z447" s="1681"/>
      <c r="AA447" s="1681"/>
      <c r="AB447" s="1681"/>
      <c r="AC447" s="1681"/>
      <c r="AD447" s="1681"/>
      <c r="AE447" s="1681"/>
      <c r="AF447" s="697"/>
      <c r="AG447" s="697"/>
      <c r="AH447" s="697"/>
      <c r="AI447" s="697"/>
      <c r="AJ447" s="697"/>
      <c r="AK447" s="697"/>
      <c r="AL447" s="721"/>
      <c r="AM447"/>
      <c r="AN447" s="281"/>
    </row>
    <row r="448" spans="1:60" s="4" customFormat="1" ht="12.75" customHeight="1">
      <c r="A448" s="5"/>
      <c r="B448" s="73"/>
      <c r="C448" s="723"/>
      <c r="D448" s="1"/>
      <c r="E448" s="225"/>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81"/>
      <c r="AM448"/>
      <c r="AN448" s="281"/>
    </row>
    <row r="449" spans="1:49" s="4" customFormat="1" ht="12.75" customHeight="1">
      <c r="A449" s="5"/>
      <c r="B449" s="73"/>
      <c r="C449" s="723"/>
      <c r="D449" s="1"/>
      <c r="E449" s="225"/>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81"/>
      <c r="AM449"/>
      <c r="AN449" s="281"/>
    </row>
    <row r="450" spans="1:49" s="4" customFormat="1" ht="12.75" customHeight="1">
      <c r="A450" s="5"/>
      <c r="B450" s="73"/>
      <c r="C450" s="723"/>
      <c r="D450" s="1"/>
      <c r="E450" s="225"/>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5"/>
      <c r="AM450"/>
      <c r="AN450" s="281"/>
    </row>
    <row r="451" spans="1:49" s="4" customFormat="1" ht="12.75" customHeight="1">
      <c r="A451" s="5"/>
      <c r="B451" s="73"/>
      <c r="C451" s="1686" t="s">
        <v>124</v>
      </c>
      <c r="D451" s="1066"/>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319</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124</v>
      </c>
      <c r="D455" s="1870"/>
      <c r="E455" s="698" t="s">
        <v>967</v>
      </c>
      <c r="F455" s="1681" t="s">
        <v>969</v>
      </c>
      <c r="G455" s="1681"/>
      <c r="H455" s="1681"/>
      <c r="I455" s="1681"/>
      <c r="J455" s="1681"/>
      <c r="K455" s="1681"/>
      <c r="L455" s="1681"/>
      <c r="M455" s="1681"/>
      <c r="N455" s="1681"/>
      <c r="O455" s="1681"/>
      <c r="P455" s="1681"/>
      <c r="Q455" s="1681"/>
      <c r="R455" s="1681"/>
      <c r="S455" s="1681"/>
      <c r="T455" s="1681"/>
      <c r="U455" s="1681"/>
      <c r="V455" s="1681"/>
      <c r="W455" s="1681"/>
      <c r="X455" s="1681"/>
      <c r="Y455" s="1681"/>
      <c r="Z455" s="1681"/>
      <c r="AA455" s="1681"/>
      <c r="AB455" s="1681"/>
      <c r="AC455" s="1681"/>
      <c r="AD455" s="1681"/>
      <c r="AE455" s="1681"/>
      <c r="AF455" s="1720" t="s">
        <v>319</v>
      </c>
      <c r="AG455" s="1720"/>
      <c r="AH455" s="1720"/>
      <c r="AI455" s="1720"/>
      <c r="AJ455" s="1720"/>
      <c r="AK455" s="1720"/>
      <c r="AL455" s="1721"/>
      <c r="AM455"/>
      <c r="AN455" s="674"/>
      <c r="AQ455" s="166"/>
    </row>
    <row r="456" spans="1:49" s="4" customFormat="1" ht="12.75" customHeight="1">
      <c r="A456" s="5"/>
      <c r="B456" s="73"/>
      <c r="C456" s="723"/>
      <c r="D456" s="1"/>
      <c r="E456" s="225"/>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5"/>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1675"/>
      <c r="AD457" s="1675"/>
      <c r="AE457" s="167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9" t="s">
        <v>124</v>
      </c>
      <c r="D459" s="1870"/>
      <c r="E459" s="698" t="s">
        <v>968</v>
      </c>
      <c r="F459" s="1681" t="s">
        <v>1831</v>
      </c>
      <c r="G459" s="1681"/>
      <c r="H459" s="1681"/>
      <c r="I459" s="1681"/>
      <c r="J459" s="1681"/>
      <c r="K459" s="1681"/>
      <c r="L459" s="1681"/>
      <c r="M459" s="1681"/>
      <c r="N459" s="1681"/>
      <c r="O459" s="1681"/>
      <c r="P459" s="1681"/>
      <c r="Q459" s="1681"/>
      <c r="R459" s="1681"/>
      <c r="S459" s="1681"/>
      <c r="T459" s="1681"/>
      <c r="U459" s="1681"/>
      <c r="V459" s="1681"/>
      <c r="W459" s="1681"/>
      <c r="X459" s="1681"/>
      <c r="Y459" s="1681"/>
      <c r="Z459" s="1681"/>
      <c r="AA459" s="1681"/>
      <c r="AB459" s="1681"/>
      <c r="AC459" s="1681"/>
      <c r="AD459" s="1681"/>
      <c r="AE459" s="1681"/>
      <c r="AF459" s="1720" t="s">
        <v>319</v>
      </c>
      <c r="AG459" s="1720"/>
      <c r="AH459" s="1720"/>
      <c r="AI459" s="1720"/>
      <c r="AJ459" s="1720"/>
      <c r="AK459" s="1720"/>
      <c r="AL459" s="1721"/>
      <c r="AM459"/>
      <c r="AN459" s="670"/>
      <c r="AO459" s="4" t="s">
        <v>1335</v>
      </c>
      <c r="AP459" s="4">
        <v>5</v>
      </c>
      <c r="AQ459" s="5"/>
    </row>
    <row r="460" spans="1:49" s="4" customFormat="1" ht="12.75" customHeight="1">
      <c r="A460" s="5"/>
      <c r="B460" s="21"/>
      <c r="C460" s="704"/>
      <c r="D460" s="21"/>
      <c r="E460" s="194"/>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5"/>
      <c r="AM460"/>
      <c r="AN460" s="670"/>
      <c r="AO460" s="4" t="s">
        <v>1331</v>
      </c>
      <c r="AP460" s="4">
        <v>5</v>
      </c>
    </row>
    <row r="461" spans="1:49" s="4" customFormat="1" ht="12.75" customHeight="1">
      <c r="A461" s="5"/>
      <c r="B461" s="21"/>
      <c r="C461" s="704"/>
      <c r="D461" s="21"/>
      <c r="E461" s="194"/>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5"/>
      <c r="AM461"/>
      <c r="AN461" s="670"/>
      <c r="AO461" s="4" t="s">
        <v>1332</v>
      </c>
      <c r="AP461" s="4">
        <v>5</v>
      </c>
    </row>
    <row r="462" spans="1:49" s="4" customFormat="1" ht="4.5" customHeight="1">
      <c r="A462" s="5"/>
      <c r="B462" s="73"/>
      <c r="C462" s="700"/>
      <c r="D462" s="701"/>
      <c r="E462" s="702"/>
      <c r="F462" s="1675"/>
      <c r="G462" s="1675"/>
      <c r="H462" s="1675"/>
      <c r="I462" s="1675"/>
      <c r="J462" s="1675"/>
      <c r="K462" s="1675"/>
      <c r="L462" s="1675"/>
      <c r="M462" s="1675"/>
      <c r="N462" s="1675"/>
      <c r="O462" s="1675"/>
      <c r="P462" s="1675"/>
      <c r="Q462" s="1675"/>
      <c r="R462" s="1675"/>
      <c r="S462" s="1675"/>
      <c r="T462" s="1675"/>
      <c r="U462" s="1675"/>
      <c r="V462" s="1675"/>
      <c r="W462" s="1675"/>
      <c r="X462" s="1675"/>
      <c r="Y462" s="1675"/>
      <c r="Z462" s="1675"/>
      <c r="AA462" s="1675"/>
      <c r="AB462" s="1675"/>
      <c r="AC462" s="1675"/>
      <c r="AD462" s="1675"/>
      <c r="AE462" s="1675"/>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1" t="s">
        <v>1832</v>
      </c>
      <c r="G464" s="1681"/>
      <c r="H464" s="1681"/>
      <c r="I464" s="1681"/>
      <c r="J464" s="1681"/>
      <c r="K464" s="1681"/>
      <c r="L464" s="1681"/>
      <c r="M464" s="1681"/>
      <c r="N464" s="1681"/>
      <c r="O464" s="1681"/>
      <c r="P464" s="1681"/>
      <c r="Q464" s="1681"/>
      <c r="R464" s="1681"/>
      <c r="S464" s="1681"/>
      <c r="T464" s="1681"/>
      <c r="U464" s="1681"/>
      <c r="V464" s="1681"/>
      <c r="W464" s="1681"/>
      <c r="X464" s="1681"/>
      <c r="Y464" s="1681"/>
      <c r="Z464" s="1681"/>
      <c r="AA464" s="1681"/>
      <c r="AB464" s="1681"/>
      <c r="AC464" s="1681"/>
      <c r="AD464" s="1681"/>
      <c r="AE464" s="1681"/>
      <c r="AF464" s="1681"/>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5"/>
      <c r="AM465"/>
      <c r="AN465" s="281"/>
      <c r="AS465" s="345"/>
      <c r="AW465" s="345" t="s">
        <v>975</v>
      </c>
      <c r="BA465" s="345" t="s">
        <v>976</v>
      </c>
    </row>
    <row r="466" spans="1:54" s="4" customFormat="1" ht="12.75" customHeight="1">
      <c r="A466" s="5"/>
      <c r="B466" s="21"/>
      <c r="C466" s="707"/>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6" t="s">
        <v>124</v>
      </c>
      <c r="D468" s="1066"/>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677"/>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2">
        <f>IF(AS357=0,AS355,AS357)</f>
        <v>10</v>
      </c>
      <c r="AL474" s="1273"/>
      <c r="AM474" s="12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8" t="s">
        <v>1257</v>
      </c>
      <c r="AF477" s="1168"/>
      <c r="AG477" s="1168"/>
      <c r="AH477" s="1168"/>
      <c r="AI477" s="1168"/>
      <c r="AJ477" s="1168"/>
      <c r="AK477" s="1168"/>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4" t="s">
        <v>124</v>
      </c>
      <c r="D483" s="1685"/>
      <c r="E483" s="749" t="s">
        <v>195</v>
      </c>
      <c r="F483" s="1718" t="s">
        <v>972</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1334</v>
      </c>
      <c r="AP484" s="4">
        <v>1</v>
      </c>
    </row>
    <row r="485" spans="1:50" s="4" customFormat="1" ht="12.75" hidden="1" customHeight="1">
      <c r="C485" s="727"/>
      <c r="D485" s="714"/>
      <c r="E485" s="728"/>
      <c r="F485" s="1647" t="s">
        <v>124</v>
      </c>
      <c r="G485" s="1647"/>
      <c r="H485" s="1647"/>
      <c r="I485" s="1647"/>
      <c r="J485" s="1647"/>
      <c r="K485" s="1647"/>
      <c r="L485" s="1647"/>
      <c r="M485" s="1647"/>
      <c r="N485" s="1647"/>
      <c r="O485" s="1647"/>
      <c r="P485" s="1647"/>
      <c r="Q485" s="1647"/>
      <c r="R485" s="1647"/>
      <c r="S485" s="1647"/>
      <c r="T485" s="1647"/>
      <c r="U485" s="1647"/>
      <c r="V485" s="1647"/>
      <c r="W485" s="1647"/>
      <c r="X485" s="1647"/>
      <c r="Y485" s="1647"/>
      <c r="Z485" s="1647"/>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8" t="s">
        <v>124</v>
      </c>
      <c r="W490" s="1678"/>
      <c r="X490" s="167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8" t="s">
        <v>124</v>
      </c>
      <c r="W492" s="1678"/>
      <c r="X492" s="167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8" t="s">
        <v>124</v>
      </c>
      <c r="W497" s="1678"/>
      <c r="X497" s="167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64"/>
      <c r="E500" s="1364"/>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8" t="s">
        <v>124</v>
      </c>
      <c r="W501" s="1678"/>
      <c r="X501" s="167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8" t="s">
        <v>124</v>
      </c>
      <c r="W503" s="1678"/>
      <c r="X503" s="167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657</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124</v>
      </c>
      <c r="D506" s="1685"/>
      <c r="E506" s="742" t="s">
        <v>195</v>
      </c>
      <c r="F506" s="1718" t="s">
        <v>972</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62" t="s">
        <v>1498</v>
      </c>
      <c r="AQ507" s="1563"/>
      <c r="AR507" s="1564"/>
      <c r="AS507" s="624">
        <v>80</v>
      </c>
      <c r="AT507" s="4">
        <v>0</v>
      </c>
      <c r="AU507" s="160">
        <v>10</v>
      </c>
      <c r="AV507" s="160">
        <v>25</v>
      </c>
      <c r="AW507" s="160">
        <v>37.5</v>
      </c>
      <c r="AX507" s="160">
        <v>35</v>
      </c>
      <c r="AY507" s="160">
        <v>37.5</v>
      </c>
      <c r="AZ507" s="160">
        <v>50</v>
      </c>
      <c r="BA507" s="160">
        <v>50</v>
      </c>
      <c r="BB507" s="21"/>
      <c r="BC507" s="21"/>
      <c r="BE507" s="1562" t="s">
        <v>1498</v>
      </c>
      <c r="BF507" s="1563"/>
      <c r="BG507" s="156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124</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974</v>
      </c>
      <c r="AI508" s="731"/>
      <c r="AJ508" s="730"/>
      <c r="AK508" s="715"/>
      <c r="AL508" s="4"/>
      <c r="AM508" s="4"/>
      <c r="AN508" s="669"/>
      <c r="AO508" s="38"/>
      <c r="AP508" s="1565"/>
      <c r="AQ508" s="1566"/>
      <c r="AR508" s="1567"/>
      <c r="AS508" s="624">
        <v>75</v>
      </c>
      <c r="AT508" s="4">
        <v>0</v>
      </c>
      <c r="AU508" s="160">
        <v>10</v>
      </c>
      <c r="AV508" s="160">
        <v>25</v>
      </c>
      <c r="AW508" s="160">
        <v>37.5</v>
      </c>
      <c r="AX508" s="160">
        <v>35</v>
      </c>
      <c r="AY508" s="160">
        <v>37.5</v>
      </c>
      <c r="AZ508" s="160">
        <v>50</v>
      </c>
      <c r="BA508" s="160">
        <v>50</v>
      </c>
      <c r="BB508" s="21"/>
      <c r="BC508" s="21"/>
      <c r="BE508" s="1565"/>
      <c r="BF508" s="1566"/>
      <c r="BG508" s="156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65"/>
      <c r="AQ509" s="1566"/>
      <c r="AR509" s="1567"/>
      <c r="AS509" s="624">
        <v>70</v>
      </c>
      <c r="AT509" s="4">
        <v>0</v>
      </c>
      <c r="AU509" s="160">
        <v>10</v>
      </c>
      <c r="AV509" s="160">
        <v>25</v>
      </c>
      <c r="AW509" s="160">
        <v>37.5</v>
      </c>
      <c r="AX509" s="160">
        <v>35</v>
      </c>
      <c r="AY509" s="160">
        <v>37.5</v>
      </c>
      <c r="AZ509" s="160">
        <v>50</v>
      </c>
      <c r="BA509" s="160">
        <v>50</v>
      </c>
      <c r="BB509" s="21"/>
      <c r="BC509" s="21"/>
      <c r="BE509" s="1565"/>
      <c r="BF509" s="1566"/>
      <c r="BG509" s="156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124</v>
      </c>
      <c r="D510" s="1685"/>
      <c r="E510" s="742" t="s">
        <v>302</v>
      </c>
      <c r="F510" s="1871" t="s">
        <v>1158</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65"/>
      <c r="AQ510" s="1566"/>
      <c r="AR510" s="1567"/>
      <c r="AS510" s="624">
        <v>65</v>
      </c>
      <c r="AT510" s="4">
        <v>0</v>
      </c>
      <c r="AU510" s="160">
        <v>10</v>
      </c>
      <c r="AV510" s="160">
        <v>25</v>
      </c>
      <c r="AW510" s="160">
        <v>37.5</v>
      </c>
      <c r="AX510" s="160">
        <v>35</v>
      </c>
      <c r="AY510" s="160">
        <v>37.5</v>
      </c>
      <c r="AZ510" s="160">
        <v>50</v>
      </c>
      <c r="BA510" s="160">
        <v>50</v>
      </c>
      <c r="BB510" s="21"/>
      <c r="BC510" s="21"/>
      <c r="BE510" s="1565"/>
      <c r="BF510" s="1566"/>
      <c r="BG510" s="156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65"/>
      <c r="AQ511" s="1566"/>
      <c r="AR511" s="1567"/>
      <c r="AS511" s="624">
        <v>60</v>
      </c>
      <c r="AT511" s="4">
        <v>0</v>
      </c>
      <c r="AU511" s="160">
        <v>10</v>
      </c>
      <c r="AV511" s="160">
        <v>25</v>
      </c>
      <c r="AW511" s="160">
        <v>37.5</v>
      </c>
      <c r="AX511" s="160">
        <v>35</v>
      </c>
      <c r="AY511" s="160">
        <v>37.5</v>
      </c>
      <c r="AZ511" s="160">
        <v>50</v>
      </c>
      <c r="BA511" s="160">
        <v>50</v>
      </c>
      <c r="BB511" s="21"/>
      <c r="BC511" s="21"/>
      <c r="BE511" s="1565"/>
      <c r="BF511" s="1566"/>
      <c r="BG511" s="156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65"/>
      <c r="AQ512" s="1566"/>
      <c r="AR512" s="1567"/>
      <c r="AS512" s="624">
        <v>55</v>
      </c>
      <c r="AT512" s="4">
        <v>0</v>
      </c>
      <c r="AU512" s="160">
        <v>10</v>
      </c>
      <c r="AV512" s="160">
        <v>25</v>
      </c>
      <c r="AW512" s="160">
        <v>37.5</v>
      </c>
      <c r="AX512" s="160">
        <v>35</v>
      </c>
      <c r="AY512" s="160">
        <v>37.5</v>
      </c>
      <c r="AZ512" s="160">
        <v>50</v>
      </c>
      <c r="BA512" s="160">
        <v>50</v>
      </c>
      <c r="BE512" s="1565"/>
      <c r="BF512" s="1566"/>
      <c r="BG512" s="156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124</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65"/>
      <c r="AQ513" s="1566"/>
      <c r="AR513" s="1567"/>
      <c r="AS513" s="159">
        <v>50</v>
      </c>
      <c r="AT513" s="4">
        <v>0</v>
      </c>
      <c r="AU513" s="160">
        <v>10</v>
      </c>
      <c r="AV513" s="160">
        <v>25</v>
      </c>
      <c r="AW513" s="160">
        <v>37.5</v>
      </c>
      <c r="AX513" s="160">
        <v>35</v>
      </c>
      <c r="AY513" s="160">
        <v>37.5</v>
      </c>
      <c r="AZ513" s="160">
        <v>50</v>
      </c>
      <c r="BA513" s="160">
        <v>50</v>
      </c>
      <c r="BE513" s="1565"/>
      <c r="BF513" s="1566"/>
      <c r="BG513" s="156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65"/>
      <c r="AQ514" s="1566"/>
      <c r="AR514" s="1567"/>
      <c r="AS514" s="159">
        <v>45</v>
      </c>
      <c r="AT514" s="4">
        <v>0</v>
      </c>
      <c r="AU514" s="160">
        <v>10</v>
      </c>
      <c r="AV514" s="160">
        <v>22.5</v>
      </c>
      <c r="AW514" s="160">
        <v>33.799999999999997</v>
      </c>
      <c r="AX514" s="160">
        <v>35</v>
      </c>
      <c r="AY514" s="160">
        <v>37.5</v>
      </c>
      <c r="AZ514" s="160">
        <v>50</v>
      </c>
      <c r="BA514" s="160">
        <v>50</v>
      </c>
      <c r="BE514" s="1565"/>
      <c r="BF514" s="1566"/>
      <c r="BG514" s="156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4" t="s">
        <v>124</v>
      </c>
      <c r="D515" s="1685"/>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65"/>
      <c r="AQ515" s="1566"/>
      <c r="AR515" s="1567"/>
      <c r="AS515" s="159">
        <v>40</v>
      </c>
      <c r="AT515" s="4">
        <v>0</v>
      </c>
      <c r="AU515" s="160">
        <v>10</v>
      </c>
      <c r="AV515" s="160">
        <v>20</v>
      </c>
      <c r="AW515" s="160">
        <v>30</v>
      </c>
      <c r="AX515" s="160">
        <v>35</v>
      </c>
      <c r="AY515" s="160">
        <v>37.5</v>
      </c>
      <c r="AZ515" s="160">
        <v>50</v>
      </c>
      <c r="BA515" s="160">
        <v>50</v>
      </c>
      <c r="BE515" s="1565"/>
      <c r="BF515" s="1566"/>
      <c r="BG515" s="156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65"/>
      <c r="AQ516" s="1566"/>
      <c r="AR516" s="1567"/>
      <c r="AS516" s="159">
        <v>35</v>
      </c>
      <c r="AT516" s="4">
        <v>0</v>
      </c>
      <c r="AU516" s="160">
        <v>8.8000000000000007</v>
      </c>
      <c r="AV516" s="160">
        <v>17.5</v>
      </c>
      <c r="AW516" s="160">
        <v>26.3</v>
      </c>
      <c r="AX516" s="160">
        <v>35</v>
      </c>
      <c r="AY516" s="160">
        <v>37.5</v>
      </c>
      <c r="AZ516" s="160">
        <v>50</v>
      </c>
      <c r="BA516" s="160">
        <v>50</v>
      </c>
      <c r="BE516" s="1565"/>
      <c r="BF516" s="1566"/>
      <c r="BG516" s="156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6"/>
      <c r="D517" s="136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65"/>
      <c r="AQ517" s="1566"/>
      <c r="AR517" s="1567"/>
      <c r="AS517" s="159">
        <v>30</v>
      </c>
      <c r="AT517" s="4">
        <v>0</v>
      </c>
      <c r="AU517" s="160">
        <v>7.5</v>
      </c>
      <c r="AV517" s="160">
        <v>15</v>
      </c>
      <c r="AW517" s="160">
        <v>22.5</v>
      </c>
      <c r="AX517" s="160">
        <v>30</v>
      </c>
      <c r="AY517" s="160">
        <v>37.5</v>
      </c>
      <c r="AZ517" s="160">
        <v>45</v>
      </c>
      <c r="BA517" s="160">
        <v>50</v>
      </c>
      <c r="BE517" s="1565"/>
      <c r="BF517" s="1566"/>
      <c r="BG517" s="156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8" t="s">
        <v>124</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5"/>
      <c r="AL518" s="4"/>
      <c r="AM518" s="4"/>
      <c r="AN518" s="669"/>
      <c r="AP518" s="1565"/>
      <c r="AQ518" s="1566"/>
      <c r="AR518" s="1567"/>
      <c r="AS518" s="159">
        <v>25</v>
      </c>
      <c r="AT518" s="4">
        <v>0</v>
      </c>
      <c r="AU518" s="160">
        <v>6.3</v>
      </c>
      <c r="AV518" s="160">
        <v>12.5</v>
      </c>
      <c r="AW518" s="160">
        <v>18.8</v>
      </c>
      <c r="AX518" s="160">
        <v>25</v>
      </c>
      <c r="AY518" s="160">
        <v>31.3</v>
      </c>
      <c r="AZ518" s="160">
        <v>37.5</v>
      </c>
      <c r="BA518" s="160">
        <v>50</v>
      </c>
      <c r="BE518" s="1565"/>
      <c r="BF518" s="1566"/>
      <c r="BG518" s="156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65"/>
      <c r="AQ519" s="1566"/>
      <c r="AR519" s="1567"/>
      <c r="AS519" s="159">
        <v>20</v>
      </c>
      <c r="AT519" s="4">
        <v>0</v>
      </c>
      <c r="AU519" s="160">
        <v>5</v>
      </c>
      <c r="AV519" s="160">
        <v>10</v>
      </c>
      <c r="AW519" s="160">
        <v>15</v>
      </c>
      <c r="AX519" s="160">
        <v>20</v>
      </c>
      <c r="AY519" s="160">
        <v>25</v>
      </c>
      <c r="AZ519" s="160">
        <v>30</v>
      </c>
      <c r="BA519" s="160">
        <v>40</v>
      </c>
      <c r="BE519" s="1565"/>
      <c r="BF519" s="1566"/>
      <c r="BG519" s="156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124</v>
      </c>
      <c r="D520" s="1690"/>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65"/>
      <c r="AQ520" s="1566"/>
      <c r="AR520" s="1567"/>
      <c r="AS520" s="159">
        <v>15</v>
      </c>
      <c r="AT520" s="4">
        <v>0</v>
      </c>
      <c r="AU520" s="160">
        <v>3.8</v>
      </c>
      <c r="AV520" s="160">
        <v>7.5</v>
      </c>
      <c r="AW520" s="160">
        <v>11.3</v>
      </c>
      <c r="AX520" s="160">
        <v>15</v>
      </c>
      <c r="AY520" s="160">
        <v>18.8</v>
      </c>
      <c r="AZ520" s="160">
        <v>22.5</v>
      </c>
      <c r="BA520" s="160">
        <v>30</v>
      </c>
      <c r="BE520" s="1565"/>
      <c r="BF520" s="1566"/>
      <c r="BG520" s="156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68"/>
      <c r="AQ521" s="1569"/>
      <c r="AR521" s="1570"/>
      <c r="AS521" s="159">
        <v>10</v>
      </c>
      <c r="AT521" s="4">
        <v>0</v>
      </c>
      <c r="AU521" s="160">
        <v>2.5</v>
      </c>
      <c r="AV521" s="160">
        <v>5</v>
      </c>
      <c r="AW521" s="160">
        <v>7.5</v>
      </c>
      <c r="AX521" s="160">
        <v>10</v>
      </c>
      <c r="AY521" s="160">
        <v>12.5</v>
      </c>
      <c r="AZ521" s="160">
        <v>15</v>
      </c>
      <c r="BA521" s="160">
        <v>20</v>
      </c>
      <c r="BE521" s="1568"/>
      <c r="BF521" s="1569"/>
      <c r="BG521" s="157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9" t="s">
        <v>124</v>
      </c>
      <c r="D524" s="1690"/>
      <c r="F524" s="496" t="s">
        <v>874</v>
      </c>
      <c r="G524" s="1674" t="s">
        <v>983</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2">
        <f>BJ528</f>
        <v>119</v>
      </c>
      <c r="BE524" s="1702"/>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5"/>
      <c r="H525" s="1675"/>
      <c r="I525" s="1675"/>
      <c r="J525" s="1675"/>
      <c r="K525" s="1675"/>
      <c r="L525" s="1675"/>
      <c r="M525" s="1675"/>
      <c r="N525" s="1675"/>
      <c r="O525" s="1675"/>
      <c r="P525" s="1675"/>
      <c r="Q525" s="1675"/>
      <c r="R525" s="1675"/>
      <c r="S525" s="1675"/>
      <c r="T525" s="1675"/>
      <c r="U525" s="1675"/>
      <c r="V525" s="1675"/>
      <c r="W525" s="1675"/>
      <c r="X525" s="1675"/>
      <c r="Y525" s="1675"/>
      <c r="Z525" s="1675"/>
      <c r="AA525" s="1675"/>
      <c r="AB525" s="1675"/>
      <c r="AC525" s="1675"/>
      <c r="AD525" s="1675"/>
      <c r="AE525" s="1675"/>
      <c r="AF525" s="167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2">
        <f>SUM(E581:J589)</f>
        <v>119</v>
      </c>
      <c r="BE525" s="170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6" t="s">
        <v>124</v>
      </c>
      <c r="D528" s="106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0">
        <f>Application!AG433</f>
        <v>119</v>
      </c>
      <c r="BK528" s="1701"/>
      <c r="BM528" s="1697"/>
      <c r="BN528" s="1699"/>
      <c r="BO528" s="1697"/>
      <c r="BP528" s="1699"/>
      <c r="BQ528" s="1707"/>
      <c r="BR528" s="1709"/>
      <c r="BS528" s="1707"/>
      <c r="BT528" s="1709"/>
      <c r="BU528" s="1697">
        <f>IF(T611&gt;0,1,0)</f>
        <v>1</v>
      </c>
      <c r="BV528" s="1699"/>
      <c r="BW528" s="1697">
        <f>IF(Y611&gt;=0.1,1,0)</f>
        <v>1</v>
      </c>
      <c r="BX528" s="1699"/>
      <c r="BY528" s="1707"/>
      <c r="BZ528" s="1709"/>
      <c r="CA528" s="1707"/>
      <c r="CB528" s="1709"/>
      <c r="CC528" s="1697"/>
      <c r="CD528" s="1699"/>
      <c r="CE528" s="1697"/>
      <c r="CF528" s="1699"/>
      <c r="CG528"/>
      <c r="CH528"/>
      <c r="CI528"/>
      <c r="CJ528"/>
    </row>
    <row r="529" spans="1:101" s="4" customFormat="1" ht="12.75" hidden="1" customHeight="1">
      <c r="C529" s="699"/>
      <c r="E529" s="143"/>
      <c r="F529" s="1112" t="s">
        <v>124</v>
      </c>
      <c r="G529" s="1112"/>
      <c r="H529" s="1112"/>
      <c r="I529" s="1112"/>
      <c r="J529" s="1112"/>
      <c r="K529" s="1112"/>
      <c r="L529" s="1112"/>
      <c r="M529" s="1112"/>
      <c r="N529" s="1112"/>
      <c r="O529" s="1112"/>
      <c r="P529" s="1112"/>
      <c r="Q529" s="1112"/>
      <c r="R529" s="1112"/>
      <c r="S529" s="1112"/>
      <c r="T529" s="1112"/>
      <c r="U529" s="1112"/>
      <c r="V529" s="1112"/>
      <c r="W529" s="1112"/>
      <c r="X529" s="1112"/>
      <c r="Y529" s="1112"/>
      <c r="Z529" s="1112"/>
      <c r="AA529" s="1112"/>
      <c r="AB529" s="1112"/>
      <c r="AC529" s="1112"/>
      <c r="AD529" s="1112"/>
      <c r="AE529" s="1112"/>
      <c r="AF529" s="1112"/>
      <c r="AG529" s="19"/>
      <c r="AH529" s="19"/>
      <c r="AI529" s="19"/>
      <c r="AJ529" s="19"/>
      <c r="AK529" s="705"/>
      <c r="AN529" s="281"/>
      <c r="BM529" s="1697"/>
      <c r="BN529" s="1699"/>
      <c r="BO529" s="1697"/>
      <c r="BP529" s="1699"/>
      <c r="BQ529" s="1707"/>
      <c r="BR529" s="1709"/>
      <c r="BS529" s="1707"/>
      <c r="BT529" s="1709"/>
      <c r="BU529" s="1697"/>
      <c r="BV529" s="1699"/>
      <c r="BW529" s="1697"/>
      <c r="BX529" s="1699"/>
      <c r="BY529" s="1707">
        <f>IF(T612&gt;0,1,0)</f>
        <v>1</v>
      </c>
      <c r="BZ529" s="1709"/>
      <c r="CA529" s="1707">
        <f>IF(Y612&gt;=0.1,1,0)</f>
        <v>1</v>
      </c>
      <c r="CB529" s="1709"/>
      <c r="CC529" s="1697"/>
      <c r="CD529" s="1699"/>
      <c r="CE529" s="1697"/>
      <c r="CF529" s="1699"/>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1</v>
      </c>
      <c r="BR531" s="1699"/>
      <c r="BS531" s="1697">
        <f>SUM(BS526:BT530)</f>
        <v>1</v>
      </c>
      <c r="BT531" s="1699"/>
      <c r="BU531" s="1697">
        <f>SUM(BU526:BV530)</f>
        <v>1</v>
      </c>
      <c r="BV531" s="1699"/>
      <c r="BW531" s="1697">
        <f>SUM(BW526:BX530)</f>
        <v>1</v>
      </c>
      <c r="BX531" s="1699"/>
      <c r="BY531" s="1697">
        <f>SUM(BY526:BZ530)</f>
        <v>1</v>
      </c>
      <c r="BZ531" s="1699"/>
      <c r="CA531" s="1697">
        <f>SUM(CA526:CB530)</f>
        <v>1</v>
      </c>
      <c r="CB531" s="1699"/>
      <c r="CC531" s="1697">
        <f>SUM(CC526:CD530)</f>
        <v>0</v>
      </c>
      <c r="CD531" s="1699"/>
      <c r="CE531" s="1697">
        <f>SUM(CE526:CF530)</f>
        <v>0</v>
      </c>
      <c r="CF531" s="169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07">
        <f>SUM(BM531:BP531)</f>
        <v>0</v>
      </c>
      <c r="BN532" s="1708"/>
      <c r="BO532" s="1708"/>
      <c r="BP532" s="1709"/>
      <c r="BQ532" s="1707">
        <f>SUM(BQ531:BT531)</f>
        <v>2</v>
      </c>
      <c r="BR532" s="1708"/>
      <c r="BS532" s="1708"/>
      <c r="BT532" s="1709"/>
      <c r="BU532" s="1707">
        <f>SUM(BU531:BX531)</f>
        <v>2</v>
      </c>
      <c r="BV532" s="1708"/>
      <c r="BW532" s="1708"/>
      <c r="BX532" s="1709"/>
      <c r="BY532" s="1707">
        <f>SUM(BY531:CB531)</f>
        <v>2</v>
      </c>
      <c r="BZ532" s="1708"/>
      <c r="CA532" s="1708"/>
      <c r="CB532" s="1709"/>
      <c r="CC532" s="1707">
        <f>SUM(CC531:CF531)</f>
        <v>0</v>
      </c>
      <c r="CD532" s="1708"/>
      <c r="CE532" s="1708"/>
      <c r="CF532" s="1709"/>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3</v>
      </c>
      <c r="AQ534" s="1693"/>
      <c r="AR534" s="1693"/>
      <c r="AS534" s="1693"/>
      <c r="AT534" s="1694"/>
      <c r="AU534" s="1692">
        <f>RANK(Y610,$Y$609:$AC$613,0)+COUNTIF($Y$609:$AC$613,Y610)-1</f>
        <v>3</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3</v>
      </c>
      <c r="AQ535" s="1693"/>
      <c r="AR535" s="1693"/>
      <c r="AS535" s="1693"/>
      <c r="AT535" s="1694"/>
      <c r="AU535" s="1692">
        <f>RANK(Y611,$Y$609:$AC$613,0)+COUNTIF($Y$609:$AC$613,Y611)-1</f>
        <v>3</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1</v>
      </c>
      <c r="AQ536" s="1693"/>
      <c r="AR536" s="1693"/>
      <c r="AS536" s="1693"/>
      <c r="AT536" s="1694"/>
      <c r="AU536" s="1692">
        <f>RANK(Y612,$Y$609:$AC$613,0)+COUNTIF($Y$609:$AC$613,Y612)-1</f>
        <v>1</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2">
        <f>SUM(AG484:AG529)</f>
        <v>0</v>
      </c>
      <c r="AL540" s="1273"/>
      <c r="AM540" s="12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7">
        <f>SUM(O609:S613)</f>
        <v>119</v>
      </c>
      <c r="AZ541" s="1699"/>
      <c r="CG541"/>
      <c r="CH541" s="1829" t="s">
        <v>775</v>
      </c>
      <c r="CI541" s="1371"/>
      <c r="CJ541" s="1371"/>
      <c r="CK541" s="137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7" t="str">
        <f>IF(AY541=BK568,"passed","failed")</f>
        <v>passed</v>
      </c>
      <c r="AT542" s="1698"/>
      <c r="AU542" s="1699"/>
      <c r="AV542" s="151"/>
      <c r="AW542" s="151"/>
      <c r="AX542" s="151"/>
      <c r="AY542" s="151"/>
      <c r="AZ542" s="152"/>
      <c r="CG542"/>
      <c r="CH542" s="1373"/>
      <c r="CI542" s="1374"/>
      <c r="CJ542" s="1374"/>
      <c r="CK542" s="137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365</v>
      </c>
      <c r="AF543" s="1722"/>
      <c r="AG543" s="1722"/>
      <c r="AH543" s="1722"/>
      <c r="AI543" s="1722"/>
      <c r="AJ543" s="1722"/>
      <c r="AK543" s="172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373"/>
      <c r="CI543" s="1374"/>
      <c r="CJ543" s="1374"/>
      <c r="CK543" s="137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182</v>
      </c>
      <c r="AH544" s="1710"/>
      <c r="AI544" s="1710"/>
      <c r="AJ544" s="1710"/>
      <c r="AK544" s="18"/>
      <c r="AL544" s="18"/>
      <c r="AM544" s="21"/>
      <c r="AN544" s="281"/>
      <c r="BE544" s="1707" t="s">
        <v>223</v>
      </c>
      <c r="BF544" s="1708"/>
      <c r="BG544" s="1708"/>
      <c r="BH544" s="1709"/>
      <c r="BI544" s="1707" t="s">
        <v>716</v>
      </c>
      <c r="BJ544" s="1708"/>
      <c r="BK544" s="1708"/>
      <c r="BL544" s="1709"/>
      <c r="BM544" s="1707" t="s">
        <v>717</v>
      </c>
      <c r="BN544" s="1708"/>
      <c r="BO544" s="1708"/>
      <c r="BP544" s="1709"/>
      <c r="BQ544" s="1707" t="s">
        <v>718</v>
      </c>
      <c r="BR544" s="1708"/>
      <c r="BS544" s="1708"/>
      <c r="BT544" s="1709"/>
      <c r="BU544" s="1707" t="s">
        <v>719</v>
      </c>
      <c r="BV544" s="1708"/>
      <c r="BW544" s="1708"/>
      <c r="BX544" s="1709"/>
      <c r="BY544" s="1707" t="s">
        <v>224</v>
      </c>
      <c r="BZ544" s="1708"/>
      <c r="CA544" s="1708"/>
      <c r="CB544" s="1709"/>
      <c r="CC544"/>
      <c r="CG544"/>
      <c r="CH544" s="1373"/>
      <c r="CI544" s="1374"/>
      <c r="CJ544" s="1374"/>
      <c r="CK544" s="1375"/>
    </row>
    <row r="545" spans="1:89" s="4" customFormat="1" ht="12.75" customHeight="1">
      <c r="A545" s="3"/>
      <c r="B545" s="1672" t="s">
        <v>1719</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81"/>
      <c r="AP545" s="434" t="s">
        <v>613</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486"/>
      <c r="CI545" s="1487"/>
      <c r="CJ545" s="1487"/>
      <c r="CK545" s="1488"/>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3"/>
      <c r="AL546" s="163"/>
      <c r="AM546" s="163"/>
      <c r="AN546" s="281"/>
      <c r="AP546" s="437" t="s">
        <v>611</v>
      </c>
      <c r="AQ546" s="438"/>
      <c r="AR546" s="438"/>
      <c r="AS546" s="438"/>
      <c r="AT546" s="438"/>
      <c r="AU546" s="1695">
        <f>ROUNDUP(BK568*0.1,0)</f>
        <v>12</v>
      </c>
      <c r="AV546" s="1696"/>
      <c r="AW546" s="438"/>
      <c r="AX546" s="438">
        <f>AU546-AP548</f>
        <v>0</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0</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2"/>
      <c r="AI548" s="162"/>
      <c r="AJ548" s="162"/>
      <c r="AK548" s="163"/>
      <c r="AL548" s="163"/>
      <c r="AM548" s="163"/>
      <c r="AN548" s="281"/>
      <c r="AP548" s="1737">
        <f>SUM(T609:X613)</f>
        <v>12</v>
      </c>
      <c r="AQ548" s="1738"/>
      <c r="AR548" s="1738"/>
      <c r="AS548" s="1738"/>
      <c r="AT548" s="1739"/>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0</v>
      </c>
      <c r="BR548" s="1698"/>
      <c r="BS548" s="1698"/>
      <c r="BT548" s="1699"/>
      <c r="BU548" s="1707"/>
      <c r="BV548" s="1708"/>
      <c r="BW548" s="1708"/>
      <c r="BX548" s="1709"/>
      <c r="BY548" s="1707"/>
      <c r="BZ548" s="1708"/>
      <c r="CA548" s="1708"/>
      <c r="CB548" s="1709"/>
      <c r="CC548"/>
      <c r="CG548"/>
      <c r="CH548" s="1707">
        <f>IF(OR(Y611=0,Y611&gt;=0.1),1,0)</f>
        <v>1</v>
      </c>
      <c r="CI548" s="1708"/>
      <c r="CJ548" s="1708"/>
      <c r="CK548" s="1709"/>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2"/>
      <c r="AI549" s="162"/>
      <c r="AJ549" s="162"/>
      <c r="AK549" s="163"/>
      <c r="AL549" s="163"/>
      <c r="AM549" s="163"/>
      <c r="AN549" s="281"/>
      <c r="AP549" s="440"/>
      <c r="AQ549" s="441"/>
      <c r="AR549" s="441"/>
      <c r="AS549" s="441"/>
      <c r="AT549" s="442" t="s">
        <v>606</v>
      </c>
      <c r="AU549" s="1695" t="str">
        <f>IF(AP548&gt;=AU546,"passed","failed")</f>
        <v>passed</v>
      </c>
      <c r="AV549" s="1840"/>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0</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0</v>
      </c>
      <c r="BN550" s="1698"/>
      <c r="BO550" s="1698"/>
      <c r="BP550" s="1699"/>
      <c r="BQ550" s="1697">
        <f>SUM(BQ545:BT549)</f>
        <v>0</v>
      </c>
      <c r="BR550" s="1698"/>
      <c r="BS550" s="1698"/>
      <c r="BT550" s="1699"/>
      <c r="BU550" s="1697">
        <f>SUM(BU545:BX549)</f>
        <v>0</v>
      </c>
      <c r="BV550" s="1698"/>
      <c r="BW550" s="1698"/>
      <c r="BX550" s="1699"/>
      <c r="BY550" s="1697">
        <f>SUM(BY545:CB549)</f>
        <v>0</v>
      </c>
      <c r="BZ550" s="1698"/>
      <c r="CA550" s="1698"/>
      <c r="CB550" s="1699"/>
      <c r="CC550" s="1707">
        <f>IF(AND(CH546=1,T609&gt;0),0,SUM(BE550:CB550))</f>
        <v>0</v>
      </c>
      <c r="CD550" s="1708"/>
      <c r="CE550" s="1708"/>
      <c r="CF550" s="1709"/>
      <c r="CG550"/>
      <c r="CH550" s="1707">
        <f>IF(OR(Y613=0,Y613&gt;=0.1),1,0)</f>
        <v>1</v>
      </c>
      <c r="CI550" s="1708"/>
      <c r="CJ550" s="1708"/>
      <c r="CK550" s="1709"/>
    </row>
    <row r="551" spans="1:89" s="4" customFormat="1" ht="12.4" customHeight="1">
      <c r="B551" s="1844" t="s">
        <v>1499</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4" t="s">
        <v>1761</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606</v>
      </c>
      <c r="AU554" s="151"/>
      <c r="AV554" s="1697" t="str">
        <f>IF(BJ590&gt;0,"failed","passed")</f>
        <v>failed</v>
      </c>
      <c r="AW554" s="1698"/>
      <c r="AX554" s="1698"/>
      <c r="AY554" s="1699"/>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1500</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1760</v>
      </c>
      <c r="R559" s="1683"/>
      <c r="S559" s="1755" t="s">
        <v>204</v>
      </c>
      <c r="T559" s="1755"/>
      <c r="U559" s="1682">
        <v>0.5</v>
      </c>
      <c r="V559" s="1683"/>
      <c r="W559" s="1682">
        <v>0.45</v>
      </c>
      <c r="X559" s="1683"/>
      <c r="Y559" s="1682">
        <v>0.4</v>
      </c>
      <c r="Z559" s="1683"/>
      <c r="AA559" s="1682">
        <v>0.35</v>
      </c>
      <c r="AB559" s="1683"/>
      <c r="AC559" s="1838">
        <v>0.3</v>
      </c>
      <c r="AD559" s="1839"/>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9"/>
      <c r="P560" s="1680"/>
      <c r="Q560" s="1879"/>
      <c r="R560" s="1845"/>
      <c r="S560" s="1853"/>
      <c r="T560" s="1853"/>
      <c r="U560" s="1845"/>
      <c r="V560" s="1845"/>
      <c r="W560" s="1845"/>
      <c r="X560" s="1845"/>
      <c r="Y560" s="1845"/>
      <c r="Z560" s="1845"/>
      <c r="AA560" s="1848"/>
      <c r="AB560" s="1848"/>
      <c r="AC560" s="1845"/>
      <c r="AD560" s="1845"/>
      <c r="AE560" s="1836"/>
      <c r="AF560" s="1837"/>
      <c r="AN560" s="281"/>
      <c r="AP560" s="144" t="s">
        <v>713</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9"/>
      <c r="P561" s="1680"/>
      <c r="Q561" s="1852"/>
      <c r="R561" s="1687"/>
      <c r="S561" s="1687"/>
      <c r="T561" s="1687"/>
      <c r="U561" s="1687"/>
      <c r="V561" s="1687"/>
      <c r="W561" s="1687"/>
      <c r="X561" s="1687"/>
      <c r="Y561" s="1653"/>
      <c r="Z561" s="1653"/>
      <c r="AA561" s="1687"/>
      <c r="AB561" s="1687"/>
      <c r="AC561" s="1653"/>
      <c r="AD561" s="1653"/>
      <c r="AE561" s="1730"/>
      <c r="AF561" s="1731"/>
      <c r="AN561" s="281"/>
      <c r="AP561"/>
      <c r="AQ561"/>
      <c r="AR561"/>
      <c r="AS561"/>
      <c r="AT561"/>
      <c r="AU561"/>
      <c r="AV561"/>
      <c r="AW561"/>
      <c r="AX561"/>
      <c r="AY561"/>
    </row>
    <row r="562" spans="1:96" s="4" customFormat="1" ht="12.75" customHeight="1">
      <c r="B562" s="63"/>
      <c r="I562" s="220"/>
      <c r="J562" s="162"/>
      <c r="N562" s="5"/>
      <c r="O562" s="1679"/>
      <c r="P562" s="1680"/>
      <c r="Q562" s="1852"/>
      <c r="R562" s="1687"/>
      <c r="S562" s="1687"/>
      <c r="T562" s="1687"/>
      <c r="U562" s="1687"/>
      <c r="V562" s="1687"/>
      <c r="W562" s="1687"/>
      <c r="X562" s="1687"/>
      <c r="Y562" s="1687"/>
      <c r="Z562" s="1687"/>
      <c r="AA562" s="1653"/>
      <c r="AB562" s="1653"/>
      <c r="AC562" s="1687"/>
      <c r="AD562" s="1687"/>
      <c r="AE562" s="1732"/>
      <c r="AF562" s="1733"/>
      <c r="AN562" s="281"/>
      <c r="AP562" s="153" t="s">
        <v>607</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9"/>
      <c r="P563" s="1680"/>
      <c r="Q563" s="1852"/>
      <c r="R563" s="1687"/>
      <c r="S563" s="1687"/>
      <c r="T563" s="1687"/>
      <c r="U563" s="1687"/>
      <c r="V563" s="1687"/>
      <c r="W563" s="1687"/>
      <c r="X563" s="1687"/>
      <c r="Y563" s="1653"/>
      <c r="Z563" s="1653"/>
      <c r="AA563" s="1687"/>
      <c r="AB563" s="1687"/>
      <c r="AC563" s="1653"/>
      <c r="AD563" s="1653"/>
      <c r="AE563" s="1730"/>
      <c r="AF563" s="1731"/>
      <c r="AN563" s="281"/>
    </row>
    <row r="564" spans="1:96" s="4" customFormat="1" ht="12.75" customHeight="1">
      <c r="B564" s="63"/>
      <c r="I564" s="220"/>
      <c r="J564" s="162"/>
      <c r="N564" s="5"/>
      <c r="O564" s="1679"/>
      <c r="P564" s="1680"/>
      <c r="Q564" s="1852"/>
      <c r="R564" s="1687"/>
      <c r="S564" s="1687"/>
      <c r="T564" s="1687"/>
      <c r="U564" s="1687"/>
      <c r="V564" s="1687"/>
      <c r="W564" s="1653"/>
      <c r="X564" s="1653"/>
      <c r="Y564" s="1687"/>
      <c r="Z564" s="1687"/>
      <c r="AA564" s="1653"/>
      <c r="AB564" s="1653"/>
      <c r="AC564" s="1687"/>
      <c r="AD564" s="1687"/>
      <c r="AE564" s="1732"/>
      <c r="AF564" s="1733"/>
      <c r="AN564" s="281"/>
    </row>
    <row r="565" spans="1:96" s="4" customFormat="1" ht="12.75" customHeight="1">
      <c r="B565" s="63"/>
      <c r="I565" s="220"/>
      <c r="J565" s="162"/>
      <c r="N565" s="5"/>
      <c r="O565" s="1679"/>
      <c r="P565" s="1680"/>
      <c r="Q565" s="1852"/>
      <c r="R565" s="1687"/>
      <c r="S565" s="1687"/>
      <c r="T565" s="1687"/>
      <c r="U565" s="1687"/>
      <c r="V565" s="1687"/>
      <c r="W565" s="1687"/>
      <c r="X565" s="1687"/>
      <c r="Y565" s="1653"/>
      <c r="Z565" s="1653"/>
      <c r="AA565" s="1687"/>
      <c r="AB565" s="1687"/>
      <c r="AC565" s="1653"/>
      <c r="AD565" s="1653"/>
      <c r="AE565" s="1730"/>
      <c r="AF565" s="1731"/>
      <c r="AN565" s="281"/>
      <c r="AU565" s="21"/>
      <c r="AV565" s="21"/>
      <c r="AW565" s="8"/>
      <c r="AX565" s="9"/>
      <c r="AY565" s="9"/>
      <c r="AZ565" s="60" t="s">
        <v>1126</v>
      </c>
      <c r="BA565" s="1821" t="s">
        <v>714</v>
      </c>
      <c r="BB565" s="1822"/>
      <c r="BC565" s="1822"/>
      <c r="BD565" s="1822"/>
      <c r="BE565" s="1823"/>
      <c r="BF565" s="1849">
        <f>SUM(O609:S613)</f>
        <v>119</v>
      </c>
      <c r="BG565" s="1850"/>
      <c r="BH565" s="1850"/>
      <c r="BI565" s="1850"/>
      <c r="BJ565" s="1851"/>
      <c r="BK565" s="1657">
        <f>SUM(T609:X613)</f>
        <v>12</v>
      </c>
      <c r="BL565" s="1658"/>
      <c r="BM565" s="1658"/>
      <c r="BN565" s="1658"/>
      <c r="BO565" s="1659"/>
    </row>
    <row r="566" spans="1:96" s="4" customFormat="1" ht="12.75" customHeight="1">
      <c r="B566" s="35"/>
      <c r="I566" s="1565" t="s">
        <v>1498</v>
      </c>
      <c r="J566" s="1566"/>
      <c r="K566" s="1566"/>
      <c r="L566" s="1566"/>
      <c r="M566" s="1566"/>
      <c r="N566" s="1567"/>
      <c r="O566" s="1679">
        <v>0.5</v>
      </c>
      <c r="P566" s="1680"/>
      <c r="Q566" s="1892"/>
      <c r="R566" s="1729"/>
      <c r="S566" s="1687"/>
      <c r="T566" s="1687"/>
      <c r="U566" s="1873" t="s">
        <v>1502</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65"/>
      <c r="J567" s="1566"/>
      <c r="K567" s="1566"/>
      <c r="L567" s="1566"/>
      <c r="M567" s="1566"/>
      <c r="N567" s="1567"/>
      <c r="O567" s="1679">
        <v>0.45</v>
      </c>
      <c r="P567" s="1680"/>
      <c r="Q567" s="1852"/>
      <c r="R567" s="1687"/>
      <c r="S567" s="1687"/>
      <c r="T567" s="1687"/>
      <c r="U567" s="1652" t="s">
        <v>130</v>
      </c>
      <c r="V567" s="1652"/>
      <c r="W567" s="1653">
        <v>33.799999999999997</v>
      </c>
      <c r="X567" s="1653"/>
      <c r="Y567" s="1653"/>
      <c r="Z567" s="1653"/>
      <c r="AA567" s="1687"/>
      <c r="AB567" s="1687"/>
      <c r="AC567" s="1653"/>
      <c r="AD567" s="1653"/>
      <c r="AE567" s="1730"/>
      <c r="AF567" s="1731"/>
      <c r="AN567" s="281"/>
      <c r="CL567"/>
      <c r="CM567"/>
    </row>
    <row r="568" spans="1:96" s="4" customFormat="1" ht="12.75" customHeight="1">
      <c r="B568" s="5"/>
      <c r="C568" s="5"/>
      <c r="D568" s="5"/>
      <c r="E568" s="5"/>
      <c r="I568" s="1565"/>
      <c r="J568" s="1566"/>
      <c r="K568" s="1566"/>
      <c r="L568" s="1566"/>
      <c r="M568" s="1566"/>
      <c r="N568" s="1567"/>
      <c r="O568" s="1679">
        <v>0.4</v>
      </c>
      <c r="P568" s="1680"/>
      <c r="Q568" s="1852"/>
      <c r="R568" s="1687"/>
      <c r="S568" s="1652" t="s">
        <v>1501</v>
      </c>
      <c r="T568" s="1652"/>
      <c r="U568" s="1653">
        <v>20</v>
      </c>
      <c r="V568" s="1653"/>
      <c r="W568" s="1653">
        <v>30</v>
      </c>
      <c r="X568" s="1653"/>
      <c r="Y568" s="1653"/>
      <c r="Z568" s="1653"/>
      <c r="AA568" s="1653"/>
      <c r="AB568" s="1653"/>
      <c r="AC568" s="1653"/>
      <c r="AD568" s="1653"/>
      <c r="AE568" s="1730"/>
      <c r="AF568" s="1731"/>
      <c r="AN568" s="281"/>
      <c r="AP568" s="1756" t="s">
        <v>205</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119</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65"/>
      <c r="J569" s="1566"/>
      <c r="K569" s="1566"/>
      <c r="L569" s="1566"/>
      <c r="M569" s="1566"/>
      <c r="N569" s="1567"/>
      <c r="O569" s="1679">
        <v>0.35</v>
      </c>
      <c r="P569" s="1680"/>
      <c r="Q569" s="1852"/>
      <c r="R569" s="1687"/>
      <c r="S569" s="1652" t="s">
        <v>1762</v>
      </c>
      <c r="T569" s="1652"/>
      <c r="U569" s="1653">
        <v>17.5</v>
      </c>
      <c r="V569" s="1653"/>
      <c r="W569" s="1653">
        <v>26.3</v>
      </c>
      <c r="X569" s="1653"/>
      <c r="Y569" s="1653">
        <v>35</v>
      </c>
      <c r="Z569" s="1653"/>
      <c r="AA569" s="1653"/>
      <c r="AB569" s="1653"/>
      <c r="AC569" s="1653">
        <v>50</v>
      </c>
      <c r="AD569" s="1653"/>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65"/>
      <c r="J570" s="1566"/>
      <c r="K570" s="1566"/>
      <c r="L570" s="1566"/>
      <c r="M570" s="1566"/>
      <c r="N570" s="1567"/>
      <c r="O570" s="1679">
        <v>0.3</v>
      </c>
      <c r="P570" s="1680"/>
      <c r="Q570" s="1852"/>
      <c r="R570" s="1687"/>
      <c r="S570" s="1652" t="s">
        <v>1763</v>
      </c>
      <c r="T570" s="1652"/>
      <c r="U570" s="1653">
        <v>15</v>
      </c>
      <c r="V570" s="1653"/>
      <c r="W570" s="1653">
        <v>22.5</v>
      </c>
      <c r="X570" s="1653"/>
      <c r="Y570" s="1653">
        <v>30</v>
      </c>
      <c r="Z570" s="1653"/>
      <c r="AA570" s="1653">
        <v>37.5</v>
      </c>
      <c r="AB570" s="1653"/>
      <c r="AC570" s="1653">
        <v>45</v>
      </c>
      <c r="AD570" s="1653"/>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28">
        <v>5</v>
      </c>
      <c r="BK570" s="1229"/>
      <c r="BL570" s="1229"/>
      <c r="BM570" s="1229"/>
      <c r="BN570" s="1230"/>
      <c r="BO570" s="1228">
        <v>4</v>
      </c>
      <c r="BP570" s="1229"/>
      <c r="BQ570" s="1229"/>
      <c r="BR570" s="1229"/>
      <c r="BS570" s="1230"/>
      <c r="BT570" s="1228">
        <v>3</v>
      </c>
      <c r="BU570" s="1229"/>
      <c r="BV570" s="1229"/>
      <c r="BW570" s="1229"/>
      <c r="BX570" s="1230"/>
      <c r="BY570" s="1228">
        <v>2</v>
      </c>
      <c r="BZ570" s="1229"/>
      <c r="CA570" s="1229"/>
      <c r="CB570" s="1229"/>
      <c r="CC570" s="1230"/>
      <c r="CD570" s="1228">
        <v>1</v>
      </c>
      <c r="CE570" s="1229"/>
      <c r="CF570" s="1229"/>
      <c r="CG570" s="1229"/>
      <c r="CH570" s="1230"/>
      <c r="CI570" s="1228">
        <v>0</v>
      </c>
      <c r="CJ570" s="1229"/>
      <c r="CK570" s="1229"/>
      <c r="CL570" s="1229"/>
      <c r="CM570" s="1230"/>
      <c r="CN570" s="21"/>
      <c r="CO570" s="21"/>
      <c r="CP570" s="21"/>
      <c r="CQ570" s="21"/>
      <c r="CR570" s="21"/>
    </row>
    <row r="571" spans="1:96" s="4" customFormat="1" ht="12.75" customHeight="1">
      <c r="B571" s="5"/>
      <c r="C571" s="5"/>
      <c r="D571" s="5"/>
      <c r="E571" s="5"/>
      <c r="I571" s="1565"/>
      <c r="J571" s="1566"/>
      <c r="K571" s="1566"/>
      <c r="L571" s="1566"/>
      <c r="M571" s="1566"/>
      <c r="N571" s="1567"/>
      <c r="O571" s="1679">
        <v>0.25</v>
      </c>
      <c r="P571" s="1680"/>
      <c r="Q571" s="1852"/>
      <c r="R571" s="1687"/>
      <c r="S571" s="1652" t="s">
        <v>1764</v>
      </c>
      <c r="T571" s="1652"/>
      <c r="U571" s="1653">
        <v>12.5</v>
      </c>
      <c r="V571" s="1653"/>
      <c r="W571" s="1653">
        <v>18.8</v>
      </c>
      <c r="X571" s="1653"/>
      <c r="Y571" s="1653">
        <v>25</v>
      </c>
      <c r="Z571" s="1653"/>
      <c r="AA571" s="1653">
        <v>31.3</v>
      </c>
      <c r="AB571" s="1653"/>
      <c r="AC571" s="1653">
        <v>37.5</v>
      </c>
      <c r="AD571" s="1653"/>
      <c r="AE571" s="1730">
        <v>50</v>
      </c>
      <c r="AF571" s="1731"/>
      <c r="AN571" s="281"/>
      <c r="AP571" s="1826" t="str">
        <f t="shared" ref="AP571:AP577" si="0">J608</f>
        <v>5 BR</v>
      </c>
      <c r="AQ571" s="1827"/>
      <c r="AR571" s="1827"/>
      <c r="AS571" s="1827"/>
      <c r="AT571" s="1828"/>
      <c r="AU571" s="1137">
        <f t="shared" ref="AU571:AU576" si="1">O608</f>
        <v>0</v>
      </c>
      <c r="AV571" s="1138"/>
      <c r="AW571" s="1138"/>
      <c r="AX571" s="1138"/>
      <c r="AY571" s="1139"/>
      <c r="AZ571" s="1137">
        <f t="shared" ref="AZ571:AZ576" si="2">T608</f>
        <v>0</v>
      </c>
      <c r="BA571" s="1138"/>
      <c r="BB571" s="1138"/>
      <c r="BC571" s="1138"/>
      <c r="BD571" s="1139"/>
      <c r="BE571" s="1818">
        <f t="shared" ref="BE571:BE576" si="3">Y608</f>
        <v>0</v>
      </c>
      <c r="BF571" s="1819"/>
      <c r="BG571" s="1819"/>
      <c r="BH571" s="1819"/>
      <c r="BI571" s="1820"/>
      <c r="BJ571" s="1228">
        <f>IF(OR(AP581=0,BE571&gt;=0.1),0,1)</f>
        <v>0</v>
      </c>
      <c r="BK571" s="1229"/>
      <c r="BL571" s="1229"/>
      <c r="BM571" s="1229"/>
      <c r="BN571" s="1230"/>
      <c r="BO571" s="1228"/>
      <c r="BP571" s="1229"/>
      <c r="BQ571" s="1229"/>
      <c r="BR571" s="1229"/>
      <c r="BS571" s="1230"/>
      <c r="BT571" s="1228"/>
      <c r="BU571" s="1229"/>
      <c r="BV571" s="1229"/>
      <c r="BW571" s="1229"/>
      <c r="BX571" s="1230"/>
      <c r="BY571" s="1228"/>
      <c r="BZ571" s="1229"/>
      <c r="CA571" s="1229"/>
      <c r="CB571" s="1229"/>
      <c r="CC571" s="1230"/>
      <c r="CD571" s="1228"/>
      <c r="CE571" s="1229"/>
      <c r="CF571" s="1229"/>
      <c r="CG571" s="1229"/>
      <c r="CH571" s="1230"/>
      <c r="CI571" s="1228"/>
      <c r="CJ571" s="1229"/>
      <c r="CK571" s="1229"/>
      <c r="CL571" s="1229"/>
      <c r="CM571" s="1230"/>
      <c r="CN571" s="21"/>
      <c r="CO571" s="21"/>
      <c r="CP571" s="21"/>
      <c r="CQ571" s="21"/>
      <c r="CR571" s="21"/>
    </row>
    <row r="572" spans="1:96" s="4" customFormat="1" ht="12.75" customHeight="1">
      <c r="A572" s="120"/>
      <c r="B572" s="5"/>
      <c r="C572" s="5"/>
      <c r="D572" s="5"/>
      <c r="E572" s="5"/>
      <c r="I572" s="1565"/>
      <c r="J572" s="1566"/>
      <c r="K572" s="1566"/>
      <c r="L572" s="1566"/>
      <c r="M572" s="1566"/>
      <c r="N572" s="1567"/>
      <c r="O572" s="1679">
        <v>0.2</v>
      </c>
      <c r="P572" s="1680"/>
      <c r="Q572" s="1852"/>
      <c r="R572" s="1687"/>
      <c r="S572" s="1878" t="s">
        <v>1767</v>
      </c>
      <c r="T572" s="1878"/>
      <c r="U572" s="1653">
        <v>10</v>
      </c>
      <c r="V572" s="1653"/>
      <c r="W572" s="1653">
        <v>15</v>
      </c>
      <c r="X572" s="1653"/>
      <c r="Y572" s="1653">
        <v>20</v>
      </c>
      <c r="Z572" s="1653"/>
      <c r="AA572" s="1653">
        <v>25</v>
      </c>
      <c r="AB572" s="1653"/>
      <c r="AC572" s="1653">
        <v>30</v>
      </c>
      <c r="AD572" s="1653"/>
      <c r="AE572" s="1730">
        <v>40</v>
      </c>
      <c r="AF572" s="1731"/>
      <c r="AN572" s="281"/>
      <c r="AP572" s="1826" t="str">
        <f t="shared" si="0"/>
        <v>4 BR</v>
      </c>
      <c r="AQ572" s="1827"/>
      <c r="AR572" s="1827"/>
      <c r="AS572" s="1827"/>
      <c r="AT572" s="1828"/>
      <c r="AU572" s="1137">
        <f t="shared" si="1"/>
        <v>0</v>
      </c>
      <c r="AV572" s="1138"/>
      <c r="AW572" s="1138"/>
      <c r="AX572" s="1138"/>
      <c r="AY572" s="1139"/>
      <c r="AZ572" s="1137">
        <f t="shared" si="2"/>
        <v>0</v>
      </c>
      <c r="BA572" s="1138"/>
      <c r="BB572" s="1138"/>
      <c r="BC572" s="1138"/>
      <c r="BD572" s="1139"/>
      <c r="BE572" s="1818">
        <f t="shared" si="3"/>
        <v>0</v>
      </c>
      <c r="BF572" s="1819"/>
      <c r="BG572" s="1819"/>
      <c r="BH572" s="1819"/>
      <c r="BI572" s="1820"/>
      <c r="BJ572" s="1228"/>
      <c r="BK572" s="1229"/>
      <c r="BL572" s="1229"/>
      <c r="BM572" s="1229"/>
      <c r="BN572" s="1230"/>
      <c r="BO572" s="1228">
        <f>IF(AND(AND(AZ571=0,BJ571=0,AP582=1)),1,0)</f>
        <v>0</v>
      </c>
      <c r="BP572" s="1229"/>
      <c r="BQ572" s="1229"/>
      <c r="BR572" s="1229"/>
      <c r="BS572" s="1230"/>
      <c r="BT572" s="1228"/>
      <c r="BU572" s="1229"/>
      <c r="BV572" s="1229"/>
      <c r="BW572" s="1229"/>
      <c r="BX572" s="1230"/>
      <c r="BY572" s="1228"/>
      <c r="BZ572" s="1229"/>
      <c r="CA572" s="1229"/>
      <c r="CB572" s="1229"/>
      <c r="CC572" s="1230"/>
      <c r="CD572" s="1228"/>
      <c r="CE572" s="1229"/>
      <c r="CF572" s="1229"/>
      <c r="CG572" s="1229"/>
      <c r="CH572" s="1230"/>
      <c r="CI572" s="1228"/>
      <c r="CJ572" s="1229"/>
      <c r="CK572" s="1229"/>
      <c r="CL572" s="1229"/>
      <c r="CM572" s="1230"/>
      <c r="CN572" s="21"/>
      <c r="CO572" s="21"/>
      <c r="CP572" s="21"/>
      <c r="CQ572" s="21"/>
      <c r="CR572" s="21"/>
    </row>
    <row r="573" spans="1:96" s="4" customFormat="1" ht="12.75" customHeight="1">
      <c r="A573" s="120"/>
      <c r="B573" s="5"/>
      <c r="C573" s="5"/>
      <c r="D573" s="5"/>
      <c r="E573" s="5"/>
      <c r="I573" s="1565"/>
      <c r="J573" s="1566"/>
      <c r="K573" s="1566"/>
      <c r="L573" s="1566"/>
      <c r="M573" s="1566"/>
      <c r="N573" s="1567"/>
      <c r="O573" s="1679">
        <v>0.15</v>
      </c>
      <c r="P573" s="1680"/>
      <c r="Q573" s="1852"/>
      <c r="R573" s="1687"/>
      <c r="S573" s="1652" t="s">
        <v>1765</v>
      </c>
      <c r="T573" s="1652"/>
      <c r="U573" s="1653">
        <v>7.5</v>
      </c>
      <c r="V573" s="1653"/>
      <c r="W573" s="1653">
        <v>11.3</v>
      </c>
      <c r="X573" s="1653"/>
      <c r="Y573" s="1653">
        <v>15</v>
      </c>
      <c r="Z573" s="1653"/>
      <c r="AA573" s="1653">
        <v>18.8</v>
      </c>
      <c r="AB573" s="1653"/>
      <c r="AC573" s="1653">
        <v>22.5</v>
      </c>
      <c r="AD573" s="1653"/>
      <c r="AE573" s="1730">
        <v>30</v>
      </c>
      <c r="AF573" s="1731"/>
      <c r="AN573" s="281"/>
      <c r="AP573" s="1826" t="str">
        <f t="shared" si="0"/>
        <v>3 BR</v>
      </c>
      <c r="AQ573" s="1827"/>
      <c r="AR573" s="1827"/>
      <c r="AS573" s="1827"/>
      <c r="AT573" s="1828"/>
      <c r="AU573" s="1137">
        <f t="shared" si="1"/>
        <v>30</v>
      </c>
      <c r="AV573" s="1138"/>
      <c r="AW573" s="1138"/>
      <c r="AX573" s="1138"/>
      <c r="AY573" s="1139"/>
      <c r="AZ573" s="1137">
        <f t="shared" si="2"/>
        <v>3</v>
      </c>
      <c r="BA573" s="1138"/>
      <c r="BB573" s="1138"/>
      <c r="BC573" s="1138"/>
      <c r="BD573" s="1139"/>
      <c r="BE573" s="1818">
        <f t="shared" si="3"/>
        <v>0.1</v>
      </c>
      <c r="BF573" s="1819"/>
      <c r="BG573" s="1819"/>
      <c r="BH573" s="1819"/>
      <c r="BI573" s="1820"/>
      <c r="BJ573" s="1228"/>
      <c r="BK573" s="1229"/>
      <c r="BL573" s="1229"/>
      <c r="BM573" s="1229"/>
      <c r="BN573" s="1230"/>
      <c r="BO573" s="1228"/>
      <c r="BP573" s="1229"/>
      <c r="BQ573" s="1229"/>
      <c r="BR573" s="1229"/>
      <c r="BS573" s="1230"/>
      <c r="BT573" s="1228">
        <f>IF(AND(AND(AZ571+AZ572=0,BJ571+BO572=0,AP583=1)),1,0)</f>
        <v>0</v>
      </c>
      <c r="BU573" s="1229"/>
      <c r="BV573" s="1229"/>
      <c r="BW573" s="1229"/>
      <c r="BX573" s="1230"/>
      <c r="BY573" s="1228"/>
      <c r="BZ573" s="1229"/>
      <c r="CA573" s="1229"/>
      <c r="CB573" s="1229"/>
      <c r="CC573" s="1230"/>
      <c r="CD573" s="1228"/>
      <c r="CE573" s="1229"/>
      <c r="CF573" s="1229"/>
      <c r="CG573" s="1229"/>
      <c r="CH573" s="1230"/>
      <c r="CI573" s="1228"/>
      <c r="CJ573" s="1229"/>
      <c r="CK573" s="1229"/>
      <c r="CL573" s="1229"/>
      <c r="CM573" s="1230"/>
      <c r="CN573" s="21"/>
      <c r="CO573" s="21"/>
      <c r="CP573" s="21"/>
      <c r="CQ573" s="21"/>
      <c r="CR573" s="21"/>
    </row>
    <row r="574" spans="1:96" s="4" customFormat="1" ht="12.75" customHeight="1" thickBot="1">
      <c r="B574" s="5"/>
      <c r="C574" s="5"/>
      <c r="D574" s="5"/>
      <c r="E574" s="5"/>
      <c r="I574" s="1568"/>
      <c r="J574" s="1569"/>
      <c r="K574" s="1569"/>
      <c r="L574" s="1569"/>
      <c r="M574" s="1569"/>
      <c r="N574" s="1570"/>
      <c r="O574" s="1679">
        <v>0.1</v>
      </c>
      <c r="P574" s="1680"/>
      <c r="Q574" s="1876"/>
      <c r="R574" s="1877"/>
      <c r="S574" s="1652" t="s">
        <v>1766</v>
      </c>
      <c r="T574" s="1652"/>
      <c r="U574" s="1740">
        <v>5</v>
      </c>
      <c r="V574" s="1740"/>
      <c r="W574" s="1740">
        <v>7.5</v>
      </c>
      <c r="X574" s="1740"/>
      <c r="Y574" s="1740">
        <v>10</v>
      </c>
      <c r="Z574" s="1740"/>
      <c r="AA574" s="1740">
        <v>12.5</v>
      </c>
      <c r="AB574" s="1740"/>
      <c r="AC574" s="1740">
        <v>15</v>
      </c>
      <c r="AD574" s="1740"/>
      <c r="AE574" s="1670">
        <v>20</v>
      </c>
      <c r="AF574" s="1671"/>
      <c r="AK574" s="167"/>
      <c r="AL574" s="167"/>
      <c r="AM574" s="5"/>
      <c r="AN574" s="281"/>
      <c r="AP574" s="1826" t="str">
        <f t="shared" si="0"/>
        <v>2 BR</v>
      </c>
      <c r="AQ574" s="1827"/>
      <c r="AR574" s="1827"/>
      <c r="AS574" s="1827"/>
      <c r="AT574" s="1828"/>
      <c r="AU574" s="1137">
        <f t="shared" si="1"/>
        <v>30</v>
      </c>
      <c r="AV574" s="1138"/>
      <c r="AW574" s="1138"/>
      <c r="AX574" s="1138"/>
      <c r="AY574" s="1139"/>
      <c r="AZ574" s="1137">
        <f t="shared" si="2"/>
        <v>3</v>
      </c>
      <c r="BA574" s="1138"/>
      <c r="BB574" s="1138"/>
      <c r="BC574" s="1138"/>
      <c r="BD574" s="1139"/>
      <c r="BE574" s="1818">
        <f t="shared" si="3"/>
        <v>0.1</v>
      </c>
      <c r="BF574" s="1819"/>
      <c r="BG574" s="1819"/>
      <c r="BH574" s="1819"/>
      <c r="BI574" s="1820"/>
      <c r="BJ574" s="1228"/>
      <c r="BK574" s="1229"/>
      <c r="BL574" s="1229"/>
      <c r="BM574" s="1229"/>
      <c r="BN574" s="1230"/>
      <c r="BO574" s="1228"/>
      <c r="BP574" s="1229"/>
      <c r="BQ574" s="1229"/>
      <c r="BR574" s="1229"/>
      <c r="BS574" s="1230"/>
      <c r="BT574" s="1228"/>
      <c r="BU574" s="1229"/>
      <c r="BV574" s="1229"/>
      <c r="BW574" s="1229"/>
      <c r="BX574" s="1230"/>
      <c r="BY574" s="1228">
        <f>IF(AND(AND(AZ571+AZ572+AZ573=0,BO572+BT573+BJ571=0,AP584=1)),1,0)</f>
        <v>0</v>
      </c>
      <c r="BZ574" s="1229"/>
      <c r="CA574" s="1229"/>
      <c r="CB574" s="1229"/>
      <c r="CC574" s="1230"/>
      <c r="CD574" s="1228"/>
      <c r="CE574" s="1229"/>
      <c r="CF574" s="1229"/>
      <c r="CG574" s="1229"/>
      <c r="CH574" s="1230"/>
      <c r="CI574" s="1228"/>
      <c r="CJ574" s="1229"/>
      <c r="CK574" s="1229"/>
      <c r="CL574" s="1229"/>
      <c r="CM574" s="1230"/>
      <c r="CN574" s="21"/>
      <c r="CO574" s="21"/>
      <c r="CP574" s="21"/>
      <c r="CQ574" s="21"/>
      <c r="CR574" s="21"/>
    </row>
    <row r="575" spans="1:96" s="4" customFormat="1" ht="12.75" customHeight="1">
      <c r="B575" s="5"/>
      <c r="C575" s="5"/>
      <c r="D575" s="5"/>
      <c r="E575" s="1548" t="s">
        <v>939</v>
      </c>
      <c r="F575" s="1544"/>
      <c r="G575" s="1544"/>
      <c r="H575" s="1544"/>
      <c r="I575" s="1544"/>
      <c r="J575" s="1544"/>
      <c r="K575" s="1544"/>
      <c r="L575" s="1544"/>
      <c r="M575" s="1544"/>
      <c r="N575" s="1544"/>
      <c r="O575" s="1544"/>
      <c r="P575" s="1544"/>
      <c r="Q575" s="1544"/>
      <c r="R575" s="1544"/>
      <c r="S575" s="1544"/>
      <c r="T575" s="1544"/>
      <c r="U575" s="1544"/>
      <c r="V575" s="1544"/>
      <c r="W575" s="1544"/>
      <c r="X575" s="1544"/>
      <c r="Y575" s="1544"/>
      <c r="Z575" s="1544"/>
      <c r="AA575" s="1544"/>
      <c r="AB575" s="1544"/>
      <c r="AC575" s="1544"/>
      <c r="AD575" s="1544"/>
      <c r="AE575" s="1544"/>
      <c r="AF575" s="1544"/>
      <c r="AG575" s="1544"/>
      <c r="AH575" s="1545"/>
      <c r="AK575" s="167"/>
      <c r="AL575" s="167"/>
      <c r="AM575" s="5"/>
      <c r="AN575" s="281"/>
      <c r="AP575" s="1826" t="str">
        <f t="shared" si="0"/>
        <v>1 BR</v>
      </c>
      <c r="AQ575" s="1827"/>
      <c r="AR575" s="1827"/>
      <c r="AS575" s="1827"/>
      <c r="AT575" s="1828"/>
      <c r="AU575" s="1137">
        <f t="shared" si="1"/>
        <v>59</v>
      </c>
      <c r="AV575" s="1138"/>
      <c r="AW575" s="1138"/>
      <c r="AX575" s="1138"/>
      <c r="AY575" s="1139"/>
      <c r="AZ575" s="1137">
        <f t="shared" si="2"/>
        <v>6</v>
      </c>
      <c r="BA575" s="1138"/>
      <c r="BB575" s="1138"/>
      <c r="BC575" s="1138"/>
      <c r="BD575" s="1139"/>
      <c r="BE575" s="1818">
        <f t="shared" si="3"/>
        <v>0.10169491525423729</v>
      </c>
      <c r="BF575" s="1819"/>
      <c r="BG575" s="1819"/>
      <c r="BH575" s="1819"/>
      <c r="BI575" s="1820"/>
      <c r="BJ575" s="1228"/>
      <c r="BK575" s="1229"/>
      <c r="BL575" s="1229"/>
      <c r="BM575" s="1229"/>
      <c r="BN575" s="1230"/>
      <c r="BO575" s="1228"/>
      <c r="BP575" s="1229"/>
      <c r="BQ575" s="1229"/>
      <c r="BR575" s="1229"/>
      <c r="BS575" s="1230"/>
      <c r="BT575" s="1228"/>
      <c r="BU575" s="1229"/>
      <c r="BV575" s="1229"/>
      <c r="BW575" s="1229"/>
      <c r="BX575" s="1230"/>
      <c r="BY575" s="1228"/>
      <c r="BZ575" s="1229"/>
      <c r="CA575" s="1229"/>
      <c r="CB575" s="1229"/>
      <c r="CC575" s="1230"/>
      <c r="CD575" s="1228">
        <f>IF(AND(AND(BE572+BE573+BE574+BE571=0,BT573+BY574+BO572+BJ571=0,AP585=1)),1,0)</f>
        <v>0</v>
      </c>
      <c r="CE575" s="1229"/>
      <c r="CF575" s="1229"/>
      <c r="CG575" s="1229"/>
      <c r="CH575" s="1230"/>
      <c r="CI575" s="1228"/>
      <c r="CJ575" s="1229"/>
      <c r="CK575" s="1229"/>
      <c r="CL575" s="1229"/>
      <c r="CM575" s="1230"/>
      <c r="CN575" s="21"/>
      <c r="CO575" s="21"/>
      <c r="CP575" s="21"/>
      <c r="CQ575" s="21"/>
      <c r="CR575" s="21"/>
    </row>
    <row r="576" spans="1:96" s="4" customFormat="1" ht="12.75" customHeight="1">
      <c r="E576" s="1744"/>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45"/>
      <c r="AN576" s="281"/>
      <c r="AP576" s="1826" t="str">
        <f t="shared" si="0"/>
        <v>SRO</v>
      </c>
      <c r="AQ576" s="1827"/>
      <c r="AR576" s="1827"/>
      <c r="AS576" s="1827"/>
      <c r="AT576" s="1828"/>
      <c r="AU576" s="1137">
        <f t="shared" si="1"/>
        <v>0</v>
      </c>
      <c r="AV576" s="1138"/>
      <c r="AW576" s="1138"/>
      <c r="AX576" s="1138"/>
      <c r="AY576" s="1139"/>
      <c r="AZ576" s="1137">
        <f t="shared" si="2"/>
        <v>0</v>
      </c>
      <c r="BA576" s="1138"/>
      <c r="BB576" s="1138"/>
      <c r="BC576" s="1138"/>
      <c r="BD576" s="1139"/>
      <c r="BE576" s="1818">
        <f t="shared" si="3"/>
        <v>0</v>
      </c>
      <c r="BF576" s="1819"/>
      <c r="BG576" s="1819"/>
      <c r="BH576" s="1819"/>
      <c r="BI576" s="1820"/>
      <c r="BJ576" s="1228"/>
      <c r="BK576" s="1229"/>
      <c r="BL576" s="1229"/>
      <c r="BM576" s="1229"/>
      <c r="BN576" s="1230"/>
      <c r="BO576" s="1228"/>
      <c r="BP576" s="1229"/>
      <c r="BQ576" s="1229"/>
      <c r="BR576" s="1229"/>
      <c r="BS576" s="1230"/>
      <c r="BT576" s="1228"/>
      <c r="BU576" s="1229"/>
      <c r="BV576" s="1229"/>
      <c r="BW576" s="1229"/>
      <c r="BX576" s="1230"/>
      <c r="BY576" s="1228"/>
      <c r="BZ576" s="1229"/>
      <c r="CA576" s="1229"/>
      <c r="CB576" s="1229"/>
      <c r="CC576" s="1230"/>
      <c r="CD576" s="1228"/>
      <c r="CE576" s="1229"/>
      <c r="CF576" s="1229"/>
      <c r="CG576" s="1229"/>
      <c r="CH576" s="1230"/>
      <c r="CI576" s="1228">
        <f>IF(AND(AND(AZ573+AZ574+AZ575+AZ572+AZ571=0,BY574+CD575+BT573+BO572+BJ571=0,AP586=1)),1,0)</f>
        <v>0</v>
      </c>
      <c r="CJ576" s="1229"/>
      <c r="CK576" s="1229"/>
      <c r="CL576" s="1229"/>
      <c r="CM576" s="1230"/>
      <c r="CN576" s="21"/>
      <c r="CO576" s="21"/>
      <c r="CP576" s="21"/>
      <c r="CQ576" s="21"/>
      <c r="CR576" s="21"/>
    </row>
    <row r="577" spans="5:96" s="4" customFormat="1" ht="12.75" customHeight="1">
      <c r="E577" s="1660" t="s">
        <v>1508</v>
      </c>
      <c r="F577" s="1661"/>
      <c r="G577" s="1661"/>
      <c r="H577" s="1661"/>
      <c r="I577" s="1661"/>
      <c r="J577" s="1662"/>
      <c r="K577" s="1660" t="s">
        <v>1758</v>
      </c>
      <c r="L577" s="1661"/>
      <c r="M577" s="1661"/>
      <c r="N577" s="1661"/>
      <c r="O577" s="1661"/>
      <c r="P577" s="1662"/>
      <c r="Q577" s="1562" t="s">
        <v>1504</v>
      </c>
      <c r="R577" s="1563"/>
      <c r="S577" s="1563"/>
      <c r="T577" s="1563"/>
      <c r="U577" s="1563"/>
      <c r="V577" s="1564"/>
      <c r="W577" s="1562" t="str">
        <f>I566</f>
        <v>Percent of Low-Income Units (exclusive of manager’s units)</v>
      </c>
      <c r="X577" s="1563"/>
      <c r="Y577" s="1563"/>
      <c r="Z577" s="1563"/>
      <c r="AA577" s="1563"/>
      <c r="AB577" s="1564"/>
      <c r="AC577" s="1562" t="s">
        <v>1507</v>
      </c>
      <c r="AD577" s="1563"/>
      <c r="AE577" s="1563"/>
      <c r="AF577" s="1563"/>
      <c r="AG577" s="1563"/>
      <c r="AH577" s="1564"/>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228">
        <f>SUM(BJ571:BN576)</f>
        <v>0</v>
      </c>
      <c r="BK577" s="1229"/>
      <c r="BL577" s="1229"/>
      <c r="BM577" s="1229"/>
      <c r="BN577" s="1230"/>
      <c r="BO577" s="1228">
        <f>SUM(BO571:BS576)</f>
        <v>0</v>
      </c>
      <c r="BP577" s="1229"/>
      <c r="BQ577" s="1229"/>
      <c r="BR577" s="1229"/>
      <c r="BS577" s="1230"/>
      <c r="BT577" s="1228">
        <f>SUM(BT571:BX576)</f>
        <v>0</v>
      </c>
      <c r="BU577" s="1229"/>
      <c r="BV577" s="1229"/>
      <c r="BW577" s="1229"/>
      <c r="BX577" s="1230"/>
      <c r="BY577" s="1228">
        <f>SUM(BY571:CC576)</f>
        <v>0</v>
      </c>
      <c r="BZ577" s="1229"/>
      <c r="CA577" s="1229"/>
      <c r="CB577" s="1229"/>
      <c r="CC577" s="1230"/>
      <c r="CD577" s="1228">
        <f>SUM(CD571:CH576)</f>
        <v>0</v>
      </c>
      <c r="CE577" s="1229"/>
      <c r="CF577" s="1229"/>
      <c r="CG577" s="1229"/>
      <c r="CH577" s="1230"/>
      <c r="CI577" s="1228">
        <f>SUM(CI571:CM576)</f>
        <v>0</v>
      </c>
      <c r="CJ577" s="1229"/>
      <c r="CK577" s="1229"/>
      <c r="CL577" s="1229"/>
      <c r="CM577" s="1230"/>
      <c r="CN577" s="1228">
        <f>SUM(BJ577:CM577)</f>
        <v>0</v>
      </c>
      <c r="CO577" s="1229"/>
      <c r="CP577" s="1229"/>
      <c r="CQ577" s="1229"/>
      <c r="CR577" s="1230"/>
    </row>
    <row r="578" spans="5:96" s="4" customFormat="1" ht="12.75" customHeight="1">
      <c r="E578" s="1663"/>
      <c r="F578" s="1664"/>
      <c r="G578" s="1664"/>
      <c r="H578" s="1664"/>
      <c r="I578" s="1664"/>
      <c r="J578" s="1665"/>
      <c r="K578" s="1663"/>
      <c r="L578" s="1664"/>
      <c r="M578" s="1664"/>
      <c r="N578" s="1664"/>
      <c r="O578" s="1664"/>
      <c r="P578" s="1665"/>
      <c r="Q578" s="1565"/>
      <c r="R578" s="1566"/>
      <c r="S578" s="1566"/>
      <c r="T578" s="1566"/>
      <c r="U578" s="1566"/>
      <c r="V578" s="1567"/>
      <c r="W578" s="1565"/>
      <c r="X578" s="1566"/>
      <c r="Y578" s="1566"/>
      <c r="Z578" s="1566"/>
      <c r="AA578" s="1566"/>
      <c r="AB578" s="1567"/>
      <c r="AC578" s="1565"/>
      <c r="AD578" s="1566"/>
      <c r="AE578" s="1566"/>
      <c r="AF578" s="1566"/>
      <c r="AG578" s="1566"/>
      <c r="AH578" s="1567"/>
      <c r="AN578" s="281"/>
    </row>
    <row r="579" spans="5:96" s="4" customFormat="1" ht="12.75" customHeight="1">
      <c r="E579" s="1663"/>
      <c r="F579" s="1664"/>
      <c r="G579" s="1664"/>
      <c r="H579" s="1664"/>
      <c r="I579" s="1664"/>
      <c r="J579" s="1665"/>
      <c r="K579" s="1663"/>
      <c r="L579" s="1664"/>
      <c r="M579" s="1664"/>
      <c r="N579" s="1664"/>
      <c r="O579" s="1664"/>
      <c r="P579" s="1665"/>
      <c r="Q579" s="1565"/>
      <c r="R579" s="1566"/>
      <c r="S579" s="1566"/>
      <c r="T579" s="1566"/>
      <c r="U579" s="1566"/>
      <c r="V579" s="1567"/>
      <c r="W579" s="1565"/>
      <c r="X579" s="1566"/>
      <c r="Y579" s="1566"/>
      <c r="Z579" s="1566"/>
      <c r="AA579" s="1566"/>
      <c r="AB579" s="1567"/>
      <c r="AC579" s="1565"/>
      <c r="AD579" s="1566"/>
      <c r="AE579" s="1566"/>
      <c r="AF579" s="1566"/>
      <c r="AG579" s="1566"/>
      <c r="AH579" s="1567"/>
      <c r="AN579" s="281"/>
    </row>
    <row r="580" spans="5:96" s="4" customFormat="1" ht="12.75" customHeight="1">
      <c r="E580" s="1663"/>
      <c r="F580" s="1664"/>
      <c r="G580" s="1664"/>
      <c r="H580" s="1664"/>
      <c r="I580" s="1664"/>
      <c r="J580" s="1665"/>
      <c r="K580" s="1663"/>
      <c r="L580" s="1664"/>
      <c r="M580" s="1664"/>
      <c r="N580" s="1664"/>
      <c r="O580" s="1664"/>
      <c r="P580" s="1665"/>
      <c r="Q580" s="1565"/>
      <c r="R580" s="1566"/>
      <c r="S580" s="1566"/>
      <c r="T580" s="1566"/>
      <c r="U580" s="1566"/>
      <c r="V580" s="1567"/>
      <c r="W580" s="1565"/>
      <c r="X580" s="1566"/>
      <c r="Y580" s="1566"/>
      <c r="Z580" s="1566"/>
      <c r="AA580" s="1566"/>
      <c r="AB580" s="1567"/>
      <c r="AC580" s="1565"/>
      <c r="AD580" s="1566"/>
      <c r="AE580" s="1566"/>
      <c r="AF580" s="1566"/>
      <c r="AG580" s="1566"/>
      <c r="AH580" s="1567"/>
      <c r="AN580" s="281"/>
      <c r="AP580" s="3" t="s">
        <v>1127</v>
      </c>
      <c r="BH580" s="3" t="s">
        <v>1128</v>
      </c>
    </row>
    <row r="581" spans="5:96" s="4" customFormat="1" ht="12.75" customHeight="1">
      <c r="E581" s="1654"/>
      <c r="F581" s="1655"/>
      <c r="G581" s="1655"/>
      <c r="H581" s="1655"/>
      <c r="I581" s="1655"/>
      <c r="J581" s="1656"/>
      <c r="K581" s="1657">
        <v>20</v>
      </c>
      <c r="L581" s="1658"/>
      <c r="M581" s="1658"/>
      <c r="N581" s="1658"/>
      <c r="O581" s="1658"/>
      <c r="P581" s="1659"/>
      <c r="Q581" s="1726">
        <f>IF(ISERROR(IF((((E581/$BJ$528)*100)&gt;100),"EXCESSIVE VALUE",(E581/$BJ$528)*100)),0,IF((((E581/$BJ$528)*100)&gt;100),"EXCESSIVE VALUE",(E581/$BJ$528)*100))</f>
        <v>0</v>
      </c>
      <c r="R581" s="1727"/>
      <c r="S581" s="1727"/>
      <c r="T581" s="1727"/>
      <c r="U581" s="1727"/>
      <c r="V581" s="1728"/>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57">
        <f t="shared" ref="AP581:AP586" si="5">IF(OR(BE571&gt;=0.1,BE571=0),0,1)</f>
        <v>0</v>
      </c>
      <c r="AQ581" s="1658"/>
      <c r="AR581" s="1658"/>
      <c r="AS581" s="1658"/>
      <c r="AT581" s="1659"/>
      <c r="AX581" s="1697" t="s">
        <v>794</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4">
        <v>12</v>
      </c>
      <c r="F582" s="1655"/>
      <c r="G582" s="1655"/>
      <c r="H582" s="1655"/>
      <c r="I582" s="1655"/>
      <c r="J582" s="1656"/>
      <c r="K582" s="1657">
        <v>30</v>
      </c>
      <c r="L582" s="1658"/>
      <c r="M582" s="1658"/>
      <c r="N582" s="1658"/>
      <c r="O582" s="1658"/>
      <c r="P582" s="1659"/>
      <c r="Q582" s="1726">
        <f>IF(ISERROR(IF((((E582/$BJ$528)*100)&gt;100),"EXCESSIVE VALUE",(E582/$BJ$528)*100)),0,IF((((E582/$BJ$528)*100)&gt;100),"EXCESSIVE VALUE",(E582/$BJ$528)*100))</f>
        <v>10.084033613445378</v>
      </c>
      <c r="R582" s="1727"/>
      <c r="S582" s="1727"/>
      <c r="T582" s="1727"/>
      <c r="U582" s="1727"/>
      <c r="V582" s="1728"/>
      <c r="W582" s="1666">
        <f>IF(FLOOR(Q582,5)&gt;80,80,FLOOR(Q582,5))</f>
        <v>10</v>
      </c>
      <c r="X582" s="1667"/>
      <c r="Y582" s="1667"/>
      <c r="Z582" s="1667"/>
      <c r="AA582" s="1667"/>
      <c r="AB582" s="1668"/>
      <c r="AC582" s="1666">
        <f t="shared" si="4"/>
        <v>15</v>
      </c>
      <c r="AD582" s="1667"/>
      <c r="AE582" s="1667"/>
      <c r="AF582" s="1667"/>
      <c r="AG582" s="1667"/>
      <c r="AH582" s="1668"/>
      <c r="AN582" s="281"/>
      <c r="AO582" s="4">
        <v>4</v>
      </c>
      <c r="AP582" s="1657">
        <f t="shared" si="5"/>
        <v>0</v>
      </c>
      <c r="AQ582" s="1658"/>
      <c r="AR582" s="1658"/>
      <c r="AS582" s="1658"/>
      <c r="AT582" s="1659"/>
      <c r="AX582" s="1778" t="s">
        <v>616</v>
      </c>
      <c r="AY582" s="1779"/>
      <c r="AZ582" s="1278" t="s">
        <v>616</v>
      </c>
      <c r="BA582" s="1280"/>
      <c r="BB582" s="1778" t="s">
        <v>265</v>
      </c>
      <c r="BC582" s="1779"/>
      <c r="BD582" s="1707" t="s">
        <v>265</v>
      </c>
      <c r="BE582" s="1709"/>
      <c r="BF582" s="1778" t="s">
        <v>264</v>
      </c>
      <c r="BG582" s="1779"/>
      <c r="BH582" s="1707" t="s">
        <v>264</v>
      </c>
      <c r="BI582" s="1709"/>
      <c r="BJ582" s="1778" t="s">
        <v>263</v>
      </c>
      <c r="BK582" s="1779"/>
      <c r="BL582" s="1707" t="s">
        <v>263</v>
      </c>
      <c r="BM582" s="1709"/>
      <c r="BN582" s="1778" t="s">
        <v>615</v>
      </c>
      <c r="BO582" s="1779"/>
      <c r="BP582" s="1707" t="s">
        <v>615</v>
      </c>
      <c r="BQ582" s="1709"/>
    </row>
    <row r="583" spans="5:96" s="4" customFormat="1" ht="12.75" customHeight="1">
      <c r="E583" s="1654"/>
      <c r="F583" s="1655"/>
      <c r="G583" s="1655"/>
      <c r="H583" s="1655"/>
      <c r="I583" s="1655"/>
      <c r="J583" s="1656"/>
      <c r="K583" s="1657">
        <v>35</v>
      </c>
      <c r="L583" s="1658"/>
      <c r="M583" s="1658"/>
      <c r="N583" s="1658"/>
      <c r="O583" s="1658"/>
      <c r="P583" s="1659"/>
      <c r="Q583" s="1726">
        <f t="shared" ref="Q583:Q589" si="6">IF(ISERROR(IF((((E583/$BJ$528)*100)&gt;100),"EXCESSIVE VALUE",(E583/$BJ$528)*100)),0,IF((((E583/$BJ$528)*100)&gt;100),"EXCESSIVE VALUE",(E583/$BJ$528)*100))</f>
        <v>0</v>
      </c>
      <c r="R583" s="1727"/>
      <c r="S583" s="1727"/>
      <c r="T583" s="1727"/>
      <c r="U583" s="1727"/>
      <c r="V583" s="1728"/>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57">
        <f t="shared" si="5"/>
        <v>0</v>
      </c>
      <c r="AQ583" s="1658"/>
      <c r="AR583" s="1658"/>
      <c r="AS583" s="1658"/>
      <c r="AT583" s="1659"/>
      <c r="AX583" s="1778">
        <f>IF(AP533=1,1,0)</f>
        <v>0</v>
      </c>
      <c r="AY583" s="1779"/>
      <c r="AZ583" s="1697"/>
      <c r="BA583" s="1699"/>
      <c r="BB583" s="1824"/>
      <c r="BC583" s="1825"/>
      <c r="BD583" s="1707">
        <f>IF(AND(T609&gt;0,AP533&gt;0),1,0)</f>
        <v>0</v>
      </c>
      <c r="BE583" s="1709"/>
      <c r="BF583" s="1824"/>
      <c r="BG583" s="1825"/>
      <c r="BH583" s="1707">
        <f>IF(AND(T609&gt;0,AP533&gt;0),1,0)</f>
        <v>0</v>
      </c>
      <c r="BI583" s="1709"/>
      <c r="BJ583" s="1824"/>
      <c r="BK583" s="1825"/>
      <c r="BL583" s="1707">
        <f>IF(AND(T609&gt;0,AP533&gt;0),1,0)</f>
        <v>0</v>
      </c>
      <c r="BM583" s="1709"/>
      <c r="BN583" s="1824"/>
      <c r="BO583" s="1825"/>
      <c r="BP583" s="1707">
        <f>IF(AND(T609&gt;0,AP533&gt;0),1,0)</f>
        <v>0</v>
      </c>
      <c r="BQ583" s="1709"/>
    </row>
    <row r="584" spans="5:96" s="4" customFormat="1" ht="12.75" customHeight="1">
      <c r="E584" s="1654">
        <v>24</v>
      </c>
      <c r="F584" s="1655"/>
      <c r="G584" s="1655"/>
      <c r="H584" s="1655"/>
      <c r="I584" s="1655"/>
      <c r="J584" s="1656"/>
      <c r="K584" s="1657">
        <v>40</v>
      </c>
      <c r="L584" s="1658"/>
      <c r="M584" s="1658"/>
      <c r="N584" s="1658"/>
      <c r="O584" s="1658"/>
      <c r="P584" s="1659"/>
      <c r="Q584" s="1726">
        <f t="shared" si="6"/>
        <v>20.168067226890756</v>
      </c>
      <c r="R584" s="1727"/>
      <c r="S584" s="1727"/>
      <c r="T584" s="1727"/>
      <c r="U584" s="1727"/>
      <c r="V584" s="1728"/>
      <c r="W584" s="1666">
        <f t="shared" si="7"/>
        <v>20</v>
      </c>
      <c r="X584" s="1667"/>
      <c r="Y584" s="1667"/>
      <c r="Z584" s="1667"/>
      <c r="AA584" s="1667"/>
      <c r="AB584" s="1668"/>
      <c r="AC584" s="1666">
        <f t="shared" si="4"/>
        <v>20</v>
      </c>
      <c r="AD584" s="1667"/>
      <c r="AE584" s="1667"/>
      <c r="AF584" s="1667"/>
      <c r="AG584" s="1667"/>
      <c r="AH584" s="1668"/>
      <c r="AN584" s="281"/>
      <c r="AO584" s="4">
        <v>2</v>
      </c>
      <c r="AP584" s="1657">
        <f t="shared" si="5"/>
        <v>0</v>
      </c>
      <c r="AQ584" s="1658"/>
      <c r="AR584" s="1658"/>
      <c r="AS584" s="1658"/>
      <c r="AT584" s="1659"/>
      <c r="AX584" s="1824"/>
      <c r="AY584" s="1825"/>
      <c r="AZ584" s="1697"/>
      <c r="BA584" s="1699"/>
      <c r="BB584" s="1778">
        <f>IF(AP534=1,1,0)</f>
        <v>0</v>
      </c>
      <c r="BC584" s="1779"/>
      <c r="BD584" s="1697"/>
      <c r="BE584" s="1699"/>
      <c r="BF584" s="1824"/>
      <c r="BG584" s="1825"/>
      <c r="BH584" s="1707">
        <f>IF(AND(T610&gt;0,AP534&gt;0),1,0)</f>
        <v>1</v>
      </c>
      <c r="BI584" s="1709"/>
      <c r="BJ584" s="1824"/>
      <c r="BK584" s="1825"/>
      <c r="BL584" s="1707">
        <f>IF(AND(T610&gt;0,AP534&gt;0),1,0)</f>
        <v>1</v>
      </c>
      <c r="BM584" s="1709"/>
      <c r="BN584" s="1824"/>
      <c r="BO584" s="1825"/>
      <c r="BP584" s="1707">
        <f>IF(AND(T610&gt;0,AP534&gt;0),1,0)</f>
        <v>1</v>
      </c>
      <c r="BQ584" s="1709"/>
    </row>
    <row r="585" spans="5:96" s="4" customFormat="1" ht="12.75" customHeight="1">
      <c r="E585" s="1654"/>
      <c r="F585" s="1655"/>
      <c r="G585" s="1655"/>
      <c r="H585" s="1655"/>
      <c r="I585" s="1655"/>
      <c r="J585" s="1656"/>
      <c r="K585" s="1657">
        <v>45</v>
      </c>
      <c r="L585" s="1658"/>
      <c r="M585" s="1658"/>
      <c r="N585" s="1658"/>
      <c r="O585" s="1658"/>
      <c r="P585" s="1659"/>
      <c r="Q585" s="1726">
        <f t="shared" si="6"/>
        <v>0</v>
      </c>
      <c r="R585" s="1727"/>
      <c r="S585" s="1727"/>
      <c r="T585" s="1727"/>
      <c r="U585" s="1727"/>
      <c r="V585" s="1728"/>
      <c r="W585" s="1666">
        <f>IF(FLOOR(Q585,5)&gt;65,65,FLOOR(Q585,5))</f>
        <v>0</v>
      </c>
      <c r="X585" s="1667"/>
      <c r="Y585" s="1667"/>
      <c r="Z585" s="1667"/>
      <c r="AA585" s="1667"/>
      <c r="AB585" s="1668"/>
      <c r="AC585" s="1666">
        <f t="shared" si="4"/>
        <v>0</v>
      </c>
      <c r="AD585" s="1667"/>
      <c r="AE585" s="1667"/>
      <c r="AF585" s="1667"/>
      <c r="AG585" s="1667"/>
      <c r="AH585" s="1668"/>
      <c r="AN585" s="281"/>
      <c r="AO585" s="4">
        <v>1</v>
      </c>
      <c r="AP585" s="1657">
        <f t="shared" si="5"/>
        <v>0</v>
      </c>
      <c r="AQ585" s="1658"/>
      <c r="AR585" s="1658"/>
      <c r="AS585" s="1658"/>
      <c r="AT585" s="1659"/>
      <c r="AX585" s="1824"/>
      <c r="AY585" s="1825"/>
      <c r="AZ585" s="1697"/>
      <c r="BA585" s="1699"/>
      <c r="BB585" s="1824"/>
      <c r="BC585" s="1825"/>
      <c r="BD585" s="1697"/>
      <c r="BE585" s="1699"/>
      <c r="BF585" s="1778">
        <f>IF(AP535=1,1,0)</f>
        <v>0</v>
      </c>
      <c r="BG585" s="1779"/>
      <c r="BH585" s="1697"/>
      <c r="BI585" s="1699"/>
      <c r="BJ585" s="1824"/>
      <c r="BK585" s="1825"/>
      <c r="BL585" s="1707">
        <f>IF(AND(T611&gt;0,AP535&gt;0),1,0)</f>
        <v>1</v>
      </c>
      <c r="BM585" s="1709"/>
      <c r="BN585" s="1824"/>
      <c r="BO585" s="1825"/>
      <c r="BP585" s="1707">
        <f>IF(AND(T611&gt;0,AP535&gt;0),1,0)</f>
        <v>1</v>
      </c>
      <c r="BQ585" s="1709"/>
    </row>
    <row r="586" spans="5:96" s="4" customFormat="1" ht="12.75" customHeight="1">
      <c r="E586" s="1654">
        <v>48</v>
      </c>
      <c r="F586" s="1655"/>
      <c r="G586" s="1655"/>
      <c r="H586" s="1655"/>
      <c r="I586" s="1655"/>
      <c r="J586" s="1656"/>
      <c r="K586" s="1657">
        <f>IF(OR(Application!D211="Rural",Application!D211="Rural apportionment (Section 514)",Application!D211="Rural apportionment (Section 515)",Application!D211="Rural apportionment (CDBG-DR)",Application!D211="Rural apportionment (HOME)",Application!D211="Rural (Native American apportionment)"),"",50)</f>
        <v>50</v>
      </c>
      <c r="L586" s="1658"/>
      <c r="M586" s="1658"/>
      <c r="N586" s="1658"/>
      <c r="O586" s="1658"/>
      <c r="P586" s="1659"/>
      <c r="Q586" s="1726">
        <f t="shared" si="6"/>
        <v>40.336134453781511</v>
      </c>
      <c r="R586" s="1727"/>
      <c r="S586" s="1727"/>
      <c r="T586" s="1727"/>
      <c r="U586" s="1727"/>
      <c r="V586" s="1728"/>
      <c r="W586" s="1666">
        <f>IF(FLOOR(Q586,5)&gt;40,40,FLOOR(Q586,5))</f>
        <v>40</v>
      </c>
      <c r="X586" s="1667"/>
      <c r="Y586" s="1667"/>
      <c r="Z586" s="1667"/>
      <c r="AA586" s="1667"/>
      <c r="AB586" s="1668"/>
      <c r="AC586" s="1666">
        <f t="shared" si="4"/>
        <v>20</v>
      </c>
      <c r="AD586" s="1667"/>
      <c r="AE586" s="1667"/>
      <c r="AF586" s="1667"/>
      <c r="AG586" s="1667"/>
      <c r="AH586" s="1668"/>
      <c r="AN586" s="281"/>
      <c r="AO586" s="4">
        <v>0</v>
      </c>
      <c r="AP586" s="1657">
        <f t="shared" si="5"/>
        <v>0</v>
      </c>
      <c r="AQ586" s="1658"/>
      <c r="AR586" s="1658"/>
      <c r="AS586" s="1658"/>
      <c r="AT586" s="1659"/>
      <c r="AX586" s="1824"/>
      <c r="AY586" s="1825"/>
      <c r="AZ586" s="1697"/>
      <c r="BA586" s="1699"/>
      <c r="BB586" s="1824"/>
      <c r="BC586" s="1825"/>
      <c r="BD586" s="1697"/>
      <c r="BE586" s="1699"/>
      <c r="BF586" s="1824"/>
      <c r="BG586" s="1825"/>
      <c r="BH586" s="1697"/>
      <c r="BI586" s="1699"/>
      <c r="BJ586" s="1778">
        <f>IF(AP536=1,1,0)</f>
        <v>1</v>
      </c>
      <c r="BK586" s="1779"/>
      <c r="BL586" s="1824"/>
      <c r="BM586" s="1825"/>
      <c r="BN586" s="1824"/>
      <c r="BO586" s="1825"/>
      <c r="BP586" s="1707">
        <f>IF(AND(T612&gt;0,AP536&gt;0),1,0)</f>
        <v>1</v>
      </c>
      <c r="BQ586" s="1709"/>
    </row>
    <row r="587" spans="5:96" s="4" customFormat="1" ht="12.75" customHeight="1">
      <c r="E587" s="1752"/>
      <c r="F587" s="1753"/>
      <c r="G587" s="1753"/>
      <c r="H587" s="1753"/>
      <c r="I587" s="1753"/>
      <c r="J587" s="1754"/>
      <c r="K587" s="1860" t="str">
        <f>IF(OR(Application!D211="Rural",Application!D211="Rural apportionment (Section 514)",Application!D211="Rural apportionment (Section 515)",Application!D211="Rural apportionment (HOME)",Application!D211="Rural apportionment (CDBG-DR)",Application!D211="Rural (Native American apportionment)"),50,"")</f>
        <v/>
      </c>
      <c r="L587" s="1861"/>
      <c r="M587" s="1862" t="s">
        <v>2313</v>
      </c>
      <c r="N587" s="1862"/>
      <c r="O587" s="1862"/>
      <c r="P587" s="1863"/>
      <c r="Q587" s="1726">
        <f t="shared" si="6"/>
        <v>0</v>
      </c>
      <c r="R587" s="1727"/>
      <c r="S587" s="1727"/>
      <c r="T587" s="1727"/>
      <c r="U587" s="1727"/>
      <c r="V587" s="1728"/>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57"/>
      <c r="AQ587" s="1658"/>
      <c r="AR587" s="1658"/>
      <c r="AS587" s="1658"/>
      <c r="AT587" s="1659"/>
      <c r="AX587" s="1824"/>
      <c r="AY587" s="1825"/>
      <c r="AZ587" s="1697"/>
      <c r="BA587" s="1699"/>
      <c r="BB587" s="1824"/>
      <c r="BC587" s="1825"/>
      <c r="BD587" s="1697"/>
      <c r="BE587" s="1699"/>
      <c r="BF587" s="1824"/>
      <c r="BG587" s="1825"/>
      <c r="BH587" s="1697"/>
      <c r="BI587" s="1699"/>
      <c r="BJ587" s="1824"/>
      <c r="BK587" s="1825"/>
      <c r="BL587" s="1824"/>
      <c r="BM587" s="1825"/>
      <c r="BN587" s="1778">
        <f>IF(AP537=1,1,0)</f>
        <v>0</v>
      </c>
      <c r="BO587" s="1779"/>
      <c r="BP587" s="1697"/>
      <c r="BQ587" s="1699"/>
    </row>
    <row r="588" spans="5:96" s="4" customFormat="1" ht="12.75" customHeight="1">
      <c r="E588" s="1752"/>
      <c r="F588" s="1753"/>
      <c r="G588" s="1753"/>
      <c r="H588" s="1753"/>
      <c r="I588" s="1753"/>
      <c r="J588" s="1754"/>
      <c r="K588" s="1860" t="str">
        <f>IF(OR(Application!D211="Rural",Application!D211="Rural apportionment (Section 514)",Application!D211="Rural apportionment (Section 515)",Application!D211="Rural apportionment (HOME)",Application!D211="Rural apportionment (CDBG-DR)",Application!D211="Rural (Native American apportionment)"),55,"")</f>
        <v/>
      </c>
      <c r="L588" s="1861"/>
      <c r="M588" s="1862" t="s">
        <v>2313</v>
      </c>
      <c r="N588" s="1862"/>
      <c r="O588" s="1862"/>
      <c r="P588" s="1863"/>
      <c r="Q588" s="1726">
        <f t="shared" si="6"/>
        <v>0</v>
      </c>
      <c r="R588" s="1727"/>
      <c r="S588" s="1727"/>
      <c r="T588" s="1727"/>
      <c r="U588" s="1727"/>
      <c r="V588" s="1728"/>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1</v>
      </c>
      <c r="BI588" s="1709"/>
      <c r="BJ588" s="1778">
        <f>SUM(BJ583:BK587)</f>
        <v>1</v>
      </c>
      <c r="BK588" s="1779"/>
      <c r="BL588" s="1707">
        <f>SUM(BL583:BM587)</f>
        <v>2</v>
      </c>
      <c r="BM588" s="1709"/>
      <c r="BN588" s="1778">
        <f>SUM(BN583:BO587)</f>
        <v>0</v>
      </c>
      <c r="BO588" s="1779"/>
      <c r="BP588" s="1707">
        <f>SUM(BP583:BQ587)</f>
        <v>3</v>
      </c>
      <c r="BQ588" s="1709"/>
    </row>
    <row r="589" spans="5:96" s="4" customFormat="1" ht="12.75" customHeight="1">
      <c r="E589" s="1654">
        <v>35</v>
      </c>
      <c r="F589" s="1655"/>
      <c r="G589" s="1655"/>
      <c r="H589" s="1655"/>
      <c r="I589" s="1655"/>
      <c r="J589" s="1656"/>
      <c r="K589" s="1657" t="s">
        <v>2128</v>
      </c>
      <c r="L589" s="1658"/>
      <c r="M589" s="1658"/>
      <c r="N589" s="1658"/>
      <c r="O589" s="1658"/>
      <c r="P589" s="1659"/>
      <c r="Q589" s="1726">
        <f t="shared" si="6"/>
        <v>29.411764705882355</v>
      </c>
      <c r="R589" s="1727"/>
      <c r="S589" s="1727"/>
      <c r="T589" s="1727"/>
      <c r="U589" s="1727"/>
      <c r="V589" s="1728"/>
      <c r="W589" s="1666">
        <f t="shared" si="7"/>
        <v>25</v>
      </c>
      <c r="X589" s="1667"/>
      <c r="Y589" s="1667"/>
      <c r="Z589" s="1667"/>
      <c r="AA589" s="1667"/>
      <c r="AB589" s="1668"/>
      <c r="AC589" s="1666">
        <v>0</v>
      </c>
      <c r="AD589" s="1667"/>
      <c r="AE589" s="1667"/>
      <c r="AF589" s="1667"/>
      <c r="AG589" s="1667"/>
      <c r="AH589" s="1668"/>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1</v>
      </c>
      <c r="BK589" s="1793"/>
      <c r="BL589" s="1793"/>
      <c r="BM589" s="1794"/>
      <c r="BN589" s="1792">
        <f>IF(AND(BN588=1,BP588&gt;=1),1,0)</f>
        <v>0</v>
      </c>
      <c r="BO589" s="1793"/>
      <c r="BP589" s="1793"/>
      <c r="BQ589" s="1794"/>
    </row>
    <row r="590" spans="5:96" s="4" customFormat="1" ht="12.75" customHeight="1">
      <c r="E590" s="1654"/>
      <c r="F590" s="1655"/>
      <c r="G590" s="1655"/>
      <c r="H590" s="1655"/>
      <c r="I590" s="1655"/>
      <c r="J590" s="1656"/>
      <c r="K590" s="1657" t="s">
        <v>2129</v>
      </c>
      <c r="L590" s="1658"/>
      <c r="M590" s="1658"/>
      <c r="N590" s="1658"/>
      <c r="O590" s="1658"/>
      <c r="P590" s="1659"/>
      <c r="Q590" s="1726">
        <f>IF(ISERROR(IF((((E590/$BJ$528)*100)&gt;100),"EXCESSIVE VALUE",(E590/$BJ$528)*100)),0,IF((((E590/$BJ$528)*100)&gt;100),"EXCESSIVE VALUE",(E590/$BJ$528)*100))</f>
        <v>0</v>
      </c>
      <c r="R590" s="1727"/>
      <c r="S590" s="1727"/>
      <c r="T590" s="1727"/>
      <c r="U590" s="1727"/>
      <c r="V590" s="1728"/>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92">
        <f>AX589+BB589+BF589+BJ589+BN589</f>
        <v>1</v>
      </c>
      <c r="BK590" s="1793"/>
      <c r="BL590" s="1793"/>
      <c r="BM590" s="1794"/>
      <c r="BN590"/>
      <c r="BO590"/>
      <c r="BP590"/>
      <c r="BQ590"/>
    </row>
    <row r="591" spans="5:96" s="4" customFormat="1" ht="12.75" customHeight="1">
      <c r="E591" s="1654"/>
      <c r="F591" s="1655"/>
      <c r="G591" s="1655"/>
      <c r="H591" s="1655"/>
      <c r="I591" s="1655"/>
      <c r="J591" s="1656"/>
      <c r="K591" s="1657" t="s">
        <v>2130</v>
      </c>
      <c r="L591" s="1658"/>
      <c r="M591" s="1658"/>
      <c r="N591" s="1658"/>
      <c r="O591" s="1658"/>
      <c r="P591" s="1659"/>
      <c r="Q591" s="1726">
        <f>IF(ISERROR(IF((((E591/$BJ$528)*100)&gt;100),"EXCESSIVE VALUE",(E591/$BJ$528)*100)),0,IF((((E591/$BJ$528)*100)&gt;100),"EXCESSIVE VALUE",(E591/$BJ$528)*100))</f>
        <v>0</v>
      </c>
      <c r="R591" s="1727"/>
      <c r="S591" s="1727"/>
      <c r="T591" s="1727"/>
      <c r="U591" s="1727"/>
      <c r="V591" s="1728"/>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49">
        <f>SUM(E581:J591)</f>
        <v>119</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605</v>
      </c>
      <c r="AC592" s="1746">
        <f>IF(SUM(AC581:AH591)&gt;0,SUM(AC581:AH591),0)</f>
        <v>55</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2232</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10" t="s">
        <v>103</v>
      </c>
      <c r="AH596" s="1710"/>
      <c r="AI596" s="1710"/>
      <c r="AJ596" s="1710"/>
      <c r="AK596" s="5"/>
      <c r="AL596" s="5"/>
      <c r="AM596" s="5"/>
      <c r="AN596" s="281"/>
    </row>
    <row r="597" spans="1:64" s="4" customFormat="1" ht="12.75" customHeight="1">
      <c r="B597" s="1672" t="s">
        <v>2118</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81"/>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81"/>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81"/>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9"/>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2"/>
    </row>
    <row r="604" spans="1:64">
      <c r="J604" s="1803" t="s">
        <v>795</v>
      </c>
      <c r="K604" s="1804"/>
      <c r="L604" s="1804"/>
      <c r="M604" s="1804"/>
      <c r="N604" s="1805"/>
      <c r="O604" s="1562" t="s">
        <v>1505</v>
      </c>
      <c r="P604" s="1563"/>
      <c r="Q604" s="1563"/>
      <c r="R604" s="1563"/>
      <c r="S604" s="1564"/>
      <c r="T604" s="1562" t="s">
        <v>1768</v>
      </c>
      <c r="U604" s="1563"/>
      <c r="V604" s="1563"/>
      <c r="W604" s="1563"/>
      <c r="X604" s="1564"/>
      <c r="Y604" s="1562" t="s">
        <v>1506</v>
      </c>
      <c r="Z604" s="1563"/>
      <c r="AA604" s="1563"/>
      <c r="AB604" s="1563"/>
      <c r="AC604" s="1564"/>
      <c r="AF604"/>
      <c r="AG604"/>
      <c r="AH604"/>
      <c r="AI604"/>
      <c r="AJ604"/>
    </row>
    <row r="605" spans="1:64">
      <c r="D605"/>
      <c r="E605"/>
      <c r="F605"/>
      <c r="G605"/>
      <c r="H605"/>
      <c r="I605"/>
      <c r="J605" s="1703"/>
      <c r="K605" s="1704"/>
      <c r="L605" s="1704"/>
      <c r="M605" s="1704"/>
      <c r="N605" s="1806"/>
      <c r="O605" s="1565"/>
      <c r="P605" s="1566"/>
      <c r="Q605" s="1566"/>
      <c r="R605" s="1566"/>
      <c r="S605" s="1567"/>
      <c r="T605" s="1565"/>
      <c r="U605" s="1566"/>
      <c r="V605" s="1566"/>
      <c r="W605" s="1566"/>
      <c r="X605" s="1567"/>
      <c r="Y605" s="1565"/>
      <c r="Z605" s="1566"/>
      <c r="AA605" s="1566"/>
      <c r="AB605" s="1566"/>
      <c r="AC605" s="1567"/>
      <c r="AF605"/>
      <c r="AG605"/>
      <c r="AH605"/>
      <c r="AI605"/>
      <c r="AJ605"/>
      <c r="AO605" s="38" t="s">
        <v>2228</v>
      </c>
      <c r="AR605" s="21" t="b">
        <f>$Y$614&gt;=10%</f>
        <v>1</v>
      </c>
    </row>
    <row r="606" spans="1:64">
      <c r="I606"/>
      <c r="J606" s="1703"/>
      <c r="K606" s="1704"/>
      <c r="L606" s="1704"/>
      <c r="M606" s="1704"/>
      <c r="N606" s="1806"/>
      <c r="O606" s="1565"/>
      <c r="P606" s="1566"/>
      <c r="Q606" s="1566"/>
      <c r="R606" s="1566"/>
      <c r="S606" s="1567"/>
      <c r="T606" s="1565"/>
      <c r="U606" s="1566"/>
      <c r="V606" s="1566"/>
      <c r="W606" s="1566"/>
      <c r="X606" s="1567"/>
      <c r="Y606" s="1565"/>
      <c r="Z606" s="1566"/>
      <c r="AA606" s="1566"/>
      <c r="AB606" s="1566"/>
      <c r="AC606" s="1567"/>
      <c r="AD606"/>
      <c r="AF606"/>
      <c r="AG606"/>
      <c r="AH606"/>
      <c r="AI606"/>
      <c r="AJ606"/>
      <c r="AO606" s="38" t="s">
        <v>2229</v>
      </c>
      <c r="AR606" s="955">
        <f>ROUNDUP(($O$614*10%),0)</f>
        <v>12</v>
      </c>
    </row>
    <row r="607" spans="1:64">
      <c r="D607"/>
      <c r="E607"/>
      <c r="F607"/>
      <c r="G607"/>
      <c r="H607"/>
      <c r="I607"/>
      <c r="J607" s="1703"/>
      <c r="K607" s="1704"/>
      <c r="L607" s="1704"/>
      <c r="M607" s="1704"/>
      <c r="N607" s="1806"/>
      <c r="O607" s="1565"/>
      <c r="P607" s="1566"/>
      <c r="Q607" s="1566"/>
      <c r="R607" s="1566"/>
      <c r="S607" s="1567"/>
      <c r="T607" s="1565"/>
      <c r="U607" s="1566"/>
      <c r="V607" s="1566"/>
      <c r="W607" s="1566"/>
      <c r="X607" s="1567"/>
      <c r="Y607" s="1565"/>
      <c r="Z607" s="1566"/>
      <c r="AA607" s="1566"/>
      <c r="AB607" s="1566"/>
      <c r="AC607" s="1567"/>
      <c r="AD607"/>
      <c r="AF607"/>
      <c r="AG607"/>
      <c r="AH607"/>
      <c r="AI607"/>
      <c r="AJ607"/>
      <c r="AO607" s="38" t="s">
        <v>2230</v>
      </c>
      <c r="AR607" s="21" t="s">
        <v>2231</v>
      </c>
    </row>
    <row r="608" spans="1:64">
      <c r="D608"/>
      <c r="E608"/>
      <c r="F608"/>
      <c r="G608"/>
      <c r="H608"/>
      <c r="I608"/>
      <c r="J608" s="1734" t="s">
        <v>225</v>
      </c>
      <c r="K608" s="1735"/>
      <c r="L608" s="1735"/>
      <c r="M608" s="1735"/>
      <c r="N608" s="1736"/>
      <c r="O608" s="1657">
        <f>Application!CM626</f>
        <v>0</v>
      </c>
      <c r="P608" s="1658"/>
      <c r="Q608" s="1658"/>
      <c r="R608" s="1658"/>
      <c r="S608" s="1659"/>
      <c r="T608" s="1657">
        <f>Application!DR627</f>
        <v>0</v>
      </c>
      <c r="U608" s="1658"/>
      <c r="V608" s="1658"/>
      <c r="W608" s="1658"/>
      <c r="X608" s="1659"/>
      <c r="Y608" s="1741">
        <f t="shared" ref="Y608:Y612" si="8">IF(T608&gt;0,T608/O608,0)</f>
        <v>0</v>
      </c>
      <c r="Z608" s="1742"/>
      <c r="AA608" s="1742"/>
      <c r="AB608" s="1742"/>
      <c r="AC608" s="1743"/>
      <c r="AD608"/>
      <c r="AF608"/>
      <c r="AG608"/>
      <c r="AH608"/>
      <c r="AI608"/>
      <c r="AJ608"/>
      <c r="AO608" s="955">
        <f>ROUNDUP((O608*10%),0)</f>
        <v>0</v>
      </c>
      <c r="AP608" s="206"/>
      <c r="AR608" s="956" t="b">
        <f>OR(SUM($T$608:T608)&gt;=$AR$606,T608&gt;=AO608)</f>
        <v>1</v>
      </c>
    </row>
    <row r="609" spans="1:60">
      <c r="D609"/>
      <c r="E609"/>
      <c r="F609"/>
      <c r="G609"/>
      <c r="H609"/>
      <c r="I609"/>
      <c r="J609" s="1734" t="s">
        <v>31</v>
      </c>
      <c r="K609" s="1735"/>
      <c r="L609" s="1735"/>
      <c r="M609" s="1735"/>
      <c r="N609" s="1736"/>
      <c r="O609" s="1657">
        <f>Application!CH626</f>
        <v>0</v>
      </c>
      <c r="P609" s="1658"/>
      <c r="Q609" s="1658"/>
      <c r="R609" s="1658"/>
      <c r="S609" s="1659"/>
      <c r="T609" s="1657">
        <f>Application!DM627</f>
        <v>0</v>
      </c>
      <c r="U609" s="1658"/>
      <c r="V609" s="1658"/>
      <c r="W609" s="1658"/>
      <c r="X609" s="1659"/>
      <c r="Y609" s="1741">
        <f t="shared" si="8"/>
        <v>0</v>
      </c>
      <c r="Z609" s="1742"/>
      <c r="AA609" s="1742"/>
      <c r="AB609" s="1742"/>
      <c r="AC609" s="1743"/>
      <c r="AD609"/>
      <c r="AF609"/>
      <c r="AG609"/>
      <c r="AH609"/>
      <c r="AI609"/>
      <c r="AJ609"/>
      <c r="AO609" s="955">
        <f t="shared" ref="AO609:AO613" si="9">ROUNDUP((O609*10%),0)</f>
        <v>0</v>
      </c>
      <c r="AP609" s="206"/>
      <c r="AR609" s="956" t="b">
        <f>OR(SUM($T$608:T609)&gt;=$AR$606,T609&gt;=AO609)</f>
        <v>1</v>
      </c>
    </row>
    <row r="610" spans="1:60">
      <c r="D610"/>
      <c r="E610"/>
      <c r="F610"/>
      <c r="G610"/>
      <c r="H610"/>
      <c r="I610"/>
      <c r="J610" s="1734" t="s">
        <v>265</v>
      </c>
      <c r="K610" s="1735"/>
      <c r="L610" s="1735"/>
      <c r="M610" s="1735"/>
      <c r="N610" s="1736"/>
      <c r="O610" s="1657">
        <f>Application!CC626</f>
        <v>30</v>
      </c>
      <c r="P610" s="1658"/>
      <c r="Q610" s="1658"/>
      <c r="R610" s="1658"/>
      <c r="S610" s="1659"/>
      <c r="T610" s="1657">
        <f>Application!DH627</f>
        <v>3</v>
      </c>
      <c r="U610" s="1658"/>
      <c r="V610" s="1658"/>
      <c r="W610" s="1658"/>
      <c r="X610" s="1659"/>
      <c r="Y610" s="1741">
        <f t="shared" si="8"/>
        <v>0.1</v>
      </c>
      <c r="Z610" s="1742"/>
      <c r="AA610" s="1742"/>
      <c r="AB610" s="1742"/>
      <c r="AC610" s="1743"/>
      <c r="AD610"/>
      <c r="AF610"/>
      <c r="AG610"/>
      <c r="AH610"/>
      <c r="AI610"/>
      <c r="AJ610"/>
      <c r="AO610" s="955">
        <f t="shared" si="9"/>
        <v>3</v>
      </c>
      <c r="AP610" s="206"/>
      <c r="AR610" s="956" t="b">
        <f>OR(SUM($T$608:T610)&gt;=$AR$606,T610&gt;=AO610)</f>
        <v>1</v>
      </c>
    </row>
    <row r="611" spans="1:60">
      <c r="D611"/>
      <c r="E611"/>
      <c r="F611"/>
      <c r="G611"/>
      <c r="H611"/>
      <c r="I611"/>
      <c r="J611" s="1734" t="s">
        <v>264</v>
      </c>
      <c r="K611" s="1735"/>
      <c r="L611" s="1735"/>
      <c r="M611" s="1735"/>
      <c r="N611" s="1736"/>
      <c r="O611" s="1657">
        <f>Application!BX626</f>
        <v>30</v>
      </c>
      <c r="P611" s="1658"/>
      <c r="Q611" s="1658"/>
      <c r="R611" s="1658"/>
      <c r="S611" s="1659"/>
      <c r="T611" s="1657">
        <f>Application!DC627</f>
        <v>3</v>
      </c>
      <c r="U611" s="1658"/>
      <c r="V611" s="1658"/>
      <c r="W611" s="1658"/>
      <c r="X611" s="1659"/>
      <c r="Y611" s="1741">
        <f t="shared" si="8"/>
        <v>0.1</v>
      </c>
      <c r="Z611" s="1742"/>
      <c r="AA611" s="1742"/>
      <c r="AB611" s="1742"/>
      <c r="AC611" s="1743"/>
      <c r="AD611"/>
      <c r="AF611"/>
      <c r="AG611"/>
      <c r="AH611"/>
      <c r="AI611"/>
      <c r="AJ611"/>
      <c r="AO611" s="955">
        <f t="shared" si="9"/>
        <v>3</v>
      </c>
      <c r="AP611" s="206"/>
      <c r="AR611" s="956" t="b">
        <f>OR(SUM($T$608:T611)&gt;=$AR$606,T611&gt;=AO611)</f>
        <v>1</v>
      </c>
    </row>
    <row r="612" spans="1:60">
      <c r="D612"/>
      <c r="E612"/>
      <c r="F612"/>
      <c r="G612"/>
      <c r="H612"/>
      <c r="I612"/>
      <c r="J612" s="1734" t="s">
        <v>263</v>
      </c>
      <c r="K612" s="1735"/>
      <c r="L612" s="1735"/>
      <c r="M612" s="1735"/>
      <c r="N612" s="1736"/>
      <c r="O612" s="1657">
        <f>Application!BS626</f>
        <v>59</v>
      </c>
      <c r="P612" s="1658"/>
      <c r="Q612" s="1658"/>
      <c r="R612" s="1658"/>
      <c r="S612" s="1659"/>
      <c r="T612" s="1657">
        <f>Application!CX627</f>
        <v>6</v>
      </c>
      <c r="U612" s="1658"/>
      <c r="V612" s="1658"/>
      <c r="W612" s="1658"/>
      <c r="X612" s="1659"/>
      <c r="Y612" s="1741">
        <f t="shared" si="8"/>
        <v>0.10169491525423729</v>
      </c>
      <c r="Z612" s="1742"/>
      <c r="AA612" s="1742"/>
      <c r="AB612" s="1742"/>
      <c r="AC612" s="1743"/>
      <c r="AD612"/>
      <c r="AF612"/>
      <c r="AG612"/>
      <c r="AH612"/>
      <c r="AI612"/>
      <c r="AJ612"/>
      <c r="AO612" s="955">
        <f t="shared" si="9"/>
        <v>6</v>
      </c>
      <c r="AP612" s="206"/>
      <c r="AR612" s="956" t="b">
        <f>OR(SUM($T$608:T612)&gt;=$AR$606,T612&gt;=AO612)</f>
        <v>1</v>
      </c>
    </row>
    <row r="613" spans="1:60">
      <c r="D613"/>
      <c r="E613"/>
      <c r="F613"/>
      <c r="G613"/>
      <c r="H613"/>
      <c r="I613"/>
      <c r="J613" s="1734" t="s">
        <v>615</v>
      </c>
      <c r="K613" s="1735"/>
      <c r="L613" s="1735"/>
      <c r="M613" s="1735"/>
      <c r="N613" s="1736"/>
      <c r="O613" s="1657">
        <f>Application!BN626</f>
        <v>0</v>
      </c>
      <c r="P613" s="1658"/>
      <c r="Q613" s="1658"/>
      <c r="R613" s="1658"/>
      <c r="S613" s="1659"/>
      <c r="T613" s="1657">
        <f>Application!CS627</f>
        <v>0</v>
      </c>
      <c r="U613" s="1658"/>
      <c r="V613" s="1658"/>
      <c r="W613" s="1658"/>
      <c r="X613" s="1659"/>
      <c r="Y613" s="1741">
        <f>IF(T613&gt;0,T613/O613,0)</f>
        <v>0</v>
      </c>
      <c r="Z613" s="1742"/>
      <c r="AA613" s="1742"/>
      <c r="AB613" s="1742"/>
      <c r="AC613" s="1743"/>
      <c r="AD613"/>
      <c r="AF613"/>
      <c r="AG613"/>
      <c r="AH613"/>
      <c r="AI613"/>
      <c r="AJ613"/>
      <c r="AO613" s="955">
        <f t="shared" si="9"/>
        <v>0</v>
      </c>
      <c r="AP613" s="206"/>
      <c r="AR613" s="956" t="b">
        <f>OR(SUM($T$608:T613)&gt;=$AR$606,T613&gt;=AO613)</f>
        <v>1</v>
      </c>
    </row>
    <row r="614" spans="1:60">
      <c r="D614"/>
      <c r="E614"/>
      <c r="F614"/>
      <c r="G614"/>
      <c r="H614"/>
      <c r="I614"/>
      <c r="J614" s="1125" t="s">
        <v>876</v>
      </c>
      <c r="K614" s="1126"/>
      <c r="L614" s="1126"/>
      <c r="M614" s="1126"/>
      <c r="N614" s="1127"/>
      <c r="O614" s="1723">
        <f>SUM(O608:S613)</f>
        <v>119</v>
      </c>
      <c r="P614" s="1724"/>
      <c r="Q614" s="1724"/>
      <c r="R614" s="1724"/>
      <c r="S614" s="1725"/>
      <c r="T614" s="1723">
        <f>SUM(T608:X613)</f>
        <v>12</v>
      </c>
      <c r="U614" s="1724"/>
      <c r="V614" s="1724"/>
      <c r="W614" s="1724"/>
      <c r="X614" s="1725"/>
      <c r="Y614" s="1800">
        <f>IF(T614&gt;0,T614/O614,0)</f>
        <v>0.10084033613445378</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1509</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180</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72">
        <f>IF($E$592=Application!G730,$AC$592+$AJ$617,0)</f>
        <v>57</v>
      </c>
      <c r="AL619" s="1273"/>
      <c r="AM619" s="127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4" t="s">
        <v>1510</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66" t="s">
        <v>108</v>
      </c>
      <c r="D627" s="1066"/>
      <c r="E627" s="185"/>
      <c r="F627" s="1883" t="s">
        <v>2221</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9" t="s">
        <v>938</v>
      </c>
      <c r="AH627" s="1039"/>
      <c r="AI627" s="1039"/>
      <c r="AJ627" s="1039"/>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7"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4" t="s">
        <v>2226</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5"/>
      <c r="AJ631" s="4"/>
      <c r="AK631" s="4"/>
      <c r="AL631" s="4"/>
      <c r="AM631" s="4"/>
      <c r="AN631" s="79"/>
    </row>
    <row r="632" spans="1:44" ht="13.7"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c r="AR632" s="41"/>
    </row>
    <row r="633" spans="1:44" ht="13.7"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44" ht="13.7"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44" ht="13.7"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44" ht="13.7"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44" ht="13.7"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2"/>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2"/>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2"/>
      <c r="AJ641" s="4"/>
      <c r="AK641" s="4"/>
      <c r="AL641" s="4"/>
      <c r="AM641" s="4"/>
      <c r="AN641" s="79"/>
    </row>
    <row r="642" spans="1:60" s="644" customFormat="1" ht="12.4"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2"/>
      <c r="AJ642" s="4"/>
      <c r="AK642" s="4"/>
      <c r="AL642" s="4"/>
      <c r="AM642" s="4"/>
      <c r="AN642" s="678"/>
      <c r="BD642" s="646"/>
      <c r="BE642" s="646"/>
      <c r="BF642" s="646"/>
      <c r="BG642" s="646"/>
      <c r="BH642" s="646"/>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2">
        <f>IF($C$627="yes",10,0)</f>
        <v>10</v>
      </c>
      <c r="AL645" s="1273"/>
      <c r="AM645" s="1274"/>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66" t="s">
        <v>108</v>
      </c>
      <c r="D650" s="1066"/>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66" t="s">
        <v>124</v>
      </c>
      <c r="D655" s="106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66" t="s">
        <v>124</v>
      </c>
      <c r="D659" s="106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66" t="s">
        <v>124</v>
      </c>
      <c r="D663" s="106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6" t="s">
        <v>124</v>
      </c>
      <c r="D665" s="106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66" t="s">
        <v>124</v>
      </c>
      <c r="D670" s="106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66" t="s">
        <v>124</v>
      </c>
      <c r="D673" s="1066"/>
      <c r="E673" s="185" t="s">
        <v>281</v>
      </c>
      <c r="F673" s="1674" t="s">
        <v>2212</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2">
        <f>$AO$655</f>
        <v>2</v>
      </c>
      <c r="AL688" s="1273"/>
      <c r="AM688" s="12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722</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8" t="s">
        <v>1941</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6">
        <f>IF(T703&gt;15,15,T703)</f>
        <v>15</v>
      </c>
      <c r="AP694" s="206"/>
      <c r="AQ694" s="206"/>
    </row>
    <row r="695" spans="1:43">
      <c r="A695" s="1168" t="s">
        <v>1942</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8" t="s">
        <v>234</v>
      </c>
      <c r="U696" s="1546"/>
      <c r="V696" s="1546"/>
      <c r="W696" s="1546"/>
      <c r="X696" s="1546"/>
      <c r="Y696" s="1547"/>
      <c r="Z696" s="1548" t="s">
        <v>233</v>
      </c>
      <c r="AA696" s="1546"/>
      <c r="AB696" s="1546"/>
      <c r="AC696" s="1546"/>
      <c r="AD696" s="1546"/>
      <c r="AE696" s="1547"/>
      <c r="AF696" s="1548" t="s">
        <v>235</v>
      </c>
      <c r="AG696" s="1546"/>
      <c r="AH696" s="1546"/>
      <c r="AI696" s="1546"/>
      <c r="AJ696" s="1546"/>
      <c r="AK696" s="154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0"/>
      <c r="U697" s="1541"/>
      <c r="V697" s="1541"/>
      <c r="W697" s="1541"/>
      <c r="X697" s="1541"/>
      <c r="Y697" s="1542"/>
      <c r="Z697" s="1540"/>
      <c r="AA697" s="1541"/>
      <c r="AB697" s="1541"/>
      <c r="AC697" s="1541"/>
      <c r="AD697" s="1541"/>
      <c r="AE697" s="1542"/>
      <c r="AF697" s="1540"/>
      <c r="AG697" s="1541"/>
      <c r="AH697" s="1541"/>
      <c r="AI697" s="1541"/>
      <c r="AJ697" s="1541"/>
      <c r="AK697" s="1542"/>
      <c r="AL697" s="778"/>
      <c r="AM697" s="20"/>
    </row>
    <row r="698" spans="1:43">
      <c r="A698" s="594" t="s">
        <v>653</v>
      </c>
      <c r="B698" s="1767" t="s">
        <v>270</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502">
        <v>10</v>
      </c>
      <c r="AA698" s="1502"/>
      <c r="AB698" s="1502"/>
      <c r="AC698" s="1502"/>
      <c r="AD698" s="1502"/>
      <c r="AE698" s="1502"/>
      <c r="AF698" s="1502">
        <f>IF(T698&gt;Z698,Z698,T698)</f>
        <v>10</v>
      </c>
      <c r="AG698" s="1502"/>
      <c r="AH698" s="1502"/>
      <c r="AI698" s="1502"/>
      <c r="AJ698" s="1502"/>
      <c r="AK698" s="1502"/>
      <c r="AL698" s="778"/>
      <c r="AM698" s="20"/>
      <c r="AO698" s="4">
        <f>IF(T707&gt;50,50,T707)</f>
        <v>50</v>
      </c>
    </row>
    <row r="699" spans="1:43">
      <c r="A699" s="614"/>
      <c r="B699" s="615"/>
      <c r="C699" s="620"/>
      <c r="D699" s="306" t="s">
        <v>210</v>
      </c>
      <c r="E699" s="1770" t="s">
        <v>236</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9">
        <v>7</v>
      </c>
      <c r="AA699" s="1669"/>
      <c r="AB699" s="1669"/>
      <c r="AC699" s="1669"/>
      <c r="AD699" s="1669"/>
      <c r="AE699" s="1669"/>
      <c r="AF699" s="1782"/>
      <c r="AG699" s="1782"/>
      <c r="AH699" s="1782"/>
      <c r="AI699" s="1782"/>
      <c r="AJ699" s="1782"/>
      <c r="AK699" s="1782"/>
      <c r="AL699" s="778"/>
      <c r="AM699" s="20"/>
    </row>
    <row r="700" spans="1:43">
      <c r="A700" s="616"/>
      <c r="B700" s="615"/>
      <c r="C700" s="615"/>
      <c r="D700" s="306" t="s">
        <v>428</v>
      </c>
      <c r="E700" s="1770" t="s">
        <v>237</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9">
        <v>3</v>
      </c>
      <c r="AA700" s="1669"/>
      <c r="AB700" s="1669"/>
      <c r="AC700" s="1669"/>
      <c r="AD700" s="1669"/>
      <c r="AE700" s="1669"/>
      <c r="AF700" s="1782"/>
      <c r="AG700" s="1782"/>
      <c r="AH700" s="1782"/>
      <c r="AI700" s="1782"/>
      <c r="AJ700" s="1782"/>
      <c r="AK700" s="1782"/>
      <c r="AL700" s="778"/>
      <c r="AM700" s="20"/>
    </row>
    <row r="701" spans="1:43">
      <c r="A701" s="594" t="s">
        <v>8</v>
      </c>
      <c r="B701" s="1767" t="s">
        <v>271</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502">
        <v>10</v>
      </c>
      <c r="AA701" s="1502"/>
      <c r="AB701" s="1502"/>
      <c r="AC701" s="1502"/>
      <c r="AD701" s="1502"/>
      <c r="AE701" s="1502"/>
      <c r="AF701" s="1502">
        <f>IF(T701&gt;Z701,Z701,T701)</f>
        <v>10</v>
      </c>
      <c r="AG701" s="1502"/>
      <c r="AH701" s="1502"/>
      <c r="AI701" s="1502"/>
      <c r="AJ701" s="1502"/>
      <c r="AK701" s="1502"/>
      <c r="AL701" s="778"/>
      <c r="AM701" s="20"/>
    </row>
    <row r="702" spans="1:43">
      <c r="A702" s="594" t="s">
        <v>119</v>
      </c>
      <c r="B702" s="1767" t="s">
        <v>272</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8"/>
      <c r="AM702" s="20"/>
    </row>
    <row r="703" spans="1:43">
      <c r="A703" s="594"/>
      <c r="B703" s="615"/>
      <c r="C703" s="615"/>
      <c r="D703" s="306" t="s">
        <v>1468</v>
      </c>
      <c r="E703" s="1770" t="s">
        <v>294</v>
      </c>
      <c r="F703" s="1770"/>
      <c r="G703" s="1770"/>
      <c r="H703" s="1770"/>
      <c r="I703" s="1770"/>
      <c r="J703" s="1770"/>
      <c r="K703" s="1770"/>
      <c r="L703" s="1770"/>
      <c r="M703" s="1770"/>
      <c r="N703" s="1770"/>
      <c r="O703" s="1770"/>
      <c r="P703" s="1770"/>
      <c r="Q703" s="1770"/>
      <c r="R703" s="1770"/>
      <c r="S703" s="1771"/>
      <c r="T703" s="1769">
        <f>AK283</f>
        <v>23</v>
      </c>
      <c r="U703" s="1769"/>
      <c r="V703" s="1769"/>
      <c r="W703" s="1769"/>
      <c r="X703" s="1769"/>
      <c r="Y703" s="1769"/>
      <c r="Z703" s="1669">
        <v>15</v>
      </c>
      <c r="AA703" s="1669"/>
      <c r="AB703" s="1669"/>
      <c r="AC703" s="1669"/>
      <c r="AD703" s="1669"/>
      <c r="AE703" s="1669"/>
      <c r="AF703" s="1782"/>
      <c r="AG703" s="1782"/>
      <c r="AH703" s="1782"/>
      <c r="AI703" s="1782"/>
      <c r="AJ703" s="1782"/>
      <c r="AK703" s="1782"/>
      <c r="AL703" s="778"/>
      <c r="AM703" s="20"/>
    </row>
    <row r="704" spans="1:43">
      <c r="A704" s="617"/>
      <c r="B704" s="90"/>
      <c r="C704" s="90"/>
      <c r="D704" s="618" t="s">
        <v>1469</v>
      </c>
      <c r="E704" s="1770" t="s">
        <v>295</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9">
        <v>10</v>
      </c>
      <c r="AA704" s="1669"/>
      <c r="AB704" s="1669"/>
      <c r="AC704" s="1669"/>
      <c r="AD704" s="1669"/>
      <c r="AE704" s="1669"/>
      <c r="AF704" s="1782"/>
      <c r="AG704" s="1782"/>
      <c r="AH704" s="1782"/>
      <c r="AI704" s="1782"/>
      <c r="AJ704" s="1782"/>
      <c r="AK704" s="1782"/>
      <c r="AL704" s="778"/>
      <c r="AM704" s="20"/>
    </row>
    <row r="705" spans="1:39" hidden="1">
      <c r="A705" s="594" t="s">
        <v>122</v>
      </c>
      <c r="B705" s="1767" t="s">
        <v>540</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502"/>
      <c r="AA705" s="1502"/>
      <c r="AB705" s="1502"/>
      <c r="AC705" s="1502"/>
      <c r="AD705" s="1502"/>
      <c r="AE705" s="1502"/>
      <c r="AF705" s="1502"/>
      <c r="AG705" s="1502"/>
      <c r="AH705" s="1502"/>
      <c r="AI705" s="1502"/>
      <c r="AJ705" s="1502"/>
      <c r="AK705" s="1502"/>
      <c r="AL705" s="778"/>
      <c r="AM705" s="20"/>
    </row>
    <row r="706" spans="1:39">
      <c r="A706" s="594" t="s">
        <v>122</v>
      </c>
      <c r="B706" s="1767" t="s">
        <v>541</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c r="A707" s="619"/>
      <c r="B707" s="621"/>
      <c r="C707" s="621"/>
      <c r="D707" s="622" t="s">
        <v>2217</v>
      </c>
      <c r="E707" s="1770" t="s">
        <v>183</v>
      </c>
      <c r="F707" s="1770"/>
      <c r="G707" s="1770"/>
      <c r="H707" s="1770"/>
      <c r="I707" s="1770"/>
      <c r="J707" s="1770"/>
      <c r="K707" s="1770"/>
      <c r="L707" s="1770"/>
      <c r="M707" s="1770"/>
      <c r="N707" s="1770"/>
      <c r="O707" s="1770"/>
      <c r="P707" s="1770"/>
      <c r="Q707" s="1770"/>
      <c r="R707" s="1770"/>
      <c r="S707" s="1771"/>
      <c r="T707" s="1763">
        <f>AC592</f>
        <v>55</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c r="A708" s="623"/>
      <c r="B708" s="615"/>
      <c r="C708" s="615"/>
      <c r="D708" s="306" t="s">
        <v>2218</v>
      </c>
      <c r="E708" s="1770" t="s">
        <v>269</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72">
        <v>2</v>
      </c>
      <c r="AA708" s="1273"/>
      <c r="AB708" s="1273"/>
      <c r="AC708" s="1273"/>
      <c r="AD708" s="1273"/>
      <c r="AE708" s="1274"/>
      <c r="AF708" s="1785"/>
      <c r="AG708" s="1786"/>
      <c r="AH708" s="1786"/>
      <c r="AI708" s="1786"/>
      <c r="AJ708" s="1786"/>
      <c r="AK708" s="1787"/>
      <c r="AL708" s="778"/>
      <c r="AM708" s="4"/>
    </row>
    <row r="709" spans="1:39">
      <c r="A709" s="619" t="s">
        <v>123</v>
      </c>
      <c r="B709" s="1767" t="s">
        <v>542</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502">
        <v>10</v>
      </c>
      <c r="AA709" s="1502"/>
      <c r="AB709" s="1502"/>
      <c r="AC709" s="1502"/>
      <c r="AD709" s="1502"/>
      <c r="AE709" s="1502"/>
      <c r="AF709" s="1349">
        <f>IF(T709&gt;Z709,Z709,T709)</f>
        <v>10</v>
      </c>
      <c r="AG709" s="1350"/>
      <c r="AH709" s="1350"/>
      <c r="AI709" s="1350"/>
      <c r="AJ709" s="1350"/>
      <c r="AK709" s="1362"/>
      <c r="AL709" s="778"/>
      <c r="AM709" s="20"/>
    </row>
    <row r="710" spans="1:39">
      <c r="A710" s="619" t="s">
        <v>125</v>
      </c>
      <c r="B710" s="1767" t="s">
        <v>985</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49">
        <v>2</v>
      </c>
      <c r="AA710" s="1350"/>
      <c r="AB710" s="1350"/>
      <c r="AC710" s="1350"/>
      <c r="AD710" s="1350"/>
      <c r="AE710" s="1362"/>
      <c r="AF710" s="1349">
        <f>IF(T710&gt;Z710,Z710,T710)</f>
        <v>2</v>
      </c>
      <c r="AG710" s="1783"/>
      <c r="AH710" s="1783"/>
      <c r="AI710" s="1783"/>
      <c r="AJ710" s="1783"/>
      <c r="AK710" s="1784"/>
      <c r="AL710" s="3"/>
      <c r="AM710" s="20"/>
    </row>
    <row r="711" spans="1:39">
      <c r="A711" s="1864" t="s">
        <v>297</v>
      </c>
      <c r="B711" s="1767"/>
      <c r="C711" s="1767"/>
      <c r="D711" s="1767"/>
      <c r="E711" s="1767"/>
      <c r="F711" s="1767"/>
      <c r="G711" s="1767"/>
      <c r="H711" s="1767"/>
      <c r="I711" s="1767"/>
      <c r="J711" s="1767"/>
      <c r="K711" s="1767"/>
      <c r="L711" s="1767"/>
      <c r="M711" s="1767"/>
      <c r="N711" s="1767"/>
      <c r="O711" s="1767"/>
      <c r="P711" s="1767"/>
      <c r="Q711" s="1767"/>
      <c r="R711" s="1767"/>
      <c r="S711" s="1768"/>
      <c r="T711" s="1105"/>
      <c r="U711" s="1105"/>
      <c r="V711" s="1105"/>
      <c r="W711" s="1105"/>
      <c r="X711" s="1105"/>
      <c r="Y711" s="1105"/>
      <c r="Z711" s="1669" t="s">
        <v>296</v>
      </c>
      <c r="AA711" s="1669"/>
      <c r="AB711" s="1669"/>
      <c r="AC711" s="1669"/>
      <c r="AD711" s="1669"/>
      <c r="AE711" s="1669"/>
      <c r="AF711" s="1349">
        <f>IF(T711&gt;0,T711,0)</f>
        <v>0</v>
      </c>
      <c r="AG711" s="1350"/>
      <c r="AH711" s="1350"/>
      <c r="AI711" s="1350"/>
      <c r="AJ711" s="1350"/>
      <c r="AK711" s="1362"/>
      <c r="AL711" s="18"/>
      <c r="AM711" s="20"/>
    </row>
    <row r="712" spans="1:39" ht="15.75">
      <c r="A712" s="1854" t="s">
        <v>721</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9"/>
      <c r="AM712" s="4"/>
    </row>
    <row r="713" spans="1:39" ht="12.4"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651"/>
    </row>
    <row r="715" spans="1:39" ht="12.4"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651"/>
    </row>
    <row r="716" spans="1:39" ht="12.4"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651"/>
    </row>
    <row r="717" spans="1:39" ht="12.4"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651"/>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651"/>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651"/>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9" t="s">
        <v>2034</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2035</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2038</v>
      </c>
      <c r="I6" s="899"/>
      <c r="K6" s="900"/>
      <c r="U6" s="1908"/>
      <c r="V6" s="1908"/>
      <c r="W6" s="1908"/>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9"/>
      <c r="Q9" s="1899"/>
      <c r="R9" s="1899"/>
      <c r="S9" s="1899"/>
      <c r="T9" s="1899"/>
    </row>
    <row r="10" spans="1:57">
      <c r="A10" s="898"/>
      <c r="B10" s="898"/>
      <c r="I10" s="899"/>
      <c r="K10" s="900"/>
    </row>
    <row r="11" spans="1:57">
      <c r="A11" s="1898" t="s">
        <v>2041</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482</v>
      </c>
    </row>
    <row r="13" spans="1:57">
      <c r="A13" s="898"/>
      <c r="B13" s="898"/>
      <c r="D13" s="896" t="s">
        <v>2042</v>
      </c>
      <c r="I13" s="899"/>
      <c r="K13" s="900"/>
      <c r="T13" s="1908"/>
      <c r="U13" s="1908"/>
      <c r="V13" s="1908"/>
    </row>
    <row r="14" spans="1:57">
      <c r="A14" s="898"/>
      <c r="B14" s="898"/>
      <c r="E14" s="896" t="s">
        <v>2049</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2500000</v>
      </c>
    </row>
    <row r="16" spans="1:57">
      <c r="A16" s="898"/>
      <c r="B16" s="898"/>
      <c r="BC16" s="896" t="s">
        <v>2053</v>
      </c>
      <c r="BE16" s="896">
        <f>'Basis &amp; Credits'!T11+'Basis &amp; Credits'!AD11</f>
        <v>32145715</v>
      </c>
    </row>
    <row r="17" spans="1:43">
      <c r="A17" s="898"/>
      <c r="B17" s="898"/>
      <c r="D17" s="896" t="s">
        <v>2044</v>
      </c>
      <c r="I17" s="899"/>
      <c r="K17" s="900"/>
      <c r="U17" s="1897" t="str">
        <f>IF(T13="yes",(BE15/BE16)," ")</f>
        <v xml:space="preserve"> </v>
      </c>
      <c r="V17" s="1897"/>
      <c r="W17" s="1897"/>
      <c r="X17" s="1897"/>
      <c r="Y17" s="1897"/>
    </row>
    <row r="18" spans="1:43">
      <c r="A18" s="898"/>
      <c r="B18" s="898"/>
      <c r="I18" s="899"/>
      <c r="K18" s="900"/>
    </row>
    <row r="19" spans="1:43">
      <c r="A19" s="1898" t="s">
        <v>2046</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728</v>
      </c>
      <c r="D22" s="901"/>
      <c r="E22" s="896" t="s">
        <v>2047</v>
      </c>
      <c r="H22" s="902"/>
      <c r="K22" s="896"/>
      <c r="Q22" s="1900">
        <f>ROUND('Basis &amp; Credits'!AB55,0)</f>
        <v>2500000</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2024</v>
      </c>
      <c r="M24" s="1907"/>
      <c r="N24" s="1907"/>
      <c r="P24" s="1903" t="s">
        <v>2025</v>
      </c>
      <c r="Q24" s="1903"/>
      <c r="R24" s="1903"/>
      <c r="S24" s="1903"/>
      <c r="T24" s="1903"/>
      <c r="V24" s="1903" t="s">
        <v>2026</v>
      </c>
      <c r="W24" s="1903"/>
      <c r="X24" s="1903"/>
    </row>
    <row r="25" spans="1:43">
      <c r="C25" s="901" t="s">
        <v>190</v>
      </c>
      <c r="D25" s="901"/>
      <c r="E25" s="896" t="s">
        <v>986</v>
      </c>
      <c r="J25" s="904"/>
      <c r="L25" s="1904" t="s">
        <v>2027</v>
      </c>
      <c r="M25" s="1904"/>
      <c r="N25" s="1904"/>
      <c r="P25" s="1904" t="s">
        <v>2028</v>
      </c>
      <c r="Q25" s="1904"/>
      <c r="R25" s="1904"/>
      <c r="S25" s="1904"/>
      <c r="T25" s="1904"/>
      <c r="V25" s="1904" t="s">
        <v>2027</v>
      </c>
      <c r="W25" s="1904"/>
      <c r="X25" s="1904"/>
    </row>
    <row r="26" spans="1:43">
      <c r="C26" s="898"/>
      <c r="D26" s="898"/>
      <c r="E26" s="907" t="s">
        <v>2029</v>
      </c>
      <c r="F26" s="907"/>
      <c r="J26" s="908"/>
      <c r="L26" s="1901">
        <f>Application!BN626</f>
        <v>0</v>
      </c>
      <c r="M26" s="1901"/>
      <c r="N26" s="1901"/>
      <c r="P26" s="1905">
        <v>0.9</v>
      </c>
      <c r="Q26" s="1905"/>
      <c r="R26" s="1905"/>
      <c r="S26" s="1905"/>
      <c r="T26" s="1905"/>
      <c r="V26" s="1905">
        <f>L26*P26</f>
        <v>0</v>
      </c>
      <c r="W26" s="1905"/>
      <c r="X26" s="1905"/>
    </row>
    <row r="27" spans="1:43">
      <c r="C27" s="898"/>
      <c r="D27" s="898"/>
      <c r="E27" s="896" t="s">
        <v>2030</v>
      </c>
      <c r="J27" s="908"/>
      <c r="L27" s="1910">
        <f>Application!BS626</f>
        <v>59</v>
      </c>
      <c r="M27" s="1910">
        <f>Application!BS634+Application!BS643+Application!CX657</f>
        <v>0</v>
      </c>
      <c r="N27" s="1910"/>
      <c r="P27" s="1906">
        <v>1</v>
      </c>
      <c r="Q27" s="1906"/>
      <c r="R27" s="1906"/>
      <c r="S27" s="1906"/>
      <c r="T27" s="1906"/>
      <c r="V27" s="1906">
        <f>L27*P27</f>
        <v>59</v>
      </c>
      <c r="W27" s="1906"/>
      <c r="X27" s="1906"/>
    </row>
    <row r="28" spans="1:43">
      <c r="C28" s="898"/>
      <c r="D28" s="898"/>
      <c r="E28" s="896" t="s">
        <v>2031</v>
      </c>
      <c r="J28" s="908"/>
      <c r="L28" s="1910">
        <f>Application!BX626</f>
        <v>30</v>
      </c>
      <c r="M28" s="1910">
        <f>Application!BX634+Application!BX643+Application!DC657</f>
        <v>0</v>
      </c>
      <c r="N28" s="1910"/>
      <c r="P28" s="1906">
        <v>1.25</v>
      </c>
      <c r="Q28" s="1906"/>
      <c r="R28" s="1906"/>
      <c r="S28" s="1906"/>
      <c r="T28" s="1906"/>
      <c r="V28" s="1906">
        <f>L28*P28</f>
        <v>37.5</v>
      </c>
      <c r="W28" s="1906"/>
      <c r="X28" s="1906"/>
    </row>
    <row r="29" spans="1:43">
      <c r="C29" s="898"/>
      <c r="D29" s="898"/>
      <c r="E29" s="896" t="s">
        <v>2032</v>
      </c>
      <c r="J29" s="908"/>
      <c r="L29" s="1910">
        <f>Application!CC626</f>
        <v>30</v>
      </c>
      <c r="M29" s="1910">
        <f>Application!CC634+Application!CC643+Application!DH657</f>
        <v>0</v>
      </c>
      <c r="N29" s="1910"/>
      <c r="P29" s="1906">
        <v>1.5</v>
      </c>
      <c r="Q29" s="1906"/>
      <c r="R29" s="1906"/>
      <c r="S29" s="1906"/>
      <c r="T29" s="1906"/>
      <c r="V29" s="1906">
        <f>L29*P29</f>
        <v>45</v>
      </c>
      <c r="W29" s="1906"/>
      <c r="X29" s="1906"/>
    </row>
    <row r="30" spans="1:43">
      <c r="C30" s="898"/>
      <c r="D30" s="898"/>
      <c r="E30" s="896" t="s">
        <v>2033</v>
      </c>
      <c r="J30" s="908"/>
      <c r="L30" s="1911">
        <f>Application!CH626+Application!CM626</f>
        <v>0</v>
      </c>
      <c r="M30" s="1911"/>
      <c r="N30" s="1911"/>
      <c r="P30" s="1906">
        <v>1.75</v>
      </c>
      <c r="Q30" s="1906"/>
      <c r="R30" s="1906">
        <f>1.75+0.25*0</f>
        <v>1.75</v>
      </c>
      <c r="S30" s="1906"/>
      <c r="T30" s="1906"/>
      <c r="V30" s="1915">
        <f>L30*P30</f>
        <v>0</v>
      </c>
      <c r="W30" s="1915"/>
      <c r="X30" s="1915"/>
    </row>
    <row r="31" spans="1:43">
      <c r="C31" s="898"/>
      <c r="D31" s="898"/>
      <c r="L31" s="1901">
        <f>SUM(L26:N30)</f>
        <v>119</v>
      </c>
      <c r="M31" s="1902"/>
      <c r="N31" s="1902"/>
      <c r="V31" s="1905">
        <f>SUM(V26:X30)</f>
        <v>141.5</v>
      </c>
      <c r="W31" s="1905"/>
      <c r="X31" s="1905"/>
    </row>
    <row r="32" spans="1:43">
      <c r="C32" s="898"/>
      <c r="D32" s="898"/>
      <c r="K32" s="909"/>
    </row>
    <row r="33" spans="1:27">
      <c r="C33" s="901" t="s">
        <v>191</v>
      </c>
      <c r="D33" s="901"/>
      <c r="E33" s="898" t="s">
        <v>2048</v>
      </c>
      <c r="H33" s="910"/>
      <c r="I33" s="911"/>
      <c r="J33" s="912"/>
      <c r="K33" s="909"/>
      <c r="M33" s="897"/>
      <c r="V33" s="1912">
        <f>IF(V31&gt;0,V31/Q22," ")</f>
        <v>5.66E-5</v>
      </c>
      <c r="W33" s="1913"/>
      <c r="X33" s="1913"/>
      <c r="Y33" s="1913"/>
      <c r="Z33" s="1913"/>
      <c r="AA33" s="1914"/>
    </row>
    <row r="34" spans="1:27">
      <c r="K34" s="896"/>
      <c r="M34" s="897"/>
    </row>
    <row r="35" spans="1:27">
      <c r="E35" s="898" t="s">
        <v>2054</v>
      </c>
      <c r="F35" s="898"/>
      <c r="G35" s="898"/>
      <c r="H35" s="898"/>
      <c r="I35" s="898"/>
      <c r="J35" s="898"/>
      <c r="K35" s="898"/>
      <c r="L35" s="898"/>
      <c r="M35" s="918"/>
      <c r="N35" s="898"/>
      <c r="O35" s="898"/>
      <c r="P35" s="898"/>
      <c r="Q35" s="898"/>
      <c r="R35" s="898"/>
      <c r="V35" s="1893">
        <f>IF(V31&gt;0,1/V33," ")</f>
        <v>17667.844522968197</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Amy Rossig</cp:lastModifiedBy>
  <cp:lastPrinted>2024-06-27T23:33:09Z</cp:lastPrinted>
  <dcterms:created xsi:type="dcterms:W3CDTF">2007-12-27T18:26:28Z</dcterms:created>
  <dcterms:modified xsi:type="dcterms:W3CDTF">2024-07-02T17:59:44Z</dcterms:modified>
</cp:coreProperties>
</file>